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hidePivotFieldList="1" autoCompressPictures="0" defaultThemeVersion="124226"/>
  <mc:AlternateContent xmlns:mc="http://schemas.openxmlformats.org/markup-compatibility/2006">
    <mc:Choice Requires="x15">
      <x15ac:absPath xmlns:x15ac="http://schemas.microsoft.com/office/spreadsheetml/2010/11/ac" url="/Users/ntiche01/Box/tufts_faculty/project_lasting/lasting_aim_3/data/in/"/>
    </mc:Choice>
  </mc:AlternateContent>
  <xr:revisionPtr revIDLastSave="0" documentId="13_ncr:1_{8491BB81-D734-2847-9FB6-F556E2265BD6}" xr6:coauthVersionLast="47" xr6:coauthVersionMax="47" xr10:uidLastSave="{00000000-0000-0000-0000-000000000000}"/>
  <bookViews>
    <workbookView xWindow="0" yWindow="500" windowWidth="28800" windowHeight="17500" activeTab="1" xr2:uid="{00000000-000D-0000-FFFF-FFFF00000000}"/>
  </bookViews>
  <sheets>
    <sheet name="DESCRIPTION" sheetId="22" r:id="rId1"/>
    <sheet name="FCID linkages" sheetId="13" r:id="rId2"/>
    <sheet name="literature entries" sheetId="1" r:id="rId3"/>
    <sheet name="Pivot Table_GHG" sheetId="12" r:id="rId4"/>
    <sheet name="Pivot Table_CED" sheetId="7" r:id="rId5"/>
    <sheet name="PROXY def'ns" sheetId="21" r:id="rId6"/>
    <sheet name="MassConv" sheetId="16" r:id="rId7"/>
  </sheets>
  <externalReferences>
    <externalReference r:id="rId8"/>
  </externalReferences>
  <definedNames>
    <definedName name="_AMO_UniqueIdentifier" hidden="1">"'8f2b1bd5-ff87-412f-bc4e-9f8ed365c748'"</definedName>
    <definedName name="_xlnm._FilterDatabase" localSheetId="1" hidden="1">'FCID linkages'!$A$3:$AF$357</definedName>
    <definedName name="_xlnm._FilterDatabase" localSheetId="2" hidden="1">'literature entries'!$A$1:$BJ$1646</definedName>
    <definedName name="all_brassica">'PROXY def''ns'!$I$4:$I$20</definedName>
    <definedName name="all_fish">'PROXY def''ns'!$F$98:$F$104</definedName>
    <definedName name="almond">'PROXY def''ns'!$F$73:$F$74</definedName>
    <definedName name="apple">'PROXY def''ns'!$F$55:$F$56</definedName>
    <definedName name="apricot">'PROXY def''ns'!$F$61:$F$62</definedName>
    <definedName name="artichoke_globe">'PROXY def''ns'!$F$90:$F$91</definedName>
    <definedName name="asparagus">'PROXY def''ns'!$F$86:$F$87</definedName>
    <definedName name="banana">'PROXY def''ns'!$F$92:$F$93</definedName>
    <definedName name="bean_dry">'PROXY def''ns'!$F$26:$F$27</definedName>
    <definedName name="bean_snap_succulent">'PROXY def''ns'!$F$22:$F$23</definedName>
    <definedName name="beer">'PROXY def''ns'!$F$125:$F$126</definedName>
    <definedName name="berry">'PROXY def''ns'!$B$4:$B$13</definedName>
    <definedName name="brass_grns_E">'Pivot Table_CED'!$T$11</definedName>
    <definedName name="brass_grns_GHG">'Pivot Table_CED'!$U$11</definedName>
    <definedName name="brassica">'PROXY def''ns'!$B$22:$B$27</definedName>
    <definedName name="brassica_greens">'PROXY def''ns'!$B$28:$B$35</definedName>
    <definedName name="brassica_roots">'PROXY def''ns'!$B$36:$B$40</definedName>
    <definedName name="broccoli">'PROXY def''ns'!$F$17:$F$18</definedName>
    <definedName name="carrot">'PROXY def''ns'!$F$4:$F$5</definedName>
    <definedName name="cassava">'PROXY def''ns'!$F$6:$F$7</definedName>
    <definedName name="celery">'PROXY def''ns'!$F$88:$F$89</definedName>
    <definedName name="cherry">'PROXY def''ns'!$F$59:$F$60</definedName>
    <definedName name="Chicken">'PROXY def''ns'!$F$118:$F$119</definedName>
    <definedName name="choc_coffee_tea">'PROXY def''ns'!$I$110:$I$117</definedName>
    <definedName name="citrus">'PROXY def''ns'!$B$41:$B$52</definedName>
    <definedName name="clover_seed">'PROXY def''ns'!$B$15:$B$16</definedName>
    <definedName name="coconut_meat">'PROXY def''ns'!$F$75:$F$76</definedName>
    <definedName name="coconut_oil">'PROXY def''ns'!$I$65:$I$66</definedName>
    <definedName name="corn_flour">'PROXY def''ns'!$F$121:$F$122</definedName>
    <definedName name="corn_starch">'PROXY def''ns'!$F$123:$F$124</definedName>
    <definedName name="cucumber">'PROXY def''ns'!$F$45:$F$46</definedName>
    <definedName name="cucurbits">'PROXY def''ns'!$I$122:$I$132</definedName>
    <definedName name="dried_herbs">'PROXY def''ns'!$B$53:$B$55</definedName>
    <definedName name="endive">'PROXY def''ns'!$F$13:$F$14</definedName>
    <definedName name="Escarole">'PROXY def''ns'!$F$111:$F$112</definedName>
    <definedName name="_xlnm.Extract" localSheetId="2">'literature entries'!#REF!</definedName>
    <definedName name="flours">'PROXY def''ns'!$I$68:$I$73</definedName>
    <definedName name="Fluid_milk_cow">'PROXY def''ns'!$I$119:$I$120</definedName>
    <definedName name="Food_Form">'[1]List Names'!$C$3:$C$8</definedName>
    <definedName name="Food_Type">'[1]List Names'!$B$3:$B$16</definedName>
    <definedName name="FoodForm">#REF!</definedName>
    <definedName name="FoodTypes">#REF!</definedName>
    <definedName name="fresh_herbs">'PROXY def''ns'!$B$56:$B$65</definedName>
    <definedName name="ginger">'PROXY def''ns'!$F$11:$F$12</definedName>
    <definedName name="grains">'PROXY def''ns'!$B$66:$B$77</definedName>
    <definedName name="grape">'PROXY def''ns'!$F$69:$F$70</definedName>
    <definedName name="grape_raisin">'PROXY def''ns'!$F$67:$F$68</definedName>
    <definedName name="greens">'PROXY def''ns'!$B$78:$B$88</definedName>
    <definedName name="honey">'PROXY def''ns'!$F$109:$F$110</definedName>
    <definedName name="legume_seed">'PROXY def''ns'!$I$23:$I$32</definedName>
    <definedName name="lentil_seed">'PROXY def''ns'!$F$28:$F$29</definedName>
    <definedName name="Maple_syrup">'PROXY def''ns'!$F$115:$F$116</definedName>
    <definedName name="melon">'PROXY def''ns'!$F$40:$F$43</definedName>
    <definedName name="nightshades">'PROXY def''ns'!$F$34:$F$37</definedName>
    <definedName name="nonruminant_meat">'PROXY def''ns'!$F$139:$F$144</definedName>
    <definedName name="nut">'PROXY def''ns'!$B$89:$B$101</definedName>
    <definedName name="oat_flour">'PROXY def''ns'!$F$127:$F$128</definedName>
    <definedName name="oils">'PROXY def''ns'!$B$148:$B$161</definedName>
    <definedName name="oilseed_oil">'PROXY def''ns'!$B$140:$B$146</definedName>
    <definedName name="onion_bulb">'PROXY def''ns'!$F$15:$F$16</definedName>
    <definedName name="orange">'PROXY def''ns'!$F$53:$F$54</definedName>
    <definedName name="papaya">'PROXY def''ns'!$F$94:$F$95</definedName>
    <definedName name="Pea_pigeon_seed">'PROXY def''ns'!$F$24:$F$25</definedName>
    <definedName name="peach">'PROXY def''ns'!$F$63:$F$64</definedName>
    <definedName name="pear">'PROXY def''ns'!$F$57:$F$58</definedName>
    <definedName name="pepper_bell">'PROXY def''ns'!$F$38:$F$39</definedName>
    <definedName name="pineapple">'PROXY def''ns'!$F$96:$F$97</definedName>
    <definedName name="plum">'PROXY def''ns'!$F$65:$F$66</definedName>
    <definedName name="potato">'PROXY def''ns'!$F$8:$F$9</definedName>
    <definedName name="processed_tomato">'PROXY def''ns'!$I$34:$I$38</definedName>
    <definedName name="rice">'PROXY def''ns'!$F$81:$F$83</definedName>
    <definedName name="rice_bran">'PROXY def''ns'!$F$77:$F$78</definedName>
    <definedName name="roots">'PROXY def''ns'!$B$102:$B$109</definedName>
    <definedName name="ruminant_meat">'PROXY def''ns'!$F$134:$F$137</definedName>
    <definedName name="saltwater_finfish">'PROXY def''ns'!$F$106:$F$107</definedName>
    <definedName name="saltwater_fish">'PROXY def''ns'!$F$106:$F$107</definedName>
    <definedName name="Sheep">'PROXY def''ns'!$F$113:$F$114</definedName>
    <definedName name="Source_Type">'[1]List Names'!$E$3:$E$9</definedName>
    <definedName name="SourceType">#REF!</definedName>
    <definedName name="soybean_meal">'PROXY def''ns'!$B$19:$B$20</definedName>
    <definedName name="spices">'PROXY def''ns'!$B$110:$B$116</definedName>
    <definedName name="spinach">'PROXY def''ns'!$F$19:$F$20</definedName>
    <definedName name="squash">'PROXY def''ns'!$F$47:$F$49</definedName>
    <definedName name="strawberry">'PROXY def''ns'!$F$71:$F$72</definedName>
    <definedName name="sugarcane_molasses">'PROXY def''ns'!$F$129:$F$130</definedName>
    <definedName name="sweeteners">'PROXY def''ns'!$I$102:$I$108</definedName>
    <definedName name="tea">'PROXY def''ns'!$F$131:$F$132</definedName>
    <definedName name="tomato">'PROXY def''ns'!$F$30:$F$31</definedName>
    <definedName name="tree_fruit">'PROXY def''ns'!$B$117:$B$126</definedName>
    <definedName name="tropical_citrus">'PROXY def''ns'!$I$40:$I$63</definedName>
    <definedName name="tropical_citus">'PROXY def''ns'!$H$40</definedName>
    <definedName name="tropical_fruit">'PROXY def''ns'!$B$127:$B$139</definedName>
    <definedName name="vegetables">'PROXY def''ns'!$I$75:$I$100</definedName>
    <definedName name="wheat_flour">'PROXY def''ns'!$F$79:$F$80</definedName>
    <definedName name="Yes_No">'[1]List Names'!$D$3:$D$4</definedName>
    <definedName name="YesNo">#REF!</definedName>
    <definedName name="zucchini">'PROXY def''ns'!$F$51:$F$52</definedName>
  </definedNames>
  <calcPr calcId="191029"/>
  <pivotCaches>
    <pivotCache cacheId="1" r:id="rId9"/>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300" i="13" l="1"/>
  <c r="H299" i="13"/>
  <c r="AF320" i="1"/>
  <c r="AF321" i="1"/>
  <c r="AF322" i="1"/>
  <c r="AF323" i="1"/>
  <c r="AF186" i="1"/>
  <c r="AG186" i="1"/>
  <c r="AH186" i="1"/>
  <c r="AI186" i="1"/>
  <c r="AF187" i="1"/>
  <c r="AG187" i="1"/>
  <c r="AH187" i="1"/>
  <c r="AI187" i="1"/>
  <c r="AF188" i="1"/>
  <c r="AG188" i="1"/>
  <c r="AH188" i="1"/>
  <c r="AI188" i="1"/>
  <c r="AF189" i="1"/>
  <c r="AG189" i="1"/>
  <c r="AH189" i="1"/>
  <c r="AI189" i="1"/>
  <c r="AF317" i="1"/>
  <c r="AG317" i="1"/>
  <c r="AH317" i="1"/>
  <c r="AF318" i="1"/>
  <c r="AG318" i="1"/>
  <c r="AH318" i="1"/>
  <c r="AI318" i="1"/>
  <c r="AF319" i="1"/>
  <c r="AG319" i="1"/>
  <c r="AH319" i="1"/>
  <c r="AI319" i="1"/>
  <c r="AS452" i="1"/>
  <c r="AF452" i="1" s="1"/>
  <c r="AG452" i="1"/>
  <c r="AF455" i="1"/>
  <c r="AH455" i="1"/>
  <c r="AF456" i="1"/>
  <c r="AG456" i="1"/>
  <c r="AH456" i="1"/>
  <c r="AI456" i="1"/>
  <c r="AF457" i="1"/>
  <c r="AH457" i="1"/>
  <c r="AF458" i="1"/>
  <c r="AG458" i="1"/>
  <c r="BF458" i="1"/>
  <c r="AH458" i="1" s="1"/>
  <c r="AI458" i="1"/>
  <c r="AF459" i="1"/>
  <c r="AG459" i="1"/>
  <c r="BF459" i="1"/>
  <c r="AH459" i="1" s="1"/>
  <c r="AI459" i="1"/>
  <c r="AF461" i="1"/>
  <c r="AG461" i="1"/>
  <c r="AH461" i="1"/>
  <c r="AI461" i="1"/>
  <c r="AF463" i="1"/>
  <c r="AG463" i="1"/>
  <c r="AH463" i="1"/>
  <c r="AI463" i="1"/>
  <c r="AF464" i="1"/>
  <c r="AG464" i="1"/>
  <c r="AH464" i="1"/>
  <c r="AI464" i="1"/>
  <c r="AF515" i="1"/>
  <c r="AG515" i="1"/>
  <c r="AH515" i="1"/>
  <c r="AI515" i="1"/>
  <c r="AF551" i="1"/>
  <c r="AG551" i="1"/>
  <c r="AH551" i="1"/>
  <c r="AI551" i="1"/>
  <c r="AF621" i="1"/>
  <c r="AH621" i="1"/>
  <c r="AI621" i="1"/>
  <c r="AF645" i="1"/>
  <c r="AG645" i="1"/>
  <c r="AH645" i="1"/>
  <c r="AW645" i="1"/>
  <c r="AI645" i="1"/>
  <c r="AS689" i="1"/>
  <c r="AF689" i="1" s="1"/>
  <c r="AG689" i="1"/>
  <c r="BF689" i="1"/>
  <c r="AH689" i="1" s="1"/>
  <c r="AI689" i="1"/>
  <c r="BF690" i="1"/>
  <c r="AH690" i="1"/>
  <c r="AI690" i="1"/>
  <c r="AF691" i="1"/>
  <c r="AG691" i="1"/>
  <c r="AH691" i="1"/>
  <c r="AI691" i="1"/>
  <c r="AF692" i="1"/>
  <c r="AG692" i="1"/>
  <c r="AH692" i="1"/>
  <c r="AI692" i="1"/>
  <c r="AG701" i="1"/>
  <c r="AI701" i="1"/>
  <c r="AG703" i="1"/>
  <c r="AI703" i="1"/>
  <c r="AF772" i="1"/>
  <c r="AG772" i="1"/>
  <c r="AH772" i="1"/>
  <c r="AI772" i="1"/>
  <c r="AF773" i="1"/>
  <c r="AG773" i="1"/>
  <c r="AH773" i="1"/>
  <c r="AI773" i="1"/>
  <c r="AF774" i="1"/>
  <c r="AG774" i="1"/>
  <c r="AH774" i="1"/>
  <c r="AI774" i="1"/>
  <c r="AF775" i="1"/>
  <c r="AG775" i="1"/>
  <c r="AH775" i="1"/>
  <c r="AI775" i="1"/>
  <c r="AF776" i="1"/>
  <c r="AG776" i="1"/>
  <c r="AH776" i="1"/>
  <c r="AI776" i="1"/>
  <c r="AF777" i="1"/>
  <c r="AG777" i="1"/>
  <c r="AH777" i="1"/>
  <c r="AI777" i="1"/>
  <c r="AF778" i="1"/>
  <c r="AG778" i="1"/>
  <c r="AH778" i="1"/>
  <c r="AI778" i="1"/>
  <c r="AF779" i="1"/>
  <c r="AG779" i="1"/>
  <c r="AH779" i="1"/>
  <c r="AI779" i="1"/>
  <c r="AF780" i="1"/>
  <c r="AG780" i="1"/>
  <c r="AH780" i="1"/>
  <c r="AI780" i="1"/>
  <c r="AF781" i="1"/>
  <c r="AG781" i="1"/>
  <c r="AH781" i="1"/>
  <c r="AI781" i="1"/>
  <c r="AF782" i="1"/>
  <c r="AG782" i="1"/>
  <c r="AF783" i="1"/>
  <c r="AG783" i="1"/>
  <c r="AF784" i="1"/>
  <c r="AG784" i="1"/>
  <c r="AF785" i="1"/>
  <c r="AG785" i="1"/>
  <c r="AF786" i="1"/>
  <c r="AG786" i="1"/>
  <c r="AF787" i="1"/>
  <c r="AG787" i="1"/>
  <c r="AH787" i="1"/>
  <c r="AI787" i="1"/>
  <c r="AF788" i="1"/>
  <c r="AG788" i="1"/>
  <c r="BF788" i="1"/>
  <c r="AH788" i="1"/>
  <c r="AI788" i="1"/>
  <c r="AF789" i="1"/>
  <c r="AG789" i="1"/>
  <c r="AW789" i="1"/>
  <c r="BF789" i="1"/>
  <c r="AH789" i="1"/>
  <c r="AY789" i="1"/>
  <c r="AF790" i="1"/>
  <c r="AG790" i="1"/>
  <c r="AW790" i="1"/>
  <c r="BF790" i="1" s="1"/>
  <c r="AH790" i="1" s="1"/>
  <c r="AY790" i="1"/>
  <c r="AS791" i="1"/>
  <c r="AF791" i="1" s="1"/>
  <c r="AG791" i="1"/>
  <c r="AS792" i="1"/>
  <c r="AF792" i="1"/>
  <c r="AG792" i="1"/>
  <c r="AS793" i="1"/>
  <c r="AF793" i="1"/>
  <c r="AG793" i="1"/>
  <c r="AF794" i="1"/>
  <c r="AG794" i="1"/>
  <c r="AF795" i="1"/>
  <c r="AG795" i="1"/>
  <c r="AF796" i="1"/>
  <c r="AG796" i="1"/>
  <c r="AF925" i="1"/>
  <c r="AH925" i="1"/>
  <c r="AI925" i="1"/>
  <c r="AF926" i="1"/>
  <c r="AH926" i="1"/>
  <c r="AI926" i="1"/>
  <c r="AF1017" i="1"/>
  <c r="AG1017" i="1"/>
  <c r="AH1017" i="1"/>
  <c r="AI1017" i="1"/>
  <c r="AF1018" i="1"/>
  <c r="AG1018" i="1"/>
  <c r="AH1018" i="1"/>
  <c r="AI1018" i="1"/>
  <c r="AF1019" i="1"/>
  <c r="AG1019" i="1"/>
  <c r="AH1019" i="1"/>
  <c r="AI1019" i="1"/>
  <c r="AF1020" i="1"/>
  <c r="AG1020" i="1"/>
  <c r="AH1020" i="1"/>
  <c r="AI1020" i="1"/>
  <c r="AF1021" i="1"/>
  <c r="AG1021" i="1"/>
  <c r="AH1021" i="1"/>
  <c r="AI1021" i="1"/>
  <c r="AF1035" i="1"/>
  <c r="AG1035" i="1"/>
  <c r="AF1036" i="1"/>
  <c r="AG1036" i="1"/>
  <c r="AF1037" i="1"/>
  <c r="AG1037" i="1"/>
  <c r="AF1038" i="1"/>
  <c r="AG1038" i="1"/>
  <c r="AF1039" i="1"/>
  <c r="AG1039" i="1"/>
  <c r="AF1040" i="1"/>
  <c r="AG1040" i="1"/>
  <c r="AF1041" i="1"/>
  <c r="AG1041" i="1"/>
  <c r="AF1042" i="1"/>
  <c r="AG1042" i="1"/>
  <c r="AF1043" i="1"/>
  <c r="AG1043" i="1"/>
  <c r="AF1044" i="1"/>
  <c r="AG1044" i="1"/>
  <c r="AF1045" i="1"/>
  <c r="AG1045" i="1"/>
  <c r="AF1046" i="1"/>
  <c r="AG1046" i="1"/>
  <c r="AF1047" i="1"/>
  <c r="AG1047" i="1"/>
  <c r="AF1082" i="1"/>
  <c r="AG1082" i="1"/>
  <c r="BF1082" i="1"/>
  <c r="AH1082" i="1"/>
  <c r="AI1082" i="1"/>
  <c r="AF1083" i="1"/>
  <c r="AG1083" i="1"/>
  <c r="BF1083" i="1"/>
  <c r="AH1083" i="1" s="1"/>
  <c r="AI1083" i="1"/>
  <c r="AF1084" i="1"/>
  <c r="AG1084" i="1"/>
  <c r="BF1084" i="1"/>
  <c r="AH1084" i="1"/>
  <c r="AI1084" i="1"/>
  <c r="AF1085" i="1"/>
  <c r="AG1085" i="1"/>
  <c r="BF1085" i="1"/>
  <c r="AH1085" i="1" s="1"/>
  <c r="AI1085" i="1"/>
  <c r="AF1086" i="1"/>
  <c r="AG1086" i="1"/>
  <c r="BF1086" i="1"/>
  <c r="AH1086" i="1"/>
  <c r="AI1086" i="1"/>
  <c r="AF1087" i="1"/>
  <c r="AG1087" i="1"/>
  <c r="BF1087" i="1"/>
  <c r="AH1087" i="1" s="1"/>
  <c r="AI1087" i="1"/>
  <c r="AF1088" i="1"/>
  <c r="AG1088" i="1"/>
  <c r="BF1088" i="1"/>
  <c r="AH1088" i="1"/>
  <c r="AI1088" i="1"/>
  <c r="AF1089" i="1"/>
  <c r="AG1089" i="1"/>
  <c r="BF1089" i="1"/>
  <c r="AH1089" i="1" s="1"/>
  <c r="AI1089" i="1"/>
  <c r="AF1090" i="1"/>
  <c r="AG1090" i="1"/>
  <c r="BF1090" i="1"/>
  <c r="AH1090" i="1"/>
  <c r="AI1090" i="1"/>
  <c r="AF1091" i="1"/>
  <c r="AG1091" i="1"/>
  <c r="BF1091" i="1"/>
  <c r="AH1091" i="1" s="1"/>
  <c r="AI1091" i="1"/>
  <c r="AF1092" i="1"/>
  <c r="AG1092" i="1"/>
  <c r="BF1092" i="1"/>
  <c r="AH1092" i="1"/>
  <c r="AI1092" i="1"/>
  <c r="AF1093" i="1"/>
  <c r="AG1093" i="1"/>
  <c r="BF1093" i="1"/>
  <c r="AH1093" i="1" s="1"/>
  <c r="AI1093" i="1"/>
  <c r="AF1094" i="1"/>
  <c r="AG1094" i="1"/>
  <c r="BF1094" i="1"/>
  <c r="AH1094" i="1"/>
  <c r="AI1094" i="1"/>
  <c r="AF1095" i="1"/>
  <c r="AG1095" i="1"/>
  <c r="BF1095" i="1"/>
  <c r="AH1095" i="1" s="1"/>
  <c r="AI1095" i="1"/>
  <c r="AF1096" i="1"/>
  <c r="AG1096" i="1"/>
  <c r="BF1096" i="1"/>
  <c r="AH1096" i="1"/>
  <c r="AI1096" i="1"/>
  <c r="AF1097" i="1"/>
  <c r="AG1097" i="1"/>
  <c r="BF1097" i="1"/>
  <c r="AH1097" i="1" s="1"/>
  <c r="AI1097" i="1"/>
  <c r="AF1098" i="1"/>
  <c r="AG1098" i="1"/>
  <c r="BF1098" i="1"/>
  <c r="AH1098" i="1"/>
  <c r="AI1098" i="1"/>
  <c r="AF1099" i="1"/>
  <c r="AG1099" i="1"/>
  <c r="BF1099" i="1"/>
  <c r="AH1099" i="1" s="1"/>
  <c r="AI1099" i="1"/>
  <c r="AF1100" i="1"/>
  <c r="AG1100" i="1"/>
  <c r="BF1100" i="1"/>
  <c r="AH1100" i="1"/>
  <c r="AI1100" i="1"/>
  <c r="AF1101" i="1"/>
  <c r="AG1101" i="1"/>
  <c r="BF1101" i="1"/>
  <c r="AH1101" i="1" s="1"/>
  <c r="AI1101" i="1"/>
  <c r="AF1102" i="1"/>
  <c r="AG1102" i="1"/>
  <c r="BF1102" i="1"/>
  <c r="AH1102" i="1"/>
  <c r="AI1102" i="1"/>
  <c r="AF1103" i="1"/>
  <c r="AG1103" i="1"/>
  <c r="BF1103" i="1"/>
  <c r="AH1103" i="1" s="1"/>
  <c r="AI1103" i="1"/>
  <c r="AF1104" i="1"/>
  <c r="AG1104" i="1"/>
  <c r="BF1104" i="1"/>
  <c r="AH1104" i="1"/>
  <c r="AI1104" i="1"/>
  <c r="AF1105" i="1"/>
  <c r="AG1105" i="1"/>
  <c r="BF1105" i="1"/>
  <c r="AH1105" i="1" s="1"/>
  <c r="AI1105" i="1"/>
  <c r="AF1106" i="1"/>
  <c r="AG1106" i="1"/>
  <c r="BF1106" i="1"/>
  <c r="AH1106" i="1"/>
  <c r="AI1106" i="1"/>
  <c r="AF1107" i="1"/>
  <c r="AG1107" i="1"/>
  <c r="BF1107" i="1"/>
  <c r="AH1107" i="1" s="1"/>
  <c r="AI1107" i="1"/>
  <c r="AF1108" i="1"/>
  <c r="AG1108" i="1"/>
  <c r="BF1108" i="1"/>
  <c r="AH1108" i="1"/>
  <c r="AI1108" i="1"/>
  <c r="AF1109" i="1"/>
  <c r="AG1109" i="1"/>
  <c r="BF1109" i="1"/>
  <c r="AH1109" i="1" s="1"/>
  <c r="AI1109" i="1"/>
  <c r="AF1110" i="1"/>
  <c r="AG1110" i="1"/>
  <c r="BF1110" i="1"/>
  <c r="AH1110" i="1"/>
  <c r="AI1110" i="1"/>
  <c r="AF1111" i="1"/>
  <c r="AG1111" i="1"/>
  <c r="BF1111" i="1"/>
  <c r="AH1111" i="1" s="1"/>
  <c r="AI1111" i="1"/>
  <c r="AF1112" i="1"/>
  <c r="AG1112" i="1"/>
  <c r="BF1112" i="1"/>
  <c r="AH1112" i="1"/>
  <c r="AI1112" i="1"/>
  <c r="AF1113" i="1"/>
  <c r="AG1113" i="1"/>
  <c r="BF1113" i="1"/>
  <c r="AH1113" i="1" s="1"/>
  <c r="AI1113" i="1"/>
  <c r="AF1114" i="1"/>
  <c r="AG1114" i="1"/>
  <c r="BF1114" i="1"/>
  <c r="AH1114" i="1"/>
  <c r="AI1114" i="1"/>
  <c r="AF1115" i="1"/>
  <c r="AG1115" i="1"/>
  <c r="BF1115" i="1"/>
  <c r="AH1115" i="1" s="1"/>
  <c r="AI1115" i="1"/>
  <c r="AF1116" i="1"/>
  <c r="AG1116" i="1"/>
  <c r="BF1116" i="1"/>
  <c r="AH1116" i="1"/>
  <c r="AI1116" i="1"/>
  <c r="AF1117" i="1"/>
  <c r="AG1117" i="1"/>
  <c r="BF1117" i="1"/>
  <c r="AH1117" i="1" s="1"/>
  <c r="AI1117" i="1"/>
  <c r="AF1118" i="1"/>
  <c r="AG1118" i="1"/>
  <c r="BF1118" i="1"/>
  <c r="AH1118" i="1"/>
  <c r="AI1118" i="1"/>
  <c r="AF1119" i="1"/>
  <c r="AG1119" i="1"/>
  <c r="BF1119" i="1"/>
  <c r="AH1119" i="1" s="1"/>
  <c r="AI1119" i="1"/>
  <c r="AF1120" i="1"/>
  <c r="AG1120" i="1"/>
  <c r="BF1120" i="1"/>
  <c r="AH1120" i="1"/>
  <c r="AI1120" i="1"/>
  <c r="AF1121" i="1"/>
  <c r="AG1121" i="1"/>
  <c r="BF1121" i="1"/>
  <c r="AH1121" i="1" s="1"/>
  <c r="AI1121" i="1"/>
  <c r="AF1122" i="1"/>
  <c r="AG1122" i="1"/>
  <c r="BF1122" i="1"/>
  <c r="AH1122" i="1"/>
  <c r="AI1122" i="1"/>
  <c r="AF1123" i="1"/>
  <c r="AG1123" i="1"/>
  <c r="BF1123" i="1"/>
  <c r="AH1123" i="1" s="1"/>
  <c r="AI1123" i="1"/>
  <c r="AF1124" i="1"/>
  <c r="AG1124" i="1"/>
  <c r="BF1124" i="1"/>
  <c r="AH1124" i="1"/>
  <c r="AI1124" i="1"/>
  <c r="AF1125" i="1"/>
  <c r="AG1125" i="1"/>
  <c r="BF1125" i="1"/>
  <c r="AH1125" i="1" s="1"/>
  <c r="AI1125" i="1"/>
  <c r="AF1126" i="1"/>
  <c r="AG1126" i="1"/>
  <c r="BF1126" i="1"/>
  <c r="AH1126" i="1"/>
  <c r="AI1126" i="1"/>
  <c r="AF1127" i="1"/>
  <c r="AG1127" i="1"/>
  <c r="BF1127" i="1"/>
  <c r="AH1127" i="1" s="1"/>
  <c r="AI1127" i="1"/>
  <c r="AF1128" i="1"/>
  <c r="AG1128" i="1"/>
  <c r="BF1128" i="1"/>
  <c r="AH1128" i="1"/>
  <c r="AI1128" i="1"/>
  <c r="AF1129" i="1"/>
  <c r="AG1129" i="1"/>
  <c r="BF1129" i="1"/>
  <c r="AH1129" i="1" s="1"/>
  <c r="AI1129" i="1"/>
  <c r="AF1130" i="1"/>
  <c r="AG1130" i="1"/>
  <c r="BF1130" i="1"/>
  <c r="AH1130" i="1"/>
  <c r="AI1130" i="1"/>
  <c r="AF1131" i="1"/>
  <c r="AG1131" i="1"/>
  <c r="BF1131" i="1"/>
  <c r="AH1131" i="1" s="1"/>
  <c r="AI1131" i="1"/>
  <c r="AF1132" i="1"/>
  <c r="AG1132" i="1"/>
  <c r="BF1132" i="1"/>
  <c r="AH1132" i="1"/>
  <c r="AI1132" i="1"/>
  <c r="AF1133" i="1"/>
  <c r="AG1133" i="1"/>
  <c r="BF1133" i="1"/>
  <c r="AH1133" i="1" s="1"/>
  <c r="AI1133" i="1"/>
  <c r="AF1134" i="1"/>
  <c r="AG1134" i="1"/>
  <c r="BF1134" i="1"/>
  <c r="AH1134" i="1"/>
  <c r="AI1134" i="1"/>
  <c r="AF1135" i="1"/>
  <c r="AG1135" i="1"/>
  <c r="BF1135" i="1"/>
  <c r="AH1135" i="1" s="1"/>
  <c r="AI1135" i="1"/>
  <c r="AF1136" i="1"/>
  <c r="AG1136" i="1"/>
  <c r="BF1136" i="1"/>
  <c r="AH1136" i="1"/>
  <c r="AI1136" i="1"/>
  <c r="AF1137" i="1"/>
  <c r="AG1137" i="1"/>
  <c r="BF1137" i="1"/>
  <c r="AH1137" i="1" s="1"/>
  <c r="AI1137" i="1"/>
  <c r="AF1138" i="1"/>
  <c r="AG1138" i="1"/>
  <c r="BF1138" i="1"/>
  <c r="AH1138" i="1"/>
  <c r="AI1138" i="1"/>
  <c r="AF1139" i="1"/>
  <c r="AG1139" i="1"/>
  <c r="BF1139" i="1"/>
  <c r="AH1139" i="1" s="1"/>
  <c r="AI1139" i="1"/>
  <c r="AF1140" i="1"/>
  <c r="AG1140" i="1"/>
  <c r="BF1140" i="1"/>
  <c r="AH1140" i="1"/>
  <c r="AI1140" i="1"/>
  <c r="AF1141" i="1"/>
  <c r="AG1141" i="1"/>
  <c r="BF1141" i="1"/>
  <c r="AH1141" i="1" s="1"/>
  <c r="AI1141" i="1"/>
  <c r="AF1142" i="1"/>
  <c r="AG1142" i="1"/>
  <c r="BF1142" i="1"/>
  <c r="AH1142" i="1"/>
  <c r="AI1142" i="1"/>
  <c r="AF1143" i="1"/>
  <c r="AG1143" i="1"/>
  <c r="BF1143" i="1"/>
  <c r="AH1143" i="1" s="1"/>
  <c r="AI1143" i="1"/>
  <c r="AF1144" i="1"/>
  <c r="AG1144" i="1"/>
  <c r="BF1144" i="1"/>
  <c r="AH1144" i="1"/>
  <c r="AI1144" i="1"/>
  <c r="AF1145" i="1"/>
  <c r="AG1145" i="1"/>
  <c r="BF1145" i="1"/>
  <c r="AH1145" i="1" s="1"/>
  <c r="AI1145" i="1"/>
  <c r="AF1146" i="1"/>
  <c r="AG1146" i="1"/>
  <c r="BF1146" i="1"/>
  <c r="AH1146" i="1"/>
  <c r="AI1146" i="1"/>
  <c r="AF1147" i="1"/>
  <c r="AG1147" i="1"/>
  <c r="BF1147" i="1"/>
  <c r="AH1147" i="1" s="1"/>
  <c r="AI1147" i="1"/>
  <c r="AF1148" i="1"/>
  <c r="AG1148" i="1"/>
  <c r="BF1148" i="1"/>
  <c r="AH1148" i="1"/>
  <c r="AI1148" i="1"/>
  <c r="AF1149" i="1"/>
  <c r="AG1149" i="1"/>
  <c r="BF1149" i="1"/>
  <c r="AH1149" i="1" s="1"/>
  <c r="AI1149" i="1"/>
  <c r="AF1150" i="1"/>
  <c r="AG1150" i="1"/>
  <c r="BF1150" i="1"/>
  <c r="AH1150" i="1"/>
  <c r="AI1150" i="1"/>
  <c r="AF1151" i="1"/>
  <c r="AG1151" i="1"/>
  <c r="BF1151" i="1"/>
  <c r="AH1151" i="1" s="1"/>
  <c r="AI1151" i="1"/>
  <c r="AF1152" i="1"/>
  <c r="AG1152" i="1"/>
  <c r="BF1152" i="1"/>
  <c r="AH1152" i="1"/>
  <c r="AI1152" i="1"/>
  <c r="AF1153" i="1"/>
  <c r="AG1153" i="1"/>
  <c r="BF1153" i="1"/>
  <c r="AH1153" i="1" s="1"/>
  <c r="AI1153" i="1"/>
  <c r="AF1154" i="1"/>
  <c r="AG1154" i="1"/>
  <c r="BF1154" i="1"/>
  <c r="AH1154" i="1"/>
  <c r="AI1154" i="1"/>
  <c r="AF1155" i="1"/>
  <c r="AG1155" i="1"/>
  <c r="BF1155" i="1"/>
  <c r="AH1155" i="1" s="1"/>
  <c r="AI1155" i="1"/>
  <c r="AF1156" i="1"/>
  <c r="AG1156" i="1"/>
  <c r="BF1156" i="1"/>
  <c r="AH1156" i="1"/>
  <c r="AI1156" i="1"/>
  <c r="AF1157" i="1"/>
  <c r="AG1157" i="1"/>
  <c r="BF1157" i="1"/>
  <c r="AH1157" i="1" s="1"/>
  <c r="AI1157" i="1"/>
  <c r="AF1158" i="1"/>
  <c r="AG1158" i="1"/>
  <c r="BF1158" i="1"/>
  <c r="AH1158" i="1"/>
  <c r="AI1158" i="1"/>
  <c r="AF1159" i="1"/>
  <c r="AG1159" i="1"/>
  <c r="BF1159" i="1"/>
  <c r="AH1159" i="1" s="1"/>
  <c r="AI1159" i="1"/>
  <c r="AF1160" i="1"/>
  <c r="AG1160" i="1"/>
  <c r="BF1160" i="1"/>
  <c r="AH1160" i="1"/>
  <c r="AI1160" i="1"/>
  <c r="AF1161" i="1"/>
  <c r="AG1161" i="1"/>
  <c r="BF1161" i="1"/>
  <c r="AH1161" i="1" s="1"/>
  <c r="AI1161" i="1"/>
  <c r="AF1162" i="1"/>
  <c r="AG1162" i="1"/>
  <c r="BF1162" i="1"/>
  <c r="AH1162" i="1"/>
  <c r="AI1162" i="1"/>
  <c r="AF1163" i="1"/>
  <c r="AG1163" i="1"/>
  <c r="BF1163" i="1"/>
  <c r="AH1163" i="1" s="1"/>
  <c r="AI1163" i="1"/>
  <c r="AF1164" i="1"/>
  <c r="AG1164" i="1"/>
  <c r="BF1164" i="1"/>
  <c r="AH1164" i="1"/>
  <c r="AI1164" i="1"/>
  <c r="AF1165" i="1"/>
  <c r="AG1165" i="1"/>
  <c r="BF1165" i="1"/>
  <c r="AH1165" i="1" s="1"/>
  <c r="AI1165" i="1"/>
  <c r="AF1166" i="1"/>
  <c r="AG1166" i="1"/>
  <c r="BF1166" i="1"/>
  <c r="AH1166" i="1"/>
  <c r="AI1166" i="1"/>
  <c r="AF1167" i="1"/>
  <c r="AG1167" i="1"/>
  <c r="BF1167" i="1"/>
  <c r="AH1167" i="1" s="1"/>
  <c r="AI1167" i="1"/>
  <c r="AF1168" i="1"/>
  <c r="AG1168" i="1"/>
  <c r="BF1168" i="1"/>
  <c r="AH1168" i="1"/>
  <c r="AI1168" i="1"/>
  <c r="AF1169" i="1"/>
  <c r="AG1169" i="1"/>
  <c r="BF1169" i="1"/>
  <c r="AH1169" i="1" s="1"/>
  <c r="AI1169" i="1"/>
  <c r="AF1170" i="1"/>
  <c r="AG1170" i="1"/>
  <c r="BF1170" i="1"/>
  <c r="AH1170" i="1"/>
  <c r="AI1170" i="1"/>
  <c r="AF1171" i="1"/>
  <c r="AG1171" i="1"/>
  <c r="BF1171" i="1"/>
  <c r="AH1171" i="1" s="1"/>
  <c r="AI1171" i="1"/>
  <c r="AF1172" i="1"/>
  <c r="AG1172" i="1"/>
  <c r="BF1172" i="1"/>
  <c r="AH1172" i="1"/>
  <c r="AI1172" i="1"/>
  <c r="AF1173" i="1"/>
  <c r="AG1173" i="1"/>
  <c r="BF1173" i="1"/>
  <c r="AH1173" i="1" s="1"/>
  <c r="AI1173" i="1"/>
  <c r="AF1174" i="1"/>
  <c r="AG1174" i="1"/>
  <c r="BF1174" i="1"/>
  <c r="AH1174" i="1"/>
  <c r="AI1174" i="1"/>
  <c r="AF1175" i="1"/>
  <c r="AG1175" i="1"/>
  <c r="BF1175" i="1"/>
  <c r="AH1175" i="1" s="1"/>
  <c r="AI1175" i="1"/>
  <c r="AF1176" i="1"/>
  <c r="AG1176" i="1"/>
  <c r="BF1176" i="1"/>
  <c r="AH1176" i="1"/>
  <c r="AI1176" i="1"/>
  <c r="AF1177" i="1"/>
  <c r="AG1177" i="1"/>
  <c r="BF1177" i="1"/>
  <c r="AH1177" i="1" s="1"/>
  <c r="AI1177" i="1"/>
  <c r="AF1178" i="1"/>
  <c r="AG1178" i="1"/>
  <c r="BF1178" i="1"/>
  <c r="AH1178" i="1"/>
  <c r="AI1178" i="1"/>
  <c r="AF1179" i="1"/>
  <c r="AG1179" i="1"/>
  <c r="BF1179" i="1"/>
  <c r="AH1179" i="1" s="1"/>
  <c r="AI1179" i="1"/>
  <c r="AF1184" i="1"/>
  <c r="AG1184" i="1"/>
  <c r="BF1184" i="1"/>
  <c r="AH1184" i="1"/>
  <c r="AI1184" i="1"/>
  <c r="AF1187" i="1"/>
  <c r="AG1187" i="1"/>
  <c r="BF1187" i="1"/>
  <c r="AH1187" i="1" s="1"/>
  <c r="AI1187" i="1"/>
  <c r="AF1188" i="1"/>
  <c r="AG1188" i="1"/>
  <c r="BF1188" i="1"/>
  <c r="AH1188" i="1"/>
  <c r="AI1188" i="1"/>
  <c r="AF1189" i="1"/>
  <c r="AG1189" i="1"/>
  <c r="BF1189" i="1"/>
  <c r="AH1189" i="1" s="1"/>
  <c r="AI1189" i="1"/>
  <c r="AF1190" i="1"/>
  <c r="AG1190" i="1"/>
  <c r="BF1190" i="1"/>
  <c r="AH1190" i="1"/>
  <c r="AI1190" i="1"/>
  <c r="AF1191" i="1"/>
  <c r="AG1191" i="1"/>
  <c r="BF1191" i="1"/>
  <c r="AH1191" i="1" s="1"/>
  <c r="AI1191" i="1"/>
  <c r="AF1192" i="1"/>
  <c r="AG1192" i="1"/>
  <c r="BF1192" i="1"/>
  <c r="AH1192" i="1"/>
  <c r="AI1192" i="1"/>
  <c r="AF1193" i="1"/>
  <c r="AG1193" i="1"/>
  <c r="BF1193" i="1"/>
  <c r="AH1193" i="1" s="1"/>
  <c r="AI1193" i="1"/>
  <c r="AF1194" i="1"/>
  <c r="AG1194" i="1"/>
  <c r="BF1194" i="1"/>
  <c r="AH1194" i="1"/>
  <c r="AI1194" i="1"/>
  <c r="AF1195" i="1"/>
  <c r="AG1195" i="1"/>
  <c r="BF1195" i="1"/>
  <c r="AH1195" i="1" s="1"/>
  <c r="AI1195" i="1"/>
  <c r="AF1196" i="1"/>
  <c r="AG1196" i="1"/>
  <c r="BF1196" i="1"/>
  <c r="AH1196" i="1"/>
  <c r="AI1196" i="1"/>
  <c r="AF1197" i="1"/>
  <c r="AG1197" i="1"/>
  <c r="BF1197" i="1"/>
  <c r="AH1197" i="1" s="1"/>
  <c r="AI1197" i="1"/>
  <c r="AF1198" i="1"/>
  <c r="AG1198" i="1"/>
  <c r="BF1198" i="1"/>
  <c r="AH1198" i="1"/>
  <c r="AI1198" i="1"/>
  <c r="AF1199" i="1"/>
  <c r="AG1199" i="1"/>
  <c r="BF1199" i="1"/>
  <c r="AH1199" i="1" s="1"/>
  <c r="AI1199" i="1"/>
  <c r="AF1200" i="1"/>
  <c r="AG1200" i="1"/>
  <c r="BF1200" i="1"/>
  <c r="AH1200" i="1"/>
  <c r="AI1200" i="1"/>
  <c r="AF1201" i="1"/>
  <c r="AG1201" i="1"/>
  <c r="BF1201" i="1"/>
  <c r="AH1201" i="1" s="1"/>
  <c r="AI1201" i="1"/>
  <c r="AF1202" i="1"/>
  <c r="AG1202" i="1"/>
  <c r="BF1202" i="1"/>
  <c r="AH1202" i="1"/>
  <c r="AI1202" i="1"/>
  <c r="AF1203" i="1"/>
  <c r="AG1203" i="1"/>
  <c r="BF1203" i="1"/>
  <c r="AH1203" i="1" s="1"/>
  <c r="AI1203" i="1"/>
  <c r="AF1204" i="1"/>
  <c r="AG1204" i="1"/>
  <c r="BF1204" i="1"/>
  <c r="AH1204" i="1"/>
  <c r="AI1204" i="1"/>
  <c r="AF1205" i="1"/>
  <c r="AG1205" i="1"/>
  <c r="BF1205" i="1"/>
  <c r="AH1205" i="1" s="1"/>
  <c r="AI1205" i="1"/>
  <c r="AF1206" i="1"/>
  <c r="AG1206" i="1"/>
  <c r="BF1206" i="1"/>
  <c r="AH1206" i="1"/>
  <c r="AI1206" i="1"/>
  <c r="AF1207" i="1"/>
  <c r="AG1207" i="1"/>
  <c r="BF1207" i="1"/>
  <c r="AH1207" i="1" s="1"/>
  <c r="AI1207" i="1"/>
  <c r="AF1208" i="1"/>
  <c r="AG1208" i="1"/>
  <c r="BF1208" i="1"/>
  <c r="AH1208" i="1"/>
  <c r="AI1208" i="1"/>
  <c r="AF1209" i="1"/>
  <c r="AG1209" i="1"/>
  <c r="BF1209" i="1"/>
  <c r="AH1209" i="1" s="1"/>
  <c r="AI1209" i="1"/>
  <c r="AF1210" i="1"/>
  <c r="AG1210" i="1"/>
  <c r="BF1210" i="1"/>
  <c r="AH1210" i="1"/>
  <c r="AI1210" i="1"/>
  <c r="AF1211" i="1"/>
  <c r="AG1211" i="1"/>
  <c r="BF1211" i="1"/>
  <c r="AH1211" i="1" s="1"/>
  <c r="AI1211" i="1"/>
  <c r="AF1212" i="1"/>
  <c r="AG1212" i="1"/>
  <c r="BF1212" i="1"/>
  <c r="AH1212" i="1"/>
  <c r="AI1212" i="1"/>
  <c r="AF1213" i="1"/>
  <c r="AG1213" i="1"/>
  <c r="BF1213" i="1"/>
  <c r="AH1213" i="1" s="1"/>
  <c r="AI1213" i="1"/>
  <c r="AF1214" i="1"/>
  <c r="AG1214" i="1"/>
  <c r="BF1214" i="1"/>
  <c r="AH1214" i="1"/>
  <c r="AI1214" i="1"/>
  <c r="AF1215" i="1"/>
  <c r="AG1215" i="1"/>
  <c r="BF1215" i="1"/>
  <c r="AH1215" i="1" s="1"/>
  <c r="AI1215" i="1"/>
  <c r="AF1216" i="1"/>
  <c r="AG1216" i="1"/>
  <c r="BF1216" i="1"/>
  <c r="AH1216" i="1"/>
  <c r="AI1216" i="1"/>
  <c r="AF1217" i="1"/>
  <c r="AG1217" i="1"/>
  <c r="BF1217" i="1"/>
  <c r="AH1217" i="1" s="1"/>
  <c r="AI1217" i="1"/>
  <c r="AF1218" i="1"/>
  <c r="AG1218" i="1"/>
  <c r="BF1218" i="1"/>
  <c r="AH1218" i="1"/>
  <c r="AI1218" i="1"/>
  <c r="AF1219" i="1"/>
  <c r="AG1219" i="1"/>
  <c r="BF1219" i="1"/>
  <c r="AH1219" i="1" s="1"/>
  <c r="AI1219" i="1"/>
  <c r="AF1220" i="1"/>
  <c r="AG1220" i="1"/>
  <c r="BF1220" i="1"/>
  <c r="AH1220" i="1"/>
  <c r="AI1220" i="1"/>
  <c r="AF1221" i="1"/>
  <c r="AG1221" i="1"/>
  <c r="BF1221" i="1"/>
  <c r="AH1221" i="1" s="1"/>
  <c r="AI1221" i="1"/>
  <c r="AF1238" i="1"/>
  <c r="AG1238" i="1"/>
  <c r="BF1238" i="1"/>
  <c r="AH1238" i="1"/>
  <c r="AI1238" i="1"/>
  <c r="AF1259" i="1"/>
  <c r="AG1259" i="1"/>
  <c r="BF1259" i="1"/>
  <c r="AH1259" i="1" s="1"/>
  <c r="AI1259" i="1"/>
  <c r="AF1260" i="1"/>
  <c r="AG1260" i="1"/>
  <c r="BF1260" i="1"/>
  <c r="AH1260" i="1"/>
  <c r="AI1260" i="1"/>
  <c r="AF1261" i="1"/>
  <c r="AG1261" i="1"/>
  <c r="BF1261" i="1"/>
  <c r="AH1261" i="1" s="1"/>
  <c r="AI1261" i="1"/>
  <c r="AF1644" i="1"/>
  <c r="AG1644" i="1"/>
  <c r="AF1645" i="1"/>
  <c r="AG1645" i="1"/>
  <c r="AF82" i="1"/>
  <c r="AG82" i="1"/>
  <c r="BF82" i="1"/>
  <c r="AH82" i="1"/>
  <c r="AI82" i="1"/>
  <c r="AF83" i="1"/>
  <c r="AG83" i="1"/>
  <c r="BF83" i="1"/>
  <c r="AH83" i="1" s="1"/>
  <c r="AI83" i="1"/>
  <c r="AF84" i="1"/>
  <c r="AG84" i="1"/>
  <c r="BF84" i="1"/>
  <c r="AH84" i="1"/>
  <c r="AI84" i="1"/>
  <c r="AF85" i="1"/>
  <c r="AG85" i="1"/>
  <c r="BF85" i="1"/>
  <c r="AH85" i="1" s="1"/>
  <c r="AI85" i="1"/>
  <c r="AF234" i="1"/>
  <c r="AG234" i="1"/>
  <c r="AH234" i="1"/>
  <c r="AI234" i="1"/>
  <c r="AF235" i="1"/>
  <c r="AG235" i="1"/>
  <c r="AH235" i="1"/>
  <c r="AI235" i="1"/>
  <c r="AF236" i="1"/>
  <c r="AH236" i="1"/>
  <c r="AF237" i="1"/>
  <c r="AH237" i="1"/>
  <c r="AF242" i="1"/>
  <c r="AG242" i="1"/>
  <c r="AH242" i="1"/>
  <c r="AI242" i="1"/>
  <c r="AF243" i="1"/>
  <c r="AG243" i="1"/>
  <c r="AH243" i="1"/>
  <c r="AI243" i="1"/>
  <c r="AF244" i="1"/>
  <c r="AG244" i="1"/>
  <c r="AH244" i="1"/>
  <c r="AI244" i="1"/>
  <c r="AF245" i="1"/>
  <c r="AG245" i="1"/>
  <c r="AH245" i="1"/>
  <c r="AI245" i="1"/>
  <c r="AF272" i="1"/>
  <c r="AG272" i="1"/>
  <c r="AH272" i="1"/>
  <c r="AI272" i="1"/>
  <c r="AF302" i="1"/>
  <c r="AG302" i="1"/>
  <c r="AH302" i="1"/>
  <c r="AI302" i="1"/>
  <c r="AF330" i="1"/>
  <c r="AG330" i="1"/>
  <c r="AH330" i="1"/>
  <c r="AI330" i="1"/>
  <c r="AF331" i="1"/>
  <c r="AG331" i="1"/>
  <c r="AH331" i="1"/>
  <c r="AI331" i="1"/>
  <c r="AF332" i="1"/>
  <c r="AG332" i="1"/>
  <c r="AH332" i="1"/>
  <c r="AI332" i="1"/>
  <c r="AF547" i="1"/>
  <c r="AG547" i="1"/>
  <c r="AH547" i="1"/>
  <c r="AI547" i="1"/>
  <c r="AF548" i="1"/>
  <c r="AG548" i="1"/>
  <c r="AH548" i="1"/>
  <c r="AI548" i="1"/>
  <c r="AF552" i="1"/>
  <c r="AG552" i="1"/>
  <c r="AH552" i="1"/>
  <c r="AI552" i="1"/>
  <c r="AF553" i="1"/>
  <c r="AG553" i="1"/>
  <c r="AH553" i="1"/>
  <c r="AI553" i="1"/>
  <c r="AF554" i="1"/>
  <c r="AG554" i="1"/>
  <c r="AH554" i="1"/>
  <c r="AI554" i="1"/>
  <c r="AF555" i="1"/>
  <c r="AG555" i="1"/>
  <c r="AH555" i="1"/>
  <c r="AI555" i="1"/>
  <c r="AF556" i="1"/>
  <c r="AG556" i="1"/>
  <c r="AH556" i="1"/>
  <c r="AI556" i="1"/>
  <c r="AF557" i="1"/>
  <c r="AG557" i="1"/>
  <c r="AH557" i="1"/>
  <c r="AI557" i="1"/>
  <c r="AF558" i="1"/>
  <c r="AG558" i="1"/>
  <c r="AF560" i="1"/>
  <c r="AG560" i="1"/>
  <c r="AH560" i="1"/>
  <c r="AI560" i="1"/>
  <c r="AF571" i="1"/>
  <c r="AG571" i="1"/>
  <c r="AH571" i="1"/>
  <c r="AI571" i="1"/>
  <c r="AF572" i="1"/>
  <c r="AG572" i="1"/>
  <c r="AH572" i="1"/>
  <c r="AI572" i="1"/>
  <c r="AF573" i="1"/>
  <c r="AG573" i="1"/>
  <c r="AH573" i="1"/>
  <c r="AI573" i="1"/>
  <c r="AF574" i="1"/>
  <c r="AG574" i="1"/>
  <c r="AH574" i="1"/>
  <c r="AI574" i="1"/>
  <c r="AF575" i="1"/>
  <c r="AG575" i="1"/>
  <c r="AH575" i="1"/>
  <c r="AI575" i="1"/>
  <c r="AF578" i="1"/>
  <c r="AG578" i="1"/>
  <c r="AH578" i="1"/>
  <c r="AI578" i="1"/>
  <c r="AF579" i="1"/>
  <c r="AG579" i="1"/>
  <c r="AH579" i="1"/>
  <c r="AI579" i="1"/>
  <c r="AF580" i="1"/>
  <c r="AG580" i="1"/>
  <c r="AI580" i="1"/>
  <c r="AF581" i="1"/>
  <c r="AG581" i="1"/>
  <c r="AI581" i="1"/>
  <c r="AF582" i="1"/>
  <c r="AG582" i="1"/>
  <c r="AF583" i="1"/>
  <c r="AG583" i="1"/>
  <c r="AF584" i="1"/>
  <c r="AG584" i="1"/>
  <c r="AF585" i="1"/>
  <c r="AG585" i="1"/>
  <c r="AF586" i="1"/>
  <c r="AG586" i="1"/>
  <c r="AF587" i="1"/>
  <c r="AG587" i="1"/>
  <c r="AF602" i="1"/>
  <c r="AG602" i="1"/>
  <c r="AH602" i="1"/>
  <c r="AI602" i="1"/>
  <c r="AF603" i="1"/>
  <c r="AG603" i="1"/>
  <c r="AH603" i="1"/>
  <c r="AI603" i="1"/>
  <c r="AF625" i="1"/>
  <c r="AG625" i="1"/>
  <c r="AH625" i="1"/>
  <c r="AI625" i="1"/>
  <c r="AF636" i="1"/>
  <c r="AG636" i="1"/>
  <c r="AH636" i="1"/>
  <c r="AI636" i="1"/>
  <c r="AF644" i="1"/>
  <c r="AG644" i="1"/>
  <c r="BF644" i="1"/>
  <c r="AH644" i="1"/>
  <c r="AI644" i="1"/>
  <c r="AF808" i="1"/>
  <c r="AG808" i="1"/>
  <c r="AH808" i="1"/>
  <c r="AI808" i="1"/>
  <c r="AF849" i="1"/>
  <c r="AG849" i="1"/>
  <c r="AH849" i="1"/>
  <c r="AI849" i="1"/>
  <c r="AF850" i="1"/>
  <c r="AG850" i="1"/>
  <c r="AH850" i="1"/>
  <c r="AI850" i="1"/>
  <c r="AF853" i="1"/>
  <c r="AH853" i="1"/>
  <c r="AF854" i="1"/>
  <c r="AH854" i="1"/>
  <c r="AF882" i="1"/>
  <c r="AG882" i="1"/>
  <c r="AH882" i="1"/>
  <c r="AI882" i="1"/>
  <c r="AF883" i="1"/>
  <c r="AG883" i="1"/>
  <c r="AH883" i="1"/>
  <c r="AI883" i="1"/>
  <c r="AF884" i="1"/>
  <c r="AG884" i="1"/>
  <c r="AH884" i="1"/>
  <c r="AI884" i="1"/>
  <c r="AF898" i="1"/>
  <c r="AG898" i="1"/>
  <c r="AH898" i="1"/>
  <c r="AI898" i="1"/>
  <c r="AF899" i="1"/>
  <c r="AG899" i="1"/>
  <c r="AH899" i="1"/>
  <c r="AI899" i="1"/>
  <c r="AF979" i="1"/>
  <c r="AG979" i="1"/>
  <c r="AH979" i="1"/>
  <c r="AI979" i="1"/>
  <c r="AF980" i="1"/>
  <c r="AG980" i="1"/>
  <c r="AH980" i="1"/>
  <c r="AI980" i="1"/>
  <c r="AF981" i="1"/>
  <c r="AG981" i="1"/>
  <c r="AH981" i="1"/>
  <c r="AI981" i="1"/>
  <c r="AF982" i="1"/>
  <c r="AG982" i="1"/>
  <c r="AH982" i="1"/>
  <c r="AI982" i="1"/>
  <c r="AF983" i="1"/>
  <c r="AG983" i="1"/>
  <c r="AH983" i="1"/>
  <c r="AI983" i="1"/>
  <c r="AF984" i="1"/>
  <c r="AG984" i="1"/>
  <c r="AH984" i="1"/>
  <c r="AI984" i="1"/>
  <c r="AF985" i="1"/>
  <c r="AG985" i="1"/>
  <c r="AH985" i="1"/>
  <c r="AI985" i="1"/>
  <c r="AF986" i="1"/>
  <c r="AG986" i="1"/>
  <c r="AH986" i="1"/>
  <c r="AI986" i="1"/>
  <c r="AF987" i="1"/>
  <c r="AG987" i="1"/>
  <c r="AH987" i="1"/>
  <c r="AI987" i="1"/>
  <c r="AF988" i="1"/>
  <c r="AG988" i="1"/>
  <c r="AH988" i="1"/>
  <c r="AI988" i="1"/>
  <c r="AF989" i="1"/>
  <c r="AG989" i="1"/>
  <c r="AH989" i="1"/>
  <c r="AI989" i="1"/>
  <c r="AF990" i="1"/>
  <c r="AG990" i="1"/>
  <c r="AH990" i="1"/>
  <c r="AI990" i="1"/>
  <c r="AF991" i="1"/>
  <c r="AG991" i="1"/>
  <c r="AH991" i="1"/>
  <c r="AI991" i="1"/>
  <c r="AF992" i="1"/>
  <c r="AG992" i="1"/>
  <c r="AH992" i="1"/>
  <c r="AI992" i="1"/>
  <c r="AF993" i="1"/>
  <c r="AG993" i="1"/>
  <c r="AH993" i="1"/>
  <c r="AI993" i="1"/>
  <c r="AF994" i="1"/>
  <c r="AG994" i="1"/>
  <c r="AH994" i="1"/>
  <c r="AI994" i="1"/>
  <c r="AF995" i="1"/>
  <c r="AG995" i="1"/>
  <c r="AH995" i="1"/>
  <c r="AI995" i="1"/>
  <c r="AF996" i="1"/>
  <c r="AG996" i="1"/>
  <c r="AH996" i="1"/>
  <c r="AI996" i="1"/>
  <c r="AF997" i="1"/>
  <c r="AG997" i="1"/>
  <c r="AH997" i="1"/>
  <c r="AI997" i="1"/>
  <c r="AF998" i="1"/>
  <c r="AG998" i="1"/>
  <c r="AH998" i="1"/>
  <c r="AI998" i="1"/>
  <c r="AF999" i="1"/>
  <c r="AG999" i="1"/>
  <c r="AH999" i="1"/>
  <c r="AI999" i="1"/>
  <c r="AF1000" i="1"/>
  <c r="AG1000" i="1"/>
  <c r="AH1000" i="1"/>
  <c r="AI1000" i="1"/>
  <c r="AF1001" i="1"/>
  <c r="AG1001" i="1"/>
  <c r="AH1001" i="1"/>
  <c r="AI1001" i="1"/>
  <c r="AF1002" i="1"/>
  <c r="AG1002" i="1"/>
  <c r="AH1002" i="1"/>
  <c r="AI1002" i="1"/>
  <c r="AF1003" i="1"/>
  <c r="AG1003" i="1"/>
  <c r="AH1003" i="1"/>
  <c r="AI1003" i="1"/>
  <c r="AF1004" i="1"/>
  <c r="AG1004" i="1"/>
  <c r="AH1004" i="1"/>
  <c r="AI1004" i="1"/>
  <c r="AF1005" i="1"/>
  <c r="AG1005" i="1"/>
  <c r="AH1005" i="1"/>
  <c r="AI1005" i="1"/>
  <c r="AF1016" i="1"/>
  <c r="AG1016" i="1"/>
  <c r="AH1016" i="1"/>
  <c r="AI1016" i="1"/>
  <c r="AF1272" i="1"/>
  <c r="AG1272" i="1"/>
  <c r="BF1272" i="1"/>
  <c r="AH1272" i="1"/>
  <c r="AI1272" i="1"/>
  <c r="AF1307" i="1"/>
  <c r="AG1307" i="1"/>
  <c r="BF1307" i="1"/>
  <c r="AH1307" i="1" s="1"/>
  <c r="AI1307" i="1"/>
  <c r="AS1368" i="1"/>
  <c r="AF1368" i="1"/>
  <c r="AG1368" i="1"/>
  <c r="BF1368" i="1"/>
  <c r="AH1368" i="1" s="1"/>
  <c r="AI1368" i="1"/>
  <c r="AS1369" i="1"/>
  <c r="AF1369" i="1"/>
  <c r="AG1369" i="1"/>
  <c r="BF1369" i="1"/>
  <c r="AH1369" i="1" s="1"/>
  <c r="AI1369" i="1"/>
  <c r="AS1370" i="1"/>
  <c r="AF1370" i="1"/>
  <c r="AG1370" i="1"/>
  <c r="BF1370" i="1"/>
  <c r="AH1370" i="1" s="1"/>
  <c r="AI1370" i="1"/>
  <c r="AF1375" i="1"/>
  <c r="AG1375" i="1"/>
  <c r="AF1474" i="1"/>
  <c r="AG1474" i="1"/>
  <c r="BF1474" i="1"/>
  <c r="AH1474" i="1"/>
  <c r="AI1474" i="1"/>
  <c r="AF1475" i="1"/>
  <c r="AG1475" i="1"/>
  <c r="BF1475" i="1"/>
  <c r="AH1475" i="1" s="1"/>
  <c r="AI1475" i="1"/>
  <c r="AF1476" i="1"/>
  <c r="AG1476" i="1"/>
  <c r="BF1476" i="1"/>
  <c r="AH1476" i="1"/>
  <c r="AI1476" i="1"/>
  <c r="AS1481" i="1"/>
  <c r="AF1481" i="1" s="1"/>
  <c r="AG1481" i="1"/>
  <c r="AW1481" i="1"/>
  <c r="AX1481" i="1"/>
  <c r="AF1512" i="1"/>
  <c r="AG1512" i="1"/>
  <c r="BF1512" i="1"/>
  <c r="AH1512" i="1"/>
  <c r="AI1512" i="1"/>
  <c r="AS1543" i="1"/>
  <c r="AF1543" i="1" s="1"/>
  <c r="AG1543" i="1"/>
  <c r="BF1543" i="1"/>
  <c r="AH1543" i="1"/>
  <c r="AI1543" i="1"/>
  <c r="AS1544" i="1"/>
  <c r="AF1544" i="1" s="1"/>
  <c r="AG1544" i="1"/>
  <c r="BF1544" i="1"/>
  <c r="AH1544" i="1"/>
  <c r="AI1544" i="1"/>
  <c r="AS1546" i="1"/>
  <c r="AF1546" i="1" s="1"/>
  <c r="AG1546" i="1"/>
  <c r="BF1546" i="1"/>
  <c r="AH1546" i="1"/>
  <c r="AI1546" i="1"/>
  <c r="AF1553" i="1"/>
  <c r="AG1553" i="1"/>
  <c r="BF1553" i="1"/>
  <c r="AH1553" i="1" s="1"/>
  <c r="AI1553" i="1"/>
  <c r="AF1554" i="1"/>
  <c r="AG1554" i="1"/>
  <c r="BF1554" i="1"/>
  <c r="AH1554" i="1"/>
  <c r="AI1554" i="1"/>
  <c r="AS1604" i="1"/>
  <c r="AF1604" i="1" s="1"/>
  <c r="AG1604" i="1"/>
  <c r="BF1604" i="1"/>
  <c r="AH1604" i="1"/>
  <c r="AI1604" i="1"/>
  <c r="AS1605" i="1"/>
  <c r="AF1605" i="1" s="1"/>
  <c r="AG1605" i="1"/>
  <c r="BF1605" i="1"/>
  <c r="AH1605" i="1"/>
  <c r="AI1605" i="1"/>
  <c r="AS1606" i="1"/>
  <c r="AF1606" i="1" s="1"/>
  <c r="AG1606" i="1"/>
  <c r="BF1606" i="1"/>
  <c r="AH1606" i="1"/>
  <c r="AI1606" i="1"/>
  <c r="AF2" i="1"/>
  <c r="AG2" i="1"/>
  <c r="AF14" i="1"/>
  <c r="AG14" i="1"/>
  <c r="AH14" i="1"/>
  <c r="AI14" i="1"/>
  <c r="AF15" i="1"/>
  <c r="AG15" i="1"/>
  <c r="AI15" i="1"/>
  <c r="AF17" i="1"/>
  <c r="AG17" i="1"/>
  <c r="AH17" i="1"/>
  <c r="AI17" i="1"/>
  <c r="AF18" i="1"/>
  <c r="AG18" i="1"/>
  <c r="AH18" i="1"/>
  <c r="AI18" i="1"/>
  <c r="AF19" i="1"/>
  <c r="AG19" i="1"/>
  <c r="AH19" i="1"/>
  <c r="AI19" i="1"/>
  <c r="AF22" i="1"/>
  <c r="AG22" i="1"/>
  <c r="AH22" i="1"/>
  <c r="AI22" i="1"/>
  <c r="AF23" i="1"/>
  <c r="AG23" i="1"/>
  <c r="AH23" i="1"/>
  <c r="AI23" i="1"/>
  <c r="AF24" i="1"/>
  <c r="AG24" i="1"/>
  <c r="AH24" i="1"/>
  <c r="AI24" i="1"/>
  <c r="AF25" i="1"/>
  <c r="AG25" i="1"/>
  <c r="AH25" i="1"/>
  <c r="AI25" i="1"/>
  <c r="AF26" i="1"/>
  <c r="AG26" i="1"/>
  <c r="AH26" i="1"/>
  <c r="AI26" i="1"/>
  <c r="AF27" i="1"/>
  <c r="AG27" i="1"/>
  <c r="AH27" i="1"/>
  <c r="AI27" i="1"/>
  <c r="AF28" i="1"/>
  <c r="AG28" i="1"/>
  <c r="AH28" i="1"/>
  <c r="AI28" i="1"/>
  <c r="AF29" i="1"/>
  <c r="AG29" i="1"/>
  <c r="AH29" i="1"/>
  <c r="AI29" i="1"/>
  <c r="AF30" i="1"/>
  <c r="AG30" i="1"/>
  <c r="AH30" i="1"/>
  <c r="AI30" i="1"/>
  <c r="AF37" i="1"/>
  <c r="AG37" i="1"/>
  <c r="AH37" i="1"/>
  <c r="AI37" i="1"/>
  <c r="AF38" i="1"/>
  <c r="AG38" i="1"/>
  <c r="AH38" i="1"/>
  <c r="AI38" i="1"/>
  <c r="AF39" i="1"/>
  <c r="AG39" i="1"/>
  <c r="AH39" i="1"/>
  <c r="AI39" i="1"/>
  <c r="AF40" i="1"/>
  <c r="AG40" i="1"/>
  <c r="AH40" i="1"/>
  <c r="AI40" i="1"/>
  <c r="AF41" i="1"/>
  <c r="AG41" i="1"/>
  <c r="AH41" i="1"/>
  <c r="AF42" i="1"/>
  <c r="AG42" i="1"/>
  <c r="AH42" i="1"/>
  <c r="AW42" i="1"/>
  <c r="AF43" i="1"/>
  <c r="AG43" i="1"/>
  <c r="AH43" i="1"/>
  <c r="AI43" i="1"/>
  <c r="AF44" i="1"/>
  <c r="AG44" i="1"/>
  <c r="AH44" i="1"/>
  <c r="AI44" i="1"/>
  <c r="AF45" i="1"/>
  <c r="AG45" i="1"/>
  <c r="AH45" i="1"/>
  <c r="AI45" i="1"/>
  <c r="AF46" i="1"/>
  <c r="AG46" i="1"/>
  <c r="AH46" i="1"/>
  <c r="AI46" i="1"/>
  <c r="AF47" i="1"/>
  <c r="AG47" i="1"/>
  <c r="AH47" i="1"/>
  <c r="AI47" i="1"/>
  <c r="AF75" i="1"/>
  <c r="AG75" i="1"/>
  <c r="AH75" i="1"/>
  <c r="AI75" i="1"/>
  <c r="AF76" i="1"/>
  <c r="AG76" i="1"/>
  <c r="AH76" i="1"/>
  <c r="AI76" i="1"/>
  <c r="AF77" i="1"/>
  <c r="AG77" i="1"/>
  <c r="AH77" i="1"/>
  <c r="AI77" i="1"/>
  <c r="AF78" i="1"/>
  <c r="AG78" i="1"/>
  <c r="AH78" i="1"/>
  <c r="AI78" i="1"/>
  <c r="AF79" i="1"/>
  <c r="AG79" i="1"/>
  <c r="AH79" i="1"/>
  <c r="AI79" i="1"/>
  <c r="AF80" i="1"/>
  <c r="AG80" i="1"/>
  <c r="AH80" i="1"/>
  <c r="AI80" i="1"/>
  <c r="AF81" i="1"/>
  <c r="AG81" i="1"/>
  <c r="AH81" i="1"/>
  <c r="AI81" i="1"/>
  <c r="AF110" i="1"/>
  <c r="AG110" i="1"/>
  <c r="AH110" i="1"/>
  <c r="AI110" i="1"/>
  <c r="AF111" i="1"/>
  <c r="AG111" i="1"/>
  <c r="AH111" i="1"/>
  <c r="AI111" i="1"/>
  <c r="AF112" i="1"/>
  <c r="AG112" i="1"/>
  <c r="AH112" i="1"/>
  <c r="AI112" i="1"/>
  <c r="AF114" i="1"/>
  <c r="AG114" i="1"/>
  <c r="AH114" i="1"/>
  <c r="AI114" i="1"/>
  <c r="AF116" i="1"/>
  <c r="AG116" i="1"/>
  <c r="AH116" i="1"/>
  <c r="AI116" i="1"/>
  <c r="AF172" i="1"/>
  <c r="AG172" i="1"/>
  <c r="AH172" i="1"/>
  <c r="AI172" i="1"/>
  <c r="AF173" i="1"/>
  <c r="AG173" i="1"/>
  <c r="AH173" i="1"/>
  <c r="AI173" i="1"/>
  <c r="AF174" i="1"/>
  <c r="AG174" i="1"/>
  <c r="AH174" i="1"/>
  <c r="AI174" i="1"/>
  <c r="AF175" i="1"/>
  <c r="AG175" i="1"/>
  <c r="AH175" i="1"/>
  <c r="AI175" i="1"/>
  <c r="AF176" i="1"/>
  <c r="AG176" i="1"/>
  <c r="AH176" i="1"/>
  <c r="AI176" i="1"/>
  <c r="AF177" i="1"/>
  <c r="AG177" i="1"/>
  <c r="AH177" i="1"/>
  <c r="AI177" i="1"/>
  <c r="AF178" i="1"/>
  <c r="AG178" i="1"/>
  <c r="AH178" i="1"/>
  <c r="AI178" i="1"/>
  <c r="AF179" i="1"/>
  <c r="AG179" i="1"/>
  <c r="AH179" i="1"/>
  <c r="AI179" i="1"/>
  <c r="AF180" i="1"/>
  <c r="AG180" i="1"/>
  <c r="AH180" i="1"/>
  <c r="AI180" i="1"/>
  <c r="AF181" i="1"/>
  <c r="AG181" i="1"/>
  <c r="AH181" i="1"/>
  <c r="AI181" i="1"/>
  <c r="AF182" i="1"/>
  <c r="AG182" i="1"/>
  <c r="AH182" i="1"/>
  <c r="AI182" i="1"/>
  <c r="AF183" i="1"/>
  <c r="AG183" i="1"/>
  <c r="AH183" i="1"/>
  <c r="AI183" i="1"/>
  <c r="AF184" i="1"/>
  <c r="AG184" i="1"/>
  <c r="AH184" i="1"/>
  <c r="AI184" i="1"/>
  <c r="AF185" i="1"/>
  <c r="AG185" i="1"/>
  <c r="AH185" i="1"/>
  <c r="AI185" i="1"/>
  <c r="AF190" i="1"/>
  <c r="AG190" i="1"/>
  <c r="AH190" i="1"/>
  <c r="AI190" i="1"/>
  <c r="AF191" i="1"/>
  <c r="AG191" i="1"/>
  <c r="AH191" i="1"/>
  <c r="AI191" i="1"/>
  <c r="AF192" i="1"/>
  <c r="AG192" i="1"/>
  <c r="AH192" i="1"/>
  <c r="AI192" i="1"/>
  <c r="AF193" i="1"/>
  <c r="AG193" i="1"/>
  <c r="AH193" i="1"/>
  <c r="AI193" i="1"/>
  <c r="AF194" i="1"/>
  <c r="AG194" i="1"/>
  <c r="AH194" i="1"/>
  <c r="AI194" i="1"/>
  <c r="AF195" i="1"/>
  <c r="AG195" i="1"/>
  <c r="AH195" i="1"/>
  <c r="AI195" i="1"/>
  <c r="AF196" i="1"/>
  <c r="AG196" i="1"/>
  <c r="AH196" i="1"/>
  <c r="AI196" i="1"/>
  <c r="AF197" i="1"/>
  <c r="AG197" i="1"/>
  <c r="AH197" i="1"/>
  <c r="AI197" i="1"/>
  <c r="AF198" i="1"/>
  <c r="AG198" i="1"/>
  <c r="AH198" i="1"/>
  <c r="AI198" i="1"/>
  <c r="AF199" i="1"/>
  <c r="AG199" i="1"/>
  <c r="AH199" i="1"/>
  <c r="AI199" i="1"/>
  <c r="AF200" i="1"/>
  <c r="AG200" i="1"/>
  <c r="AH200" i="1"/>
  <c r="AI200" i="1"/>
  <c r="AF201" i="1"/>
  <c r="AG201" i="1"/>
  <c r="AH201" i="1"/>
  <c r="AI201" i="1"/>
  <c r="AF202" i="1"/>
  <c r="AG202" i="1"/>
  <c r="AH202" i="1"/>
  <c r="AI202" i="1"/>
  <c r="AF203" i="1"/>
  <c r="AG203" i="1"/>
  <c r="AH203" i="1"/>
  <c r="AI203" i="1"/>
  <c r="AF204" i="1"/>
  <c r="AG204" i="1"/>
  <c r="AH204" i="1"/>
  <c r="AI204" i="1"/>
  <c r="AF205" i="1"/>
  <c r="AG205" i="1"/>
  <c r="AH205" i="1"/>
  <c r="AI205" i="1"/>
  <c r="AF206" i="1"/>
  <c r="AG206" i="1"/>
  <c r="AH206" i="1"/>
  <c r="AI206" i="1"/>
  <c r="AF207" i="1"/>
  <c r="AG207" i="1"/>
  <c r="AH207" i="1"/>
  <c r="AI207" i="1"/>
  <c r="AF208" i="1"/>
  <c r="AG208" i="1"/>
  <c r="AH208" i="1"/>
  <c r="AI208" i="1"/>
  <c r="AF209" i="1"/>
  <c r="AG209" i="1"/>
  <c r="AH209" i="1"/>
  <c r="AI209" i="1"/>
  <c r="AF210" i="1"/>
  <c r="AG210" i="1"/>
  <c r="AH210" i="1"/>
  <c r="AI210" i="1"/>
  <c r="AF211" i="1"/>
  <c r="AG211" i="1"/>
  <c r="AH211" i="1"/>
  <c r="AI211" i="1"/>
  <c r="AF212" i="1"/>
  <c r="AG212" i="1"/>
  <c r="AH212" i="1"/>
  <c r="AI212" i="1"/>
  <c r="AF213" i="1"/>
  <c r="AG213" i="1"/>
  <c r="AH213" i="1"/>
  <c r="AI213" i="1"/>
  <c r="AF214" i="1"/>
  <c r="AG214" i="1"/>
  <c r="AH214" i="1"/>
  <c r="AI214" i="1"/>
  <c r="AF215" i="1"/>
  <c r="AG215" i="1"/>
  <c r="AH215" i="1"/>
  <c r="AI215" i="1"/>
  <c r="AF238" i="1"/>
  <c r="AH238" i="1"/>
  <c r="AI238" i="1"/>
  <c r="AF239" i="1"/>
  <c r="AH239" i="1"/>
  <c r="AI239" i="1"/>
  <c r="AF265" i="1"/>
  <c r="AG265" i="1"/>
  <c r="AH265" i="1"/>
  <c r="AI265" i="1"/>
  <c r="AF266" i="1"/>
  <c r="AG266" i="1"/>
  <c r="AH266" i="1"/>
  <c r="AI266" i="1"/>
  <c r="AF267" i="1"/>
  <c r="AG267" i="1"/>
  <c r="AH267" i="1"/>
  <c r="AI267" i="1"/>
  <c r="AF286" i="1"/>
  <c r="AG286" i="1"/>
  <c r="AH286" i="1"/>
  <c r="AI286" i="1"/>
  <c r="AF588" i="1"/>
  <c r="AG588" i="1"/>
  <c r="AH588" i="1"/>
  <c r="AI588" i="1"/>
  <c r="AF589" i="1"/>
  <c r="AG589" i="1"/>
  <c r="AH589" i="1"/>
  <c r="AI589" i="1"/>
  <c r="AF590" i="1"/>
  <c r="AG590" i="1"/>
  <c r="AH590" i="1"/>
  <c r="AI590" i="1"/>
  <c r="AF591" i="1"/>
  <c r="AG591" i="1"/>
  <c r="AH591" i="1"/>
  <c r="AI591" i="1"/>
  <c r="AF592" i="1"/>
  <c r="AG592" i="1"/>
  <c r="AH592" i="1"/>
  <c r="AI592" i="1"/>
  <c r="AF593" i="1"/>
  <c r="AG593" i="1"/>
  <c r="AH593" i="1"/>
  <c r="AI593" i="1"/>
  <c r="AF594" i="1"/>
  <c r="AG594" i="1"/>
  <c r="AH594" i="1"/>
  <c r="AI594" i="1"/>
  <c r="AF595" i="1"/>
  <c r="AG595" i="1"/>
  <c r="AH595" i="1"/>
  <c r="AI595" i="1"/>
  <c r="AF596" i="1"/>
  <c r="AG596" i="1"/>
  <c r="AH596" i="1"/>
  <c r="AI596" i="1"/>
  <c r="AF597" i="1"/>
  <c r="AG597" i="1"/>
  <c r="AH597" i="1"/>
  <c r="AI597" i="1"/>
  <c r="AF598" i="1"/>
  <c r="AG598" i="1"/>
  <c r="AH598" i="1"/>
  <c r="AI598" i="1"/>
  <c r="AF599" i="1"/>
  <c r="AG599" i="1"/>
  <c r="AH599" i="1"/>
  <c r="AI599" i="1"/>
  <c r="AF600" i="1"/>
  <c r="AG600" i="1"/>
  <c r="AH600" i="1"/>
  <c r="AI600" i="1"/>
  <c r="AF601" i="1"/>
  <c r="AG601" i="1"/>
  <c r="AH601" i="1"/>
  <c r="AI601" i="1"/>
  <c r="AF606" i="1"/>
  <c r="AG606" i="1"/>
  <c r="AH606" i="1"/>
  <c r="AI606" i="1"/>
  <c r="AF607" i="1"/>
  <c r="AG607" i="1"/>
  <c r="AH607" i="1"/>
  <c r="AI607" i="1"/>
  <c r="AF648" i="1"/>
  <c r="AG648" i="1"/>
  <c r="AH648" i="1"/>
  <c r="AI648" i="1"/>
  <c r="AF766" i="1"/>
  <c r="AG766" i="1"/>
  <c r="AI766" i="1"/>
  <c r="AF767" i="1"/>
  <c r="AG767" i="1"/>
  <c r="AI767" i="1"/>
  <c r="AF1237" i="1"/>
  <c r="AG1237" i="1"/>
  <c r="BF1237" i="1"/>
  <c r="AH1237" i="1"/>
  <c r="AI1237" i="1"/>
  <c r="AF1239" i="1"/>
  <c r="AG1239" i="1"/>
  <c r="BF1239" i="1"/>
  <c r="AH1239" i="1" s="1"/>
  <c r="AI1239" i="1"/>
  <c r="AF1267" i="1"/>
  <c r="AG1267" i="1"/>
  <c r="BF1267" i="1"/>
  <c r="AH1267" i="1"/>
  <c r="AI1267" i="1"/>
  <c r="AF1268" i="1"/>
  <c r="AG1268" i="1"/>
  <c r="BF1268" i="1"/>
  <c r="AH1268" i="1" s="1"/>
  <c r="AI1268" i="1"/>
  <c r="AF1269" i="1"/>
  <c r="AG1269" i="1"/>
  <c r="BF1269" i="1"/>
  <c r="AH1269" i="1"/>
  <c r="AI1269" i="1"/>
  <c r="AF1274" i="1"/>
  <c r="AG1274" i="1"/>
  <c r="BF1274" i="1"/>
  <c r="AH1274" i="1" s="1"/>
  <c r="AY1274" i="1"/>
  <c r="AF1275" i="1"/>
  <c r="AG1275" i="1"/>
  <c r="AF1276" i="1"/>
  <c r="AG1276" i="1"/>
  <c r="BF1276" i="1"/>
  <c r="AH1276" i="1"/>
  <c r="AI1276" i="1"/>
  <c r="AS1277" i="1"/>
  <c r="AF1277" i="1" s="1"/>
  <c r="AG1277" i="1"/>
  <c r="BF1277" i="1"/>
  <c r="AH1277" i="1"/>
  <c r="AI1277" i="1"/>
  <c r="AS1278" i="1"/>
  <c r="AF1278" i="1" s="1"/>
  <c r="AG1278" i="1"/>
  <c r="BF1278" i="1"/>
  <c r="AH1278" i="1"/>
  <c r="AI1278" i="1"/>
  <c r="AS1279" i="1"/>
  <c r="AF1279" i="1" s="1"/>
  <c r="AG1279" i="1"/>
  <c r="BF1279" i="1"/>
  <c r="AH1279" i="1"/>
  <c r="AI1279" i="1"/>
  <c r="AS1280" i="1"/>
  <c r="AF1280" i="1" s="1"/>
  <c r="AG1280" i="1"/>
  <c r="BF1280" i="1"/>
  <c r="AH1280" i="1"/>
  <c r="AI1280" i="1"/>
  <c r="AF1322" i="1"/>
  <c r="AG1322" i="1"/>
  <c r="BF1322" i="1"/>
  <c r="AH1322" i="1" s="1"/>
  <c r="AI1322" i="1"/>
  <c r="AS1323" i="1"/>
  <c r="AF1323" i="1"/>
  <c r="AG1323" i="1"/>
  <c r="BF1323" i="1"/>
  <c r="AH1323" i="1" s="1"/>
  <c r="AI1323" i="1"/>
  <c r="AS1367" i="1"/>
  <c r="AF1367" i="1"/>
  <c r="AG1367" i="1"/>
  <c r="AF1376" i="1"/>
  <c r="AG1376" i="1"/>
  <c r="BF1376" i="1"/>
  <c r="AH1376" i="1" s="1"/>
  <c r="AI1376" i="1"/>
  <c r="AF1377" i="1"/>
  <c r="AG1377" i="1"/>
  <c r="BF1377" i="1"/>
  <c r="AH1377" i="1"/>
  <c r="AI1377" i="1"/>
  <c r="AF1378" i="1"/>
  <c r="AG1378" i="1"/>
  <c r="BF1378" i="1"/>
  <c r="AH1378" i="1" s="1"/>
  <c r="AI1378" i="1"/>
  <c r="AF1379" i="1"/>
  <c r="AG1379" i="1"/>
  <c r="BF1379" i="1"/>
  <c r="AH1379" i="1"/>
  <c r="AI1379" i="1"/>
  <c r="AF1398" i="1"/>
  <c r="AG1398" i="1"/>
  <c r="BF1398" i="1"/>
  <c r="AH1398" i="1" s="1"/>
  <c r="AI1398" i="1"/>
  <c r="BF1405" i="1"/>
  <c r="AH1405" i="1"/>
  <c r="AI1405" i="1"/>
  <c r="BF1406" i="1"/>
  <c r="AH1406" i="1" s="1"/>
  <c r="AI1406" i="1"/>
  <c r="BF1407" i="1"/>
  <c r="AH1407" i="1"/>
  <c r="AI1407" i="1"/>
  <c r="AS1426" i="1"/>
  <c r="AF1426" i="1" s="1"/>
  <c r="AG1426" i="1"/>
  <c r="BF1426" i="1"/>
  <c r="AH1426" i="1"/>
  <c r="AI1426" i="1"/>
  <c r="AS1427" i="1"/>
  <c r="AF1427" i="1" s="1"/>
  <c r="AG1427" i="1"/>
  <c r="BF1427" i="1"/>
  <c r="AH1427" i="1"/>
  <c r="AI1427" i="1"/>
  <c r="AS1428" i="1"/>
  <c r="AF1428" i="1" s="1"/>
  <c r="AG1428" i="1"/>
  <c r="BF1428" i="1"/>
  <c r="AH1428" i="1"/>
  <c r="AI1428" i="1"/>
  <c r="AS1429" i="1"/>
  <c r="AF1429" i="1" s="1"/>
  <c r="AG1429" i="1"/>
  <c r="BF1429" i="1"/>
  <c r="AH1429" i="1"/>
  <c r="AI1429" i="1"/>
  <c r="AS1430" i="1"/>
  <c r="AF1430" i="1" s="1"/>
  <c r="AG1430" i="1"/>
  <c r="BF1430" i="1"/>
  <c r="AH1430" i="1"/>
  <c r="AI1430" i="1"/>
  <c r="AS1431" i="1"/>
  <c r="AF1431" i="1" s="1"/>
  <c r="AG1431" i="1"/>
  <c r="BF1431" i="1"/>
  <c r="AH1431" i="1"/>
  <c r="AI1431" i="1"/>
  <c r="AF1436" i="1"/>
  <c r="AG1436" i="1"/>
  <c r="BF1436" i="1"/>
  <c r="AH1436" i="1" s="1"/>
  <c r="AI1436" i="1"/>
  <c r="AF1437" i="1"/>
  <c r="AG1437" i="1"/>
  <c r="BF1437" i="1"/>
  <c r="AH1437" i="1"/>
  <c r="AI1437" i="1"/>
  <c r="AF1438" i="1"/>
  <c r="AG1438" i="1"/>
  <c r="BF1438" i="1"/>
  <c r="AH1438" i="1" s="1"/>
  <c r="AI1438" i="1"/>
  <c r="AF1439" i="1"/>
  <c r="AG1439" i="1"/>
  <c r="BF1439" i="1"/>
  <c r="AH1439" i="1"/>
  <c r="AI1439" i="1"/>
  <c r="AF1440" i="1"/>
  <c r="AG1440" i="1"/>
  <c r="BF1440" i="1"/>
  <c r="AH1440" i="1" s="1"/>
  <c r="AI1440" i="1"/>
  <c r="AF1441" i="1"/>
  <c r="AG1441" i="1"/>
  <c r="BF1441" i="1"/>
  <c r="AH1441" i="1"/>
  <c r="AI1441" i="1"/>
  <c r="AF1442" i="1"/>
  <c r="AG1442" i="1"/>
  <c r="BF1442" i="1"/>
  <c r="AH1442" i="1" s="1"/>
  <c r="AI1442" i="1"/>
  <c r="AF1443" i="1"/>
  <c r="AG1443" i="1"/>
  <c r="BF1443" i="1"/>
  <c r="AH1443" i="1"/>
  <c r="AI1443" i="1"/>
  <c r="AF1444" i="1"/>
  <c r="AG1444" i="1"/>
  <c r="BF1444" i="1"/>
  <c r="AH1444" i="1" s="1"/>
  <c r="AI1444" i="1"/>
  <c r="AF1453" i="1"/>
  <c r="AG1453" i="1"/>
  <c r="AH1453" i="1"/>
  <c r="AI1453" i="1"/>
  <c r="AF1454" i="1"/>
  <c r="AG1454" i="1"/>
  <c r="AH1454" i="1"/>
  <c r="AI1454" i="1"/>
  <c r="AF1455" i="1"/>
  <c r="AG1455" i="1"/>
  <c r="AH1455" i="1"/>
  <c r="AI1455" i="1"/>
  <c r="AS1461" i="1"/>
  <c r="AF1461" i="1"/>
  <c r="AG1461" i="1"/>
  <c r="BF1461" i="1"/>
  <c r="AH1461" i="1" s="1"/>
  <c r="AI1461" i="1"/>
  <c r="AS1462" i="1"/>
  <c r="AF1462" i="1"/>
  <c r="AG1462" i="1"/>
  <c r="BF1462" i="1"/>
  <c r="AH1462" i="1" s="1"/>
  <c r="AI1462" i="1"/>
  <c r="AS1482" i="1"/>
  <c r="AF1482" i="1"/>
  <c r="AG1482" i="1"/>
  <c r="BF1482" i="1"/>
  <c r="AH1482" i="1" s="1"/>
  <c r="AI1482" i="1"/>
  <c r="AS1486" i="1"/>
  <c r="AF1486" i="1"/>
  <c r="AG1486" i="1"/>
  <c r="BF1486" i="1"/>
  <c r="AH1486" i="1" s="1"/>
  <c r="AI1486" i="1"/>
  <c r="AS1487" i="1"/>
  <c r="AF1487" i="1"/>
  <c r="AG1487" i="1"/>
  <c r="BF1487" i="1"/>
  <c r="AH1487" i="1" s="1"/>
  <c r="AI1487" i="1"/>
  <c r="AF1551" i="1"/>
  <c r="AG1551" i="1"/>
  <c r="BF1551" i="1"/>
  <c r="AH1551" i="1"/>
  <c r="AI1551" i="1"/>
  <c r="AF1552" i="1"/>
  <c r="AG1552" i="1"/>
  <c r="BF1552" i="1"/>
  <c r="AH1552" i="1" s="1"/>
  <c r="AI1552" i="1"/>
  <c r="AF1555" i="1"/>
  <c r="AG1555" i="1"/>
  <c r="BF1555" i="1"/>
  <c r="AH1555" i="1"/>
  <c r="AI1555" i="1"/>
  <c r="AF1561" i="1"/>
  <c r="AG1561" i="1"/>
  <c r="AS1563" i="1"/>
  <c r="AF1563" i="1" s="1"/>
  <c r="AG1563" i="1"/>
  <c r="BF1563" i="1"/>
  <c r="AH1563" i="1"/>
  <c r="AI1563" i="1"/>
  <c r="AS1564" i="1"/>
  <c r="AF1564" i="1" s="1"/>
  <c r="AG1564" i="1"/>
  <c r="BF1564" i="1"/>
  <c r="AH1564" i="1"/>
  <c r="AI1564" i="1"/>
  <c r="AS1565" i="1"/>
  <c r="AF1565" i="1" s="1"/>
  <c r="AG1565" i="1"/>
  <c r="BF1565" i="1"/>
  <c r="AH1565" i="1"/>
  <c r="AI1565" i="1"/>
  <c r="AS1566" i="1"/>
  <c r="AF1566" i="1" s="1"/>
  <c r="AG1566" i="1"/>
  <c r="BF1566" i="1"/>
  <c r="AH1566" i="1"/>
  <c r="AI1566" i="1"/>
  <c r="AS1567" i="1"/>
  <c r="AF1567" i="1" s="1"/>
  <c r="AG1567" i="1"/>
  <c r="BF1567" i="1"/>
  <c r="AH1567" i="1"/>
  <c r="AI1567" i="1"/>
  <c r="AS1568" i="1"/>
  <c r="AF1568" i="1" s="1"/>
  <c r="AG1568" i="1"/>
  <c r="BF1568" i="1"/>
  <c r="AH1568" i="1"/>
  <c r="AI1568" i="1"/>
  <c r="AS1569" i="1"/>
  <c r="AF1569" i="1" s="1"/>
  <c r="AG1569" i="1"/>
  <c r="BF1569" i="1"/>
  <c r="AH1569" i="1"/>
  <c r="AI1569" i="1"/>
  <c r="AS1570" i="1"/>
  <c r="AF1570" i="1" s="1"/>
  <c r="AG1570" i="1"/>
  <c r="BF1570" i="1"/>
  <c r="AH1570" i="1"/>
  <c r="AI1570" i="1"/>
  <c r="AS1571" i="1"/>
  <c r="AF1571" i="1" s="1"/>
  <c r="AG1571" i="1"/>
  <c r="BF1571" i="1"/>
  <c r="AH1571" i="1"/>
  <c r="AI1571" i="1"/>
  <c r="AS1572" i="1"/>
  <c r="AF1572" i="1" s="1"/>
  <c r="AG1572" i="1"/>
  <c r="BF1572" i="1"/>
  <c r="AH1572" i="1"/>
  <c r="AI1572" i="1"/>
  <c r="AS1573" i="1"/>
  <c r="AF1573" i="1" s="1"/>
  <c r="AG1573" i="1"/>
  <c r="BF1573" i="1"/>
  <c r="AH1573" i="1"/>
  <c r="AI1573" i="1"/>
  <c r="AS1574" i="1"/>
  <c r="AF1574" i="1" s="1"/>
  <c r="AG1574" i="1"/>
  <c r="BF1574" i="1"/>
  <c r="AH1574" i="1"/>
  <c r="AI1574" i="1"/>
  <c r="AS1575" i="1"/>
  <c r="AF1575" i="1" s="1"/>
  <c r="AG1575" i="1"/>
  <c r="BF1575" i="1"/>
  <c r="AH1575" i="1"/>
  <c r="AI1575" i="1"/>
  <c r="AS1576" i="1"/>
  <c r="AF1576" i="1" s="1"/>
  <c r="AG1576" i="1"/>
  <c r="BF1576" i="1"/>
  <c r="AH1576" i="1"/>
  <c r="AI1576" i="1"/>
  <c r="AS1577" i="1"/>
  <c r="AF1577" i="1" s="1"/>
  <c r="AG1577" i="1"/>
  <c r="BF1577" i="1"/>
  <c r="AH1577" i="1"/>
  <c r="AI1577" i="1"/>
  <c r="AS1578" i="1"/>
  <c r="AF1578" i="1" s="1"/>
  <c r="AG1578" i="1"/>
  <c r="BF1578" i="1"/>
  <c r="AH1578" i="1"/>
  <c r="AI1578" i="1"/>
  <c r="AF1584" i="1"/>
  <c r="AG1584" i="1"/>
  <c r="BF1584" i="1"/>
  <c r="AH1584" i="1" s="1"/>
  <c r="AI1584" i="1"/>
  <c r="AS1591" i="1"/>
  <c r="AF1591" i="1"/>
  <c r="AG1591" i="1"/>
  <c r="BF1591" i="1"/>
  <c r="AH1591" i="1" s="1"/>
  <c r="AI1591" i="1"/>
  <c r="AS1592" i="1"/>
  <c r="AF1592" i="1"/>
  <c r="AG1592" i="1"/>
  <c r="BF1592" i="1"/>
  <c r="AH1592" i="1" s="1"/>
  <c r="AI1592" i="1"/>
  <c r="AF1614" i="1"/>
  <c r="AG1614" i="1"/>
  <c r="BF1614" i="1"/>
  <c r="AH1614" i="1"/>
  <c r="AI1614" i="1"/>
  <c r="AF1615" i="1"/>
  <c r="AG1615" i="1"/>
  <c r="BF1615" i="1"/>
  <c r="AH1615" i="1" s="1"/>
  <c r="AI1615" i="1"/>
  <c r="AF1616" i="1"/>
  <c r="AG1616" i="1"/>
  <c r="BF1616" i="1"/>
  <c r="AH1616" i="1"/>
  <c r="AI1616" i="1"/>
  <c r="AF1617" i="1"/>
  <c r="AG1617" i="1"/>
  <c r="BF1617" i="1"/>
  <c r="AH1617" i="1" s="1"/>
  <c r="AI1617" i="1"/>
  <c r="AF1618" i="1"/>
  <c r="AG1618" i="1"/>
  <c r="BF1618" i="1"/>
  <c r="AH1618" i="1"/>
  <c r="AI1618" i="1"/>
  <c r="AF1619" i="1"/>
  <c r="AG1619" i="1"/>
  <c r="BF1619" i="1"/>
  <c r="AH1619" i="1" s="1"/>
  <c r="AI1619" i="1"/>
  <c r="AF1621" i="1"/>
  <c r="AG1621" i="1"/>
  <c r="AF1622" i="1"/>
  <c r="AG1622" i="1"/>
  <c r="AS1624" i="1"/>
  <c r="AF1624" i="1"/>
  <c r="BF1624" i="1"/>
  <c r="AH1624" i="1"/>
  <c r="AS1633" i="1"/>
  <c r="AF1633" i="1"/>
  <c r="AG1633" i="1"/>
  <c r="BF1633" i="1"/>
  <c r="AH1633" i="1" s="1"/>
  <c r="AI1633" i="1"/>
  <c r="AS1634" i="1"/>
  <c r="AF1634" i="1"/>
  <c r="AG1634" i="1"/>
  <c r="BF1634" i="1"/>
  <c r="AH1634" i="1" s="1"/>
  <c r="AI1634" i="1"/>
  <c r="AF1637" i="1"/>
  <c r="AG1637" i="1"/>
  <c r="BF1637" i="1"/>
  <c r="AH1637" i="1"/>
  <c r="AI1637" i="1"/>
  <c r="AF1638" i="1"/>
  <c r="AG1638" i="1"/>
  <c r="BF1638" i="1"/>
  <c r="AH1638" i="1" s="1"/>
  <c r="AI1638" i="1"/>
  <c r="AF1640" i="1"/>
  <c r="AG1640" i="1"/>
  <c r="BF1640" i="1"/>
  <c r="AH1640" i="1"/>
  <c r="AI1640" i="1"/>
  <c r="AF1641" i="1"/>
  <c r="AG1641" i="1"/>
  <c r="BF1641" i="1"/>
  <c r="AH1641" i="1" s="1"/>
  <c r="AI1641" i="1"/>
  <c r="AF6" i="1"/>
  <c r="AG6" i="1"/>
  <c r="AH6" i="1"/>
  <c r="AI6" i="1"/>
  <c r="AF7" i="1"/>
  <c r="AG7" i="1"/>
  <c r="AH7" i="1"/>
  <c r="AI7" i="1"/>
  <c r="AF8" i="1"/>
  <c r="AG8" i="1"/>
  <c r="AH8" i="1"/>
  <c r="AI8" i="1"/>
  <c r="AF9" i="1"/>
  <c r="AG9" i="1"/>
  <c r="AH9" i="1"/>
  <c r="AI9" i="1"/>
  <c r="AF16" i="1"/>
  <c r="AG16" i="1"/>
  <c r="AH16" i="1"/>
  <c r="AI16" i="1"/>
  <c r="AF20" i="1"/>
  <c r="AG20" i="1"/>
  <c r="AH20" i="1"/>
  <c r="AI20" i="1"/>
  <c r="AF21" i="1"/>
  <c r="AG21" i="1"/>
  <c r="AH21" i="1"/>
  <c r="AI21" i="1"/>
  <c r="AF31" i="1"/>
  <c r="AG31" i="1"/>
  <c r="BF31" i="1"/>
  <c r="AH31" i="1"/>
  <c r="AI31" i="1"/>
  <c r="AF32" i="1"/>
  <c r="AG32" i="1"/>
  <c r="AH32" i="1"/>
  <c r="AI32" i="1"/>
  <c r="AF33" i="1"/>
  <c r="AG33" i="1"/>
  <c r="AH33" i="1"/>
  <c r="AI33" i="1"/>
  <c r="AF92" i="1"/>
  <c r="AG92" i="1"/>
  <c r="AH92" i="1"/>
  <c r="AI92" i="1"/>
  <c r="AF93" i="1"/>
  <c r="AG93" i="1"/>
  <c r="AH93" i="1"/>
  <c r="AI93" i="1"/>
  <c r="AF216" i="1"/>
  <c r="AG216" i="1"/>
  <c r="AH216" i="1"/>
  <c r="AI216" i="1"/>
  <c r="AF217" i="1"/>
  <c r="AG217" i="1"/>
  <c r="AH217" i="1"/>
  <c r="AI217" i="1"/>
  <c r="AF218" i="1"/>
  <c r="AG218" i="1"/>
  <c r="AH218" i="1"/>
  <c r="AI218" i="1"/>
  <c r="AF219" i="1"/>
  <c r="AG219" i="1"/>
  <c r="AH219" i="1"/>
  <c r="AI219" i="1"/>
  <c r="AF220" i="1"/>
  <c r="AG220" i="1"/>
  <c r="AH220" i="1"/>
  <c r="AI220" i="1"/>
  <c r="AF221" i="1"/>
  <c r="AG221" i="1"/>
  <c r="AH221" i="1"/>
  <c r="AI221" i="1"/>
  <c r="AF222" i="1"/>
  <c r="AG222" i="1"/>
  <c r="AH222" i="1"/>
  <c r="AI222" i="1"/>
  <c r="AF223" i="1"/>
  <c r="AG223" i="1"/>
  <c r="AH223" i="1"/>
  <c r="AI223" i="1"/>
  <c r="AF224" i="1"/>
  <c r="AG224" i="1"/>
  <c r="AH224" i="1"/>
  <c r="AI224" i="1"/>
  <c r="AF225" i="1"/>
  <c r="AG225" i="1"/>
  <c r="AH225" i="1"/>
  <c r="AI225" i="1"/>
  <c r="AF261" i="1"/>
  <c r="AG261" i="1"/>
  <c r="AH261" i="1"/>
  <c r="AI261" i="1"/>
  <c r="AF262" i="1"/>
  <c r="AG262" i="1"/>
  <c r="AH262" i="1"/>
  <c r="AI262" i="1"/>
  <c r="AF263" i="1"/>
  <c r="AG263" i="1"/>
  <c r="AH263" i="1"/>
  <c r="AI263" i="1"/>
  <c r="AF264" i="1"/>
  <c r="AG264" i="1"/>
  <c r="AH264" i="1"/>
  <c r="AI264" i="1"/>
  <c r="AF735" i="1"/>
  <c r="AG735" i="1"/>
  <c r="AH735" i="1"/>
  <c r="AI735" i="1"/>
  <c r="AF736" i="1"/>
  <c r="AG736" i="1"/>
  <c r="AH736" i="1"/>
  <c r="AI736" i="1"/>
  <c r="AF737" i="1"/>
  <c r="AG737" i="1"/>
  <c r="AH737" i="1"/>
  <c r="AI737" i="1"/>
  <c r="AF738" i="1"/>
  <c r="AG738" i="1"/>
  <c r="AH738" i="1"/>
  <c r="AI738" i="1"/>
  <c r="AF893" i="1"/>
  <c r="AG893" i="1"/>
  <c r="AH893" i="1"/>
  <c r="AI893" i="1"/>
  <c r="AF894" i="1"/>
  <c r="AG894" i="1"/>
  <c r="AH894" i="1"/>
  <c r="AI894" i="1"/>
  <c r="AF1234" i="1"/>
  <c r="AG1234" i="1"/>
  <c r="BF1234" i="1"/>
  <c r="AH1234" i="1" s="1"/>
  <c r="AI1234" i="1"/>
  <c r="AF1273" i="1"/>
  <c r="AG1273" i="1"/>
  <c r="BF1273" i="1"/>
  <c r="AH1273" i="1"/>
  <c r="AI1273" i="1"/>
  <c r="AF1321" i="1"/>
  <c r="AG1321" i="1"/>
  <c r="BF1321" i="1"/>
  <c r="AH1321" i="1" s="1"/>
  <c r="AI1321" i="1"/>
  <c r="AF439" i="1"/>
  <c r="AG439" i="1"/>
  <c r="AH439" i="1"/>
  <c r="AI439" i="1"/>
  <c r="AG440" i="1"/>
  <c r="AI440" i="1"/>
  <c r="AG441" i="1"/>
  <c r="AI441" i="1"/>
  <c r="AF442" i="1"/>
  <c r="AG442" i="1"/>
  <c r="AH442" i="1"/>
  <c r="AW442" i="1"/>
  <c r="AX442" i="1"/>
  <c r="AF443" i="1"/>
  <c r="AG443" i="1"/>
  <c r="AH443" i="1"/>
  <c r="AW443" i="1"/>
  <c r="AX443" i="1"/>
  <c r="AF444" i="1"/>
  <c r="AG444" i="1"/>
  <c r="AH444" i="1"/>
  <c r="AW444" i="1"/>
  <c r="AX444" i="1"/>
  <c r="AF445" i="1"/>
  <c r="AG445" i="1"/>
  <c r="AH445" i="1"/>
  <c r="AI445" i="1"/>
  <c r="AF446" i="1"/>
  <c r="AG446" i="1"/>
  <c r="AH446" i="1"/>
  <c r="AI446" i="1"/>
  <c r="AF447" i="1"/>
  <c r="AG447" i="1"/>
  <c r="AH447" i="1"/>
  <c r="AI447" i="1"/>
  <c r="AF448" i="1"/>
  <c r="AG448" i="1"/>
  <c r="AH448" i="1"/>
  <c r="AI448" i="1"/>
  <c r="AF469" i="1"/>
  <c r="AG469" i="1"/>
  <c r="AH469" i="1"/>
  <c r="AI469" i="1"/>
  <c r="AF471" i="1"/>
  <c r="AG471" i="1"/>
  <c r="AH471" i="1"/>
  <c r="AI471" i="1"/>
  <c r="AF472" i="1"/>
  <c r="AG472" i="1"/>
  <c r="AH472" i="1"/>
  <c r="AI472" i="1"/>
  <c r="AF473" i="1"/>
  <c r="AG473" i="1"/>
  <c r="AH473" i="1"/>
  <c r="AI473" i="1"/>
  <c r="AF474" i="1"/>
  <c r="AG474" i="1"/>
  <c r="AH474" i="1"/>
  <c r="AI474" i="1"/>
  <c r="AF475" i="1"/>
  <c r="AG475" i="1"/>
  <c r="AH475" i="1"/>
  <c r="AI475" i="1"/>
  <c r="AF476" i="1"/>
  <c r="AG476" i="1"/>
  <c r="AH476" i="1"/>
  <c r="AI476" i="1"/>
  <c r="AF477" i="1"/>
  <c r="AG477" i="1"/>
  <c r="AH477" i="1"/>
  <c r="AI477" i="1"/>
  <c r="AF478" i="1"/>
  <c r="AG478" i="1"/>
  <c r="AH478" i="1"/>
  <c r="AI478" i="1"/>
  <c r="AF479" i="1"/>
  <c r="AG479" i="1"/>
  <c r="AH479" i="1"/>
  <c r="AI479" i="1"/>
  <c r="AF480" i="1"/>
  <c r="AG480" i="1"/>
  <c r="AH480" i="1"/>
  <c r="AI480" i="1"/>
  <c r="AF481" i="1"/>
  <c r="AG481" i="1"/>
  <c r="AH481" i="1"/>
  <c r="AI481" i="1"/>
  <c r="AF482" i="1"/>
  <c r="AG482" i="1"/>
  <c r="AH482" i="1"/>
  <c r="AI482" i="1"/>
  <c r="AF483" i="1"/>
  <c r="AG483" i="1"/>
  <c r="AH483" i="1"/>
  <c r="AI483" i="1"/>
  <c r="AF484" i="1"/>
  <c r="AG484" i="1"/>
  <c r="AH484" i="1"/>
  <c r="AI484" i="1"/>
  <c r="AF485" i="1"/>
  <c r="AG485" i="1"/>
  <c r="AH485" i="1"/>
  <c r="AI485" i="1"/>
  <c r="AF486" i="1"/>
  <c r="AG486" i="1"/>
  <c r="AH486" i="1"/>
  <c r="AI486" i="1"/>
  <c r="AF487" i="1"/>
  <c r="AG487" i="1"/>
  <c r="AH487" i="1"/>
  <c r="AI487" i="1"/>
  <c r="AF488" i="1"/>
  <c r="AG488" i="1"/>
  <c r="AH488" i="1"/>
  <c r="AI488" i="1"/>
  <c r="AF489" i="1"/>
  <c r="AG489" i="1"/>
  <c r="AH489" i="1"/>
  <c r="AI489" i="1"/>
  <c r="AF490" i="1"/>
  <c r="AG490" i="1"/>
  <c r="AH490" i="1"/>
  <c r="AI490" i="1"/>
  <c r="AF491" i="1"/>
  <c r="AG491" i="1"/>
  <c r="AH491" i="1"/>
  <c r="AI491" i="1"/>
  <c r="AF492" i="1"/>
  <c r="AG492" i="1"/>
  <c r="AH492" i="1"/>
  <c r="AI492" i="1"/>
  <c r="AF493" i="1"/>
  <c r="AG493" i="1"/>
  <c r="AH493" i="1"/>
  <c r="AI493" i="1"/>
  <c r="AF494" i="1"/>
  <c r="AG494" i="1"/>
  <c r="AH494" i="1"/>
  <c r="AI494" i="1"/>
  <c r="AF495" i="1"/>
  <c r="AG495" i="1"/>
  <c r="BF495" i="1"/>
  <c r="AH495" i="1"/>
  <c r="AI495" i="1"/>
  <c r="AF496" i="1"/>
  <c r="AG496" i="1"/>
  <c r="BF496" i="1"/>
  <c r="AH496" i="1" s="1"/>
  <c r="AI496" i="1"/>
  <c r="AF497" i="1"/>
  <c r="AG497" i="1"/>
  <c r="AH497" i="1"/>
  <c r="AI497" i="1"/>
  <c r="AF498" i="1"/>
  <c r="AG498" i="1"/>
  <c r="AH498" i="1"/>
  <c r="AI498" i="1"/>
  <c r="AF499" i="1"/>
  <c r="AG499" i="1"/>
  <c r="AH499" i="1"/>
  <c r="AI499" i="1"/>
  <c r="AF500" i="1"/>
  <c r="AG500" i="1"/>
  <c r="AH500" i="1"/>
  <c r="AI500" i="1"/>
  <c r="AF501" i="1"/>
  <c r="AG501" i="1"/>
  <c r="AH501" i="1"/>
  <c r="AI501" i="1"/>
  <c r="AG502" i="1"/>
  <c r="AI502" i="1"/>
  <c r="AG503" i="1"/>
  <c r="AI503" i="1"/>
  <c r="AG504" i="1"/>
  <c r="AI504" i="1"/>
  <c r="AG505" i="1"/>
  <c r="AI505" i="1"/>
  <c r="AG506" i="1"/>
  <c r="AI506" i="1"/>
  <c r="AG507" i="1"/>
  <c r="AI507" i="1"/>
  <c r="AG508" i="1"/>
  <c r="AI508" i="1"/>
  <c r="AG509" i="1"/>
  <c r="AI509" i="1"/>
  <c r="AG510" i="1"/>
  <c r="BF510" i="1"/>
  <c r="AH510" i="1" s="1"/>
  <c r="AI510" i="1"/>
  <c r="AG511" i="1"/>
  <c r="BF511" i="1"/>
  <c r="AH511" i="1" s="1"/>
  <c r="AI511" i="1"/>
  <c r="AF519" i="1"/>
  <c r="AG519" i="1"/>
  <c r="AH519" i="1"/>
  <c r="AI519" i="1"/>
  <c r="AF520" i="1"/>
  <c r="AG520" i="1"/>
  <c r="AH520" i="1"/>
  <c r="AI520" i="1"/>
  <c r="AF521" i="1"/>
  <c r="AG521" i="1"/>
  <c r="AH521" i="1"/>
  <c r="AI521" i="1"/>
  <c r="AF522" i="1"/>
  <c r="AG522" i="1"/>
  <c r="AH522" i="1"/>
  <c r="AI522" i="1"/>
  <c r="AF523" i="1"/>
  <c r="AG523" i="1"/>
  <c r="AH523" i="1"/>
  <c r="AF524" i="1"/>
  <c r="AG524" i="1"/>
  <c r="AH524" i="1"/>
  <c r="AI524" i="1"/>
  <c r="AG525" i="1"/>
  <c r="AI525" i="1"/>
  <c r="AG526" i="1"/>
  <c r="AI526" i="1"/>
  <c r="AH527" i="1"/>
  <c r="AI527" i="1"/>
  <c r="AF528" i="1"/>
  <c r="AG528" i="1"/>
  <c r="AH528" i="1"/>
  <c r="AF529" i="1"/>
  <c r="AG529" i="1"/>
  <c r="AH529" i="1"/>
  <c r="AI529" i="1"/>
  <c r="AG530" i="1"/>
  <c r="AI530" i="1"/>
  <c r="AG531" i="1"/>
  <c r="AI531" i="1"/>
  <c r="AS562" i="1"/>
  <c r="AF562" i="1"/>
  <c r="AG562" i="1"/>
  <c r="BF562" i="1"/>
  <c r="AH562" i="1" s="1"/>
  <c r="AI562" i="1"/>
  <c r="AF563" i="1"/>
  <c r="AG563" i="1"/>
  <c r="AH563" i="1"/>
  <c r="AI563" i="1"/>
  <c r="AF564" i="1"/>
  <c r="AG564" i="1"/>
  <c r="AH564" i="1"/>
  <c r="AI564" i="1"/>
  <c r="AG565" i="1"/>
  <c r="AI565" i="1"/>
  <c r="AG566" i="1"/>
  <c r="AI566" i="1"/>
  <c r="AJ567" i="1"/>
  <c r="AS567" i="1"/>
  <c r="AF567" i="1" s="1"/>
  <c r="AL567" i="1"/>
  <c r="AH567" i="1"/>
  <c r="AW567" i="1"/>
  <c r="AY567" i="1"/>
  <c r="AF568" i="1"/>
  <c r="AG568" i="1"/>
  <c r="AI568" i="1"/>
  <c r="AF569" i="1"/>
  <c r="AG569" i="1"/>
  <c r="AI569" i="1"/>
  <c r="AF570" i="1"/>
  <c r="AG570" i="1"/>
  <c r="AI570" i="1"/>
  <c r="AG1022" i="1"/>
  <c r="AI1022" i="1"/>
  <c r="AG1023" i="1"/>
  <c r="AI1023" i="1"/>
  <c r="AF1024" i="1"/>
  <c r="AG1024" i="1"/>
  <c r="AI1024" i="1"/>
  <c r="AF1025" i="1"/>
  <c r="AG1025" i="1"/>
  <c r="AI1025" i="1"/>
  <c r="AF1026" i="1"/>
  <c r="AG1026" i="1"/>
  <c r="AI1026" i="1"/>
  <c r="AG1027" i="1"/>
  <c r="AI1027" i="1"/>
  <c r="AG1028" i="1"/>
  <c r="AI1028" i="1"/>
  <c r="AG1029" i="1"/>
  <c r="AI1029" i="1"/>
  <c r="AG1030" i="1"/>
  <c r="AI1030" i="1"/>
  <c r="AG1031" i="1"/>
  <c r="AI1031" i="1"/>
  <c r="AG1032" i="1"/>
  <c r="AI1032" i="1"/>
  <c r="AG1033" i="1"/>
  <c r="AI1033" i="1"/>
  <c r="AG1034" i="1"/>
  <c r="AI1034" i="1"/>
  <c r="AF1240" i="1"/>
  <c r="AG1240" i="1"/>
  <c r="BF1240" i="1"/>
  <c r="AH1240" i="1" s="1"/>
  <c r="AI1240" i="1"/>
  <c r="AF1241" i="1"/>
  <c r="AG1241" i="1"/>
  <c r="BF1241" i="1"/>
  <c r="AH1241" i="1"/>
  <c r="AI1241" i="1"/>
  <c r="AF1242" i="1"/>
  <c r="AG1242" i="1"/>
  <c r="BF1242" i="1"/>
  <c r="AH1242" i="1" s="1"/>
  <c r="AI1242" i="1"/>
  <c r="AF1243" i="1"/>
  <c r="AG1243" i="1"/>
  <c r="BF1243" i="1"/>
  <c r="AH1243" i="1"/>
  <c r="AI1243" i="1"/>
  <c r="AF1244" i="1"/>
  <c r="AG1244" i="1"/>
  <c r="BF1244" i="1"/>
  <c r="AH1244" i="1" s="1"/>
  <c r="AI1244" i="1"/>
  <c r="AF1245" i="1"/>
  <c r="AG1245" i="1"/>
  <c r="BF1245" i="1"/>
  <c r="AH1245" i="1"/>
  <c r="AI1245" i="1"/>
  <c r="AF1246" i="1"/>
  <c r="AG1246" i="1"/>
  <c r="BF1246" i="1"/>
  <c r="AH1246" i="1" s="1"/>
  <c r="AI1246" i="1"/>
  <c r="AF1247" i="1"/>
  <c r="AG1247" i="1"/>
  <c r="BF1247" i="1"/>
  <c r="AH1247" i="1"/>
  <c r="AI1247" i="1"/>
  <c r="AF1362" i="1"/>
  <c r="AG1362" i="1"/>
  <c r="AF1363" i="1"/>
  <c r="AG1363" i="1"/>
  <c r="AF1365" i="1"/>
  <c r="AG1365" i="1"/>
  <c r="AF1403" i="1"/>
  <c r="AG1403" i="1"/>
  <c r="AF1450" i="1"/>
  <c r="AG1450" i="1"/>
  <c r="AF1456" i="1"/>
  <c r="AG1456" i="1"/>
  <c r="BF1456" i="1"/>
  <c r="AH1456" i="1" s="1"/>
  <c r="AI1456" i="1"/>
  <c r="AJ1472" i="1"/>
  <c r="AS1472" i="1"/>
  <c r="AF1472" i="1" s="1"/>
  <c r="AL1472" i="1"/>
  <c r="AW1472" i="1"/>
  <c r="BF1472" i="1"/>
  <c r="AH1472" i="1" s="1"/>
  <c r="AY1472" i="1"/>
  <c r="AJ1473" i="1"/>
  <c r="AS1473" i="1"/>
  <c r="AF1473" i="1" s="1"/>
  <c r="AL1473" i="1"/>
  <c r="AW1473" i="1"/>
  <c r="BF1473" i="1"/>
  <c r="AH1473" i="1" s="1"/>
  <c r="AY1473" i="1"/>
  <c r="AF1488" i="1"/>
  <c r="AG1488" i="1"/>
  <c r="AF1489" i="1"/>
  <c r="AG1489" i="1"/>
  <c r="AF1490" i="1"/>
  <c r="AG1490" i="1"/>
  <c r="AF1491" i="1"/>
  <c r="AG1491" i="1"/>
  <c r="AF1492" i="1"/>
  <c r="AG1492" i="1"/>
  <c r="AF1493" i="1"/>
  <c r="AG1493" i="1"/>
  <c r="AF1494" i="1"/>
  <c r="AG1494" i="1"/>
  <c r="AF1495" i="1"/>
  <c r="AG1495" i="1"/>
  <c r="BF1495" i="1"/>
  <c r="AH1495" i="1"/>
  <c r="AI1495" i="1"/>
  <c r="AF1496" i="1"/>
  <c r="AG1496" i="1"/>
  <c r="AF1497" i="1"/>
  <c r="AG1497" i="1"/>
  <c r="AF1498" i="1"/>
  <c r="AG1498" i="1"/>
  <c r="AF1499" i="1"/>
  <c r="AG1499" i="1"/>
  <c r="AF1500" i="1"/>
  <c r="AG1500" i="1"/>
  <c r="AF1501" i="1"/>
  <c r="AG1501" i="1"/>
  <c r="AF1502" i="1"/>
  <c r="AG1502" i="1"/>
  <c r="AF1503" i="1"/>
  <c r="AG1503" i="1"/>
  <c r="AF1504" i="1"/>
  <c r="AG1504" i="1"/>
  <c r="AF1505" i="1"/>
  <c r="AG1505" i="1"/>
  <c r="AF1506" i="1"/>
  <c r="AG1506" i="1"/>
  <c r="AF1507" i="1"/>
  <c r="AG1507" i="1"/>
  <c r="AF1508" i="1"/>
  <c r="AG1508" i="1"/>
  <c r="AF1509" i="1"/>
  <c r="AG1509" i="1"/>
  <c r="AF1513" i="1"/>
  <c r="AG1513" i="1"/>
  <c r="AF1635" i="1"/>
  <c r="AG1635" i="1"/>
  <c r="AF1636" i="1"/>
  <c r="AG1636" i="1"/>
  <c r="AF73" i="1"/>
  <c r="AG73" i="1"/>
  <c r="AH73" i="1"/>
  <c r="AI73" i="1"/>
  <c r="AF74" i="1"/>
  <c r="AG74" i="1"/>
  <c r="AH74" i="1"/>
  <c r="AI74" i="1"/>
  <c r="AF226" i="1"/>
  <c r="AG226" i="1"/>
  <c r="AF227" i="1"/>
  <c r="AG227" i="1"/>
  <c r="AH227" i="1"/>
  <c r="AF228" i="1"/>
  <c r="AG228" i="1"/>
  <c r="AH228" i="1"/>
  <c r="AI228" i="1"/>
  <c r="AF229" i="1"/>
  <c r="AG229" i="1"/>
  <c r="AH229" i="1"/>
  <c r="AI229" i="1"/>
  <c r="AF230" i="1"/>
  <c r="AG230" i="1"/>
  <c r="AH230" i="1"/>
  <c r="AI230" i="1"/>
  <c r="AF231" i="1"/>
  <c r="AG231" i="1"/>
  <c r="AH231" i="1"/>
  <c r="AI231" i="1"/>
  <c r="AF232" i="1"/>
  <c r="AG232" i="1"/>
  <c r="AH232" i="1"/>
  <c r="AI232" i="1"/>
  <c r="AF233" i="1"/>
  <c r="AG233" i="1"/>
  <c r="AH233" i="1"/>
  <c r="AI233" i="1"/>
  <c r="AF289" i="1"/>
  <c r="AG289" i="1"/>
  <c r="AH289" i="1"/>
  <c r="AI289" i="1"/>
  <c r="AF290" i="1"/>
  <c r="AG290" i="1"/>
  <c r="AH290" i="1"/>
  <c r="AI290" i="1"/>
  <c r="AF316" i="1"/>
  <c r="AG316" i="1"/>
  <c r="AH316" i="1"/>
  <c r="AG320" i="1"/>
  <c r="AH320" i="1"/>
  <c r="AI320" i="1"/>
  <c r="AG321" i="1"/>
  <c r="AI321" i="1"/>
  <c r="AG322" i="1"/>
  <c r="AH322" i="1"/>
  <c r="AI322" i="1"/>
  <c r="AG323" i="1"/>
  <c r="AH323" i="1"/>
  <c r="AI323" i="1"/>
  <c r="AF324" i="1"/>
  <c r="AG324" i="1"/>
  <c r="AH324" i="1"/>
  <c r="AI324" i="1"/>
  <c r="AF325" i="1"/>
  <c r="AG325" i="1"/>
  <c r="AI325" i="1"/>
  <c r="AF326" i="1"/>
  <c r="AG326" i="1"/>
  <c r="AH326" i="1"/>
  <c r="AI326" i="1"/>
  <c r="AF327" i="1"/>
  <c r="AG327" i="1"/>
  <c r="AH327" i="1"/>
  <c r="AI327" i="1"/>
  <c r="AF334" i="1"/>
  <c r="AG334" i="1"/>
  <c r="AH334" i="1"/>
  <c r="AI334" i="1"/>
  <c r="AF335" i="1"/>
  <c r="AG335" i="1"/>
  <c r="AH335" i="1"/>
  <c r="AI335" i="1"/>
  <c r="AF336" i="1"/>
  <c r="AG336" i="1"/>
  <c r="AH336" i="1"/>
  <c r="AI336" i="1"/>
  <c r="AF337" i="1"/>
  <c r="AG337" i="1"/>
  <c r="AH337" i="1"/>
  <c r="AI337" i="1"/>
  <c r="AF338" i="1"/>
  <c r="AG338" i="1"/>
  <c r="AH338" i="1"/>
  <c r="AI338" i="1"/>
  <c r="AF339" i="1"/>
  <c r="AG339" i="1"/>
  <c r="AH339" i="1"/>
  <c r="AI339" i="1"/>
  <c r="AF341" i="1"/>
  <c r="AG341" i="1"/>
  <c r="AH341" i="1"/>
  <c r="AI341" i="1"/>
  <c r="AF342" i="1"/>
  <c r="AG342" i="1"/>
  <c r="AH342" i="1"/>
  <c r="AI342" i="1"/>
  <c r="AF343" i="1"/>
  <c r="AG343" i="1"/>
  <c r="AH343" i="1"/>
  <c r="AI343" i="1"/>
  <c r="AF344" i="1"/>
  <c r="AG344" i="1"/>
  <c r="AH344" i="1"/>
  <c r="AI344" i="1"/>
  <c r="AF345" i="1"/>
  <c r="AG345" i="1"/>
  <c r="AH345" i="1"/>
  <c r="AI345" i="1"/>
  <c r="AF347" i="1"/>
  <c r="AG347" i="1"/>
  <c r="AH347" i="1"/>
  <c r="AI347" i="1"/>
  <c r="AF348" i="1"/>
  <c r="AG348" i="1"/>
  <c r="AH348" i="1"/>
  <c r="AI348" i="1"/>
  <c r="AF362" i="1"/>
  <c r="AG362" i="1"/>
  <c r="AH362" i="1"/>
  <c r="AI362" i="1"/>
  <c r="AF363" i="1"/>
  <c r="AG363" i="1"/>
  <c r="AH363" i="1"/>
  <c r="AI363" i="1"/>
  <c r="AF364" i="1"/>
  <c r="AG364" i="1"/>
  <c r="AH364" i="1"/>
  <c r="AI364" i="1"/>
  <c r="AF365" i="1"/>
  <c r="AG365" i="1"/>
  <c r="AH365" i="1"/>
  <c r="AI365" i="1"/>
  <c r="AF366" i="1"/>
  <c r="AG366" i="1"/>
  <c r="AH366" i="1"/>
  <c r="AI366" i="1"/>
  <c r="AF367" i="1"/>
  <c r="AG367" i="1"/>
  <c r="AH367" i="1"/>
  <c r="AI367" i="1"/>
  <c r="AF368" i="1"/>
  <c r="AG368" i="1"/>
  <c r="AH368" i="1"/>
  <c r="AI368" i="1"/>
  <c r="AF369" i="1"/>
  <c r="AG369" i="1"/>
  <c r="AH369" i="1"/>
  <c r="AI369" i="1"/>
  <c r="AF370" i="1"/>
  <c r="AG370" i="1"/>
  <c r="AH370" i="1"/>
  <c r="AI370" i="1"/>
  <c r="AF371" i="1"/>
  <c r="AG371" i="1"/>
  <c r="AH371" i="1"/>
  <c r="AI371" i="1"/>
  <c r="AF372" i="1"/>
  <c r="AG372" i="1"/>
  <c r="AH372" i="1"/>
  <c r="AI372" i="1"/>
  <c r="AF373" i="1"/>
  <c r="AG373" i="1"/>
  <c r="AH373" i="1"/>
  <c r="AI373" i="1"/>
  <c r="AF374" i="1"/>
  <c r="AG374" i="1"/>
  <c r="AH374" i="1"/>
  <c r="AI374" i="1"/>
  <c r="AF375" i="1"/>
  <c r="AG375" i="1"/>
  <c r="AH375" i="1"/>
  <c r="AI375" i="1"/>
  <c r="AF384" i="1"/>
  <c r="AG384" i="1"/>
  <c r="AH384" i="1"/>
  <c r="AI384" i="1"/>
  <c r="AF387" i="1"/>
  <c r="AG387" i="1"/>
  <c r="AH387" i="1"/>
  <c r="AI387" i="1"/>
  <c r="AF389" i="1"/>
  <c r="AG389" i="1"/>
  <c r="AH389" i="1"/>
  <c r="AI389" i="1"/>
  <c r="AF390" i="1"/>
  <c r="AG390" i="1"/>
  <c r="AH390" i="1"/>
  <c r="AI390" i="1"/>
  <c r="AF392" i="1"/>
  <c r="AG392" i="1"/>
  <c r="AH392" i="1"/>
  <c r="AI392" i="1"/>
  <c r="AF394" i="1"/>
  <c r="AG394" i="1"/>
  <c r="AH394" i="1"/>
  <c r="AI394" i="1"/>
  <c r="AF397" i="1"/>
  <c r="AG397" i="1"/>
  <c r="AH397" i="1"/>
  <c r="AI397" i="1"/>
  <c r="AF398" i="1"/>
  <c r="AG398" i="1"/>
  <c r="AH398" i="1"/>
  <c r="AI398" i="1"/>
  <c r="AF399" i="1"/>
  <c r="AG399" i="1"/>
  <c r="AH399" i="1"/>
  <c r="AI399" i="1"/>
  <c r="AF400" i="1"/>
  <c r="AG400" i="1"/>
  <c r="AH400" i="1"/>
  <c r="AI400" i="1"/>
  <c r="AF405" i="1"/>
  <c r="AG405" i="1"/>
  <c r="AH405" i="1"/>
  <c r="AI405" i="1"/>
  <c r="AF449" i="1"/>
  <c r="AG449" i="1"/>
  <c r="AH449" i="1"/>
  <c r="AI449" i="1"/>
  <c r="AF450" i="1"/>
  <c r="AG450" i="1"/>
  <c r="AH450" i="1"/>
  <c r="AI450" i="1"/>
  <c r="AF451" i="1"/>
  <c r="AG451" i="1"/>
  <c r="AH451" i="1"/>
  <c r="AI451" i="1"/>
  <c r="AF537" i="1"/>
  <c r="AG537" i="1"/>
  <c r="AH537" i="1"/>
  <c r="AI537" i="1"/>
  <c r="AF538" i="1"/>
  <c r="AG538" i="1"/>
  <c r="AH538" i="1"/>
  <c r="AI538" i="1"/>
  <c r="AF614" i="1"/>
  <c r="AG614" i="1"/>
  <c r="AH614" i="1"/>
  <c r="AI614" i="1"/>
  <c r="AF615" i="1"/>
  <c r="AG615" i="1"/>
  <c r="AH615" i="1"/>
  <c r="AI615" i="1"/>
  <c r="AF616" i="1"/>
  <c r="AG616" i="1"/>
  <c r="AH616" i="1"/>
  <c r="AI616" i="1"/>
  <c r="AF617" i="1"/>
  <c r="AG617" i="1"/>
  <c r="AH617" i="1"/>
  <c r="AI617" i="1"/>
  <c r="AF618" i="1"/>
  <c r="AG618" i="1"/>
  <c r="AI618" i="1"/>
  <c r="AF619" i="1"/>
  <c r="AG619" i="1"/>
  <c r="AI619" i="1"/>
  <c r="AF620" i="1"/>
  <c r="AG620" i="1"/>
  <c r="AI620" i="1"/>
  <c r="AF623" i="1"/>
  <c r="AG623" i="1"/>
  <c r="AH623" i="1"/>
  <c r="AI623" i="1"/>
  <c r="AF624" i="1"/>
  <c r="AG624" i="1"/>
  <c r="AH624" i="1"/>
  <c r="AI624" i="1"/>
  <c r="AF631" i="1"/>
  <c r="AG631" i="1"/>
  <c r="AH631" i="1"/>
  <c r="AI631" i="1"/>
  <c r="AF632" i="1"/>
  <c r="AG632" i="1"/>
  <c r="AH632" i="1"/>
  <c r="AI632" i="1"/>
  <c r="AF633" i="1"/>
  <c r="AG633" i="1"/>
  <c r="AH633" i="1"/>
  <c r="AI633" i="1"/>
  <c r="AF634" i="1"/>
  <c r="AG634" i="1"/>
  <c r="AH634" i="1"/>
  <c r="AI634" i="1"/>
  <c r="AF635" i="1"/>
  <c r="AG635" i="1"/>
  <c r="AH635" i="1"/>
  <c r="AI635" i="1"/>
  <c r="AF637" i="1"/>
  <c r="AG637" i="1"/>
  <c r="AH637" i="1"/>
  <c r="AI637" i="1"/>
  <c r="AF639" i="1"/>
  <c r="AG639" i="1"/>
  <c r="AH639" i="1"/>
  <c r="AI639" i="1"/>
  <c r="AF640" i="1"/>
  <c r="AG640" i="1"/>
  <c r="AH640" i="1"/>
  <c r="AI640" i="1"/>
  <c r="AF641" i="1"/>
  <c r="AG641" i="1"/>
  <c r="AH641" i="1"/>
  <c r="AI641" i="1"/>
  <c r="AF642" i="1"/>
  <c r="AG642" i="1"/>
  <c r="AH642" i="1"/>
  <c r="AI642" i="1"/>
  <c r="AF651" i="1"/>
  <c r="AG651" i="1"/>
  <c r="AH651" i="1"/>
  <c r="AI651" i="1"/>
  <c r="AF652" i="1"/>
  <c r="AG652" i="1"/>
  <c r="AH652" i="1"/>
  <c r="AI652" i="1"/>
  <c r="AG693" i="1"/>
  <c r="AI693" i="1"/>
  <c r="AG694" i="1"/>
  <c r="AI694" i="1"/>
  <c r="AF695" i="1"/>
  <c r="AG695" i="1"/>
  <c r="BF695" i="1"/>
  <c r="AH695" i="1"/>
  <c r="AI695" i="1"/>
  <c r="AF696" i="1"/>
  <c r="AG696" i="1"/>
  <c r="AH696" i="1"/>
  <c r="AI696" i="1"/>
  <c r="AF697" i="1"/>
  <c r="AG697" i="1"/>
  <c r="AH697" i="1"/>
  <c r="AF704" i="1"/>
  <c r="AG704" i="1"/>
  <c r="AH704" i="1"/>
  <c r="AI704" i="1"/>
  <c r="AF705" i="1"/>
  <c r="AG705" i="1"/>
  <c r="AH705" i="1"/>
  <c r="AI705" i="1"/>
  <c r="AF706" i="1"/>
  <c r="AG706" i="1"/>
  <c r="AH706" i="1"/>
  <c r="AI706" i="1"/>
  <c r="AF707" i="1"/>
  <c r="AG707" i="1"/>
  <c r="AH707" i="1"/>
  <c r="AI707" i="1"/>
  <c r="AF708" i="1"/>
  <c r="AG708" i="1"/>
  <c r="AH708" i="1"/>
  <c r="AI708" i="1"/>
  <c r="AF709" i="1"/>
  <c r="AG709" i="1"/>
  <c r="AH709" i="1"/>
  <c r="AI709" i="1"/>
  <c r="AF710" i="1"/>
  <c r="AG710" i="1"/>
  <c r="AH710" i="1"/>
  <c r="AI710" i="1"/>
  <c r="AF711" i="1"/>
  <c r="AG711" i="1"/>
  <c r="AH711" i="1"/>
  <c r="AI711" i="1"/>
  <c r="AF712" i="1"/>
  <c r="AG712" i="1"/>
  <c r="AH712" i="1"/>
  <c r="AI712" i="1"/>
  <c r="AF713" i="1"/>
  <c r="AG713" i="1"/>
  <c r="AH713" i="1"/>
  <c r="AI713" i="1"/>
  <c r="AF714" i="1"/>
  <c r="AG714" i="1"/>
  <c r="AH714" i="1"/>
  <c r="AI714" i="1"/>
  <c r="AF715" i="1"/>
  <c r="AG715" i="1"/>
  <c r="AH715" i="1"/>
  <c r="AI715" i="1"/>
  <c r="AF716" i="1"/>
  <c r="AG716" i="1"/>
  <c r="AH716" i="1"/>
  <c r="AI716" i="1"/>
  <c r="AF717" i="1"/>
  <c r="AG717" i="1"/>
  <c r="AH717" i="1"/>
  <c r="AI717" i="1"/>
  <c r="AF718" i="1"/>
  <c r="AG718" i="1"/>
  <c r="AH718" i="1"/>
  <c r="AI718" i="1"/>
  <c r="AF721" i="1"/>
  <c r="AG721" i="1"/>
  <c r="AH721" i="1"/>
  <c r="AI721" i="1"/>
  <c r="AF722" i="1"/>
  <c r="AG722" i="1"/>
  <c r="AH722" i="1"/>
  <c r="AI722" i="1"/>
  <c r="AF723" i="1"/>
  <c r="AG723" i="1"/>
  <c r="AH723" i="1"/>
  <c r="AI723" i="1"/>
  <c r="AF726" i="1"/>
  <c r="AG726" i="1"/>
  <c r="AH726" i="1"/>
  <c r="AI726" i="1"/>
  <c r="AF727" i="1"/>
  <c r="AG727" i="1"/>
  <c r="AH727" i="1"/>
  <c r="AI727" i="1"/>
  <c r="AF728" i="1"/>
  <c r="AG728" i="1"/>
  <c r="AH728" i="1"/>
  <c r="AI728" i="1"/>
  <c r="AF731" i="1"/>
  <c r="AG731" i="1"/>
  <c r="AH731" i="1"/>
  <c r="AI731" i="1"/>
  <c r="AF732" i="1"/>
  <c r="AG732" i="1"/>
  <c r="AH732" i="1"/>
  <c r="AI732" i="1"/>
  <c r="AF733" i="1"/>
  <c r="AG733" i="1"/>
  <c r="AH733" i="1"/>
  <c r="AI733" i="1"/>
  <c r="AF734" i="1"/>
  <c r="AG734" i="1"/>
  <c r="AH734" i="1"/>
  <c r="AI734" i="1"/>
  <c r="AF750" i="1"/>
  <c r="AG750" i="1"/>
  <c r="AH750" i="1"/>
  <c r="AI750" i="1"/>
  <c r="AF751" i="1"/>
  <c r="AG751" i="1"/>
  <c r="AH751" i="1"/>
  <c r="AI751" i="1"/>
  <c r="AF752" i="1"/>
  <c r="AG752" i="1"/>
  <c r="AH752" i="1"/>
  <c r="AI752" i="1"/>
  <c r="AF753" i="1"/>
  <c r="AG753" i="1"/>
  <c r="AH753" i="1"/>
  <c r="AI753" i="1"/>
  <c r="AF757" i="1"/>
  <c r="AG757" i="1"/>
  <c r="AH757" i="1"/>
  <c r="AI757" i="1"/>
  <c r="AF768" i="1"/>
  <c r="AH768" i="1"/>
  <c r="AI768" i="1"/>
  <c r="AF769" i="1"/>
  <c r="AH769" i="1"/>
  <c r="AI769" i="1"/>
  <c r="AF770" i="1"/>
  <c r="AH770" i="1"/>
  <c r="AI770" i="1"/>
  <c r="AF771" i="1"/>
  <c r="AH771" i="1"/>
  <c r="AI771" i="1"/>
  <c r="AF800" i="1"/>
  <c r="AG800" i="1"/>
  <c r="AH800" i="1"/>
  <c r="AI800" i="1"/>
  <c r="AF801" i="1"/>
  <c r="AG801" i="1"/>
  <c r="AH801" i="1"/>
  <c r="AI801" i="1"/>
  <c r="AF804" i="1"/>
  <c r="AG804" i="1"/>
  <c r="AH804" i="1"/>
  <c r="AI804" i="1"/>
  <c r="AF805" i="1"/>
  <c r="AG805" i="1"/>
  <c r="AH805" i="1"/>
  <c r="AI805" i="1"/>
  <c r="AF806" i="1"/>
  <c r="AG806" i="1"/>
  <c r="AH806" i="1"/>
  <c r="AI806" i="1"/>
  <c r="AF807" i="1"/>
  <c r="AG807" i="1"/>
  <c r="AH807" i="1"/>
  <c r="AI807" i="1"/>
  <c r="AF813" i="1"/>
  <c r="AG813" i="1"/>
  <c r="AH813" i="1"/>
  <c r="AI813" i="1"/>
  <c r="AF814" i="1"/>
  <c r="AG814" i="1"/>
  <c r="AH814" i="1"/>
  <c r="AI814" i="1"/>
  <c r="AF815" i="1"/>
  <c r="AG815" i="1"/>
  <c r="AH815" i="1"/>
  <c r="AI815" i="1"/>
  <c r="AF816" i="1"/>
  <c r="AG816" i="1"/>
  <c r="AH816" i="1"/>
  <c r="AI816" i="1"/>
  <c r="AF819" i="1"/>
  <c r="AG819" i="1"/>
  <c r="AH819" i="1"/>
  <c r="AI819" i="1"/>
  <c r="AF820" i="1"/>
  <c r="AG820" i="1"/>
  <c r="AH820" i="1"/>
  <c r="AI820" i="1"/>
  <c r="AF821" i="1"/>
  <c r="AG821" i="1"/>
  <c r="AH821" i="1"/>
  <c r="AI821" i="1"/>
  <c r="AF822" i="1"/>
  <c r="AG822" i="1"/>
  <c r="AH822" i="1"/>
  <c r="AI822" i="1"/>
  <c r="AF823" i="1"/>
  <c r="AG823" i="1"/>
  <c r="AH823" i="1"/>
  <c r="AI823" i="1"/>
  <c r="AF856" i="1"/>
  <c r="AG856" i="1"/>
  <c r="AH856" i="1"/>
  <c r="AI856" i="1"/>
  <c r="AG861" i="1"/>
  <c r="AH861" i="1"/>
  <c r="AI861" i="1"/>
  <c r="AF876" i="1"/>
  <c r="AG876" i="1"/>
  <c r="AH876" i="1"/>
  <c r="AI876" i="1"/>
  <c r="AF877" i="1"/>
  <c r="AG877" i="1"/>
  <c r="AH877" i="1"/>
  <c r="AI877" i="1"/>
  <c r="AF878" i="1"/>
  <c r="AG878" i="1"/>
  <c r="AH878" i="1"/>
  <c r="AI878" i="1"/>
  <c r="AF879" i="1"/>
  <c r="AG879" i="1"/>
  <c r="AH879" i="1"/>
  <c r="AI879" i="1"/>
  <c r="AF911" i="1"/>
  <c r="AG911" i="1"/>
  <c r="AH911" i="1"/>
  <c r="AI911" i="1"/>
  <c r="AF912" i="1"/>
  <c r="AG912" i="1"/>
  <c r="AH912" i="1"/>
  <c r="AI912" i="1"/>
  <c r="AF913" i="1"/>
  <c r="AG913" i="1"/>
  <c r="AH913" i="1"/>
  <c r="AI913" i="1"/>
  <c r="AF914" i="1"/>
  <c r="AG914" i="1"/>
  <c r="AH914" i="1"/>
  <c r="AI914" i="1"/>
  <c r="AF915" i="1"/>
  <c r="AG915" i="1"/>
  <c r="AH915" i="1"/>
  <c r="AI915" i="1"/>
  <c r="AF916" i="1"/>
  <c r="AG916" i="1"/>
  <c r="AH916" i="1"/>
  <c r="AI916" i="1"/>
  <c r="AF917" i="1"/>
  <c r="AG917" i="1"/>
  <c r="AH917" i="1"/>
  <c r="AI917" i="1"/>
  <c r="AF918" i="1"/>
  <c r="AG918" i="1"/>
  <c r="AH918" i="1"/>
  <c r="AI918" i="1"/>
  <c r="AF919" i="1"/>
  <c r="AG919" i="1"/>
  <c r="AH919" i="1"/>
  <c r="AI919" i="1"/>
  <c r="AF920" i="1"/>
  <c r="AG920" i="1"/>
  <c r="AH920" i="1"/>
  <c r="AI920" i="1"/>
  <c r="AF935" i="1"/>
  <c r="AG935" i="1"/>
  <c r="AH935" i="1"/>
  <c r="AI935" i="1"/>
  <c r="AF936" i="1"/>
  <c r="AG936" i="1"/>
  <c r="AH936" i="1"/>
  <c r="AI936" i="1"/>
  <c r="AF937" i="1"/>
  <c r="AG937" i="1"/>
  <c r="AH937" i="1"/>
  <c r="AI937" i="1"/>
  <c r="AF938" i="1"/>
  <c r="AG938" i="1"/>
  <c r="AH938" i="1"/>
  <c r="AI938" i="1"/>
  <c r="AF1007" i="1"/>
  <c r="AG1007" i="1"/>
  <c r="AH1007" i="1"/>
  <c r="AI1007" i="1"/>
  <c r="AG1008" i="1"/>
  <c r="AH1008" i="1"/>
  <c r="AI1008" i="1"/>
  <c r="AS1286" i="1"/>
  <c r="AF1286" i="1"/>
  <c r="AS1287" i="1"/>
  <c r="AF1287" i="1" s="1"/>
  <c r="AG1180" i="1"/>
  <c r="AH1180" i="1"/>
  <c r="AI1180" i="1"/>
  <c r="AG1181" i="1"/>
  <c r="AH1181" i="1"/>
  <c r="AI1181" i="1"/>
  <c r="AG1185" i="1"/>
  <c r="AH1185" i="1"/>
  <c r="AI1185" i="1"/>
  <c r="AG1186" i="1"/>
  <c r="AH1186" i="1"/>
  <c r="AI1186" i="1"/>
  <c r="AF1264" i="1"/>
  <c r="AG1264" i="1"/>
  <c r="BF1264" i="1"/>
  <c r="AH1264" i="1" s="1"/>
  <c r="AI1264" i="1"/>
  <c r="AF1265" i="1"/>
  <c r="AG1265" i="1"/>
  <c r="BF1265" i="1"/>
  <c r="AH1265" i="1" s="1"/>
  <c r="AI1265" i="1"/>
  <c r="AF1266" i="1"/>
  <c r="AG1266" i="1"/>
  <c r="BF1266" i="1"/>
  <c r="AH1266" i="1"/>
  <c r="AI1266" i="1"/>
  <c r="AG1286" i="1"/>
  <c r="BF1286" i="1"/>
  <c r="AH1286" i="1"/>
  <c r="AI1286" i="1"/>
  <c r="AG1287" i="1"/>
  <c r="BF1287" i="1"/>
  <c r="AH1287" i="1"/>
  <c r="AI1287" i="1"/>
  <c r="AS1290" i="1"/>
  <c r="AF1290" i="1" s="1"/>
  <c r="AG1290" i="1"/>
  <c r="BF1290" i="1"/>
  <c r="AH1290" i="1" s="1"/>
  <c r="AI1290" i="1"/>
  <c r="AS1291" i="1"/>
  <c r="AF1291" i="1"/>
  <c r="AG1291" i="1"/>
  <c r="BF1291" i="1"/>
  <c r="AH1291" i="1"/>
  <c r="AI1291" i="1"/>
  <c r="AF1311" i="1"/>
  <c r="AG1311" i="1"/>
  <c r="BF1311" i="1"/>
  <c r="AH1311" i="1"/>
  <c r="AI1311" i="1"/>
  <c r="AF1312" i="1"/>
  <c r="AG1312" i="1"/>
  <c r="BF1312" i="1"/>
  <c r="AH1312" i="1" s="1"/>
  <c r="AI1312" i="1"/>
  <c r="AF1313" i="1"/>
  <c r="AG1313" i="1"/>
  <c r="BF1313" i="1"/>
  <c r="AH1313" i="1" s="1"/>
  <c r="AI1313" i="1"/>
  <c r="AF1314" i="1"/>
  <c r="AG1314" i="1"/>
  <c r="BF1314" i="1"/>
  <c r="AH1314" i="1"/>
  <c r="AI1314" i="1"/>
  <c r="AF1315" i="1"/>
  <c r="AG1315" i="1"/>
  <c r="BF1315" i="1"/>
  <c r="AH1315" i="1"/>
  <c r="AI1315" i="1"/>
  <c r="AF1316" i="1"/>
  <c r="AG1316" i="1"/>
  <c r="BF1316" i="1"/>
  <c r="AH1316" i="1" s="1"/>
  <c r="AI1316" i="1"/>
  <c r="AF1317" i="1"/>
  <c r="AG1317" i="1"/>
  <c r="BF1317" i="1"/>
  <c r="AH1317" i="1" s="1"/>
  <c r="AI1317" i="1"/>
  <c r="AF1318" i="1"/>
  <c r="AG1318" i="1"/>
  <c r="BF1318" i="1"/>
  <c r="AH1318" i="1"/>
  <c r="AI1318" i="1"/>
  <c r="AF1380" i="1"/>
  <c r="AG1380" i="1"/>
  <c r="BF1380" i="1"/>
  <c r="AH1380" i="1"/>
  <c r="AI1380" i="1"/>
  <c r="AF1381" i="1"/>
  <c r="AG1381" i="1"/>
  <c r="BF1381" i="1"/>
  <c r="AH1381" i="1" s="1"/>
  <c r="AI1381" i="1"/>
  <c r="AF1382" i="1"/>
  <c r="AG1382" i="1"/>
  <c r="BF1382" i="1"/>
  <c r="AH1382" i="1" s="1"/>
  <c r="AI1382" i="1"/>
  <c r="AS1420" i="1"/>
  <c r="AF1420" i="1" s="1"/>
  <c r="AG1420" i="1"/>
  <c r="BF1420" i="1"/>
  <c r="AH1420" i="1"/>
  <c r="AI1420" i="1"/>
  <c r="AS1421" i="1"/>
  <c r="AF1421" i="1"/>
  <c r="AG1421" i="1"/>
  <c r="BF1421" i="1"/>
  <c r="AH1421" i="1" s="1"/>
  <c r="AI1421" i="1"/>
  <c r="AS1422" i="1"/>
  <c r="AF1422" i="1" s="1"/>
  <c r="AG1422" i="1"/>
  <c r="BF1422" i="1"/>
  <c r="AH1422" i="1"/>
  <c r="AI1422" i="1"/>
  <c r="AS1423" i="1"/>
  <c r="AF1423" i="1"/>
  <c r="AG1423" i="1"/>
  <c r="BF1423" i="1"/>
  <c r="AH1423" i="1" s="1"/>
  <c r="AI1423" i="1"/>
  <c r="AS1424" i="1"/>
  <c r="AF1424" i="1" s="1"/>
  <c r="AG1424" i="1"/>
  <c r="BF1424" i="1"/>
  <c r="AH1424" i="1"/>
  <c r="AI1424" i="1"/>
  <c r="AS1425" i="1"/>
  <c r="AF1425" i="1"/>
  <c r="AG1425" i="1"/>
  <c r="BF1425" i="1"/>
  <c r="AH1425" i="1" s="1"/>
  <c r="AI1425" i="1"/>
  <c r="AS1445" i="1"/>
  <c r="AF1445" i="1" s="1"/>
  <c r="AG1445" i="1"/>
  <c r="BF1445" i="1"/>
  <c r="AH1445" i="1"/>
  <c r="AI1445" i="1"/>
  <c r="AS1446" i="1"/>
  <c r="AF1446" i="1"/>
  <c r="AG1446" i="1"/>
  <c r="BF1446" i="1"/>
  <c r="AH1446" i="1" s="1"/>
  <c r="AI1446" i="1"/>
  <c r="AS1447" i="1"/>
  <c r="AF1447" i="1" s="1"/>
  <c r="AG1447" i="1"/>
  <c r="BF1447" i="1"/>
  <c r="AH1447" i="1"/>
  <c r="AI1447" i="1"/>
  <c r="AS1448" i="1"/>
  <c r="AF1448" i="1"/>
  <c r="AG1448" i="1"/>
  <c r="BF1448" i="1"/>
  <c r="AH1448" i="1" s="1"/>
  <c r="AI1448" i="1"/>
  <c r="AS1449" i="1"/>
  <c r="AF1449" i="1" s="1"/>
  <c r="AG1449" i="1"/>
  <c r="BF1449" i="1"/>
  <c r="AH1449" i="1"/>
  <c r="AI1449" i="1"/>
  <c r="AF1530" i="1"/>
  <c r="AG1530" i="1"/>
  <c r="BF1530" i="1"/>
  <c r="AH1530" i="1" s="1"/>
  <c r="AI1530" i="1"/>
  <c r="AF1579" i="1"/>
  <c r="AG1579" i="1"/>
  <c r="BF1579" i="1"/>
  <c r="AH1579" i="1" s="1"/>
  <c r="AI1579" i="1"/>
  <c r="AF1580" i="1"/>
  <c r="AG1580" i="1"/>
  <c r="BF1580" i="1"/>
  <c r="AH1580" i="1"/>
  <c r="AI1580" i="1"/>
  <c r="AF1581" i="1"/>
  <c r="AG1581" i="1"/>
  <c r="BF1581" i="1"/>
  <c r="AH1581" i="1"/>
  <c r="AI1581" i="1"/>
  <c r="AF1582" i="1"/>
  <c r="AG1582" i="1"/>
  <c r="BF1582" i="1"/>
  <c r="AH1582" i="1" s="1"/>
  <c r="AI1582" i="1"/>
  <c r="AF1583" i="1"/>
  <c r="AG1583" i="1"/>
  <c r="AF1607" i="1"/>
  <c r="AG1607" i="1"/>
  <c r="AF1608" i="1"/>
  <c r="AG1608" i="1"/>
  <c r="AF1609" i="1"/>
  <c r="AG1609" i="1"/>
  <c r="AH1609" i="1"/>
  <c r="AI1609" i="1"/>
  <c r="AF1625" i="1"/>
  <c r="AG1625" i="1"/>
  <c r="AF1626" i="1"/>
  <c r="AG1626" i="1"/>
  <c r="AF1627" i="1"/>
  <c r="AG1627" i="1"/>
  <c r="AF1628" i="1"/>
  <c r="AG1628" i="1"/>
  <c r="AF340" i="1"/>
  <c r="AG340" i="1"/>
  <c r="AH340" i="1"/>
  <c r="AI340" i="1"/>
  <c r="AF346" i="1"/>
  <c r="AG346" i="1"/>
  <c r="AH346" i="1"/>
  <c r="AI346" i="1"/>
  <c r="AF376" i="1"/>
  <c r="AG376" i="1"/>
  <c r="AH376" i="1"/>
  <c r="AI376" i="1"/>
  <c r="AF377" i="1"/>
  <c r="AG377" i="1"/>
  <c r="AH377" i="1"/>
  <c r="AI377" i="1"/>
  <c r="AF378" i="1"/>
  <c r="AG378" i="1"/>
  <c r="AH378" i="1"/>
  <c r="AI378" i="1"/>
  <c r="AF379" i="1"/>
  <c r="AG379" i="1"/>
  <c r="AH379" i="1"/>
  <c r="AI379" i="1"/>
  <c r="AF532" i="1"/>
  <c r="AG532" i="1"/>
  <c r="AH532" i="1"/>
  <c r="AI532" i="1"/>
  <c r="AF533" i="1"/>
  <c r="AG533" i="1"/>
  <c r="AH533" i="1"/>
  <c r="AI533" i="1"/>
  <c r="AF534" i="1"/>
  <c r="AG534" i="1"/>
  <c r="AH534" i="1"/>
  <c r="AI534" i="1"/>
  <c r="AF535" i="1"/>
  <c r="AG535" i="1"/>
  <c r="AH535" i="1"/>
  <c r="AI535" i="1"/>
  <c r="AF536" i="1"/>
  <c r="AG536" i="1"/>
  <c r="AH536" i="1"/>
  <c r="AI536" i="1"/>
  <c r="AF539" i="1"/>
  <c r="AF576" i="1"/>
  <c r="AG576" i="1"/>
  <c r="AH576" i="1"/>
  <c r="AI576" i="1"/>
  <c r="AF577" i="1"/>
  <c r="AG577" i="1"/>
  <c r="AH577" i="1"/>
  <c r="AI577" i="1"/>
  <c r="AF605" i="1"/>
  <c r="AG605" i="1"/>
  <c r="AH605" i="1"/>
  <c r="AF661" i="1"/>
  <c r="AG661" i="1"/>
  <c r="AH661" i="1"/>
  <c r="AI661" i="1"/>
  <c r="AF662" i="1"/>
  <c r="AG662" i="1"/>
  <c r="AH662" i="1"/>
  <c r="AI662" i="1"/>
  <c r="AF663" i="1"/>
  <c r="AG663" i="1"/>
  <c r="AH663" i="1"/>
  <c r="AI663" i="1"/>
  <c r="AF664" i="1"/>
  <c r="AG664" i="1"/>
  <c r="AH664" i="1"/>
  <c r="AI664" i="1"/>
  <c r="AF665" i="1"/>
  <c r="AG665" i="1"/>
  <c r="AH665" i="1"/>
  <c r="AI665" i="1"/>
  <c r="AF666" i="1"/>
  <c r="AG666" i="1"/>
  <c r="AH666" i="1"/>
  <c r="AI666" i="1"/>
  <c r="AF667" i="1"/>
  <c r="AG667" i="1"/>
  <c r="AH667" i="1"/>
  <c r="AI667" i="1"/>
  <c r="AF668" i="1"/>
  <c r="AG668" i="1"/>
  <c r="AH668" i="1"/>
  <c r="AI668" i="1"/>
  <c r="AF669" i="1"/>
  <c r="AG669" i="1"/>
  <c r="AH669" i="1"/>
  <c r="AI669" i="1"/>
  <c r="AF670" i="1"/>
  <c r="AG670" i="1"/>
  <c r="AH670" i="1"/>
  <c r="AI670" i="1"/>
  <c r="AF671" i="1"/>
  <c r="AG671" i="1"/>
  <c r="AH671" i="1"/>
  <c r="AI671" i="1"/>
  <c r="AF672" i="1"/>
  <c r="AG672" i="1"/>
  <c r="AH672" i="1"/>
  <c r="AI672" i="1"/>
  <c r="AF673" i="1"/>
  <c r="AG673" i="1"/>
  <c r="AH673" i="1"/>
  <c r="AI673" i="1"/>
  <c r="AF674" i="1"/>
  <c r="AG674" i="1"/>
  <c r="AH674" i="1"/>
  <c r="AI674" i="1"/>
  <c r="AF675" i="1"/>
  <c r="AG675" i="1"/>
  <c r="AH675" i="1"/>
  <c r="AI675" i="1"/>
  <c r="AF676" i="1"/>
  <c r="AG676" i="1"/>
  <c r="AH676" i="1"/>
  <c r="AI676" i="1"/>
  <c r="AF677" i="1"/>
  <c r="AG677" i="1"/>
  <c r="AH677" i="1"/>
  <c r="AI677" i="1"/>
  <c r="AF678" i="1"/>
  <c r="AG678" i="1"/>
  <c r="AH678" i="1"/>
  <c r="AI678" i="1"/>
  <c r="AF679" i="1"/>
  <c r="AG679" i="1"/>
  <c r="AH679" i="1"/>
  <c r="AI679" i="1"/>
  <c r="AF680" i="1"/>
  <c r="AG680" i="1"/>
  <c r="AH680" i="1"/>
  <c r="AI680" i="1"/>
  <c r="AF681" i="1"/>
  <c r="AG681" i="1"/>
  <c r="AH681" i="1"/>
  <c r="AI681" i="1"/>
  <c r="AF682" i="1"/>
  <c r="AG682" i="1"/>
  <c r="AH682" i="1"/>
  <c r="AI682" i="1"/>
  <c r="AF683" i="1"/>
  <c r="AG683" i="1"/>
  <c r="AH683" i="1"/>
  <c r="AI683" i="1"/>
  <c r="AF684" i="1"/>
  <c r="AG684" i="1"/>
  <c r="AH684" i="1"/>
  <c r="AI684" i="1"/>
  <c r="AF685" i="1"/>
  <c r="AG685" i="1"/>
  <c r="AH685" i="1"/>
  <c r="AI685" i="1"/>
  <c r="AF686" i="1"/>
  <c r="AG686" i="1"/>
  <c r="AH686" i="1"/>
  <c r="AI686" i="1"/>
  <c r="AF698" i="1"/>
  <c r="AG698" i="1"/>
  <c r="AH698" i="1"/>
  <c r="AI698" i="1"/>
  <c r="AF699" i="1"/>
  <c r="AG699" i="1"/>
  <c r="AH699" i="1"/>
  <c r="AI699" i="1"/>
  <c r="AF700" i="1"/>
  <c r="AG700" i="1"/>
  <c r="AH700" i="1"/>
  <c r="AI700" i="1"/>
  <c r="AF809" i="1"/>
  <c r="AG809" i="1"/>
  <c r="AH809" i="1"/>
  <c r="AI809" i="1"/>
  <c r="AF810" i="1"/>
  <c r="AG810" i="1"/>
  <c r="AH810" i="1"/>
  <c r="AI810" i="1"/>
  <c r="AF818" i="1"/>
  <c r="AG818" i="1"/>
  <c r="AH818" i="1"/>
  <c r="AI818" i="1"/>
  <c r="AF826" i="1"/>
  <c r="AG826" i="1"/>
  <c r="AH826" i="1"/>
  <c r="AI826" i="1"/>
  <c r="AF827" i="1"/>
  <c r="AG827" i="1"/>
  <c r="AH827" i="1"/>
  <c r="AI827" i="1"/>
  <c r="AF828" i="1"/>
  <c r="AG828" i="1"/>
  <c r="AH828" i="1"/>
  <c r="AI828" i="1"/>
  <c r="AF829" i="1"/>
  <c r="AG829" i="1"/>
  <c r="AH829" i="1"/>
  <c r="AI829" i="1"/>
  <c r="AF830" i="1"/>
  <c r="AG830" i="1"/>
  <c r="AH830" i="1"/>
  <c r="AI830" i="1"/>
  <c r="AF831" i="1"/>
  <c r="AG831" i="1"/>
  <c r="AH831" i="1"/>
  <c r="AI831" i="1"/>
  <c r="AF832" i="1"/>
  <c r="AG832" i="1"/>
  <c r="AH832" i="1"/>
  <c r="AI832" i="1"/>
  <c r="AF833" i="1"/>
  <c r="AG833" i="1"/>
  <c r="AH833" i="1"/>
  <c r="AI833" i="1"/>
  <c r="AF834" i="1"/>
  <c r="AG834" i="1"/>
  <c r="AH834" i="1"/>
  <c r="AI834" i="1"/>
  <c r="AF835" i="1"/>
  <c r="AG835" i="1"/>
  <c r="AH835" i="1"/>
  <c r="AI835" i="1"/>
  <c r="AF836" i="1"/>
  <c r="AG836" i="1"/>
  <c r="AH836" i="1"/>
  <c r="AI836" i="1"/>
  <c r="AF837" i="1"/>
  <c r="AG837" i="1"/>
  <c r="AH837" i="1"/>
  <c r="AI837" i="1"/>
  <c r="AF838" i="1"/>
  <c r="AG838" i="1"/>
  <c r="AH838" i="1"/>
  <c r="AI838" i="1"/>
  <c r="AF839" i="1"/>
  <c r="AG839" i="1"/>
  <c r="AH839" i="1"/>
  <c r="AI839" i="1"/>
  <c r="AF840" i="1"/>
  <c r="AG840" i="1"/>
  <c r="AH840" i="1"/>
  <c r="AI840" i="1"/>
  <c r="AF841" i="1"/>
  <c r="AG841" i="1"/>
  <c r="AH841" i="1"/>
  <c r="AI841" i="1"/>
  <c r="AF842" i="1"/>
  <c r="AG842" i="1"/>
  <c r="AH842" i="1"/>
  <c r="AI842" i="1"/>
  <c r="AF843" i="1"/>
  <c r="AG843" i="1"/>
  <c r="AH843" i="1"/>
  <c r="AI843" i="1"/>
  <c r="AF844" i="1"/>
  <c r="AG844" i="1"/>
  <c r="AH844" i="1"/>
  <c r="AI844" i="1"/>
  <c r="AF845" i="1"/>
  <c r="AG845" i="1"/>
  <c r="AH845" i="1"/>
  <c r="AI845" i="1"/>
  <c r="AG846" i="1"/>
  <c r="AI846" i="1"/>
  <c r="AG847" i="1"/>
  <c r="AI847" i="1"/>
  <c r="AG848" i="1"/>
  <c r="AI848" i="1"/>
  <c r="AF857" i="1"/>
  <c r="AG857" i="1"/>
  <c r="AH857" i="1"/>
  <c r="AI857" i="1"/>
  <c r="AF858" i="1"/>
  <c r="AG858" i="1"/>
  <c r="AH858" i="1"/>
  <c r="AI858" i="1"/>
  <c r="AF868" i="1"/>
  <c r="AG868" i="1"/>
  <c r="AH868" i="1"/>
  <c r="AI868" i="1"/>
  <c r="AF895" i="1"/>
  <c r="AG895" i="1"/>
  <c r="AH895" i="1"/>
  <c r="AI895" i="1"/>
  <c r="AF896" i="1"/>
  <c r="AG896" i="1"/>
  <c r="AH896" i="1"/>
  <c r="AI896" i="1"/>
  <c r="AF933" i="1"/>
  <c r="AG933" i="1"/>
  <c r="AH933" i="1"/>
  <c r="AI933" i="1"/>
  <c r="AF934" i="1"/>
  <c r="AG934" i="1"/>
  <c r="AH934" i="1"/>
  <c r="AI934" i="1"/>
  <c r="AF940" i="1"/>
  <c r="AG940" i="1"/>
  <c r="AH940" i="1"/>
  <c r="AI940" i="1"/>
  <c r="AF941" i="1"/>
  <c r="AG941" i="1"/>
  <c r="AH941" i="1"/>
  <c r="AI941" i="1"/>
  <c r="AF942" i="1"/>
  <c r="AG942" i="1"/>
  <c r="AH942" i="1"/>
  <c r="AI942" i="1"/>
  <c r="AF943" i="1"/>
  <c r="AG943" i="1"/>
  <c r="AH943" i="1"/>
  <c r="AI943" i="1"/>
  <c r="AF944" i="1"/>
  <c r="AG944" i="1"/>
  <c r="AH944" i="1"/>
  <c r="AI944" i="1"/>
  <c r="AF948" i="1"/>
  <c r="AH948" i="1"/>
  <c r="AI948" i="1"/>
  <c r="AF978" i="1"/>
  <c r="AG978" i="1"/>
  <c r="AH978" i="1"/>
  <c r="AI978" i="1"/>
  <c r="AF1233" i="1"/>
  <c r="AG1233" i="1"/>
  <c r="BF1233" i="1"/>
  <c r="AH1233" i="1" s="1"/>
  <c r="AI1233" i="1"/>
  <c r="AF1235" i="1"/>
  <c r="AG1235" i="1"/>
  <c r="BF1235" i="1"/>
  <c r="AH1235" i="1"/>
  <c r="AI1235" i="1"/>
  <c r="AF1248" i="1"/>
  <c r="AG1248" i="1"/>
  <c r="BF1248" i="1"/>
  <c r="AH1248" i="1" s="1"/>
  <c r="AI1248" i="1"/>
  <c r="AF1249" i="1"/>
  <c r="AG1249" i="1"/>
  <c r="BF1249" i="1"/>
  <c r="AH1249" i="1"/>
  <c r="AI1249" i="1"/>
  <c r="AF1250" i="1"/>
  <c r="AG1250" i="1"/>
  <c r="BF1250" i="1"/>
  <c r="AH1250" i="1" s="1"/>
  <c r="AI1250" i="1"/>
  <c r="AF1251" i="1"/>
  <c r="AG1251" i="1"/>
  <c r="BF1251" i="1"/>
  <c r="AH1251" i="1"/>
  <c r="AI1251" i="1"/>
  <c r="AF1252" i="1"/>
  <c r="AG1252" i="1"/>
  <c r="BF1252" i="1"/>
  <c r="AH1252" i="1" s="1"/>
  <c r="AI1252" i="1"/>
  <c r="AF1253" i="1"/>
  <c r="AG1253" i="1"/>
  <c r="BF1253" i="1"/>
  <c r="AH1253" i="1"/>
  <c r="AI1253" i="1"/>
  <c r="AF1254" i="1"/>
  <c r="AG1254" i="1"/>
  <c r="BF1254" i="1"/>
  <c r="AH1254" i="1" s="1"/>
  <c r="AI1254" i="1"/>
  <c r="AF1309" i="1"/>
  <c r="AG1309" i="1"/>
  <c r="BF1309" i="1"/>
  <c r="AH1309" i="1"/>
  <c r="AI1309" i="1"/>
  <c r="AF1310" i="1"/>
  <c r="AG1310" i="1"/>
  <c r="BF1310" i="1"/>
  <c r="AH1310" i="1" s="1"/>
  <c r="AI1310" i="1"/>
  <c r="AF3" i="1"/>
  <c r="AG3" i="1"/>
  <c r="AI3" i="1"/>
  <c r="AF4" i="1"/>
  <c r="AG4" i="1"/>
  <c r="AI4" i="1"/>
  <c r="AF5" i="1"/>
  <c r="AG5" i="1"/>
  <c r="AI5" i="1"/>
  <c r="AF10" i="1"/>
  <c r="AG10" i="1"/>
  <c r="AH10" i="1"/>
  <c r="AI10" i="1"/>
  <c r="AF11" i="1"/>
  <c r="AH11" i="1"/>
  <c r="AF12" i="1"/>
  <c r="AG12" i="1"/>
  <c r="AH12" i="1"/>
  <c r="AI12" i="1"/>
  <c r="AF13" i="1"/>
  <c r="AG13" i="1"/>
  <c r="AH13" i="1"/>
  <c r="AI13" i="1"/>
  <c r="AF86" i="1"/>
  <c r="AG86" i="1"/>
  <c r="AI86" i="1"/>
  <c r="AF87" i="1"/>
  <c r="AG87" i="1"/>
  <c r="AI87" i="1"/>
  <c r="AF88" i="1"/>
  <c r="AG88" i="1"/>
  <c r="AI88" i="1"/>
  <c r="AF89" i="1"/>
  <c r="AG89" i="1"/>
  <c r="AI89" i="1"/>
  <c r="AF90" i="1"/>
  <c r="AG90" i="1"/>
  <c r="AI90" i="1"/>
  <c r="AF91" i="1"/>
  <c r="AG91" i="1"/>
  <c r="AI91" i="1"/>
  <c r="AF94" i="1"/>
  <c r="AG94" i="1"/>
  <c r="AI94" i="1"/>
  <c r="AF95" i="1"/>
  <c r="AG95" i="1"/>
  <c r="AI95" i="1"/>
  <c r="AF96" i="1"/>
  <c r="AG96" i="1"/>
  <c r="AI96" i="1"/>
  <c r="AF97" i="1"/>
  <c r="AG97" i="1"/>
  <c r="AI97" i="1"/>
  <c r="AF98" i="1"/>
  <c r="AG98" i="1"/>
  <c r="AI98" i="1"/>
  <c r="AF99" i="1"/>
  <c r="AG99" i="1"/>
  <c r="AI99" i="1"/>
  <c r="AF100" i="1"/>
  <c r="AG100" i="1"/>
  <c r="AI100" i="1"/>
  <c r="AF101" i="1"/>
  <c r="AG101" i="1"/>
  <c r="AI101" i="1"/>
  <c r="AF102" i="1"/>
  <c r="AG102" i="1"/>
  <c r="AI102" i="1"/>
  <c r="AF103" i="1"/>
  <c r="AG103" i="1"/>
  <c r="AI103" i="1"/>
  <c r="AF105" i="1"/>
  <c r="AG105" i="1"/>
  <c r="AI105" i="1"/>
  <c r="AF106" i="1"/>
  <c r="AG106" i="1"/>
  <c r="AI106" i="1"/>
  <c r="AF107" i="1"/>
  <c r="AG107" i="1"/>
  <c r="AH107" i="1"/>
  <c r="AI107" i="1"/>
  <c r="AF108" i="1"/>
  <c r="AG108" i="1"/>
  <c r="AH108" i="1"/>
  <c r="AI108" i="1"/>
  <c r="AF109" i="1"/>
  <c r="AG109" i="1"/>
  <c r="AH109" i="1"/>
  <c r="AI109" i="1"/>
  <c r="AF113" i="1"/>
  <c r="AF115" i="1"/>
  <c r="AG115" i="1"/>
  <c r="AH115" i="1"/>
  <c r="AI115" i="1"/>
  <c r="AF117" i="1"/>
  <c r="AG117" i="1"/>
  <c r="AH117" i="1"/>
  <c r="AI117" i="1"/>
  <c r="AF118" i="1"/>
  <c r="AG118" i="1"/>
  <c r="AH118" i="1"/>
  <c r="AI118" i="1"/>
  <c r="AF119" i="1"/>
  <c r="AG119" i="1"/>
  <c r="AH119" i="1"/>
  <c r="AI119" i="1"/>
  <c r="AF120" i="1"/>
  <c r="AG120" i="1"/>
  <c r="AI120" i="1"/>
  <c r="AF121" i="1"/>
  <c r="AG121" i="1"/>
  <c r="AI121" i="1"/>
  <c r="AF122" i="1"/>
  <c r="AG122" i="1"/>
  <c r="AI122" i="1"/>
  <c r="AF123" i="1"/>
  <c r="AG123" i="1"/>
  <c r="AI123" i="1"/>
  <c r="AF124" i="1"/>
  <c r="AG124" i="1"/>
  <c r="AI124" i="1"/>
  <c r="AF125" i="1"/>
  <c r="AG125" i="1"/>
  <c r="AI125" i="1"/>
  <c r="AF126" i="1"/>
  <c r="AG126" i="1"/>
  <c r="AI126" i="1"/>
  <c r="AF127" i="1"/>
  <c r="AG127" i="1"/>
  <c r="AI127" i="1"/>
  <c r="AF128" i="1"/>
  <c r="AG128" i="1"/>
  <c r="AH128" i="1"/>
  <c r="AI128" i="1"/>
  <c r="AF129" i="1"/>
  <c r="AG129" i="1"/>
  <c r="AH129" i="1"/>
  <c r="AI129" i="1"/>
  <c r="AF130" i="1"/>
  <c r="AG130" i="1"/>
  <c r="AH130" i="1"/>
  <c r="AI130" i="1"/>
  <c r="AF131" i="1"/>
  <c r="AG131" i="1"/>
  <c r="AH131" i="1"/>
  <c r="AI131" i="1"/>
  <c r="AF132" i="1"/>
  <c r="AG132" i="1"/>
  <c r="AH132" i="1"/>
  <c r="AI132" i="1"/>
  <c r="AF133" i="1"/>
  <c r="AG133" i="1"/>
  <c r="AH133" i="1"/>
  <c r="AI133" i="1"/>
  <c r="AF134" i="1"/>
  <c r="AG134" i="1"/>
  <c r="AH134" i="1"/>
  <c r="AI134" i="1"/>
  <c r="AF135" i="1"/>
  <c r="AG135" i="1"/>
  <c r="AH135" i="1"/>
  <c r="AI135" i="1"/>
  <c r="AF136" i="1"/>
  <c r="AG136" i="1"/>
  <c r="AH136" i="1"/>
  <c r="AI136" i="1"/>
  <c r="AF137" i="1"/>
  <c r="AG137" i="1"/>
  <c r="AH137" i="1"/>
  <c r="AI137" i="1"/>
  <c r="AF138" i="1"/>
  <c r="AG138" i="1"/>
  <c r="AH138" i="1"/>
  <c r="AI138" i="1"/>
  <c r="AF139" i="1"/>
  <c r="AG139" i="1"/>
  <c r="AH139" i="1"/>
  <c r="AI139" i="1"/>
  <c r="AF140" i="1"/>
  <c r="AG140" i="1"/>
  <c r="AH140" i="1"/>
  <c r="AI140" i="1"/>
  <c r="AF141" i="1"/>
  <c r="AG141" i="1"/>
  <c r="AH141" i="1"/>
  <c r="AI141" i="1"/>
  <c r="AF142" i="1"/>
  <c r="AG142" i="1"/>
  <c r="AH142" i="1"/>
  <c r="AI142" i="1"/>
  <c r="AF143" i="1"/>
  <c r="AG143" i="1"/>
  <c r="AH143" i="1"/>
  <c r="AI143" i="1"/>
  <c r="AF144" i="1"/>
  <c r="AG144" i="1"/>
  <c r="AH144" i="1"/>
  <c r="AI144" i="1"/>
  <c r="AF145" i="1"/>
  <c r="AG145" i="1"/>
  <c r="AH145" i="1"/>
  <c r="AI145" i="1"/>
  <c r="AF146" i="1"/>
  <c r="AG146" i="1"/>
  <c r="AH146" i="1"/>
  <c r="AI146" i="1"/>
  <c r="AF147" i="1"/>
  <c r="AG147" i="1"/>
  <c r="AH147" i="1"/>
  <c r="AI147" i="1"/>
  <c r="AF148" i="1"/>
  <c r="AG148" i="1"/>
  <c r="AH148" i="1"/>
  <c r="AI148" i="1"/>
  <c r="AF149" i="1"/>
  <c r="AG149" i="1"/>
  <c r="AH149" i="1"/>
  <c r="AI149" i="1"/>
  <c r="AF150" i="1"/>
  <c r="AG150" i="1"/>
  <c r="AH150" i="1"/>
  <c r="AI150" i="1"/>
  <c r="AF151" i="1"/>
  <c r="AG151" i="1"/>
  <c r="AH151" i="1"/>
  <c r="AI151" i="1"/>
  <c r="AF152" i="1"/>
  <c r="AG152" i="1"/>
  <c r="AH152" i="1"/>
  <c r="AI152" i="1"/>
  <c r="AF153" i="1"/>
  <c r="AG153" i="1"/>
  <c r="AH153" i="1"/>
  <c r="AI153" i="1"/>
  <c r="AF154" i="1"/>
  <c r="AG154" i="1"/>
  <c r="AH154" i="1"/>
  <c r="AI154" i="1"/>
  <c r="AF155" i="1"/>
  <c r="AG155" i="1"/>
  <c r="AH155" i="1"/>
  <c r="AI155" i="1"/>
  <c r="AF156" i="1"/>
  <c r="AG156" i="1"/>
  <c r="AH156" i="1"/>
  <c r="AI156" i="1"/>
  <c r="AF157" i="1"/>
  <c r="AG157" i="1"/>
  <c r="AH157" i="1"/>
  <c r="AI157" i="1"/>
  <c r="AF158" i="1"/>
  <c r="AG158" i="1"/>
  <c r="AH158" i="1"/>
  <c r="AI158" i="1"/>
  <c r="AF159" i="1"/>
  <c r="AG159" i="1"/>
  <c r="AH159" i="1"/>
  <c r="AI159" i="1"/>
  <c r="AF160" i="1"/>
  <c r="AG160" i="1"/>
  <c r="AH160" i="1"/>
  <c r="AI160" i="1"/>
  <c r="AF161" i="1"/>
  <c r="AG161" i="1"/>
  <c r="AH161" i="1"/>
  <c r="AI161" i="1"/>
  <c r="AF162" i="1"/>
  <c r="AG162" i="1"/>
  <c r="AH162" i="1"/>
  <c r="AI162" i="1"/>
  <c r="AF246" i="1"/>
  <c r="AG246" i="1"/>
  <c r="AI246" i="1"/>
  <c r="AF247" i="1"/>
  <c r="AG247" i="1"/>
  <c r="AI247" i="1"/>
  <c r="AF248" i="1"/>
  <c r="AG248" i="1"/>
  <c r="AI248" i="1"/>
  <c r="AF249" i="1"/>
  <c r="AG249" i="1"/>
  <c r="AI249" i="1"/>
  <c r="AF250" i="1"/>
  <c r="AG250" i="1"/>
  <c r="AI250" i="1"/>
  <c r="AF251" i="1"/>
  <c r="AG251" i="1"/>
  <c r="AI251" i="1"/>
  <c r="AF252" i="1"/>
  <c r="AG252" i="1"/>
  <c r="AI252" i="1"/>
  <c r="AF253" i="1"/>
  <c r="AG253" i="1"/>
  <c r="AI253" i="1"/>
  <c r="AF254" i="1"/>
  <c r="AG254" i="1"/>
  <c r="AI254" i="1"/>
  <c r="AF255" i="1"/>
  <c r="AG255" i="1"/>
  <c r="AI255" i="1"/>
  <c r="AF256" i="1"/>
  <c r="AG256" i="1"/>
  <c r="AI256" i="1"/>
  <c r="AF257" i="1"/>
  <c r="AG257" i="1"/>
  <c r="AI257" i="1"/>
  <c r="AF258" i="1"/>
  <c r="AG258" i="1"/>
  <c r="AI258" i="1"/>
  <c r="AF259" i="1"/>
  <c r="AG259" i="1"/>
  <c r="AI259" i="1"/>
  <c r="AF260" i="1"/>
  <c r="AG260" i="1"/>
  <c r="AI260" i="1"/>
  <c r="AF284" i="1"/>
  <c r="AG284" i="1"/>
  <c r="AI284" i="1"/>
  <c r="AF285" i="1"/>
  <c r="AG285" i="1"/>
  <c r="AI285" i="1"/>
  <c r="AF287" i="1"/>
  <c r="AG287" i="1"/>
  <c r="AI287" i="1"/>
  <c r="AF412" i="1"/>
  <c r="AG412" i="1"/>
  <c r="AW412" i="1"/>
  <c r="AY412" i="1"/>
  <c r="AF413" i="1"/>
  <c r="AG413" i="1"/>
  <c r="AH413" i="1"/>
  <c r="AI413" i="1"/>
  <c r="AF414" i="1"/>
  <c r="AG414" i="1"/>
  <c r="AH414" i="1"/>
  <c r="AI414" i="1"/>
  <c r="AF415" i="1"/>
  <c r="AG415" i="1"/>
  <c r="AH415" i="1"/>
  <c r="AI415" i="1"/>
  <c r="AF416" i="1"/>
  <c r="AG416" i="1"/>
  <c r="AI416" i="1"/>
  <c r="AF417" i="1"/>
  <c r="AG417" i="1"/>
  <c r="AI417" i="1"/>
  <c r="AF418" i="1"/>
  <c r="AG418" i="1"/>
  <c r="AI418" i="1"/>
  <c r="AG419" i="1"/>
  <c r="AI419" i="1"/>
  <c r="AG420" i="1"/>
  <c r="AI420" i="1"/>
  <c r="AG421" i="1"/>
  <c r="AI421" i="1"/>
  <c r="AG422" i="1"/>
  <c r="AI422" i="1"/>
  <c r="AF423" i="1"/>
  <c r="AJ423" i="1"/>
  <c r="AK423" i="1"/>
  <c r="AL423" i="1"/>
  <c r="AH423" i="1"/>
  <c r="AW423" i="1"/>
  <c r="AY423" i="1"/>
  <c r="AF424" i="1"/>
  <c r="AJ424" i="1"/>
  <c r="AK424" i="1"/>
  <c r="AL424" i="1"/>
  <c r="AH424" i="1"/>
  <c r="AW424" i="1"/>
  <c r="AY424" i="1"/>
  <c r="AG425" i="1"/>
  <c r="AI425" i="1"/>
  <c r="AG426" i="1"/>
  <c r="AI426" i="1"/>
  <c r="AG427" i="1"/>
  <c r="AI427" i="1"/>
  <c r="AG428" i="1"/>
  <c r="AI428" i="1"/>
  <c r="AG429" i="1"/>
  <c r="AI429" i="1"/>
  <c r="AG430" i="1"/>
  <c r="AI430" i="1"/>
  <c r="AF431" i="1"/>
  <c r="AG431" i="1"/>
  <c r="AH431" i="1"/>
  <c r="AI431" i="1"/>
  <c r="AF432" i="1"/>
  <c r="AG432" i="1"/>
  <c r="AH432" i="1"/>
  <c r="AI432" i="1"/>
  <c r="AG433" i="1"/>
  <c r="AI433" i="1"/>
  <c r="AF434" i="1"/>
  <c r="AG434" i="1"/>
  <c r="AI434" i="1"/>
  <c r="AF435" i="1"/>
  <c r="AG435" i="1"/>
  <c r="AI435" i="1"/>
  <c r="AF436" i="1"/>
  <c r="AG436" i="1"/>
  <c r="AH436" i="1"/>
  <c r="AI436" i="1"/>
  <c r="AF437" i="1"/>
  <c r="AG437" i="1"/>
  <c r="AH437" i="1"/>
  <c r="AI437" i="1"/>
  <c r="AF438" i="1"/>
  <c r="AG438" i="1"/>
  <c r="AH438" i="1"/>
  <c r="AI438" i="1"/>
  <c r="AF627" i="1"/>
  <c r="AG627" i="1"/>
  <c r="AI627" i="1"/>
  <c r="AF628" i="1"/>
  <c r="AG628" i="1"/>
  <c r="AI628" i="1"/>
  <c r="AG629" i="1"/>
  <c r="AI629" i="1"/>
  <c r="AF630" i="1"/>
  <c r="AG630" i="1"/>
  <c r="AH630" i="1"/>
  <c r="AF649" i="1"/>
  <c r="AG649" i="1"/>
  <c r="AH649" i="1"/>
  <c r="AI649" i="1"/>
  <c r="AF886" i="1"/>
  <c r="AG886" i="1"/>
  <c r="AH886" i="1"/>
  <c r="AI886" i="1"/>
  <c r="AF887" i="1"/>
  <c r="AG887" i="1"/>
  <c r="AH887" i="1"/>
  <c r="AI887" i="1"/>
  <c r="AF888" i="1"/>
  <c r="AG888" i="1"/>
  <c r="AH888" i="1"/>
  <c r="AI888" i="1"/>
  <c r="AF889" i="1"/>
  <c r="AG889" i="1"/>
  <c r="AH889" i="1"/>
  <c r="AI889" i="1"/>
  <c r="AF890" i="1"/>
  <c r="AG890" i="1"/>
  <c r="AH890" i="1"/>
  <c r="AI890" i="1"/>
  <c r="AF891" i="1"/>
  <c r="AG891" i="1"/>
  <c r="AH891" i="1"/>
  <c r="AI891" i="1"/>
  <c r="AF892" i="1"/>
  <c r="AG892" i="1"/>
  <c r="AH892" i="1"/>
  <c r="AI892" i="1"/>
  <c r="AF1048" i="1"/>
  <c r="AG1048" i="1"/>
  <c r="BF1048" i="1"/>
  <c r="AH1048" i="1"/>
  <c r="AI1048" i="1"/>
  <c r="AF1049" i="1"/>
  <c r="AG1049" i="1"/>
  <c r="BF1049" i="1"/>
  <c r="AH1049" i="1" s="1"/>
  <c r="AI1049" i="1"/>
  <c r="AF1050" i="1"/>
  <c r="AG1050" i="1"/>
  <c r="BF1050" i="1"/>
  <c r="AH1050" i="1"/>
  <c r="AI1050" i="1"/>
  <c r="AF1051" i="1"/>
  <c r="AG1051" i="1"/>
  <c r="BF1051" i="1"/>
  <c r="AH1051" i="1" s="1"/>
  <c r="AI1051" i="1"/>
  <c r="AF1052" i="1"/>
  <c r="AG1052" i="1"/>
  <c r="BF1052" i="1"/>
  <c r="AH1052" i="1"/>
  <c r="AI1052" i="1"/>
  <c r="AF1053" i="1"/>
  <c r="AG1053" i="1"/>
  <c r="BF1053" i="1"/>
  <c r="AH1053" i="1" s="1"/>
  <c r="AI1053" i="1"/>
  <c r="AF1054" i="1"/>
  <c r="AG1054" i="1"/>
  <c r="BF1054" i="1"/>
  <c r="AH1054" i="1"/>
  <c r="AI1054" i="1"/>
  <c r="AF1055" i="1"/>
  <c r="AG1055" i="1"/>
  <c r="BF1055" i="1"/>
  <c r="AH1055" i="1"/>
  <c r="AI1055" i="1"/>
  <c r="AF1056" i="1"/>
  <c r="AG1056" i="1"/>
  <c r="BF1056" i="1"/>
  <c r="AH1056" i="1" s="1"/>
  <c r="AI1056" i="1"/>
  <c r="AF1057" i="1"/>
  <c r="AG1057" i="1"/>
  <c r="BF1057" i="1"/>
  <c r="AH1057" i="1"/>
  <c r="AI1057" i="1"/>
  <c r="AF1058" i="1"/>
  <c r="AG1058" i="1"/>
  <c r="BF1058" i="1"/>
  <c r="AH1058" i="1"/>
  <c r="AI1058" i="1"/>
  <c r="AF1059" i="1"/>
  <c r="AG1059" i="1"/>
  <c r="BF1059" i="1"/>
  <c r="AH1059" i="1"/>
  <c r="AI1059" i="1"/>
  <c r="AF1060" i="1"/>
  <c r="AG1060" i="1"/>
  <c r="BF1060" i="1"/>
  <c r="AH1060" i="1" s="1"/>
  <c r="AI1060" i="1"/>
  <c r="AF1183" i="1"/>
  <c r="AG1183" i="1"/>
  <c r="AH1183" i="1"/>
  <c r="AI1183" i="1"/>
  <c r="AF1222" i="1"/>
  <c r="AG1222" i="1"/>
  <c r="BF1222" i="1"/>
  <c r="AH1222" i="1"/>
  <c r="AI1222" i="1"/>
  <c r="AF1223" i="1"/>
  <c r="AG1223" i="1"/>
  <c r="BF1223" i="1"/>
  <c r="AH1223" i="1"/>
  <c r="AI1223" i="1"/>
  <c r="AF1224" i="1"/>
  <c r="AG1224" i="1"/>
  <c r="BF1224" i="1"/>
  <c r="AH1224" i="1"/>
  <c r="AI1224" i="1"/>
  <c r="AF1225" i="1"/>
  <c r="AG1225" i="1"/>
  <c r="BF1225" i="1"/>
  <c r="AH1225" i="1" s="1"/>
  <c r="AI1225" i="1"/>
  <c r="AF1226" i="1"/>
  <c r="AG1226" i="1"/>
  <c r="BF1226" i="1"/>
  <c r="AH1226" i="1"/>
  <c r="AI1226" i="1"/>
  <c r="AF1227" i="1"/>
  <c r="AG1227" i="1"/>
  <c r="BF1227" i="1"/>
  <c r="AH1227" i="1"/>
  <c r="AI1227" i="1"/>
  <c r="AF1228" i="1"/>
  <c r="AG1228" i="1"/>
  <c r="BF1228" i="1"/>
  <c r="AH1228" i="1"/>
  <c r="AI1228" i="1"/>
  <c r="AF1229" i="1"/>
  <c r="AG1229" i="1"/>
  <c r="BF1229" i="1"/>
  <c r="AH1229" i="1" s="1"/>
  <c r="AI1229" i="1"/>
  <c r="AF1230" i="1"/>
  <c r="AG1230" i="1"/>
  <c r="BF1230" i="1"/>
  <c r="AH1230" i="1"/>
  <c r="AI1230" i="1"/>
  <c r="AF1255" i="1"/>
  <c r="AG1255" i="1"/>
  <c r="BF1255" i="1"/>
  <c r="AH1255" i="1"/>
  <c r="AI1255" i="1"/>
  <c r="AF1256" i="1"/>
  <c r="AG1256" i="1"/>
  <c r="BF1256" i="1"/>
  <c r="AH1256" i="1"/>
  <c r="AI1256" i="1"/>
  <c r="AF1257" i="1"/>
  <c r="AG1257" i="1"/>
  <c r="BF1257" i="1"/>
  <c r="AH1257" i="1" s="1"/>
  <c r="AI1257" i="1"/>
  <c r="AF1258" i="1"/>
  <c r="AG1258" i="1"/>
  <c r="BF1258" i="1"/>
  <c r="AH1258" i="1"/>
  <c r="AI1258" i="1"/>
  <c r="AS1292" i="1"/>
  <c r="AF1292" i="1" s="1"/>
  <c r="AG1292" i="1"/>
  <c r="BF1292" i="1"/>
  <c r="AH1292" i="1"/>
  <c r="AI1292" i="1"/>
  <c r="AS1293" i="1"/>
  <c r="AF1293" i="1"/>
  <c r="AG1293" i="1"/>
  <c r="BF1293" i="1"/>
  <c r="AH1293" i="1"/>
  <c r="AI1293" i="1"/>
  <c r="AS1294" i="1"/>
  <c r="AF1294" i="1" s="1"/>
  <c r="AG1294" i="1"/>
  <c r="BF1294" i="1"/>
  <c r="AH1294" i="1"/>
  <c r="AI1294" i="1"/>
  <c r="AS1295" i="1"/>
  <c r="AF1295" i="1"/>
  <c r="AG1295" i="1"/>
  <c r="BF1295" i="1"/>
  <c r="AH1295" i="1"/>
  <c r="AI1295" i="1"/>
  <c r="AS1296" i="1"/>
  <c r="AF1296" i="1" s="1"/>
  <c r="AG1296" i="1"/>
  <c r="BF1296" i="1"/>
  <c r="AH1296" i="1"/>
  <c r="AI1296" i="1"/>
  <c r="AS1297" i="1"/>
  <c r="AF1297" i="1"/>
  <c r="AG1297" i="1"/>
  <c r="BF1297" i="1"/>
  <c r="AH1297" i="1"/>
  <c r="AI1297" i="1"/>
  <c r="AF1308" i="1"/>
  <c r="AG1308" i="1"/>
  <c r="AF1319" i="1"/>
  <c r="AG1319" i="1"/>
  <c r="BF1319" i="1"/>
  <c r="AH1319" i="1" s="1"/>
  <c r="AI1319" i="1"/>
  <c r="AF1320" i="1"/>
  <c r="AG1320" i="1"/>
  <c r="BF1320" i="1"/>
  <c r="AH1320" i="1"/>
  <c r="AI1320" i="1"/>
  <c r="AF1324" i="1"/>
  <c r="AG1324" i="1"/>
  <c r="AF1325" i="1"/>
  <c r="AG1325" i="1"/>
  <c r="AF1326" i="1"/>
  <c r="AG1326" i="1"/>
  <c r="AF1327" i="1"/>
  <c r="AG1327" i="1"/>
  <c r="AF1328" i="1"/>
  <c r="AG1328" i="1"/>
  <c r="AF1329" i="1"/>
  <c r="AG1329" i="1"/>
  <c r="AF1330" i="1"/>
  <c r="AG1330" i="1"/>
  <c r="AF1331" i="1"/>
  <c r="AG1331" i="1"/>
  <c r="AF1332" i="1"/>
  <c r="AG1332" i="1"/>
  <c r="AF1333" i="1"/>
  <c r="AG1333" i="1"/>
  <c r="AF1383" i="1"/>
  <c r="AG1383" i="1"/>
  <c r="BF1383" i="1"/>
  <c r="AH1383" i="1"/>
  <c r="AI1383" i="1"/>
  <c r="AF1384" i="1"/>
  <c r="AG1384" i="1"/>
  <c r="BF1384" i="1"/>
  <c r="AH1384" i="1"/>
  <c r="AI1384" i="1"/>
  <c r="AF1385" i="1"/>
  <c r="AG1385" i="1"/>
  <c r="BF1385" i="1"/>
  <c r="AH1385" i="1" s="1"/>
  <c r="AI1385" i="1"/>
  <c r="AF1386" i="1"/>
  <c r="AG1386" i="1"/>
  <c r="BF1386" i="1"/>
  <c r="AH1386" i="1"/>
  <c r="AI1386" i="1"/>
  <c r="AF1387" i="1"/>
  <c r="AG1387" i="1"/>
  <c r="BF1387" i="1"/>
  <c r="AH1387" i="1"/>
  <c r="AI1387" i="1"/>
  <c r="AF1388" i="1"/>
  <c r="AG1388" i="1"/>
  <c r="BF1388" i="1"/>
  <c r="AH1388" i="1"/>
  <c r="AI1388" i="1"/>
  <c r="AF1389" i="1"/>
  <c r="AG1389" i="1"/>
  <c r="BF1389" i="1"/>
  <c r="AH1389" i="1" s="1"/>
  <c r="AI1389" i="1"/>
  <c r="AF1390" i="1"/>
  <c r="AG1390" i="1"/>
  <c r="BF1390" i="1"/>
  <c r="AH1390" i="1"/>
  <c r="AI1390" i="1"/>
  <c r="AF1391" i="1"/>
  <c r="AG1391" i="1"/>
  <c r="BF1391" i="1"/>
  <c r="AH1391" i="1"/>
  <c r="AI1391" i="1"/>
  <c r="AF1392" i="1"/>
  <c r="AG1392" i="1"/>
  <c r="BF1392" i="1"/>
  <c r="AH1392" i="1"/>
  <c r="AI1392" i="1"/>
  <c r="AF1393" i="1"/>
  <c r="AG1393" i="1"/>
  <c r="BF1393" i="1"/>
  <c r="AH1393" i="1" s="1"/>
  <c r="AI1393" i="1"/>
  <c r="AF1394" i="1"/>
  <c r="AG1394" i="1"/>
  <c r="BF1394" i="1"/>
  <c r="AH1394" i="1"/>
  <c r="AI1394" i="1"/>
  <c r="AF1395" i="1"/>
  <c r="AG1395" i="1"/>
  <c r="BF1395" i="1"/>
  <c r="AH1395" i="1"/>
  <c r="AI1395" i="1"/>
  <c r="AF1396" i="1"/>
  <c r="AG1396" i="1"/>
  <c r="BF1396" i="1"/>
  <c r="AH1396" i="1"/>
  <c r="AI1396" i="1"/>
  <c r="AF1399" i="1"/>
  <c r="AG1399" i="1"/>
  <c r="AF1400" i="1"/>
  <c r="AG1400" i="1"/>
  <c r="AF1401" i="1"/>
  <c r="AG1401" i="1"/>
  <c r="AF1402" i="1"/>
  <c r="AG1402" i="1"/>
  <c r="AF1411" i="1"/>
  <c r="AG1411" i="1"/>
  <c r="BF1411" i="1"/>
  <c r="AH1411" i="1" s="1"/>
  <c r="AI1411" i="1"/>
  <c r="AF1412" i="1"/>
  <c r="AG1412" i="1"/>
  <c r="BF1412" i="1"/>
  <c r="AH1412" i="1"/>
  <c r="AI1412" i="1"/>
  <c r="AF1413" i="1"/>
  <c r="AG1413" i="1"/>
  <c r="BF1413" i="1"/>
  <c r="AH1413" i="1"/>
  <c r="AI1413" i="1"/>
  <c r="AF1414" i="1"/>
  <c r="AG1414" i="1"/>
  <c r="AF1415" i="1"/>
  <c r="AG1415" i="1"/>
  <c r="AF1416" i="1"/>
  <c r="AG1416" i="1"/>
  <c r="AF1417" i="1"/>
  <c r="AG1417" i="1"/>
  <c r="AF1418" i="1"/>
  <c r="AG1418" i="1"/>
  <c r="AF1419" i="1"/>
  <c r="AG1419" i="1"/>
  <c r="AF1451" i="1"/>
  <c r="AG1451" i="1"/>
  <c r="AS1452" i="1"/>
  <c r="AF1452" i="1"/>
  <c r="AG1452" i="1"/>
  <c r="BF1452" i="1"/>
  <c r="AH1452" i="1"/>
  <c r="AI1452" i="1"/>
  <c r="AF1463" i="1"/>
  <c r="AG1463" i="1"/>
  <c r="AF1464" i="1"/>
  <c r="AG1464" i="1"/>
  <c r="AF1465" i="1"/>
  <c r="AG1465" i="1"/>
  <c r="AF1468" i="1"/>
  <c r="AG1468" i="1"/>
  <c r="AF1469" i="1"/>
  <c r="AG1469" i="1"/>
  <c r="AF1470" i="1"/>
  <c r="AG1470" i="1"/>
  <c r="AF1471" i="1"/>
  <c r="AG1471" i="1"/>
  <c r="AF1483" i="1"/>
  <c r="AG1483" i="1"/>
  <c r="AF1484" i="1"/>
  <c r="AG1484" i="1"/>
  <c r="AF1485" i="1"/>
  <c r="AG1485" i="1"/>
  <c r="AF1510" i="1"/>
  <c r="AG1510" i="1"/>
  <c r="AF1511" i="1"/>
  <c r="AG1511" i="1"/>
  <c r="AF1514" i="1"/>
  <c r="AG1514" i="1"/>
  <c r="AW1514" i="1"/>
  <c r="BF1514" i="1"/>
  <c r="AH1514" i="1" s="1"/>
  <c r="AY1514" i="1"/>
  <c r="AS1549" i="1"/>
  <c r="AF1549" i="1"/>
  <c r="AG1549" i="1"/>
  <c r="AF1550" i="1"/>
  <c r="AG1550" i="1"/>
  <c r="AF1556" i="1"/>
  <c r="AG1556" i="1"/>
  <c r="AF1557" i="1"/>
  <c r="AG1557" i="1"/>
  <c r="AF1558" i="1"/>
  <c r="AG1558" i="1"/>
  <c r="AF1559" i="1"/>
  <c r="AG1559" i="1"/>
  <c r="AF1560" i="1"/>
  <c r="AG1560" i="1"/>
  <c r="AF1585" i="1"/>
  <c r="AG1585" i="1"/>
  <c r="AF1586" i="1"/>
  <c r="AG1586" i="1"/>
  <c r="AF1601" i="1"/>
  <c r="AG1601" i="1"/>
  <c r="BF1601" i="1"/>
  <c r="AH1601" i="1" s="1"/>
  <c r="AI1601" i="1"/>
  <c r="AF1602" i="1"/>
  <c r="AG1602" i="1"/>
  <c r="BF1602" i="1"/>
  <c r="AH1602" i="1"/>
  <c r="AI1602" i="1"/>
  <c r="AF1603" i="1"/>
  <c r="AG1603" i="1"/>
  <c r="BF1603" i="1"/>
  <c r="AH1603" i="1"/>
  <c r="AI1603" i="1"/>
  <c r="AF1629" i="1"/>
  <c r="AG1629" i="1"/>
  <c r="AF1642" i="1"/>
  <c r="AG1642" i="1"/>
  <c r="BF1642" i="1"/>
  <c r="AH1642" i="1"/>
  <c r="AI1642" i="1"/>
  <c r="AF1643" i="1"/>
  <c r="AG1643" i="1"/>
  <c r="BF1643" i="1"/>
  <c r="AH1643" i="1"/>
  <c r="AI1643" i="1"/>
  <c r="AF163" i="1"/>
  <c r="AG163" i="1"/>
  <c r="AH163" i="1"/>
  <c r="AI163" i="1"/>
  <c r="AF164" i="1"/>
  <c r="AG164" i="1"/>
  <c r="AH164" i="1"/>
  <c r="AI164" i="1"/>
  <c r="AF165" i="1"/>
  <c r="AG165" i="1"/>
  <c r="AH165" i="1"/>
  <c r="AI165" i="1"/>
  <c r="AF166" i="1"/>
  <c r="AG166" i="1"/>
  <c r="AH166" i="1"/>
  <c r="AI166" i="1"/>
  <c r="AF167" i="1"/>
  <c r="AG167" i="1"/>
  <c r="AH167" i="1"/>
  <c r="AI167" i="1"/>
  <c r="AF168" i="1"/>
  <c r="AG168" i="1"/>
  <c r="AH168" i="1"/>
  <c r="AI168" i="1"/>
  <c r="AF169" i="1"/>
  <c r="AG169" i="1"/>
  <c r="AH169" i="1"/>
  <c r="AI169" i="1"/>
  <c r="AF170" i="1"/>
  <c r="AG170" i="1"/>
  <c r="AH170" i="1"/>
  <c r="AI170" i="1"/>
  <c r="AF171" i="1"/>
  <c r="AG171" i="1"/>
  <c r="AH171" i="1"/>
  <c r="AI171" i="1"/>
  <c r="AF549" i="1"/>
  <c r="AG549" i="1"/>
  <c r="AH549" i="1"/>
  <c r="AI549" i="1"/>
  <c r="AF550" i="1"/>
  <c r="AG550" i="1"/>
  <c r="AH550" i="1"/>
  <c r="AI550" i="1"/>
  <c r="AF1231" i="1"/>
  <c r="AG1231" i="1"/>
  <c r="BF1231" i="1"/>
  <c r="AH1231" i="1"/>
  <c r="AI1231" i="1"/>
  <c r="AF1232" i="1"/>
  <c r="AG1232" i="1"/>
  <c r="BF1232" i="1"/>
  <c r="AH1232" i="1" s="1"/>
  <c r="AI1232" i="1"/>
  <c r="AF1236" i="1"/>
  <c r="AG1236" i="1"/>
  <c r="BF1236" i="1"/>
  <c r="AH1236" i="1"/>
  <c r="AI1236" i="1"/>
  <c r="AF273" i="1"/>
  <c r="AG273" i="1"/>
  <c r="AH273" i="1"/>
  <c r="AI273" i="1"/>
  <c r="AF274" i="1"/>
  <c r="AG274" i="1"/>
  <c r="AH274" i="1"/>
  <c r="AI274" i="1"/>
  <c r="AF275" i="1"/>
  <c r="AG275" i="1"/>
  <c r="AH275" i="1"/>
  <c r="AI275" i="1"/>
  <c r="AF276" i="1"/>
  <c r="AG276" i="1"/>
  <c r="AH276" i="1"/>
  <c r="AI276" i="1"/>
  <c r="AF277" i="1"/>
  <c r="AG277" i="1"/>
  <c r="AH277" i="1"/>
  <c r="AI277" i="1"/>
  <c r="AF279" i="1"/>
  <c r="AG279" i="1"/>
  <c r="AH279" i="1"/>
  <c r="AI279" i="1"/>
  <c r="AF280" i="1"/>
  <c r="AG280" i="1"/>
  <c r="AF281" i="1"/>
  <c r="AG281" i="1"/>
  <c r="AF282" i="1"/>
  <c r="AG282" i="1"/>
  <c r="AH282" i="1"/>
  <c r="AI282" i="1"/>
  <c r="AF283" i="1"/>
  <c r="AG283" i="1"/>
  <c r="AH283" i="1"/>
  <c r="AI283" i="1"/>
  <c r="AF559" i="1"/>
  <c r="AG559" i="1"/>
  <c r="AH559" i="1"/>
  <c r="AI559" i="1"/>
  <c r="AF561" i="1"/>
  <c r="AG561" i="1"/>
  <c r="AH561" i="1"/>
  <c r="AI561" i="1"/>
  <c r="AF654" i="1"/>
  <c r="AG654" i="1"/>
  <c r="AH654" i="1"/>
  <c r="AI654" i="1"/>
  <c r="AF655" i="1"/>
  <c r="AG655" i="1"/>
  <c r="AH655" i="1"/>
  <c r="AI655" i="1"/>
  <c r="AF656" i="1"/>
  <c r="AG656" i="1"/>
  <c r="AH656" i="1"/>
  <c r="AI656" i="1"/>
  <c r="AF657" i="1"/>
  <c r="AG657" i="1"/>
  <c r="AH657" i="1"/>
  <c r="AI657" i="1"/>
  <c r="AF658" i="1"/>
  <c r="AH658" i="1"/>
  <c r="AI658" i="1"/>
  <c r="AF659" i="1"/>
  <c r="AH659" i="1"/>
  <c r="AI659" i="1"/>
  <c r="AF660" i="1"/>
  <c r="AH660" i="1"/>
  <c r="AI660" i="1"/>
  <c r="AF797" i="1"/>
  <c r="AG797" i="1"/>
  <c r="AH797" i="1"/>
  <c r="AI797" i="1"/>
  <c r="AF798" i="1"/>
  <c r="AG798" i="1"/>
  <c r="AH798" i="1"/>
  <c r="AI798" i="1"/>
  <c r="AF799" i="1"/>
  <c r="AG799" i="1"/>
  <c r="AH799" i="1"/>
  <c r="AI799" i="1"/>
  <c r="AF825" i="1"/>
  <c r="AG825" i="1"/>
  <c r="AH825" i="1"/>
  <c r="AI825" i="1"/>
  <c r="AF875" i="1"/>
  <c r="AG875" i="1"/>
  <c r="AH875" i="1"/>
  <c r="AI875" i="1"/>
  <c r="AF947" i="1"/>
  <c r="AG947" i="1"/>
  <c r="AH947" i="1"/>
  <c r="AI947" i="1"/>
  <c r="AF953" i="1"/>
  <c r="AG953" i="1"/>
  <c r="AH953" i="1"/>
  <c r="AI953" i="1"/>
  <c r="AF970" i="1"/>
  <c r="AG970" i="1"/>
  <c r="AH970" i="1"/>
  <c r="AI970" i="1"/>
  <c r="AF971" i="1"/>
  <c r="AG971" i="1"/>
  <c r="AH971" i="1"/>
  <c r="AI971" i="1"/>
  <c r="AF972" i="1"/>
  <c r="AG972" i="1"/>
  <c r="AH972" i="1"/>
  <c r="AI972" i="1"/>
  <c r="AF973" i="1"/>
  <c r="AG973" i="1"/>
  <c r="AH973" i="1"/>
  <c r="AI973" i="1"/>
  <c r="AF974" i="1"/>
  <c r="AG974" i="1"/>
  <c r="AH974" i="1"/>
  <c r="AI974" i="1"/>
  <c r="AF975" i="1"/>
  <c r="AG975" i="1"/>
  <c r="AH975" i="1"/>
  <c r="AI975" i="1"/>
  <c r="AF976" i="1"/>
  <c r="AG976" i="1"/>
  <c r="AH976" i="1"/>
  <c r="AI976" i="1"/>
  <c r="AF977" i="1"/>
  <c r="AG977" i="1"/>
  <c r="AH977" i="1"/>
  <c r="AI977" i="1"/>
  <c r="AF297" i="1"/>
  <c r="AG297" i="1"/>
  <c r="BF297" i="1"/>
  <c r="AH297" i="1"/>
  <c r="AI297" i="1"/>
  <c r="AF329" i="1"/>
  <c r="AG329" i="1"/>
  <c r="AH329" i="1"/>
  <c r="AI329" i="1"/>
  <c r="AF513" i="1"/>
  <c r="AG513" i="1"/>
  <c r="AH513" i="1"/>
  <c r="AI513" i="1"/>
  <c r="AF514" i="1"/>
  <c r="AG514" i="1"/>
  <c r="AH514" i="1"/>
  <c r="AI514" i="1"/>
  <c r="AF516" i="1"/>
  <c r="AG516" i="1"/>
  <c r="AI516" i="1"/>
  <c r="AF517" i="1"/>
  <c r="AG517" i="1"/>
  <c r="AI517" i="1"/>
  <c r="AF518" i="1"/>
  <c r="AG518" i="1"/>
  <c r="AI518" i="1"/>
  <c r="AF540" i="1"/>
  <c r="AG540" i="1"/>
  <c r="AH540" i="1"/>
  <c r="AI540" i="1"/>
  <c r="AF541" i="1"/>
  <c r="AG541" i="1"/>
  <c r="AH541" i="1"/>
  <c r="AI541" i="1"/>
  <c r="AF542" i="1"/>
  <c r="AG542" i="1"/>
  <c r="AH542" i="1"/>
  <c r="AI542" i="1"/>
  <c r="AF543" i="1"/>
  <c r="AG543" i="1"/>
  <c r="AH543" i="1"/>
  <c r="AI543" i="1"/>
  <c r="AF544" i="1"/>
  <c r="AG544" i="1"/>
  <c r="AH544" i="1"/>
  <c r="AI544" i="1"/>
  <c r="AF545" i="1"/>
  <c r="AG545" i="1"/>
  <c r="AH545" i="1"/>
  <c r="AI545" i="1"/>
  <c r="AF546" i="1"/>
  <c r="AG546" i="1"/>
  <c r="AH546" i="1"/>
  <c r="AI546" i="1"/>
  <c r="AF610" i="1"/>
  <c r="AG610" i="1"/>
  <c r="AH610" i="1"/>
  <c r="AI610" i="1"/>
  <c r="AF611" i="1"/>
  <c r="AG611" i="1"/>
  <c r="AH611" i="1"/>
  <c r="AI611" i="1"/>
  <c r="AF612" i="1"/>
  <c r="AG612" i="1"/>
  <c r="AH612" i="1"/>
  <c r="AI612" i="1"/>
  <c r="AF613" i="1"/>
  <c r="AG613" i="1"/>
  <c r="AH613" i="1"/>
  <c r="AI613" i="1"/>
  <c r="AF650" i="1"/>
  <c r="AG650" i="1"/>
  <c r="AH650" i="1"/>
  <c r="AI650" i="1"/>
  <c r="AF653" i="1"/>
  <c r="AG653" i="1"/>
  <c r="AH653" i="1"/>
  <c r="AI653" i="1"/>
  <c r="AF687" i="1"/>
  <c r="AG687" i="1"/>
  <c r="AH687" i="1"/>
  <c r="AI687" i="1"/>
  <c r="AF688" i="1"/>
  <c r="AG688" i="1"/>
  <c r="AH688" i="1"/>
  <c r="AI688" i="1"/>
  <c r="AF811" i="1"/>
  <c r="AG811" i="1"/>
  <c r="AH811" i="1"/>
  <c r="AI811" i="1"/>
  <c r="AG812" i="1"/>
  <c r="AH812" i="1"/>
  <c r="AI812" i="1"/>
  <c r="AF927" i="1"/>
  <c r="AG927" i="1"/>
  <c r="AH927" i="1"/>
  <c r="AI927" i="1"/>
  <c r="AF1006" i="1"/>
  <c r="AG1006" i="1"/>
  <c r="AH1006" i="1"/>
  <c r="AI1006" i="1"/>
  <c r="AF1009" i="1"/>
  <c r="AG1009" i="1"/>
  <c r="AH1009" i="1"/>
  <c r="AI1009" i="1"/>
  <c r="AF1010" i="1"/>
  <c r="AG1010" i="1"/>
  <c r="AH1010" i="1"/>
  <c r="AI1010" i="1"/>
  <c r="AF1011" i="1"/>
  <c r="AG1011" i="1"/>
  <c r="AH1011" i="1"/>
  <c r="AI1011" i="1"/>
  <c r="AF1012" i="1"/>
  <c r="AG1012" i="1"/>
  <c r="AH1012" i="1"/>
  <c r="AI1012" i="1"/>
  <c r="AF1013" i="1"/>
  <c r="AG1013" i="1"/>
  <c r="AH1013" i="1"/>
  <c r="AI1013" i="1"/>
  <c r="AF1014" i="1"/>
  <c r="AG1014" i="1"/>
  <c r="AH1014" i="1"/>
  <c r="AI1014" i="1"/>
  <c r="AF1015" i="1"/>
  <c r="AG1015" i="1"/>
  <c r="AH1015" i="1"/>
  <c r="AI1015" i="1"/>
  <c r="AF1270" i="1"/>
  <c r="AG1270" i="1"/>
  <c r="BF1270" i="1"/>
  <c r="AH1270" i="1" s="1"/>
  <c r="AI1270" i="1"/>
  <c r="AF1271" i="1"/>
  <c r="AG1271" i="1"/>
  <c r="BF1271" i="1"/>
  <c r="AH1271" i="1"/>
  <c r="AI1271" i="1"/>
  <c r="AF288" i="1"/>
  <c r="AG288" i="1"/>
  <c r="AH288" i="1"/>
  <c r="AI288" i="1"/>
  <c r="AF608" i="1"/>
  <c r="AG608" i="1"/>
  <c r="AH608" i="1"/>
  <c r="AI608" i="1"/>
  <c r="AF609" i="1"/>
  <c r="AG609" i="1"/>
  <c r="BF609" i="1"/>
  <c r="AH609" i="1"/>
  <c r="AI609" i="1"/>
  <c r="AF862" i="1"/>
  <c r="AG862" i="1"/>
  <c r="AH862" i="1"/>
  <c r="AI862" i="1"/>
  <c r="AF863" i="1"/>
  <c r="AG863" i="1"/>
  <c r="AH863" i="1"/>
  <c r="AI863" i="1"/>
  <c r="AF945" i="1"/>
  <c r="AG945" i="1"/>
  <c r="AH945" i="1"/>
  <c r="AI945" i="1"/>
  <c r="AF946" i="1"/>
  <c r="AG946" i="1"/>
  <c r="AH946" i="1"/>
  <c r="AI946" i="1"/>
  <c r="AF959" i="1"/>
  <c r="AH959" i="1"/>
  <c r="AF960" i="1"/>
  <c r="AG960" i="1"/>
  <c r="AH960" i="1"/>
  <c r="AI960" i="1"/>
  <c r="AF961" i="1"/>
  <c r="AG961" i="1"/>
  <c r="AH961" i="1"/>
  <c r="AI961" i="1"/>
  <c r="AF962" i="1"/>
  <c r="AG962" i="1"/>
  <c r="AH962" i="1"/>
  <c r="AI962" i="1"/>
  <c r="AF963" i="1"/>
  <c r="AG963" i="1"/>
  <c r="AH963" i="1"/>
  <c r="AI963" i="1"/>
  <c r="AF964" i="1"/>
  <c r="AG964" i="1"/>
  <c r="AH964" i="1"/>
  <c r="AI964" i="1"/>
  <c r="AF965" i="1"/>
  <c r="AG965" i="1"/>
  <c r="AH965" i="1"/>
  <c r="AI965" i="1"/>
  <c r="AF966" i="1"/>
  <c r="AG966" i="1"/>
  <c r="AH966" i="1"/>
  <c r="AI966" i="1"/>
  <c r="AF1182" i="1"/>
  <c r="AH1182" i="1"/>
  <c r="AF34" i="1"/>
  <c r="AG34" i="1"/>
  <c r="AH34" i="1"/>
  <c r="AF35" i="1"/>
  <c r="AG35" i="1"/>
  <c r="AH35" i="1"/>
  <c r="AF36" i="1"/>
  <c r="AF48" i="1"/>
  <c r="AG48" i="1"/>
  <c r="AH48" i="1"/>
  <c r="AI48" i="1"/>
  <c r="AF49" i="1"/>
  <c r="AG49" i="1"/>
  <c r="AH49" i="1"/>
  <c r="AI49" i="1"/>
  <c r="AF50" i="1"/>
  <c r="AG50" i="1"/>
  <c r="AH50" i="1"/>
  <c r="AI50" i="1"/>
  <c r="AF51" i="1"/>
  <c r="AG51" i="1"/>
  <c r="AH51" i="1"/>
  <c r="AI51" i="1"/>
  <c r="AF52" i="1"/>
  <c r="AG52" i="1"/>
  <c r="AH52" i="1"/>
  <c r="AI52" i="1"/>
  <c r="AF53" i="1"/>
  <c r="AG53" i="1"/>
  <c r="AH53" i="1"/>
  <c r="AI53" i="1"/>
  <c r="AF54" i="1"/>
  <c r="AG54" i="1"/>
  <c r="AH54" i="1"/>
  <c r="AI54" i="1"/>
  <c r="AF55" i="1"/>
  <c r="AG55" i="1"/>
  <c r="AH55" i="1"/>
  <c r="AI55" i="1"/>
  <c r="AF56" i="1"/>
  <c r="AG56" i="1"/>
  <c r="AH56" i="1"/>
  <c r="AI56" i="1"/>
  <c r="AF57" i="1"/>
  <c r="AG57" i="1"/>
  <c r="AH57" i="1"/>
  <c r="AI57" i="1"/>
  <c r="AF58" i="1"/>
  <c r="AG58" i="1"/>
  <c r="AH58" i="1"/>
  <c r="AI58" i="1"/>
  <c r="AF59" i="1"/>
  <c r="AG59" i="1"/>
  <c r="AH59" i="1"/>
  <c r="AI59" i="1"/>
  <c r="AF60" i="1"/>
  <c r="AG60" i="1"/>
  <c r="AH60" i="1"/>
  <c r="AI60" i="1"/>
  <c r="AF61" i="1"/>
  <c r="AG61" i="1"/>
  <c r="AH61" i="1"/>
  <c r="AI61" i="1"/>
  <c r="AF62" i="1"/>
  <c r="AG62" i="1"/>
  <c r="AH62" i="1"/>
  <c r="AI62" i="1"/>
  <c r="AF63" i="1"/>
  <c r="AG63" i="1"/>
  <c r="AH63" i="1"/>
  <c r="AI63" i="1"/>
  <c r="AF64" i="1"/>
  <c r="AG64" i="1"/>
  <c r="AH64" i="1"/>
  <c r="AI64" i="1"/>
  <c r="AF65" i="1"/>
  <c r="AG65" i="1"/>
  <c r="AH65" i="1"/>
  <c r="AI65" i="1"/>
  <c r="AF66" i="1"/>
  <c r="AG66" i="1"/>
  <c r="AI66" i="1"/>
  <c r="AF67" i="1"/>
  <c r="AG67" i="1"/>
  <c r="AI67" i="1"/>
  <c r="AF68" i="1"/>
  <c r="AG68" i="1"/>
  <c r="AI68" i="1"/>
  <c r="AF69" i="1"/>
  <c r="AG69" i="1"/>
  <c r="AH69" i="1"/>
  <c r="AI69" i="1"/>
  <c r="AF70" i="1"/>
  <c r="AG70" i="1"/>
  <c r="AH70" i="1"/>
  <c r="AI70" i="1"/>
  <c r="AF71" i="1"/>
  <c r="AG71" i="1"/>
  <c r="AH71" i="1"/>
  <c r="AI71" i="1"/>
  <c r="AF72" i="1"/>
  <c r="AG72" i="1"/>
  <c r="AF240" i="1"/>
  <c r="AG240" i="1"/>
  <c r="AH240" i="1"/>
  <c r="AI240" i="1"/>
  <c r="AF241" i="1"/>
  <c r="AG241" i="1"/>
  <c r="AH241" i="1"/>
  <c r="AI241" i="1"/>
  <c r="AF268" i="1"/>
  <c r="AG268" i="1"/>
  <c r="AH268" i="1"/>
  <c r="AI268" i="1"/>
  <c r="AF269" i="1"/>
  <c r="AG269" i="1"/>
  <c r="AH269" i="1"/>
  <c r="AI269" i="1"/>
  <c r="AF270" i="1"/>
  <c r="AG270" i="1"/>
  <c r="AH270" i="1"/>
  <c r="AI270" i="1"/>
  <c r="AF271" i="1"/>
  <c r="AG271" i="1"/>
  <c r="AH271" i="1"/>
  <c r="AI271" i="1"/>
  <c r="AF291" i="1"/>
  <c r="AG291" i="1"/>
  <c r="AH291" i="1"/>
  <c r="AI291" i="1"/>
  <c r="AF292" i="1"/>
  <c r="AG292" i="1"/>
  <c r="AH292" i="1"/>
  <c r="AI292" i="1"/>
  <c r="AF293" i="1"/>
  <c r="AG293" i="1"/>
  <c r="AH293" i="1"/>
  <c r="AI293" i="1"/>
  <c r="AF294" i="1"/>
  <c r="AG294" i="1"/>
  <c r="AH294" i="1"/>
  <c r="AI294" i="1"/>
  <c r="AF295" i="1"/>
  <c r="AG295" i="1"/>
  <c r="AH295" i="1"/>
  <c r="AI295" i="1"/>
  <c r="AF296" i="1"/>
  <c r="AG296" i="1"/>
  <c r="AH296" i="1"/>
  <c r="AI296" i="1"/>
  <c r="AF298" i="1"/>
  <c r="AG298" i="1"/>
  <c r="BF298" i="1"/>
  <c r="AH298" i="1"/>
  <c r="AI298" i="1"/>
  <c r="AF299" i="1"/>
  <c r="AG299" i="1"/>
  <c r="AH299" i="1"/>
  <c r="AI299" i="1"/>
  <c r="AF300" i="1"/>
  <c r="AG300" i="1"/>
  <c r="AI300" i="1"/>
  <c r="AF301" i="1"/>
  <c r="AG301" i="1"/>
  <c r="AI301" i="1"/>
  <c r="AF303" i="1"/>
  <c r="AG303" i="1"/>
  <c r="AH303" i="1"/>
  <c r="AI303" i="1"/>
  <c r="AF304" i="1"/>
  <c r="AG304" i="1"/>
  <c r="AH304" i="1"/>
  <c r="AI304" i="1"/>
  <c r="AF305" i="1"/>
  <c r="AG305" i="1"/>
  <c r="AH305" i="1"/>
  <c r="AI305" i="1"/>
  <c r="AF306" i="1"/>
  <c r="AG306" i="1"/>
  <c r="AH306" i="1"/>
  <c r="AI306" i="1"/>
  <c r="AF307" i="1"/>
  <c r="AG307" i="1"/>
  <c r="AH307" i="1"/>
  <c r="AI307" i="1"/>
  <c r="AF308" i="1"/>
  <c r="AG308" i="1"/>
  <c r="AH308" i="1"/>
  <c r="AI308" i="1"/>
  <c r="AF309" i="1"/>
  <c r="AG309" i="1"/>
  <c r="AH309" i="1"/>
  <c r="AI309" i="1"/>
  <c r="AF310" i="1"/>
  <c r="AG310" i="1"/>
  <c r="AH310" i="1"/>
  <c r="AI310" i="1"/>
  <c r="AF311" i="1"/>
  <c r="AG311" i="1"/>
  <c r="AH311" i="1"/>
  <c r="AI311" i="1"/>
  <c r="AF312" i="1"/>
  <c r="AG312" i="1"/>
  <c r="AH312" i="1"/>
  <c r="AI312" i="1"/>
  <c r="AF313" i="1"/>
  <c r="AG313" i="1"/>
  <c r="AH313" i="1"/>
  <c r="AI313" i="1"/>
  <c r="AF314" i="1"/>
  <c r="AG314" i="1"/>
  <c r="AH314" i="1"/>
  <c r="AF315" i="1"/>
  <c r="AG315" i="1"/>
  <c r="AH315" i="1"/>
  <c r="AF328" i="1"/>
  <c r="AG328" i="1"/>
  <c r="AH328" i="1"/>
  <c r="AI328" i="1"/>
  <c r="AF333" i="1"/>
  <c r="AG333" i="1"/>
  <c r="AH333" i="1"/>
  <c r="AI333" i="1"/>
  <c r="AS349" i="1"/>
  <c r="AF349" i="1" s="1"/>
  <c r="AG349" i="1"/>
  <c r="BF349" i="1"/>
  <c r="AH349" i="1"/>
  <c r="AI349" i="1"/>
  <c r="AS350" i="1"/>
  <c r="AF350" i="1"/>
  <c r="AG350" i="1"/>
  <c r="AH350" i="1"/>
  <c r="AI350" i="1"/>
  <c r="AS351" i="1"/>
  <c r="AF351" i="1"/>
  <c r="AG351" i="1"/>
  <c r="BF351" i="1"/>
  <c r="AH351" i="1"/>
  <c r="AI351" i="1"/>
  <c r="AS352" i="1"/>
  <c r="AF352" i="1"/>
  <c r="AG352" i="1"/>
  <c r="BF352" i="1"/>
  <c r="AH352" i="1" s="1"/>
  <c r="AI352" i="1"/>
  <c r="AS353" i="1"/>
  <c r="AF353" i="1" s="1"/>
  <c r="AG353" i="1"/>
  <c r="BF353" i="1"/>
  <c r="AH353" i="1"/>
  <c r="AI353" i="1"/>
  <c r="AS354" i="1"/>
  <c r="AF354" i="1"/>
  <c r="AG354" i="1"/>
  <c r="BF354" i="1"/>
  <c r="AH354" i="1" s="1"/>
  <c r="AI354" i="1"/>
  <c r="AS355" i="1"/>
  <c r="AF355" i="1"/>
  <c r="AG355" i="1"/>
  <c r="BF355" i="1"/>
  <c r="AH355" i="1"/>
  <c r="AI355" i="1"/>
  <c r="AS356" i="1"/>
  <c r="AF356" i="1"/>
  <c r="AG356" i="1"/>
  <c r="BF356" i="1"/>
  <c r="AH356" i="1" s="1"/>
  <c r="AI356" i="1"/>
  <c r="AS357" i="1"/>
  <c r="AF357" i="1"/>
  <c r="AG357" i="1"/>
  <c r="BF357" i="1"/>
  <c r="AH357" i="1"/>
  <c r="AI357" i="1"/>
  <c r="AS358" i="1"/>
  <c r="AF358" i="1"/>
  <c r="AG358" i="1"/>
  <c r="BF358" i="1"/>
  <c r="AH358" i="1" s="1"/>
  <c r="AI358" i="1"/>
  <c r="AS359" i="1"/>
  <c r="AF359" i="1"/>
  <c r="AG359" i="1"/>
  <c r="BF359" i="1"/>
  <c r="AH359" i="1"/>
  <c r="AI359" i="1"/>
  <c r="AF380" i="1"/>
  <c r="AG380" i="1"/>
  <c r="AH380" i="1"/>
  <c r="AI380" i="1"/>
  <c r="AF381" i="1"/>
  <c r="AG381" i="1"/>
  <c r="AH381" i="1"/>
  <c r="AI381" i="1"/>
  <c r="AF382" i="1"/>
  <c r="AG382" i="1"/>
  <c r="AH382" i="1"/>
  <c r="AI382" i="1"/>
  <c r="AF383" i="1"/>
  <c r="AG383" i="1"/>
  <c r="AH383" i="1"/>
  <c r="AI383" i="1"/>
  <c r="AF385" i="1"/>
  <c r="AG385" i="1"/>
  <c r="AH385" i="1"/>
  <c r="AI385" i="1"/>
  <c r="AF386" i="1"/>
  <c r="AG386" i="1"/>
  <c r="AH386" i="1"/>
  <c r="AI386" i="1"/>
  <c r="AF388" i="1"/>
  <c r="AG388" i="1"/>
  <c r="AH388" i="1"/>
  <c r="AI388" i="1"/>
  <c r="AF391" i="1"/>
  <c r="AG391" i="1"/>
  <c r="AH391" i="1"/>
  <c r="AI391" i="1"/>
  <c r="AF393" i="1"/>
  <c r="AG393" i="1"/>
  <c r="AH393" i="1"/>
  <c r="AI393" i="1"/>
  <c r="AF395" i="1"/>
  <c r="AG395" i="1"/>
  <c r="AH395" i="1"/>
  <c r="AI395" i="1"/>
  <c r="AF396" i="1"/>
  <c r="AG396" i="1"/>
  <c r="AH396" i="1"/>
  <c r="AI396" i="1"/>
  <c r="AF401" i="1"/>
  <c r="AG401" i="1"/>
  <c r="AH401" i="1"/>
  <c r="AI401" i="1"/>
  <c r="AF402" i="1"/>
  <c r="AG402" i="1"/>
  <c r="AH402" i="1"/>
  <c r="AI402" i="1"/>
  <c r="AF403" i="1"/>
  <c r="AG403" i="1"/>
  <c r="AH403" i="1"/>
  <c r="AI403" i="1"/>
  <c r="AF404" i="1"/>
  <c r="AG404" i="1"/>
  <c r="AH404" i="1"/>
  <c r="AI404" i="1"/>
  <c r="AF406" i="1"/>
  <c r="AG406" i="1"/>
  <c r="AH406" i="1"/>
  <c r="AI406" i="1"/>
  <c r="AF407" i="1"/>
  <c r="AG407" i="1"/>
  <c r="AH407" i="1"/>
  <c r="AI407" i="1"/>
  <c r="AF408" i="1"/>
  <c r="AG408" i="1"/>
  <c r="AH408" i="1"/>
  <c r="AI408" i="1"/>
  <c r="AF409" i="1"/>
  <c r="AG409" i="1"/>
  <c r="AH409" i="1"/>
  <c r="AI409" i="1"/>
  <c r="AF410" i="1"/>
  <c r="AG410" i="1"/>
  <c r="AH410" i="1"/>
  <c r="AI410" i="1"/>
  <c r="AF411" i="1"/>
  <c r="AG411" i="1"/>
  <c r="AH411" i="1"/>
  <c r="AI411" i="1"/>
  <c r="AF622" i="1"/>
  <c r="AG622" i="1"/>
  <c r="AH622" i="1"/>
  <c r="AI622" i="1"/>
  <c r="AF626" i="1"/>
  <c r="AG626" i="1"/>
  <c r="AH626" i="1"/>
  <c r="AI626" i="1"/>
  <c r="AF638" i="1"/>
  <c r="AG638" i="1"/>
  <c r="AH638" i="1"/>
  <c r="AI638" i="1"/>
  <c r="AF643" i="1"/>
  <c r="AG643" i="1"/>
  <c r="AH643" i="1"/>
  <c r="AI643" i="1"/>
  <c r="AF646" i="1"/>
  <c r="AG646" i="1"/>
  <c r="AH646" i="1"/>
  <c r="AW646" i="1"/>
  <c r="AI646" i="1" s="1"/>
  <c r="AF647" i="1"/>
  <c r="AG647" i="1"/>
  <c r="AH647" i="1"/>
  <c r="AW647" i="1"/>
  <c r="AI647" i="1"/>
  <c r="AF719" i="1"/>
  <c r="AG719" i="1"/>
  <c r="AH719" i="1"/>
  <c r="AI719" i="1"/>
  <c r="AF720" i="1"/>
  <c r="AG720" i="1"/>
  <c r="AH720" i="1"/>
  <c r="AI720" i="1"/>
  <c r="AF724" i="1"/>
  <c r="AG724" i="1"/>
  <c r="AH724" i="1"/>
  <c r="AI724" i="1"/>
  <c r="AF725" i="1"/>
  <c r="AG725" i="1"/>
  <c r="AH725" i="1"/>
  <c r="AI725" i="1"/>
  <c r="AF729" i="1"/>
  <c r="AG729" i="1"/>
  <c r="AH729" i="1"/>
  <c r="AI729" i="1"/>
  <c r="AF730" i="1"/>
  <c r="AG730" i="1"/>
  <c r="AH730" i="1"/>
  <c r="AI730" i="1"/>
  <c r="AF739" i="1"/>
  <c r="AG739" i="1"/>
  <c r="AH739" i="1"/>
  <c r="AI739" i="1"/>
  <c r="AF740" i="1"/>
  <c r="AG740" i="1"/>
  <c r="AH740" i="1"/>
  <c r="AI740" i="1"/>
  <c r="AF741" i="1"/>
  <c r="AG741" i="1"/>
  <c r="AH741" i="1"/>
  <c r="AI741" i="1"/>
  <c r="AF742" i="1"/>
  <c r="AG742" i="1"/>
  <c r="AH742" i="1"/>
  <c r="AI742" i="1"/>
  <c r="AF743" i="1"/>
  <c r="AG743" i="1"/>
  <c r="AH743" i="1"/>
  <c r="AI743" i="1"/>
  <c r="AF744" i="1"/>
  <c r="AG744" i="1"/>
  <c r="AH744" i="1"/>
  <c r="AI744" i="1"/>
  <c r="AF745" i="1"/>
  <c r="AG745" i="1"/>
  <c r="AH745" i="1"/>
  <c r="AI745" i="1"/>
  <c r="AF746" i="1"/>
  <c r="AG746" i="1"/>
  <c r="AH746" i="1"/>
  <c r="AI746" i="1"/>
  <c r="AF747" i="1"/>
  <c r="AG747" i="1"/>
  <c r="AH747" i="1"/>
  <c r="AI747" i="1"/>
  <c r="AF748" i="1"/>
  <c r="AG748" i="1"/>
  <c r="AH748" i="1"/>
  <c r="AI748" i="1"/>
  <c r="AF749" i="1"/>
  <c r="AG749" i="1"/>
  <c r="AH749" i="1"/>
  <c r="AI749" i="1"/>
  <c r="AF754" i="1"/>
  <c r="AG754" i="1"/>
  <c r="AH754" i="1"/>
  <c r="AI754" i="1"/>
  <c r="AF755" i="1"/>
  <c r="AG755" i="1"/>
  <c r="AH755" i="1"/>
  <c r="AI755" i="1"/>
  <c r="AF756" i="1"/>
  <c r="AG756" i="1"/>
  <c r="AH756" i="1"/>
  <c r="AI756" i="1"/>
  <c r="AS758" i="1"/>
  <c r="AF758" i="1" s="1"/>
  <c r="AG758" i="1"/>
  <c r="AH758" i="1"/>
  <c r="AI758" i="1"/>
  <c r="AS759" i="1"/>
  <c r="AF759" i="1" s="1"/>
  <c r="AG759" i="1"/>
  <c r="AH759" i="1"/>
  <c r="AI759" i="1"/>
  <c r="AS760" i="1"/>
  <c r="AF760" i="1"/>
  <c r="AG760" i="1"/>
  <c r="AH760" i="1"/>
  <c r="AI760" i="1"/>
  <c r="AG761" i="1"/>
  <c r="AH761" i="1"/>
  <c r="AI761" i="1"/>
  <c r="AG762" i="1"/>
  <c r="AH762" i="1"/>
  <c r="AI762" i="1"/>
  <c r="AG763" i="1"/>
  <c r="AH763" i="1"/>
  <c r="AI763" i="1"/>
  <c r="AF764" i="1"/>
  <c r="AG764" i="1"/>
  <c r="AI764" i="1"/>
  <c r="AF765" i="1"/>
  <c r="AG765" i="1"/>
  <c r="AI765" i="1"/>
  <c r="AF802" i="1"/>
  <c r="AG802" i="1"/>
  <c r="AH802" i="1"/>
  <c r="AI802" i="1"/>
  <c r="AF803" i="1"/>
  <c r="AG803" i="1"/>
  <c r="AH803" i="1"/>
  <c r="AI803" i="1"/>
  <c r="AF817" i="1"/>
  <c r="AG817" i="1"/>
  <c r="AH817" i="1"/>
  <c r="AI817" i="1"/>
  <c r="AF824" i="1"/>
  <c r="AG824" i="1"/>
  <c r="AH824" i="1"/>
  <c r="AI824" i="1"/>
  <c r="AF851" i="1"/>
  <c r="AG851" i="1"/>
  <c r="AH851" i="1"/>
  <c r="AI851" i="1"/>
  <c r="AF852" i="1"/>
  <c r="AG852" i="1"/>
  <c r="AH852" i="1"/>
  <c r="AI852" i="1"/>
  <c r="AF855" i="1"/>
  <c r="AG855" i="1"/>
  <c r="AH855" i="1"/>
  <c r="AI855" i="1"/>
  <c r="AF859" i="1"/>
  <c r="AG859" i="1"/>
  <c r="AH859" i="1"/>
  <c r="AI859" i="1"/>
  <c r="AF860" i="1"/>
  <c r="AG860" i="1"/>
  <c r="AH860" i="1"/>
  <c r="AI860" i="1"/>
  <c r="AG864" i="1"/>
  <c r="AH864" i="1"/>
  <c r="AI864" i="1"/>
  <c r="AG865" i="1"/>
  <c r="AH865" i="1"/>
  <c r="AI865" i="1"/>
  <c r="AG866" i="1"/>
  <c r="AH866" i="1"/>
  <c r="AI866" i="1"/>
  <c r="AG867" i="1"/>
  <c r="AH867" i="1"/>
  <c r="AI867" i="1"/>
  <c r="AF869" i="1"/>
  <c r="AG869" i="1"/>
  <c r="AH869" i="1"/>
  <c r="AI869" i="1"/>
  <c r="AF870" i="1"/>
  <c r="AG870" i="1"/>
  <c r="AH870" i="1"/>
  <c r="AI870" i="1"/>
  <c r="AF871" i="1"/>
  <c r="AG871" i="1"/>
  <c r="AH871" i="1"/>
  <c r="AI871" i="1"/>
  <c r="AF872" i="1"/>
  <c r="AG872" i="1"/>
  <c r="AH872" i="1"/>
  <c r="AI872" i="1"/>
  <c r="AF873" i="1"/>
  <c r="AG873" i="1"/>
  <c r="AH873" i="1"/>
  <c r="AI873" i="1"/>
  <c r="AF874" i="1"/>
  <c r="AG874" i="1"/>
  <c r="AH874" i="1"/>
  <c r="AI874" i="1"/>
  <c r="AF880" i="1"/>
  <c r="AG880" i="1"/>
  <c r="AH880" i="1"/>
  <c r="AI880" i="1"/>
  <c r="AF881" i="1"/>
  <c r="AG881" i="1"/>
  <c r="AI881" i="1"/>
  <c r="AF885" i="1"/>
  <c r="AG885" i="1"/>
  <c r="AH885" i="1"/>
  <c r="AI885" i="1"/>
  <c r="AF897" i="1"/>
  <c r="AG897" i="1"/>
  <c r="AH897" i="1"/>
  <c r="AI897" i="1"/>
  <c r="AF900" i="1"/>
  <c r="AG900" i="1"/>
  <c r="AH900" i="1"/>
  <c r="AI900" i="1"/>
  <c r="AF901" i="1"/>
  <c r="AG901" i="1"/>
  <c r="AH901" i="1"/>
  <c r="AI901" i="1"/>
  <c r="AF902" i="1"/>
  <c r="AG902" i="1"/>
  <c r="AH902" i="1"/>
  <c r="AI902" i="1"/>
  <c r="AF903" i="1"/>
  <c r="AG903" i="1"/>
  <c r="AH903" i="1"/>
  <c r="AI903" i="1"/>
  <c r="AF904" i="1"/>
  <c r="AG904" i="1"/>
  <c r="AH904" i="1"/>
  <c r="AI904" i="1"/>
  <c r="AF905" i="1"/>
  <c r="AG905" i="1"/>
  <c r="AH905" i="1"/>
  <c r="AI905" i="1"/>
  <c r="AF906" i="1"/>
  <c r="AG906" i="1"/>
  <c r="AH906" i="1"/>
  <c r="AI906" i="1"/>
  <c r="AF907" i="1"/>
  <c r="AG907" i="1"/>
  <c r="AH907" i="1"/>
  <c r="AI907" i="1"/>
  <c r="AF908" i="1"/>
  <c r="AG908" i="1"/>
  <c r="AH908" i="1"/>
  <c r="AI908" i="1"/>
  <c r="AF909" i="1"/>
  <c r="AG909" i="1"/>
  <c r="AH909" i="1"/>
  <c r="AI909" i="1"/>
  <c r="AF910" i="1"/>
  <c r="AG910" i="1"/>
  <c r="AH910" i="1"/>
  <c r="AI910" i="1"/>
  <c r="AF921" i="1"/>
  <c r="AG921" i="1"/>
  <c r="AH921" i="1"/>
  <c r="AI921" i="1"/>
  <c r="AF922" i="1"/>
  <c r="AG922" i="1"/>
  <c r="AH922" i="1"/>
  <c r="AI922" i="1"/>
  <c r="AG923" i="1"/>
  <c r="AH923" i="1"/>
  <c r="AI923" i="1"/>
  <c r="AG924" i="1"/>
  <c r="AH924" i="1"/>
  <c r="AI924" i="1"/>
  <c r="AF928" i="1"/>
  <c r="AG928" i="1"/>
  <c r="AH928" i="1"/>
  <c r="AI928" i="1"/>
  <c r="AF929" i="1"/>
  <c r="AG929" i="1"/>
  <c r="AH929" i="1"/>
  <c r="AI929" i="1"/>
  <c r="AF930" i="1"/>
  <c r="AG930" i="1"/>
  <c r="AH930" i="1"/>
  <c r="AI930" i="1"/>
  <c r="AF931" i="1"/>
  <c r="AG931" i="1"/>
  <c r="AH931" i="1"/>
  <c r="AI931" i="1"/>
  <c r="AF932" i="1"/>
  <c r="AG932" i="1"/>
  <c r="AH932" i="1"/>
  <c r="AI932" i="1"/>
  <c r="AF939" i="1"/>
  <c r="AG939" i="1"/>
  <c r="AH939" i="1"/>
  <c r="AI939" i="1"/>
  <c r="AF949" i="1"/>
  <c r="AG949" i="1"/>
  <c r="AH949" i="1"/>
  <c r="AI949" i="1"/>
  <c r="AF950" i="1"/>
  <c r="AG950" i="1"/>
  <c r="AH950" i="1"/>
  <c r="AI950" i="1"/>
  <c r="AF951" i="1"/>
  <c r="AG951" i="1"/>
  <c r="AH951" i="1"/>
  <c r="AI951" i="1"/>
  <c r="AF952" i="1"/>
  <c r="AG952" i="1"/>
  <c r="AH952" i="1"/>
  <c r="AI952" i="1"/>
  <c r="AF954" i="1"/>
  <c r="AG954" i="1"/>
  <c r="AH954" i="1"/>
  <c r="AI954" i="1"/>
  <c r="AF955" i="1"/>
  <c r="AG955" i="1"/>
  <c r="AH955" i="1"/>
  <c r="AI955" i="1"/>
  <c r="AF956" i="1"/>
  <c r="AG956" i="1"/>
  <c r="AH956" i="1"/>
  <c r="AI956" i="1"/>
  <c r="AF957" i="1"/>
  <c r="AG957" i="1"/>
  <c r="AH957" i="1"/>
  <c r="AI957" i="1"/>
  <c r="AF958" i="1"/>
  <c r="AG958" i="1"/>
  <c r="AH958" i="1"/>
  <c r="AI958" i="1"/>
  <c r="AF967" i="1"/>
  <c r="AG967" i="1"/>
  <c r="AH967" i="1"/>
  <c r="AI967" i="1"/>
  <c r="AF968" i="1"/>
  <c r="AG968" i="1"/>
  <c r="AH968" i="1"/>
  <c r="AI968" i="1"/>
  <c r="AF969" i="1"/>
  <c r="AG969" i="1"/>
  <c r="AH969" i="1"/>
  <c r="AI969" i="1"/>
  <c r="AF1061" i="1"/>
  <c r="AG1061" i="1"/>
  <c r="BF1061" i="1"/>
  <c r="AH1061" i="1" s="1"/>
  <c r="AI1061" i="1"/>
  <c r="AF1062" i="1"/>
  <c r="AG1062" i="1"/>
  <c r="BF1062" i="1"/>
  <c r="AH1062" i="1"/>
  <c r="AI1062" i="1"/>
  <c r="AF1063" i="1"/>
  <c r="AG1063" i="1"/>
  <c r="BF1063" i="1"/>
  <c r="AH1063" i="1"/>
  <c r="AI1063" i="1"/>
  <c r="AF1064" i="1"/>
  <c r="AG1064" i="1"/>
  <c r="BF1064" i="1"/>
  <c r="AH1064" i="1"/>
  <c r="AI1064" i="1"/>
  <c r="AF1065" i="1"/>
  <c r="AG1065" i="1"/>
  <c r="BF1065" i="1"/>
  <c r="AH1065" i="1" s="1"/>
  <c r="AI1065" i="1"/>
  <c r="AF1066" i="1"/>
  <c r="AG1066" i="1"/>
  <c r="BF1066" i="1"/>
  <c r="AH1066" i="1"/>
  <c r="AI1066" i="1"/>
  <c r="AF1067" i="1"/>
  <c r="AG1067" i="1"/>
  <c r="BF1067" i="1"/>
  <c r="AH1067" i="1"/>
  <c r="AI1067" i="1"/>
  <c r="AF1068" i="1"/>
  <c r="AG1068" i="1"/>
  <c r="BF1068" i="1"/>
  <c r="AH1068" i="1"/>
  <c r="AI1068" i="1"/>
  <c r="AF1069" i="1"/>
  <c r="AG1069" i="1"/>
  <c r="BF1069" i="1"/>
  <c r="AH1069" i="1" s="1"/>
  <c r="AI1069" i="1"/>
  <c r="AF1070" i="1"/>
  <c r="AG1070" i="1"/>
  <c r="BF1070" i="1"/>
  <c r="AH1070" i="1"/>
  <c r="AI1070" i="1"/>
  <c r="AF1071" i="1"/>
  <c r="AG1071" i="1"/>
  <c r="BF1071" i="1"/>
  <c r="AH1071" i="1"/>
  <c r="AI1071" i="1"/>
  <c r="AF1072" i="1"/>
  <c r="AG1072" i="1"/>
  <c r="AF1073" i="1"/>
  <c r="AG1073" i="1"/>
  <c r="BF1073" i="1"/>
  <c r="AH1073" i="1"/>
  <c r="AI1073" i="1"/>
  <c r="AF1074" i="1"/>
  <c r="AG1074" i="1"/>
  <c r="BF1074" i="1"/>
  <c r="AH1074" i="1"/>
  <c r="AI1074" i="1"/>
  <c r="AF1075" i="1"/>
  <c r="AG1075" i="1"/>
  <c r="BF1075" i="1"/>
  <c r="AH1075" i="1" s="1"/>
  <c r="AI1075" i="1"/>
  <c r="AF1076" i="1"/>
  <c r="AG1076" i="1"/>
  <c r="BF1076" i="1"/>
  <c r="AH1076" i="1" s="1"/>
  <c r="AI1076" i="1"/>
  <c r="AF1077" i="1"/>
  <c r="AG1077" i="1"/>
  <c r="BF1077" i="1"/>
  <c r="AH1077" i="1"/>
  <c r="AI1077" i="1"/>
  <c r="AF1078" i="1"/>
  <c r="AG1078" i="1"/>
  <c r="BF1078" i="1"/>
  <c r="AH1078" i="1"/>
  <c r="AI1078" i="1"/>
  <c r="AF1079" i="1"/>
  <c r="AG1079" i="1"/>
  <c r="BF1079" i="1"/>
  <c r="AH1079" i="1"/>
  <c r="AI1079" i="1"/>
  <c r="AF1080" i="1"/>
  <c r="AG1080" i="1"/>
  <c r="BF1080" i="1"/>
  <c r="AH1080" i="1" s="1"/>
  <c r="AI1080" i="1"/>
  <c r="AF1081" i="1"/>
  <c r="AG1081" i="1"/>
  <c r="BF1081" i="1"/>
  <c r="AH1081" i="1"/>
  <c r="AI1081" i="1"/>
  <c r="AF1262" i="1"/>
  <c r="AG1262" i="1"/>
  <c r="BF1262" i="1"/>
  <c r="AH1262" i="1"/>
  <c r="AI1262" i="1"/>
  <c r="AF1263" i="1"/>
  <c r="AG1263" i="1"/>
  <c r="BF1263" i="1"/>
  <c r="AH1263" i="1"/>
  <c r="AI1263" i="1"/>
  <c r="AF1281" i="1"/>
  <c r="AG1281" i="1"/>
  <c r="BF1281" i="1"/>
  <c r="AH1281" i="1" s="1"/>
  <c r="AI1281" i="1"/>
  <c r="AF1282" i="1"/>
  <c r="AG1282" i="1"/>
  <c r="BF1282" i="1"/>
  <c r="AH1282" i="1"/>
  <c r="AI1282" i="1"/>
  <c r="AF1283" i="1"/>
  <c r="AG1283" i="1"/>
  <c r="BF1283" i="1"/>
  <c r="AH1283" i="1"/>
  <c r="AI1283" i="1"/>
  <c r="AF1284" i="1"/>
  <c r="AG1284" i="1"/>
  <c r="BF1284" i="1"/>
  <c r="AH1284" i="1"/>
  <c r="AI1284" i="1"/>
  <c r="AF1285" i="1"/>
  <c r="AG1285" i="1"/>
  <c r="BF1285" i="1"/>
  <c r="AH1285" i="1" s="1"/>
  <c r="AI1285" i="1"/>
  <c r="AS1288" i="1"/>
  <c r="AF1288" i="1" s="1"/>
  <c r="AG1288" i="1"/>
  <c r="BF1288" i="1"/>
  <c r="AH1288" i="1"/>
  <c r="AI1288" i="1"/>
  <c r="AS1289" i="1"/>
  <c r="AF1289" i="1"/>
  <c r="AG1289" i="1"/>
  <c r="BF1289" i="1"/>
  <c r="AH1289" i="1" s="1"/>
  <c r="AI1289" i="1"/>
  <c r="AS1298" i="1"/>
  <c r="AF1298" i="1"/>
  <c r="AG1298" i="1"/>
  <c r="BF1298" i="1"/>
  <c r="AH1298" i="1"/>
  <c r="AI1298" i="1"/>
  <c r="AF1299" i="1"/>
  <c r="AG1299" i="1"/>
  <c r="BF1299" i="1"/>
  <c r="AH1299" i="1"/>
  <c r="AI1299" i="1"/>
  <c r="AF1300" i="1"/>
  <c r="AG1300" i="1"/>
  <c r="BF1300" i="1"/>
  <c r="AH1300" i="1" s="1"/>
  <c r="AI1300" i="1"/>
  <c r="AF1301" i="1"/>
  <c r="AG1301" i="1"/>
  <c r="BF1301" i="1"/>
  <c r="AH1301" i="1"/>
  <c r="AI1301" i="1"/>
  <c r="AF1302" i="1"/>
  <c r="AG1302" i="1"/>
  <c r="BF1302" i="1"/>
  <c r="AH1302" i="1"/>
  <c r="AI1302" i="1"/>
  <c r="AF1303" i="1"/>
  <c r="AG1303" i="1"/>
  <c r="BF1303" i="1"/>
  <c r="AH1303" i="1"/>
  <c r="AI1303" i="1"/>
  <c r="AF1304" i="1"/>
  <c r="AG1304" i="1"/>
  <c r="BF1304" i="1"/>
  <c r="AH1304" i="1" s="1"/>
  <c r="AI1304" i="1"/>
  <c r="AF1305" i="1"/>
  <c r="AG1305" i="1"/>
  <c r="BF1305" i="1"/>
  <c r="AH1305" i="1"/>
  <c r="AI1305" i="1"/>
  <c r="AF1306" i="1"/>
  <c r="AG1306" i="1"/>
  <c r="BF1306" i="1"/>
  <c r="AH1306" i="1"/>
  <c r="AI1306" i="1"/>
  <c r="BF1334" i="1"/>
  <c r="AH1334" i="1"/>
  <c r="AI1334" i="1"/>
  <c r="BF1335" i="1"/>
  <c r="AH1335" i="1" s="1"/>
  <c r="AI1335" i="1"/>
  <c r="BF1336" i="1"/>
  <c r="AH1336" i="1" s="1"/>
  <c r="AI1336" i="1"/>
  <c r="BF1337" i="1"/>
  <c r="AH1337" i="1"/>
  <c r="AI1337" i="1"/>
  <c r="BF1338" i="1"/>
  <c r="AH1338" i="1"/>
  <c r="AI1338" i="1"/>
  <c r="BF1339" i="1"/>
  <c r="AH1339" i="1" s="1"/>
  <c r="AI1339" i="1"/>
  <c r="BF1340" i="1"/>
  <c r="AH1340" i="1"/>
  <c r="AI1340" i="1"/>
  <c r="AS1341" i="1"/>
  <c r="AF1341" i="1"/>
  <c r="AG1341" i="1"/>
  <c r="BF1341" i="1"/>
  <c r="AH1341" i="1"/>
  <c r="AI1341" i="1"/>
  <c r="AS1346" i="1"/>
  <c r="AF1346" i="1" s="1"/>
  <c r="BF1347" i="1"/>
  <c r="AH1347" i="1"/>
  <c r="AI1347" i="1"/>
  <c r="AS1348" i="1"/>
  <c r="AF1348" i="1"/>
  <c r="AG1348" i="1"/>
  <c r="BF1348" i="1"/>
  <c r="AH1348" i="1" s="1"/>
  <c r="AI1348" i="1"/>
  <c r="AS1349" i="1"/>
  <c r="AF1349" i="1"/>
  <c r="AG1349" i="1"/>
  <c r="BF1349" i="1"/>
  <c r="AH1349" i="1"/>
  <c r="AI1349" i="1"/>
  <c r="AF1457" i="1"/>
  <c r="AG1457" i="1"/>
  <c r="BF1457" i="1"/>
  <c r="AH1457" i="1"/>
  <c r="AF1458" i="1"/>
  <c r="AG1458" i="1"/>
  <c r="BF1458" i="1"/>
  <c r="AH1458" i="1"/>
  <c r="AF1459" i="1"/>
  <c r="AG1459" i="1"/>
  <c r="BF1459" i="1"/>
  <c r="AH1459" i="1"/>
  <c r="AI1459" i="1"/>
  <c r="AF1460" i="1"/>
  <c r="AG1460" i="1"/>
  <c r="BF1460" i="1"/>
  <c r="AH1460" i="1" s="1"/>
  <c r="AI1460" i="1"/>
  <c r="AF1477" i="1"/>
  <c r="AG1477" i="1"/>
  <c r="AY1477" i="1"/>
  <c r="BA1477" i="1"/>
  <c r="AF1478" i="1"/>
  <c r="AG1478" i="1"/>
  <c r="AY1478" i="1"/>
  <c r="BA1478" i="1"/>
  <c r="AF1479" i="1"/>
  <c r="AG1479" i="1"/>
  <c r="AY1479" i="1"/>
  <c r="BA1479" i="1"/>
  <c r="AF1480" i="1"/>
  <c r="AG1480" i="1"/>
  <c r="AY1480" i="1"/>
  <c r="BA1480" i="1"/>
  <c r="AF1515" i="1"/>
  <c r="AG1515" i="1"/>
  <c r="BF1515" i="1"/>
  <c r="AH1515" i="1"/>
  <c r="AI1515" i="1"/>
  <c r="AF1516" i="1"/>
  <c r="AG1516" i="1"/>
  <c r="BF1516" i="1"/>
  <c r="AH1516" i="1"/>
  <c r="AI1516" i="1"/>
  <c r="AF1517" i="1"/>
  <c r="AG1517" i="1"/>
  <c r="BF1517" i="1"/>
  <c r="AH1517" i="1" s="1"/>
  <c r="AI1517" i="1"/>
  <c r="AF1518" i="1"/>
  <c r="AG1518" i="1"/>
  <c r="BF1518" i="1"/>
  <c r="AH1518" i="1" s="1"/>
  <c r="AI1518" i="1"/>
  <c r="AF1519" i="1"/>
  <c r="AG1519" i="1"/>
  <c r="BF1519" i="1"/>
  <c r="AH1519" i="1"/>
  <c r="AI1519" i="1"/>
  <c r="AF1520" i="1"/>
  <c r="AG1520" i="1"/>
  <c r="BF1520" i="1"/>
  <c r="AH1520" i="1"/>
  <c r="AI1520" i="1"/>
  <c r="AF1521" i="1"/>
  <c r="AG1521" i="1"/>
  <c r="BF1521" i="1"/>
  <c r="AH1521" i="1"/>
  <c r="AI1521" i="1"/>
  <c r="AF1522" i="1"/>
  <c r="AG1522" i="1"/>
  <c r="BF1522" i="1"/>
  <c r="AH1522" i="1" s="1"/>
  <c r="AI1522" i="1"/>
  <c r="AF1523" i="1"/>
  <c r="AG1523" i="1"/>
  <c r="BF1523" i="1"/>
  <c r="AH1523" i="1"/>
  <c r="AI1523" i="1"/>
  <c r="AF1524" i="1"/>
  <c r="AG1524" i="1"/>
  <c r="BF1524" i="1"/>
  <c r="AH1524" i="1"/>
  <c r="AI1524" i="1"/>
  <c r="AF1525" i="1"/>
  <c r="AG1525" i="1"/>
  <c r="BF1525" i="1"/>
  <c r="AH1525" i="1"/>
  <c r="AI1525" i="1"/>
  <c r="AF1526" i="1"/>
  <c r="AG1526" i="1"/>
  <c r="BF1526" i="1"/>
  <c r="AH1526" i="1" s="1"/>
  <c r="AI1526" i="1"/>
  <c r="AF1527" i="1"/>
  <c r="AG1527" i="1"/>
  <c r="BF1527" i="1"/>
  <c r="AH1527" i="1"/>
  <c r="AI1527" i="1"/>
  <c r="AF1528" i="1"/>
  <c r="AG1528" i="1"/>
  <c r="BF1528" i="1"/>
  <c r="AH1528" i="1"/>
  <c r="AI1528" i="1"/>
  <c r="AF1529" i="1"/>
  <c r="AG1529" i="1"/>
  <c r="BF1529" i="1"/>
  <c r="AH1529" i="1"/>
  <c r="AI1529" i="1"/>
  <c r="AF1531" i="1"/>
  <c r="AG1531" i="1"/>
  <c r="BF1531" i="1"/>
  <c r="AH1531" i="1" s="1"/>
  <c r="AI1531" i="1"/>
  <c r="AF1532" i="1"/>
  <c r="AG1532" i="1"/>
  <c r="BF1532" i="1"/>
  <c r="AH1532" i="1"/>
  <c r="AI1532" i="1"/>
  <c r="AF1533" i="1"/>
  <c r="AG1533" i="1"/>
  <c r="BF1533" i="1"/>
  <c r="AH1533" i="1"/>
  <c r="AI1533" i="1"/>
  <c r="AF1534" i="1"/>
  <c r="AG1534" i="1"/>
  <c r="BF1534" i="1"/>
  <c r="AH1534" i="1" s="1"/>
  <c r="AI1534" i="1"/>
  <c r="AF1535" i="1"/>
  <c r="AG1535" i="1"/>
  <c r="BF1535" i="1"/>
  <c r="AH1535" i="1" s="1"/>
  <c r="AI1535" i="1"/>
  <c r="AF1536" i="1"/>
  <c r="AG1536" i="1"/>
  <c r="BF1536" i="1"/>
  <c r="AH1536" i="1"/>
  <c r="AI1536" i="1"/>
  <c r="AF1537" i="1"/>
  <c r="AG1537" i="1"/>
  <c r="BF1537" i="1"/>
  <c r="AH1537" i="1"/>
  <c r="AI1537" i="1"/>
  <c r="AS1545" i="1"/>
  <c r="AF1545" i="1"/>
  <c r="AG1545" i="1"/>
  <c r="BF1545" i="1"/>
  <c r="AH1545" i="1" s="1"/>
  <c r="AI1545" i="1"/>
  <c r="AS1547" i="1"/>
  <c r="AF1547" i="1"/>
  <c r="AG1547" i="1"/>
  <c r="BF1547" i="1"/>
  <c r="AH1547" i="1"/>
  <c r="AI1547" i="1"/>
  <c r="AF1597" i="1"/>
  <c r="AG1597" i="1"/>
  <c r="BF1597" i="1"/>
  <c r="AH1597" i="1"/>
  <c r="AI1597" i="1"/>
  <c r="AF1598" i="1"/>
  <c r="AG1598" i="1"/>
  <c r="BF1598" i="1"/>
  <c r="AH1598" i="1" s="1"/>
  <c r="AI1598" i="1"/>
  <c r="AF1599" i="1"/>
  <c r="AG1599" i="1"/>
  <c r="BF1599" i="1"/>
  <c r="AH1599" i="1"/>
  <c r="AI1599" i="1"/>
  <c r="AF1600" i="1"/>
  <c r="AG1600" i="1"/>
  <c r="BF1600" i="1"/>
  <c r="AH1600" i="1" s="1"/>
  <c r="AI1600" i="1"/>
  <c r="AF1610" i="1"/>
  <c r="AG1610" i="1"/>
  <c r="AH1610" i="1"/>
  <c r="AI1610" i="1"/>
  <c r="AF1611" i="1"/>
  <c r="AG1611" i="1"/>
  <c r="AH1611" i="1"/>
  <c r="AI1611" i="1"/>
  <c r="AF1612" i="1"/>
  <c r="AG1612" i="1"/>
  <c r="AH1612" i="1"/>
  <c r="AI1612" i="1"/>
  <c r="AF1613" i="1"/>
  <c r="AG1613" i="1"/>
  <c r="AH1613" i="1"/>
  <c r="AI1613" i="1"/>
  <c r="BB1644" i="1"/>
  <c r="BB1645" i="1"/>
  <c r="AW1645" i="1"/>
  <c r="AY1645" i="1"/>
  <c r="AZ1645" i="1"/>
  <c r="BA1645" i="1"/>
  <c r="BD1645" i="1"/>
  <c r="AT1645" i="1"/>
  <c r="AW1644" i="1"/>
  <c r="AY1644" i="1"/>
  <c r="AZ1644" i="1"/>
  <c r="BA1644" i="1"/>
  <c r="BD1644" i="1"/>
  <c r="AT1644" i="1"/>
  <c r="BD468" i="1"/>
  <c r="BD467" i="1"/>
  <c r="BD466" i="1"/>
  <c r="BD465" i="1"/>
  <c r="BA468" i="1"/>
  <c r="BA467" i="1"/>
  <c r="BA466" i="1"/>
  <c r="BA465" i="1"/>
  <c r="AZ468" i="1"/>
  <c r="AZ467" i="1"/>
  <c r="AZ466" i="1"/>
  <c r="AZ465" i="1"/>
  <c r="AY468" i="1"/>
  <c r="AY467" i="1"/>
  <c r="AY466" i="1"/>
  <c r="AY465" i="1"/>
  <c r="AW466" i="1"/>
  <c r="AW467" i="1"/>
  <c r="AW468" i="1"/>
  <c r="AW465" i="1"/>
  <c r="AW1639" i="1"/>
  <c r="AY1639" i="1"/>
  <c r="AJ1639" i="1"/>
  <c r="AS1639" i="1"/>
  <c r="AF1639" i="1" s="1"/>
  <c r="AL1639" i="1"/>
  <c r="AW1636" i="1"/>
  <c r="AY1636" i="1"/>
  <c r="AZ1636" i="1"/>
  <c r="BA1636" i="1"/>
  <c r="AW1635" i="1"/>
  <c r="AY1635" i="1"/>
  <c r="BA1635" i="1"/>
  <c r="AW1632" i="1"/>
  <c r="AY1632" i="1"/>
  <c r="AJ1632" i="1"/>
  <c r="AT1632" i="1" s="1"/>
  <c r="AL1632" i="1"/>
  <c r="AW1631" i="1"/>
  <c r="AY1631" i="1"/>
  <c r="BA1631" i="1"/>
  <c r="AJ1631" i="1"/>
  <c r="AS1631" i="1" s="1"/>
  <c r="AF1631" i="1"/>
  <c r="AL1631" i="1"/>
  <c r="AN1631" i="1"/>
  <c r="AW1630" i="1"/>
  <c r="AY1630" i="1"/>
  <c r="BA1630" i="1"/>
  <c r="AJ1630" i="1"/>
  <c r="AL1630" i="1"/>
  <c r="AN1630" i="1"/>
  <c r="AW1629" i="1"/>
  <c r="AY1629" i="1"/>
  <c r="AW1628" i="1"/>
  <c r="AY1628" i="1"/>
  <c r="BA1628" i="1"/>
  <c r="AW1627" i="1"/>
  <c r="BA1627" i="1"/>
  <c r="AW1626" i="1"/>
  <c r="AX1626" i="1"/>
  <c r="BA1626" i="1"/>
  <c r="AW1625" i="1"/>
  <c r="BF1625" i="1"/>
  <c r="AH1625" i="1"/>
  <c r="AY1625" i="1"/>
  <c r="BA1625" i="1"/>
  <c r="AY1624" i="1"/>
  <c r="AI1624" i="1"/>
  <c r="AL1624" i="1"/>
  <c r="AG1624" i="1" s="1"/>
  <c r="AW1623" i="1"/>
  <c r="AY1623" i="1"/>
  <c r="AJ1623" i="1"/>
  <c r="AL1623" i="1"/>
  <c r="AW1622" i="1"/>
  <c r="AX1622" i="1"/>
  <c r="AY1622" i="1"/>
  <c r="BA1622" i="1"/>
  <c r="AW1621" i="1"/>
  <c r="AX1621" i="1"/>
  <c r="AY1621" i="1"/>
  <c r="BA1621" i="1"/>
  <c r="AW1620" i="1"/>
  <c r="AJ1620" i="1"/>
  <c r="AW1608" i="1"/>
  <c r="AW1607" i="1"/>
  <c r="BF1607" i="1"/>
  <c r="AH1607" i="1"/>
  <c r="BG1603" i="1"/>
  <c r="BG1602" i="1"/>
  <c r="BG1601" i="1"/>
  <c r="BA1600" i="1"/>
  <c r="BB1600" i="1"/>
  <c r="BC1600" i="1"/>
  <c r="BA1599" i="1"/>
  <c r="BB1599" i="1"/>
  <c r="BC1599" i="1"/>
  <c r="BB1598" i="1"/>
  <c r="BC1598" i="1"/>
  <c r="BA1597" i="1"/>
  <c r="BB1597" i="1"/>
  <c r="BC1597" i="1"/>
  <c r="AW1596" i="1"/>
  <c r="AJ1596" i="1"/>
  <c r="AG1596" i="1"/>
  <c r="AW1595" i="1"/>
  <c r="AJ1595" i="1"/>
  <c r="AW1594" i="1"/>
  <c r="AJ1594" i="1"/>
  <c r="AG1594" i="1" s="1"/>
  <c r="AW1593" i="1"/>
  <c r="AJ1593" i="1"/>
  <c r="AW1590" i="1"/>
  <c r="AY1590" i="1"/>
  <c r="AJ1590" i="1"/>
  <c r="AL1590" i="1"/>
  <c r="AW1589" i="1"/>
  <c r="AY1589" i="1"/>
  <c r="AJ1589" i="1"/>
  <c r="AL1589" i="1"/>
  <c r="AW1588" i="1"/>
  <c r="AY1588" i="1"/>
  <c r="AJ1588" i="1"/>
  <c r="AL1588" i="1"/>
  <c r="AW1587" i="1"/>
  <c r="AY1587" i="1"/>
  <c r="AJ1587" i="1"/>
  <c r="AS1587" i="1"/>
  <c r="AF1587" i="1"/>
  <c r="AL1587" i="1"/>
  <c r="AW1586" i="1"/>
  <c r="AW1585" i="1"/>
  <c r="BF1585" i="1"/>
  <c r="AH1585" i="1" s="1"/>
  <c r="AW1583" i="1"/>
  <c r="BA1583" i="1"/>
  <c r="BG1578" i="1"/>
  <c r="AT1578" i="1"/>
  <c r="BG1577" i="1"/>
  <c r="AT1577" i="1"/>
  <c r="BG1576" i="1"/>
  <c r="AT1576" i="1"/>
  <c r="AW1562" i="1"/>
  <c r="AX1562" i="1"/>
  <c r="AY1562" i="1"/>
  <c r="AZ1562" i="1"/>
  <c r="BA1562" i="1"/>
  <c r="BB1562" i="1"/>
  <c r="BC1562" i="1"/>
  <c r="BD1562" i="1"/>
  <c r="AJ1562" i="1"/>
  <c r="AK1562" i="1"/>
  <c r="AL1562" i="1"/>
  <c r="AM1562" i="1"/>
  <c r="AN1562" i="1"/>
  <c r="AO1562" i="1"/>
  <c r="AP1562" i="1"/>
  <c r="AQ1562" i="1"/>
  <c r="AW1561" i="1"/>
  <c r="AW1560" i="1"/>
  <c r="AW1559" i="1"/>
  <c r="AI1559" i="1" s="1"/>
  <c r="AW1558" i="1"/>
  <c r="AW1557" i="1"/>
  <c r="BF1557" i="1" s="1"/>
  <c r="AH1557" i="1" s="1"/>
  <c r="AW1556" i="1"/>
  <c r="AW1550" i="1"/>
  <c r="AI1550" i="1"/>
  <c r="AW1549" i="1"/>
  <c r="AW1548" i="1"/>
  <c r="AJ1548" i="1"/>
  <c r="AW1542" i="1"/>
  <c r="AJ1542" i="1"/>
  <c r="AW1541" i="1"/>
  <c r="AJ1541" i="1"/>
  <c r="AG1541" i="1"/>
  <c r="AW1540" i="1"/>
  <c r="AJ1540" i="1"/>
  <c r="AW1539" i="1"/>
  <c r="AJ1539" i="1"/>
  <c r="AG1539" i="1" s="1"/>
  <c r="AW1538" i="1"/>
  <c r="AJ1538" i="1"/>
  <c r="BC1514" i="1"/>
  <c r="BA1514" i="1"/>
  <c r="AW1513" i="1"/>
  <c r="AY1513" i="1"/>
  <c r="AW1511" i="1"/>
  <c r="AI1511" i="1" s="1"/>
  <c r="AW1510" i="1"/>
  <c r="AW1509" i="1"/>
  <c r="AW1508" i="1"/>
  <c r="BG1508" i="1" s="1"/>
  <c r="AW1507" i="1"/>
  <c r="AW1506" i="1"/>
  <c r="BG1506" i="1" s="1"/>
  <c r="AW1505" i="1"/>
  <c r="AW1504" i="1"/>
  <c r="BG1504" i="1"/>
  <c r="AW1503" i="1"/>
  <c r="AW1502" i="1"/>
  <c r="BG1502" i="1"/>
  <c r="AW1501" i="1"/>
  <c r="AW1500" i="1"/>
  <c r="BG1500" i="1" s="1"/>
  <c r="AW1499" i="1"/>
  <c r="AW1498" i="1"/>
  <c r="BG1498" i="1"/>
  <c r="AW1497" i="1"/>
  <c r="AW1496" i="1"/>
  <c r="BG1496" i="1"/>
  <c r="BG1495" i="1"/>
  <c r="AW1494" i="1"/>
  <c r="BG1494" i="1"/>
  <c r="AW1493" i="1"/>
  <c r="BG1493" i="1"/>
  <c r="AW1492" i="1"/>
  <c r="BG1492" i="1"/>
  <c r="AW1491" i="1"/>
  <c r="BG1491" i="1"/>
  <c r="AW1490" i="1"/>
  <c r="BG1490" i="1"/>
  <c r="AW1489" i="1"/>
  <c r="BG1489" i="1"/>
  <c r="AW1488" i="1"/>
  <c r="BG1488" i="1"/>
  <c r="AW1485" i="1"/>
  <c r="BF1485" i="1"/>
  <c r="AH1485" i="1" s="1"/>
  <c r="AW1484" i="1"/>
  <c r="BG1484" i="1"/>
  <c r="AW1483" i="1"/>
  <c r="AI1483" i="1" s="1"/>
  <c r="AT1481" i="1"/>
  <c r="BA1473" i="1"/>
  <c r="AN1473" i="1"/>
  <c r="BA1472" i="1"/>
  <c r="AN1472" i="1"/>
  <c r="AW1471" i="1"/>
  <c r="AW1470" i="1"/>
  <c r="BF1470" i="1" s="1"/>
  <c r="AH1470" i="1"/>
  <c r="AW1469" i="1"/>
  <c r="AW1468" i="1"/>
  <c r="AI1468" i="1" s="1"/>
  <c r="AW1467" i="1"/>
  <c r="BA1467" i="1"/>
  <c r="BB1467" i="1"/>
  <c r="BC1467" i="1"/>
  <c r="BD1467" i="1"/>
  <c r="AJ1467" i="1"/>
  <c r="AN1467" i="1"/>
  <c r="AP1467" i="1"/>
  <c r="AW1466" i="1"/>
  <c r="BA1466" i="1"/>
  <c r="BB1466" i="1"/>
  <c r="BC1466" i="1"/>
  <c r="BD1466" i="1"/>
  <c r="AJ1466" i="1"/>
  <c r="AN1466" i="1"/>
  <c r="AP1466" i="1"/>
  <c r="AW1465" i="1"/>
  <c r="AW1464" i="1"/>
  <c r="BF1464" i="1"/>
  <c r="AH1464" i="1" s="1"/>
  <c r="AW1463" i="1"/>
  <c r="BA1460" i="1"/>
  <c r="BG1460" i="1"/>
  <c r="BA1459" i="1"/>
  <c r="BG1459" i="1"/>
  <c r="AY1458" i="1"/>
  <c r="AI1458" i="1"/>
  <c r="BA1458" i="1"/>
  <c r="AY1457" i="1"/>
  <c r="BA1457" i="1"/>
  <c r="BA1456" i="1"/>
  <c r="BG1456" i="1" s="1"/>
  <c r="AW1451" i="1"/>
  <c r="BF1451" i="1" s="1"/>
  <c r="AH1451" i="1" s="1"/>
  <c r="AY1451" i="1"/>
  <c r="BA1451" i="1"/>
  <c r="AW1450" i="1"/>
  <c r="AY1450" i="1"/>
  <c r="BB1450" i="1"/>
  <c r="BC1450" i="1"/>
  <c r="AW1435" i="1"/>
  <c r="AJ1435" i="1"/>
  <c r="AW1434" i="1"/>
  <c r="AJ1434" i="1"/>
  <c r="AW1433" i="1"/>
  <c r="AJ1433" i="1"/>
  <c r="AW1432" i="1"/>
  <c r="AJ1432" i="1"/>
  <c r="AW1419" i="1"/>
  <c r="AW1418" i="1"/>
  <c r="AI1418" i="1" s="1"/>
  <c r="AW1417" i="1"/>
  <c r="AW1416" i="1"/>
  <c r="BF1416" i="1" s="1"/>
  <c r="AH1416" i="1" s="1"/>
  <c r="AW1415" i="1"/>
  <c r="AW1414" i="1"/>
  <c r="AI1414" i="1"/>
  <c r="AW1410" i="1"/>
  <c r="AJ1410" i="1"/>
  <c r="AW1409" i="1"/>
  <c r="BF1409" i="1"/>
  <c r="AH1409" i="1" s="1"/>
  <c r="AJ1409" i="1"/>
  <c r="AW1408" i="1"/>
  <c r="AJ1408" i="1"/>
  <c r="AJ1407" i="1"/>
  <c r="AJ1406" i="1"/>
  <c r="AJ1405" i="1"/>
  <c r="AW1404" i="1"/>
  <c r="BF1404" i="1" s="1"/>
  <c r="AH1404" i="1"/>
  <c r="AY1404" i="1"/>
  <c r="AZ1404" i="1"/>
  <c r="AJ1404" i="1"/>
  <c r="AL1404" i="1"/>
  <c r="AM1404" i="1"/>
  <c r="AW1403" i="1"/>
  <c r="AY1403" i="1"/>
  <c r="AZ1403" i="1"/>
  <c r="AW1402" i="1"/>
  <c r="AI1402" i="1"/>
  <c r="AW1401" i="1"/>
  <c r="AW1400" i="1"/>
  <c r="BF1400" i="1" s="1"/>
  <c r="AH1400" i="1" s="1"/>
  <c r="AW1399" i="1"/>
  <c r="AW1397" i="1"/>
  <c r="AY1397" i="1"/>
  <c r="AZ1397" i="1"/>
  <c r="AJ1397" i="1"/>
  <c r="AL1397" i="1"/>
  <c r="AM1397" i="1"/>
  <c r="BG1382" i="1"/>
  <c r="BG1381" i="1"/>
  <c r="BG1380" i="1"/>
  <c r="AW1375" i="1"/>
  <c r="AX1375" i="1"/>
  <c r="AZ1375" i="1"/>
  <c r="BA1375" i="1"/>
  <c r="BC1375" i="1"/>
  <c r="AW1374" i="1"/>
  <c r="AY1374" i="1"/>
  <c r="AJ1374" i="1"/>
  <c r="AL1374" i="1"/>
  <c r="AW1373" i="1"/>
  <c r="BF1373" i="1" s="1"/>
  <c r="AH1373" i="1"/>
  <c r="AY1373" i="1"/>
  <c r="AJ1373" i="1"/>
  <c r="AL1373" i="1"/>
  <c r="AW1372" i="1"/>
  <c r="AY1372" i="1"/>
  <c r="AJ1372" i="1"/>
  <c r="AL1372" i="1"/>
  <c r="AW1371" i="1"/>
  <c r="BF1371" i="1"/>
  <c r="AH1371" i="1" s="1"/>
  <c r="AY1371" i="1"/>
  <c r="AJ1371" i="1"/>
  <c r="AL1371" i="1"/>
  <c r="AW1367" i="1"/>
  <c r="AW1366" i="1"/>
  <c r="BF1366" i="1"/>
  <c r="AH1366" i="1"/>
  <c r="AY1366" i="1"/>
  <c r="BD1366" i="1"/>
  <c r="AJ1366" i="1"/>
  <c r="AL1366" i="1"/>
  <c r="AQ1366" i="1"/>
  <c r="AW1365" i="1"/>
  <c r="AW1364" i="1"/>
  <c r="AY1364" i="1"/>
  <c r="BA1364" i="1"/>
  <c r="AJ1364" i="1"/>
  <c r="AL1364" i="1"/>
  <c r="AN1364" i="1"/>
  <c r="AW1363" i="1"/>
  <c r="AW1362" i="1"/>
  <c r="AW1361" i="1"/>
  <c r="AJ1361" i="1"/>
  <c r="AW1360" i="1"/>
  <c r="AJ1360" i="1"/>
  <c r="AW1359" i="1"/>
  <c r="AJ1359" i="1"/>
  <c r="AW1358" i="1"/>
  <c r="AJ1358" i="1"/>
  <c r="AW1357" i="1"/>
  <c r="AJ1357" i="1"/>
  <c r="AW1356" i="1"/>
  <c r="AJ1356" i="1"/>
  <c r="AW1355" i="1"/>
  <c r="AJ1355" i="1"/>
  <c r="AW1354" i="1"/>
  <c r="AJ1354" i="1"/>
  <c r="AW1353" i="1"/>
  <c r="AJ1353" i="1"/>
  <c r="AW1352" i="1"/>
  <c r="AJ1352" i="1"/>
  <c r="AW1351" i="1"/>
  <c r="AJ1351" i="1"/>
  <c r="AW1350" i="1"/>
  <c r="AJ1350" i="1"/>
  <c r="BG1349" i="1"/>
  <c r="AT1349" i="1"/>
  <c r="AZ1348" i="1"/>
  <c r="BG1348" i="1" s="1"/>
  <c r="AT1348" i="1"/>
  <c r="AZ1347" i="1"/>
  <c r="BG1347" i="1"/>
  <c r="AJ1347" i="1"/>
  <c r="AG1347" i="1"/>
  <c r="AW1346" i="1"/>
  <c r="BF1346" i="1"/>
  <c r="AH1346" i="1" s="1"/>
  <c r="AY1346" i="1"/>
  <c r="AZ1346" i="1"/>
  <c r="BA1346" i="1"/>
  <c r="BC1346" i="1"/>
  <c r="AL1346" i="1"/>
  <c r="AG1346" i="1"/>
  <c r="AM1346" i="1"/>
  <c r="AN1346" i="1"/>
  <c r="AP1346" i="1"/>
  <c r="AW1345" i="1"/>
  <c r="BF1345" i="1"/>
  <c r="AH1345" i="1" s="1"/>
  <c r="AY1345" i="1"/>
  <c r="AZ1345" i="1"/>
  <c r="BA1345" i="1"/>
  <c r="BC1345" i="1"/>
  <c r="AJ1345" i="1"/>
  <c r="AL1345" i="1"/>
  <c r="AM1345" i="1"/>
  <c r="AN1345" i="1"/>
  <c r="AP1345" i="1"/>
  <c r="AW1344" i="1"/>
  <c r="BF1344" i="1"/>
  <c r="AH1344" i="1" s="1"/>
  <c r="AY1344" i="1"/>
  <c r="AZ1344" i="1"/>
  <c r="BA1344" i="1"/>
  <c r="BC1344" i="1"/>
  <c r="AJ1344" i="1"/>
  <c r="AL1344" i="1"/>
  <c r="AM1344" i="1"/>
  <c r="AN1344" i="1"/>
  <c r="AP1344" i="1"/>
  <c r="AW1343" i="1"/>
  <c r="AY1343" i="1"/>
  <c r="AZ1343" i="1"/>
  <c r="BA1343" i="1"/>
  <c r="BC1343" i="1"/>
  <c r="AJ1343" i="1"/>
  <c r="AL1343" i="1"/>
  <c r="AM1343" i="1"/>
  <c r="AN1343" i="1"/>
  <c r="AP1343" i="1"/>
  <c r="AW1342" i="1"/>
  <c r="BF1342" i="1"/>
  <c r="AH1342" i="1"/>
  <c r="AY1342" i="1"/>
  <c r="AZ1342" i="1"/>
  <c r="BA1342" i="1"/>
  <c r="BC1342" i="1"/>
  <c r="AJ1342" i="1"/>
  <c r="AL1342" i="1"/>
  <c r="AM1342" i="1"/>
  <c r="AN1342" i="1"/>
  <c r="AP1342" i="1"/>
  <c r="BG1341" i="1"/>
  <c r="AT1341" i="1"/>
  <c r="BG1340" i="1"/>
  <c r="AJ1340" i="1"/>
  <c r="AS1340" i="1" s="1"/>
  <c r="AF1340" i="1"/>
  <c r="BG1339" i="1"/>
  <c r="AJ1339" i="1"/>
  <c r="BG1338" i="1"/>
  <c r="AJ1338" i="1"/>
  <c r="AM1338" i="1"/>
  <c r="BG1337" i="1"/>
  <c r="AJ1337" i="1"/>
  <c r="AG1337" i="1"/>
  <c r="AM1337" i="1"/>
  <c r="BG1336" i="1"/>
  <c r="AJ1336" i="1"/>
  <c r="AS1336" i="1"/>
  <c r="AF1336" i="1"/>
  <c r="AM1336" i="1"/>
  <c r="AN1336" i="1"/>
  <c r="BG1335" i="1"/>
  <c r="AJ1335" i="1"/>
  <c r="AL1335" i="1"/>
  <c r="BG1334" i="1"/>
  <c r="AJ1334" i="1"/>
  <c r="AM1334" i="1"/>
  <c r="AN1334" i="1"/>
  <c r="AW1333" i="1"/>
  <c r="AW1332" i="1"/>
  <c r="AW1331" i="1"/>
  <c r="AI1331" i="1"/>
  <c r="AW1330" i="1"/>
  <c r="AW1329" i="1"/>
  <c r="AW1328" i="1"/>
  <c r="AW1327" i="1"/>
  <c r="AI1327" i="1" s="1"/>
  <c r="AW1326" i="1"/>
  <c r="AW1325" i="1"/>
  <c r="AW1324" i="1"/>
  <c r="BG1310" i="1"/>
  <c r="BG1309" i="1"/>
  <c r="AW1308" i="1"/>
  <c r="AY1308" i="1"/>
  <c r="AZ1308" i="1"/>
  <c r="BA1308" i="1"/>
  <c r="BB1308" i="1"/>
  <c r="BC1308" i="1"/>
  <c r="BC1307" i="1"/>
  <c r="BG1307" i="1"/>
  <c r="BG1285" i="1"/>
  <c r="AW1275" i="1"/>
  <c r="BG1273" i="1"/>
  <c r="BG1272" i="1"/>
  <c r="BG1271" i="1"/>
  <c r="BG1270" i="1"/>
  <c r="BG1269" i="1"/>
  <c r="BG1268" i="1"/>
  <c r="BG1267" i="1"/>
  <c r="BG1266" i="1"/>
  <c r="BG1265" i="1"/>
  <c r="BG1264" i="1"/>
  <c r="BG1263" i="1"/>
  <c r="BG1262" i="1"/>
  <c r="BG1261" i="1"/>
  <c r="BG1260" i="1"/>
  <c r="BG1259" i="1"/>
  <c r="BG1247" i="1"/>
  <c r="BG1246" i="1"/>
  <c r="BG1245" i="1"/>
  <c r="BG1244" i="1"/>
  <c r="BG1243" i="1"/>
  <c r="BG1242" i="1"/>
  <c r="BG1241" i="1"/>
  <c r="BG1240" i="1"/>
  <c r="BG1239" i="1"/>
  <c r="BG1238" i="1"/>
  <c r="BG1237" i="1"/>
  <c r="BG1236" i="1"/>
  <c r="BG1235" i="1"/>
  <c r="BG1234" i="1"/>
  <c r="BG1233" i="1"/>
  <c r="BG1232" i="1"/>
  <c r="BG1231" i="1"/>
  <c r="BG1230" i="1"/>
  <c r="BG1229" i="1"/>
  <c r="BG1228" i="1"/>
  <c r="BG1227" i="1"/>
  <c r="BG1226" i="1"/>
  <c r="BG1225" i="1"/>
  <c r="BG1224" i="1"/>
  <c r="BG1223" i="1"/>
  <c r="BG1222" i="1"/>
  <c r="I132" i="21"/>
  <c r="I131" i="21"/>
  <c r="I130" i="21"/>
  <c r="I129" i="21"/>
  <c r="I128" i="21"/>
  <c r="I127" i="21"/>
  <c r="I126" i="21"/>
  <c r="I125" i="21"/>
  <c r="I124" i="21"/>
  <c r="I123" i="21"/>
  <c r="AW2" i="1"/>
  <c r="BF3" i="1"/>
  <c r="AH3" i="1"/>
  <c r="BF4" i="1"/>
  <c r="AH4" i="1"/>
  <c r="BF5" i="1"/>
  <c r="AH5" i="1"/>
  <c r="AL11" i="1"/>
  <c r="AG11" i="1"/>
  <c r="AY11" i="1"/>
  <c r="AI11" i="1"/>
  <c r="BF15" i="1"/>
  <c r="AH15" i="1"/>
  <c r="AY34" i="1"/>
  <c r="AI34" i="1"/>
  <c r="AY35" i="1"/>
  <c r="AI35" i="1"/>
  <c r="AJ36" i="1"/>
  <c r="AL36" i="1"/>
  <c r="AW36" i="1"/>
  <c r="BF36" i="1"/>
  <c r="AH36" i="1" s="1"/>
  <c r="AY36" i="1"/>
  <c r="AX41" i="1"/>
  <c r="AY41" i="1"/>
  <c r="AX42" i="1"/>
  <c r="AY42" i="1"/>
  <c r="BF66" i="1"/>
  <c r="AH66" i="1"/>
  <c r="BF67" i="1"/>
  <c r="AH67" i="1"/>
  <c r="BF68" i="1"/>
  <c r="AH68" i="1"/>
  <c r="BF72" i="1"/>
  <c r="AH72" i="1"/>
  <c r="AW72" i="1"/>
  <c r="AI72" i="1"/>
  <c r="BF86" i="1"/>
  <c r="AH86" i="1"/>
  <c r="BF87" i="1"/>
  <c r="AH87" i="1"/>
  <c r="BF88" i="1"/>
  <c r="AH88" i="1"/>
  <c r="BF89" i="1"/>
  <c r="AH89" i="1"/>
  <c r="BF90" i="1"/>
  <c r="AH90" i="1"/>
  <c r="BF91" i="1"/>
  <c r="AH91" i="1"/>
  <c r="BF94" i="1"/>
  <c r="AH94" i="1"/>
  <c r="BF95" i="1"/>
  <c r="AH95" i="1"/>
  <c r="BF96" i="1"/>
  <c r="AH96" i="1"/>
  <c r="BF97" i="1"/>
  <c r="AH97" i="1"/>
  <c r="BF98" i="1"/>
  <c r="AH98" i="1"/>
  <c r="BF99" i="1"/>
  <c r="AH99" i="1"/>
  <c r="BF100" i="1"/>
  <c r="AH100" i="1"/>
  <c r="BF101" i="1"/>
  <c r="AH101" i="1"/>
  <c r="BF102" i="1"/>
  <c r="AH102" i="1"/>
  <c r="BF103" i="1"/>
  <c r="AH103" i="1"/>
  <c r="AJ104" i="1"/>
  <c r="AS104" i="1"/>
  <c r="AF104" i="1" s="1"/>
  <c r="AL104" i="1"/>
  <c r="AW104" i="1"/>
  <c r="AY104" i="1"/>
  <c r="BF105" i="1"/>
  <c r="AH105" i="1"/>
  <c r="BF106" i="1"/>
  <c r="AH106" i="1"/>
  <c r="AL113" i="1"/>
  <c r="AG113" i="1"/>
  <c r="AW113" i="1"/>
  <c r="BF113" i="1"/>
  <c r="AH113" i="1" s="1"/>
  <c r="BF120" i="1"/>
  <c r="AH120" i="1" s="1"/>
  <c r="BF121" i="1"/>
  <c r="AH121" i="1"/>
  <c r="BF122" i="1"/>
  <c r="AH122" i="1" s="1"/>
  <c r="BF123" i="1"/>
  <c r="AH123" i="1"/>
  <c r="BF124" i="1"/>
  <c r="AH124" i="1" s="1"/>
  <c r="BF125" i="1"/>
  <c r="AH125" i="1"/>
  <c r="BF126" i="1"/>
  <c r="AH126" i="1" s="1"/>
  <c r="BF127" i="1"/>
  <c r="AH127" i="1" s="1"/>
  <c r="BF226" i="1"/>
  <c r="AH226" i="1" s="1"/>
  <c r="AW226" i="1"/>
  <c r="AI226" i="1"/>
  <c r="AW227" i="1"/>
  <c r="AY227" i="1"/>
  <c r="AL236" i="1"/>
  <c r="AG236" i="1"/>
  <c r="AY236" i="1"/>
  <c r="AI236" i="1" s="1"/>
  <c r="AL237" i="1"/>
  <c r="AG237" i="1"/>
  <c r="AY237" i="1"/>
  <c r="AI237" i="1" s="1"/>
  <c r="AL238" i="1"/>
  <c r="AG238" i="1"/>
  <c r="AL239" i="1"/>
  <c r="AG239" i="1" s="1"/>
  <c r="BF246" i="1"/>
  <c r="AH246" i="1" s="1"/>
  <c r="BF247" i="1"/>
  <c r="AH247" i="1" s="1"/>
  <c r="BF248" i="1"/>
  <c r="AH248" i="1"/>
  <c r="BF249" i="1"/>
  <c r="AH249" i="1" s="1"/>
  <c r="BF250" i="1"/>
  <c r="AH250" i="1"/>
  <c r="BF251" i="1"/>
  <c r="AH251" i="1" s="1"/>
  <c r="BF252" i="1"/>
  <c r="AH252" i="1"/>
  <c r="BF253" i="1"/>
  <c r="AH253" i="1"/>
  <c r="BF254" i="1"/>
  <c r="AH254" i="1"/>
  <c r="BF255" i="1"/>
  <c r="AH255" i="1"/>
  <c r="BF256" i="1"/>
  <c r="AH256" i="1"/>
  <c r="BF257" i="1"/>
  <c r="AH257" i="1"/>
  <c r="BF258" i="1"/>
  <c r="AH258" i="1"/>
  <c r="BF259" i="1"/>
  <c r="AH259" i="1"/>
  <c r="BF260" i="1"/>
  <c r="AH260" i="1"/>
  <c r="AJ278" i="1"/>
  <c r="AL278" i="1"/>
  <c r="AW278" i="1"/>
  <c r="AY278" i="1"/>
  <c r="BG278" i="1" s="1"/>
  <c r="BG280" i="1"/>
  <c r="BG281" i="1"/>
  <c r="BF284" i="1"/>
  <c r="AH284" i="1"/>
  <c r="BF285" i="1"/>
  <c r="AH285" i="1" s="1"/>
  <c r="BF287" i="1"/>
  <c r="AH287" i="1"/>
  <c r="BF300" i="1"/>
  <c r="AH300" i="1" s="1"/>
  <c r="BF301" i="1"/>
  <c r="AH301" i="1"/>
  <c r="AW314" i="1"/>
  <c r="AX314" i="1"/>
  <c r="AW315" i="1"/>
  <c r="AX315" i="1"/>
  <c r="AW316" i="1"/>
  <c r="AX316" i="1"/>
  <c r="AW317" i="1"/>
  <c r="AY317" i="1"/>
  <c r="BF321" i="1"/>
  <c r="AH321" i="1" s="1"/>
  <c r="BF325" i="1"/>
  <c r="AH325" i="1"/>
  <c r="AJ360" i="1"/>
  <c r="AW360" i="1"/>
  <c r="AJ361" i="1"/>
  <c r="AW361" i="1"/>
  <c r="BF416" i="1"/>
  <c r="AH416" i="1" s="1"/>
  <c r="BF417" i="1"/>
  <c r="AH417" i="1"/>
  <c r="BF418" i="1"/>
  <c r="AH418" i="1" s="1"/>
  <c r="AS419" i="1"/>
  <c r="AF419" i="1"/>
  <c r="BF419" i="1"/>
  <c r="AH419" i="1" s="1"/>
  <c r="AS420" i="1"/>
  <c r="AF420" i="1"/>
  <c r="BF420" i="1"/>
  <c r="AH420" i="1" s="1"/>
  <c r="AS421" i="1"/>
  <c r="AF421" i="1"/>
  <c r="BF421" i="1"/>
  <c r="AH421" i="1" s="1"/>
  <c r="AS422" i="1"/>
  <c r="AF422" i="1"/>
  <c r="BF422" i="1"/>
  <c r="AH422" i="1" s="1"/>
  <c r="AS425" i="1"/>
  <c r="AF425" i="1"/>
  <c r="BF425" i="1"/>
  <c r="AH425" i="1" s="1"/>
  <c r="AS426" i="1"/>
  <c r="AF426" i="1"/>
  <c r="BF426" i="1"/>
  <c r="AH426" i="1" s="1"/>
  <c r="AS427" i="1"/>
  <c r="AF427" i="1"/>
  <c r="BF427" i="1"/>
  <c r="AH427" i="1" s="1"/>
  <c r="AS428" i="1"/>
  <c r="AF428" i="1"/>
  <c r="BF428" i="1"/>
  <c r="AH428" i="1" s="1"/>
  <c r="AS429" i="1"/>
  <c r="AF429" i="1"/>
  <c r="BF429" i="1"/>
  <c r="AH429" i="1" s="1"/>
  <c r="AS430" i="1"/>
  <c r="AF430" i="1"/>
  <c r="BF430" i="1"/>
  <c r="AH430" i="1" s="1"/>
  <c r="AS433" i="1"/>
  <c r="AF433" i="1"/>
  <c r="BF433" i="1"/>
  <c r="AH433" i="1" s="1"/>
  <c r="BF434" i="1"/>
  <c r="AH434" i="1"/>
  <c r="BF435" i="1"/>
  <c r="AH435" i="1" s="1"/>
  <c r="AS440" i="1"/>
  <c r="AF440" i="1"/>
  <c r="BF440" i="1"/>
  <c r="AH440" i="1" s="1"/>
  <c r="AS441" i="1"/>
  <c r="AF441" i="1"/>
  <c r="BF441" i="1"/>
  <c r="AH441" i="1" s="1"/>
  <c r="AW452" i="1"/>
  <c r="AX452" i="1"/>
  <c r="AY452" i="1"/>
  <c r="AJ453" i="1"/>
  <c r="AK453" i="1"/>
  <c r="AL453" i="1"/>
  <c r="AW453" i="1"/>
  <c r="AX453" i="1"/>
  <c r="AY453" i="1"/>
  <c r="AJ454" i="1"/>
  <c r="AK454" i="1"/>
  <c r="AL454" i="1"/>
  <c r="AW454" i="1"/>
  <c r="AX454" i="1"/>
  <c r="AY454" i="1"/>
  <c r="AL455" i="1"/>
  <c r="AG455" i="1"/>
  <c r="AY455" i="1"/>
  <c r="AI455" i="1"/>
  <c r="AL457" i="1"/>
  <c r="AG457" i="1"/>
  <c r="AY457" i="1"/>
  <c r="AI457" i="1"/>
  <c r="AJ460" i="1"/>
  <c r="AK460" i="1"/>
  <c r="AW460" i="1"/>
  <c r="AY460" i="1"/>
  <c r="AJ462" i="1"/>
  <c r="AK462" i="1"/>
  <c r="AW462" i="1"/>
  <c r="AY462" i="1"/>
  <c r="AJ470" i="1"/>
  <c r="AW470" i="1"/>
  <c r="AS502" i="1"/>
  <c r="AF502" i="1"/>
  <c r="BF502" i="1"/>
  <c r="AH502" i="1"/>
  <c r="AS503" i="1"/>
  <c r="AF503" i="1"/>
  <c r="BF503" i="1"/>
  <c r="AH503" i="1"/>
  <c r="AS504" i="1"/>
  <c r="AF504" i="1"/>
  <c r="BF504" i="1"/>
  <c r="AH504" i="1"/>
  <c r="AS505" i="1"/>
  <c r="AF505" i="1"/>
  <c r="BF505" i="1"/>
  <c r="AH505" i="1"/>
  <c r="AS506" i="1"/>
  <c r="AF506" i="1"/>
  <c r="BF506" i="1"/>
  <c r="AH506" i="1"/>
  <c r="AS507" i="1"/>
  <c r="AF507" i="1"/>
  <c r="BF507" i="1"/>
  <c r="AH507" i="1"/>
  <c r="AS508" i="1"/>
  <c r="AF508" i="1"/>
  <c r="BF508" i="1"/>
  <c r="AH508" i="1"/>
  <c r="AS509" i="1"/>
  <c r="AF509" i="1"/>
  <c r="BF509" i="1"/>
  <c r="AH509" i="1"/>
  <c r="AS510" i="1"/>
  <c r="AF510" i="1"/>
  <c r="AS511" i="1"/>
  <c r="AF511" i="1"/>
  <c r="AJ512" i="1"/>
  <c r="AS512" i="1"/>
  <c r="AF512" i="1" s="1"/>
  <c r="AK512" i="1"/>
  <c r="AL512" i="1"/>
  <c r="AW512" i="1"/>
  <c r="BF512" i="1" s="1"/>
  <c r="AH512" i="1" s="1"/>
  <c r="AX512" i="1"/>
  <c r="AY512" i="1"/>
  <c r="BF516" i="1"/>
  <c r="AH516" i="1"/>
  <c r="BF517" i="1"/>
  <c r="AH517" i="1"/>
  <c r="BF518" i="1"/>
  <c r="AH518" i="1"/>
  <c r="AY523" i="1"/>
  <c r="AI523" i="1"/>
  <c r="AS525" i="1"/>
  <c r="AF525" i="1"/>
  <c r="BF525" i="1"/>
  <c r="AH525" i="1"/>
  <c r="AS526" i="1"/>
  <c r="AF526" i="1"/>
  <c r="BF526" i="1"/>
  <c r="AH526" i="1"/>
  <c r="AJ527" i="1"/>
  <c r="AL527" i="1"/>
  <c r="AY528" i="1"/>
  <c r="AI528" i="1"/>
  <c r="AS530" i="1"/>
  <c r="AF530" i="1"/>
  <c r="BF530" i="1"/>
  <c r="AH530" i="1"/>
  <c r="AS531" i="1"/>
  <c r="AF531" i="1"/>
  <c r="BF531" i="1"/>
  <c r="AH531" i="1"/>
  <c r="AJ539" i="1"/>
  <c r="AL539" i="1"/>
  <c r="AW539" i="1"/>
  <c r="AY539" i="1"/>
  <c r="AW558" i="1"/>
  <c r="AS565" i="1"/>
  <c r="AF565" i="1"/>
  <c r="BF565" i="1"/>
  <c r="AH565" i="1" s="1"/>
  <c r="AS566" i="1"/>
  <c r="AF566" i="1"/>
  <c r="BF566" i="1"/>
  <c r="AH566" i="1" s="1"/>
  <c r="BF568" i="1"/>
  <c r="AH568" i="1"/>
  <c r="BF569" i="1"/>
  <c r="AH569" i="1" s="1"/>
  <c r="BF570" i="1"/>
  <c r="AH570" i="1"/>
  <c r="BF580" i="1"/>
  <c r="AH580" i="1" s="1"/>
  <c r="BF581" i="1"/>
  <c r="AH581" i="1"/>
  <c r="BG582" i="1"/>
  <c r="BC582" i="1" s="1"/>
  <c r="BG583" i="1"/>
  <c r="AZ583" i="1"/>
  <c r="BG584" i="1"/>
  <c r="BC584" i="1" s="1"/>
  <c r="BG585" i="1"/>
  <c r="AZ585" i="1"/>
  <c r="BG586" i="1"/>
  <c r="BC586" i="1" s="1"/>
  <c r="BG587" i="1"/>
  <c r="AZ587" i="1"/>
  <c r="AJ604" i="1"/>
  <c r="AL604" i="1"/>
  <c r="BF604" i="1"/>
  <c r="AH604" i="1"/>
  <c r="AW604" i="1"/>
  <c r="AY604" i="1"/>
  <c r="AX605" i="1"/>
  <c r="AI605" i="1"/>
  <c r="BF618" i="1"/>
  <c r="AH618" i="1" s="1"/>
  <c r="BF619" i="1"/>
  <c r="AH619" i="1"/>
  <c r="BF620" i="1"/>
  <c r="AH620" i="1" s="1"/>
  <c r="AL621" i="1"/>
  <c r="BF627" i="1"/>
  <c r="AH627" i="1"/>
  <c r="BF628" i="1"/>
  <c r="AH628" i="1"/>
  <c r="AS629" i="1"/>
  <c r="AF629" i="1"/>
  <c r="BF629" i="1"/>
  <c r="AH629" i="1"/>
  <c r="AW630" i="1"/>
  <c r="AY630" i="1"/>
  <c r="AL658" i="1"/>
  <c r="AG658" i="1"/>
  <c r="AK659" i="1"/>
  <c r="AL659" i="1"/>
  <c r="AK660" i="1"/>
  <c r="AL660" i="1"/>
  <c r="AJ690" i="1"/>
  <c r="AS693" i="1"/>
  <c r="AF693" i="1" s="1"/>
  <c r="BF693" i="1"/>
  <c r="AH693" i="1"/>
  <c r="AS694" i="1"/>
  <c r="AF694" i="1" s="1"/>
  <c r="BF694" i="1"/>
  <c r="AH694" i="1"/>
  <c r="AW697" i="1"/>
  <c r="AI697" i="1" s="1"/>
  <c r="AS701" i="1"/>
  <c r="AF701" i="1"/>
  <c r="BF701" i="1"/>
  <c r="AH701" i="1" s="1"/>
  <c r="AJ702" i="1"/>
  <c r="AL702" i="1"/>
  <c r="AW702" i="1"/>
  <c r="AY702" i="1"/>
  <c r="AS703" i="1"/>
  <c r="AF703" i="1"/>
  <c r="BF703" i="1"/>
  <c r="AH703" i="1" s="1"/>
  <c r="AS761" i="1"/>
  <c r="AF761" i="1"/>
  <c r="AS762" i="1"/>
  <c r="AF762" i="1" s="1"/>
  <c r="AS763" i="1"/>
  <c r="AF763" i="1"/>
  <c r="BF764" i="1"/>
  <c r="AH764" i="1" s="1"/>
  <c r="BF765" i="1"/>
  <c r="AH765" i="1"/>
  <c r="BF766" i="1"/>
  <c r="AH766" i="1" s="1"/>
  <c r="BF767" i="1"/>
  <c r="AH767" i="1"/>
  <c r="AK768" i="1"/>
  <c r="AG768" i="1" s="1"/>
  <c r="AK769" i="1"/>
  <c r="AG769" i="1"/>
  <c r="AK770" i="1"/>
  <c r="AG770" i="1" s="1"/>
  <c r="AK771" i="1"/>
  <c r="AG771" i="1"/>
  <c r="AW782" i="1"/>
  <c r="AX782" i="1"/>
  <c r="AY782" i="1"/>
  <c r="AY783" i="1"/>
  <c r="AW784" i="1"/>
  <c r="AX784" i="1"/>
  <c r="AY784" i="1"/>
  <c r="AW785" i="1"/>
  <c r="AX785" i="1"/>
  <c r="AY785" i="1"/>
  <c r="AW786" i="1"/>
  <c r="AY786" i="1"/>
  <c r="AW791" i="1"/>
  <c r="AY791" i="1"/>
  <c r="AW792" i="1"/>
  <c r="AY792" i="1"/>
  <c r="AW793" i="1"/>
  <c r="AY793" i="1"/>
  <c r="AW794" i="1"/>
  <c r="AY794" i="1"/>
  <c r="AW795" i="1"/>
  <c r="AY795" i="1"/>
  <c r="AW796" i="1"/>
  <c r="AY796" i="1"/>
  <c r="AS846" i="1"/>
  <c r="AF846" i="1" s="1"/>
  <c r="BF846" i="1"/>
  <c r="AH846" i="1"/>
  <c r="AS847" i="1"/>
  <c r="AF847" i="1" s="1"/>
  <c r="BF847" i="1"/>
  <c r="AH847" i="1"/>
  <c r="AS848" i="1"/>
  <c r="AF848" i="1" s="1"/>
  <c r="BF848" i="1"/>
  <c r="AH848" i="1"/>
  <c r="AL853" i="1"/>
  <c r="AG853" i="1" s="1"/>
  <c r="AY853" i="1"/>
  <c r="AI853" i="1"/>
  <c r="AL854" i="1"/>
  <c r="AG854" i="1" s="1"/>
  <c r="AY854" i="1"/>
  <c r="AI854" i="1"/>
  <c r="AS861" i="1"/>
  <c r="AF861" i="1" s="1"/>
  <c r="AS864" i="1"/>
  <c r="AF864" i="1"/>
  <c r="AS865" i="1"/>
  <c r="AF865" i="1" s="1"/>
  <c r="AS866" i="1"/>
  <c r="AF866" i="1"/>
  <c r="AS867" i="1"/>
  <c r="AF867" i="1" s="1"/>
  <c r="BF881" i="1"/>
  <c r="AH881" i="1"/>
  <c r="AS923" i="1"/>
  <c r="AF923" i="1" s="1"/>
  <c r="AS924" i="1"/>
  <c r="AF924" i="1"/>
  <c r="AL925" i="1"/>
  <c r="AG925" i="1" s="1"/>
  <c r="AL926" i="1"/>
  <c r="AG926" i="1"/>
  <c r="AL948" i="1"/>
  <c r="AG948" i="1" s="1"/>
  <c r="AL959" i="1"/>
  <c r="AG959" i="1"/>
  <c r="AY959" i="1"/>
  <c r="AI959" i="1" s="1"/>
  <c r="AS1008" i="1"/>
  <c r="AF1008" i="1"/>
  <c r="AS1022" i="1"/>
  <c r="AF1022" i="1" s="1"/>
  <c r="BF1022" i="1"/>
  <c r="AH1022" i="1"/>
  <c r="AS1023" i="1"/>
  <c r="AF1023" i="1" s="1"/>
  <c r="BF1023" i="1"/>
  <c r="AH1023" i="1"/>
  <c r="BF1024" i="1"/>
  <c r="AH1024" i="1" s="1"/>
  <c r="BF1025" i="1"/>
  <c r="AH1025" i="1"/>
  <c r="BF1026" i="1"/>
  <c r="AH1026" i="1" s="1"/>
  <c r="AS1027" i="1"/>
  <c r="AF1027" i="1"/>
  <c r="BF1027" i="1"/>
  <c r="AH1027" i="1" s="1"/>
  <c r="AS1028" i="1"/>
  <c r="AF1028" i="1"/>
  <c r="BF1028" i="1"/>
  <c r="AH1028" i="1" s="1"/>
  <c r="AS1029" i="1"/>
  <c r="AF1029" i="1"/>
  <c r="BF1029" i="1"/>
  <c r="AH1029" i="1" s="1"/>
  <c r="AS1030" i="1"/>
  <c r="AF1030" i="1"/>
  <c r="BF1030" i="1"/>
  <c r="AH1030" i="1" s="1"/>
  <c r="AS1031" i="1"/>
  <c r="AF1031" i="1"/>
  <c r="BF1031" i="1"/>
  <c r="AH1031" i="1" s="1"/>
  <c r="AS1032" i="1"/>
  <c r="AF1032" i="1"/>
  <c r="BF1032" i="1"/>
  <c r="AH1032" i="1" s="1"/>
  <c r="AS1033" i="1"/>
  <c r="AF1033" i="1"/>
  <c r="BF1033" i="1"/>
  <c r="AH1033" i="1" s="1"/>
  <c r="AS1034" i="1"/>
  <c r="AF1034" i="1"/>
  <c r="BF1034" i="1"/>
  <c r="AH1034" i="1" s="1"/>
  <c r="AW1035" i="1"/>
  <c r="AY1035" i="1"/>
  <c r="AW1036" i="1"/>
  <c r="AW1037" i="1"/>
  <c r="AY1037" i="1"/>
  <c r="AW1038" i="1"/>
  <c r="AY1038" i="1"/>
  <c r="AW1039" i="1"/>
  <c r="AY1039" i="1"/>
  <c r="AW1040" i="1"/>
  <c r="AY1040" i="1"/>
  <c r="AW1041" i="1"/>
  <c r="AY1041" i="1"/>
  <c r="AW1042" i="1"/>
  <c r="AY1042" i="1"/>
  <c r="AW1043" i="1"/>
  <c r="AY1043" i="1"/>
  <c r="AW1044" i="1"/>
  <c r="AY1044" i="1"/>
  <c r="AW1045" i="1"/>
  <c r="AY1045" i="1"/>
  <c r="AW1046" i="1"/>
  <c r="AY1046" i="1"/>
  <c r="AW1047" i="1"/>
  <c r="AY1047" i="1"/>
  <c r="AW1072" i="1"/>
  <c r="BG1072" i="1"/>
  <c r="AS1181" i="1"/>
  <c r="AF1181" i="1"/>
  <c r="AS1185" i="1"/>
  <c r="AF1185" i="1"/>
  <c r="AS1186" i="1"/>
  <c r="AF1186" i="1"/>
  <c r="I120" i="21"/>
  <c r="I117" i="21"/>
  <c r="I116" i="21"/>
  <c r="I115" i="21"/>
  <c r="I114" i="21"/>
  <c r="I113" i="21"/>
  <c r="I112" i="21"/>
  <c r="I111" i="21"/>
  <c r="I108" i="21"/>
  <c r="I107" i="21"/>
  <c r="I106" i="21"/>
  <c r="I105" i="21"/>
  <c r="I104" i="21"/>
  <c r="I103" i="21"/>
  <c r="I100" i="21"/>
  <c r="I99" i="21"/>
  <c r="I98" i="21"/>
  <c r="I97" i="21"/>
  <c r="I96" i="21"/>
  <c r="I95" i="21"/>
  <c r="I94" i="21"/>
  <c r="I93" i="21"/>
  <c r="I92" i="21"/>
  <c r="I91" i="21"/>
  <c r="I90" i="21"/>
  <c r="I89" i="21"/>
  <c r="I88" i="21"/>
  <c r="I87" i="21"/>
  <c r="I86" i="21"/>
  <c r="I85" i="21"/>
  <c r="I84" i="21"/>
  <c r="I83" i="21"/>
  <c r="I82" i="21"/>
  <c r="I81" i="21"/>
  <c r="I80" i="21"/>
  <c r="I79" i="21"/>
  <c r="I78" i="21"/>
  <c r="I77" i="21"/>
  <c r="I76" i="21"/>
  <c r="F144" i="21"/>
  <c r="F143" i="21"/>
  <c r="F142" i="21"/>
  <c r="F141" i="21"/>
  <c r="F140" i="21"/>
  <c r="F137" i="21"/>
  <c r="F136" i="21"/>
  <c r="F135" i="21"/>
  <c r="I71" i="21"/>
  <c r="I73" i="21"/>
  <c r="I72" i="21"/>
  <c r="I70" i="21"/>
  <c r="I69" i="21"/>
  <c r="B95" i="21"/>
  <c r="B9" i="21"/>
  <c r="B118" i="21"/>
  <c r="B119" i="21"/>
  <c r="B120" i="21"/>
  <c r="B121" i="21"/>
  <c r="B5" i="21"/>
  <c r="B6" i="21"/>
  <c r="B7" i="21"/>
  <c r="B8" i="21"/>
  <c r="B10" i="21"/>
  <c r="B11" i="21"/>
  <c r="B12" i="21"/>
  <c r="B13" i="21"/>
  <c r="B122" i="21"/>
  <c r="B123" i="21"/>
  <c r="B124" i="21"/>
  <c r="B125" i="21"/>
  <c r="B126" i="21"/>
  <c r="I63" i="21"/>
  <c r="I62" i="21"/>
  <c r="I61" i="21"/>
  <c r="I60" i="21"/>
  <c r="I59" i="21"/>
  <c r="I58" i="21"/>
  <c r="I57" i="21"/>
  <c r="I56" i="21"/>
  <c r="I55" i="21"/>
  <c r="I54" i="21"/>
  <c r="I53" i="21"/>
  <c r="I52" i="21"/>
  <c r="I51" i="21"/>
  <c r="I50" i="21"/>
  <c r="I49" i="21"/>
  <c r="I48" i="21"/>
  <c r="I47" i="21"/>
  <c r="I46" i="21"/>
  <c r="I45" i="21"/>
  <c r="I44" i="21"/>
  <c r="I43" i="21"/>
  <c r="I42" i="21"/>
  <c r="I41" i="21"/>
  <c r="F39" i="21"/>
  <c r="I38" i="21"/>
  <c r="I37" i="21"/>
  <c r="I36" i="21"/>
  <c r="I35" i="21"/>
  <c r="I32" i="21"/>
  <c r="I31" i="21"/>
  <c r="I30" i="21"/>
  <c r="I29" i="21"/>
  <c r="I28" i="21"/>
  <c r="I27" i="21"/>
  <c r="I26" i="21"/>
  <c r="I25" i="21"/>
  <c r="I24" i="21"/>
  <c r="B161" i="21"/>
  <c r="B160" i="21"/>
  <c r="B159" i="21"/>
  <c r="B158" i="21"/>
  <c r="B157" i="21"/>
  <c r="B156" i="21"/>
  <c r="B155" i="21"/>
  <c r="B154" i="21"/>
  <c r="B153" i="21"/>
  <c r="B152" i="21"/>
  <c r="B151" i="21"/>
  <c r="B150" i="21"/>
  <c r="B149" i="21"/>
  <c r="F9" i="21"/>
  <c r="B103" i="21"/>
  <c r="B104" i="21"/>
  <c r="B105" i="21"/>
  <c r="B106" i="21"/>
  <c r="B107" i="21"/>
  <c r="B108" i="21"/>
  <c r="B109" i="21"/>
  <c r="B79" i="21"/>
  <c r="B80" i="21"/>
  <c r="B81" i="21"/>
  <c r="B82" i="21"/>
  <c r="B83" i="21"/>
  <c r="B84" i="21"/>
  <c r="B85" i="21"/>
  <c r="B86" i="21"/>
  <c r="B87" i="21"/>
  <c r="B88" i="21"/>
  <c r="F112" i="21"/>
  <c r="F16" i="21"/>
  <c r="F20" i="21"/>
  <c r="F5" i="21"/>
  <c r="F18" i="21"/>
  <c r="B29" i="21"/>
  <c r="B30" i="21"/>
  <c r="B31" i="21"/>
  <c r="B32" i="21"/>
  <c r="B33" i="21"/>
  <c r="B34" i="21"/>
  <c r="B35" i="21"/>
  <c r="B23" i="21"/>
  <c r="B24" i="21"/>
  <c r="B25" i="21"/>
  <c r="B26" i="21"/>
  <c r="B27" i="21"/>
  <c r="B20" i="21"/>
  <c r="F23" i="21"/>
  <c r="F25" i="21"/>
  <c r="F27" i="21"/>
  <c r="F29" i="21"/>
  <c r="F31" i="21"/>
  <c r="F35" i="21"/>
  <c r="F36" i="21"/>
  <c r="F37" i="21"/>
  <c r="F41" i="21"/>
  <c r="F42" i="21"/>
  <c r="F43" i="21"/>
  <c r="F46" i="21"/>
  <c r="F48" i="21"/>
  <c r="F49" i="21"/>
  <c r="F52" i="21"/>
  <c r="B42" i="21"/>
  <c r="B43" i="21"/>
  <c r="B44" i="21"/>
  <c r="B45" i="21"/>
  <c r="B46" i="21"/>
  <c r="B47" i="21"/>
  <c r="B48" i="21"/>
  <c r="B49" i="21"/>
  <c r="B50" i="21"/>
  <c r="B51" i="21"/>
  <c r="B52" i="21"/>
  <c r="F54" i="21"/>
  <c r="F56" i="21"/>
  <c r="F58" i="21"/>
  <c r="F60" i="21"/>
  <c r="F64" i="21"/>
  <c r="F68" i="21"/>
  <c r="F70" i="21"/>
  <c r="F72" i="21"/>
  <c r="F74" i="21"/>
  <c r="B90" i="21"/>
  <c r="B91" i="21"/>
  <c r="B92" i="21"/>
  <c r="B93" i="21"/>
  <c r="B94" i="21"/>
  <c r="B96" i="21"/>
  <c r="B97" i="21"/>
  <c r="B98" i="21"/>
  <c r="B99" i="21"/>
  <c r="B100" i="21"/>
  <c r="B101" i="21"/>
  <c r="F76" i="21"/>
  <c r="B67" i="21"/>
  <c r="B68" i="21"/>
  <c r="B69" i="21"/>
  <c r="B70" i="21"/>
  <c r="B71" i="21"/>
  <c r="B72" i="21"/>
  <c r="B73" i="21"/>
  <c r="B74" i="21"/>
  <c r="B75" i="21"/>
  <c r="B76" i="21"/>
  <c r="B77" i="21"/>
  <c r="F80" i="21"/>
  <c r="F122" i="21"/>
  <c r="F124" i="21"/>
  <c r="F128" i="21"/>
  <c r="F78" i="21"/>
  <c r="F130" i="21"/>
  <c r="F82" i="21"/>
  <c r="F83" i="21"/>
  <c r="B16" i="21"/>
  <c r="B111" i="21"/>
  <c r="B112" i="21"/>
  <c r="B113" i="21"/>
  <c r="B114" i="21"/>
  <c r="B115" i="21"/>
  <c r="B116" i="21"/>
  <c r="B141" i="21"/>
  <c r="B142" i="21"/>
  <c r="B143" i="21"/>
  <c r="B144" i="21"/>
  <c r="B145" i="21"/>
  <c r="B146" i="21"/>
  <c r="F87" i="21"/>
  <c r="F89" i="21"/>
  <c r="B128" i="21"/>
  <c r="B129" i="21"/>
  <c r="B130" i="21"/>
  <c r="B131" i="21"/>
  <c r="B132" i="21"/>
  <c r="B133" i="21"/>
  <c r="B134" i="21"/>
  <c r="B135" i="21"/>
  <c r="B136" i="21"/>
  <c r="B137" i="21"/>
  <c r="B138" i="21"/>
  <c r="B139" i="21"/>
  <c r="F93" i="21"/>
  <c r="F95" i="21"/>
  <c r="F97" i="21"/>
  <c r="F114" i="21"/>
  <c r="F119" i="21"/>
  <c r="F107" i="21"/>
  <c r="F110" i="21"/>
  <c r="F116" i="21"/>
  <c r="I66" i="21"/>
  <c r="F132" i="21"/>
  <c r="F7" i="21"/>
  <c r="I20" i="21"/>
  <c r="I19" i="21"/>
  <c r="I18" i="21"/>
  <c r="I17" i="21"/>
  <c r="I16" i="21"/>
  <c r="I15" i="21"/>
  <c r="I14" i="21"/>
  <c r="I13" i="21"/>
  <c r="I12" i="21"/>
  <c r="I11" i="21"/>
  <c r="I10" i="21"/>
  <c r="I9" i="21"/>
  <c r="I8" i="21"/>
  <c r="I7" i="21"/>
  <c r="I6" i="21"/>
  <c r="I5" i="21"/>
  <c r="F126" i="21"/>
  <c r="F99" i="21"/>
  <c r="F100" i="21"/>
  <c r="F101" i="21"/>
  <c r="F102" i="21"/>
  <c r="F103" i="21"/>
  <c r="F104" i="21"/>
  <c r="BG702" i="1"/>
  <c r="BA702" i="1"/>
  <c r="AN702" i="1"/>
  <c r="T14" i="12"/>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184" i="1"/>
  <c r="AT1187" i="1"/>
  <c r="BG1211" i="1"/>
  <c r="BG1212" i="1"/>
  <c r="BG1213" i="1"/>
  <c r="BG1214" i="1"/>
  <c r="BG1215" i="1"/>
  <c r="BG1216" i="1"/>
  <c r="BG1217" i="1"/>
  <c r="BG1218" i="1"/>
  <c r="BG1219" i="1"/>
  <c r="BG1220" i="1"/>
  <c r="BG1221" i="1"/>
  <c r="BG1184" i="1"/>
  <c r="BG1188" i="1"/>
  <c r="BG1189" i="1"/>
  <c r="BG1190" i="1"/>
  <c r="BG1191" i="1"/>
  <c r="BG1192" i="1"/>
  <c r="BG1193" i="1"/>
  <c r="BG1194" i="1"/>
  <c r="BG1195" i="1"/>
  <c r="BG1196" i="1"/>
  <c r="BG1197" i="1"/>
  <c r="BG1198" i="1"/>
  <c r="BG1199" i="1"/>
  <c r="BG1200" i="1"/>
  <c r="BG1201" i="1"/>
  <c r="BG1202" i="1"/>
  <c r="BG1203" i="1"/>
  <c r="BG1204" i="1"/>
  <c r="BG1205" i="1"/>
  <c r="BG1206" i="1"/>
  <c r="BG1207" i="1"/>
  <c r="BG1208" i="1"/>
  <c r="BG1209" i="1"/>
  <c r="BG1210" i="1"/>
  <c r="BG1187" i="1"/>
  <c r="BG621" i="1"/>
  <c r="AM462" i="1"/>
  <c r="AN462" i="1"/>
  <c r="AP462" i="1"/>
  <c r="AM460" i="1"/>
  <c r="AN460" i="1"/>
  <c r="AP460" i="1"/>
  <c r="AZ462" i="1"/>
  <c r="BA462" i="1"/>
  <c r="BB462" i="1"/>
  <c r="BC462" i="1"/>
  <c r="AZ460" i="1"/>
  <c r="BA460" i="1"/>
  <c r="BB460" i="1"/>
  <c r="BC460" i="1"/>
  <c r="AM512" i="1"/>
  <c r="AZ512" i="1"/>
  <c r="BG690" i="1"/>
  <c r="BG689" i="1"/>
  <c r="AM457" i="1"/>
  <c r="AP457" i="1"/>
  <c r="AM455" i="1"/>
  <c r="AP455" i="1"/>
  <c r="AZ457" i="1"/>
  <c r="BC457" i="1"/>
  <c r="AZ455" i="1"/>
  <c r="BC455" i="1"/>
  <c r="BE454" i="1"/>
  <c r="BD454" i="1"/>
  <c r="BC454" i="1"/>
  <c r="BA454" i="1"/>
  <c r="AZ454" i="1"/>
  <c r="BE453" i="1"/>
  <c r="BD453" i="1"/>
  <c r="BC453" i="1"/>
  <c r="BA453" i="1"/>
  <c r="AZ453" i="1"/>
  <c r="AZ452" i="1"/>
  <c r="BA452" i="1"/>
  <c r="BC452" i="1"/>
  <c r="BD452" i="1"/>
  <c r="BE452" i="1"/>
  <c r="AR454" i="1"/>
  <c r="AQ454" i="1"/>
  <c r="AP454" i="1"/>
  <c r="AN454" i="1"/>
  <c r="AM454" i="1"/>
  <c r="AM453" i="1"/>
  <c r="AN453" i="1"/>
  <c r="AP453" i="1"/>
  <c r="AQ453" i="1"/>
  <c r="AR453" i="1"/>
  <c r="AP452" i="1"/>
  <c r="AQ452" i="1"/>
  <c r="AR452" i="1"/>
  <c r="AT513" i="1"/>
  <c r="F91" i="21"/>
  <c r="F66" i="21"/>
  <c r="F62" i="21"/>
  <c r="F14" i="21"/>
  <c r="F12" i="21"/>
  <c r="B65" i="21"/>
  <c r="B64" i="21"/>
  <c r="B63" i="21"/>
  <c r="B62" i="21"/>
  <c r="B61" i="21"/>
  <c r="B60" i="21"/>
  <c r="B59" i="21"/>
  <c r="B58" i="21"/>
  <c r="B57" i="21"/>
  <c r="B55" i="21"/>
  <c r="B54" i="21"/>
  <c r="B40" i="21"/>
  <c r="B39" i="21"/>
  <c r="B38" i="21"/>
  <c r="B37" i="21"/>
  <c r="F330" i="13"/>
  <c r="G330" i="13"/>
  <c r="BG922" i="1"/>
  <c r="BG921" i="1"/>
  <c r="AT922" i="1"/>
  <c r="AT921" i="1"/>
  <c r="BG946" i="1"/>
  <c r="BG960" i="1"/>
  <c r="BG961" i="1"/>
  <c r="BG962" i="1"/>
  <c r="BG963" i="1"/>
  <c r="BG964" i="1"/>
  <c r="BG965" i="1"/>
  <c r="BG966" i="1"/>
  <c r="BG945" i="1"/>
  <c r="BG1014" i="1"/>
  <c r="BG1015" i="1"/>
  <c r="BG1013" i="1"/>
  <c r="AT1014" i="1"/>
  <c r="AT1015" i="1"/>
  <c r="AT862" i="1"/>
  <c r="AT863" i="1"/>
  <c r="AT945" i="1"/>
  <c r="AT946" i="1"/>
  <c r="AT959" i="1"/>
  <c r="AT960" i="1"/>
  <c r="AT961" i="1"/>
  <c r="AT962" i="1"/>
  <c r="AT963" i="1"/>
  <c r="AT964" i="1"/>
  <c r="AT965" i="1"/>
  <c r="AT966" i="1"/>
  <c r="AT1013" i="1"/>
  <c r="BG875" i="1"/>
  <c r="BG947" i="1"/>
  <c r="BG953" i="1"/>
  <c r="BG970" i="1"/>
  <c r="BG971" i="1"/>
  <c r="BG972" i="1"/>
  <c r="BG973" i="1"/>
  <c r="BG974" i="1"/>
  <c r="BG975" i="1"/>
  <c r="BG976" i="1"/>
  <c r="BG977" i="1"/>
  <c r="BG825" i="1"/>
  <c r="AT875" i="1"/>
  <c r="AT947" i="1"/>
  <c r="AT953" i="1"/>
  <c r="AT970" i="1"/>
  <c r="AT971" i="1"/>
  <c r="AT972" i="1"/>
  <c r="AT973" i="1"/>
  <c r="AT974" i="1"/>
  <c r="AT975" i="1"/>
  <c r="AT976" i="1"/>
  <c r="AT977" i="1"/>
  <c r="AT825" i="1"/>
  <c r="BG948" i="1"/>
  <c r="BG926" i="1"/>
  <c r="BG925" i="1"/>
  <c r="BG850" i="1"/>
  <c r="BG849" i="1"/>
  <c r="BG982" i="1"/>
  <c r="BG981" i="1"/>
  <c r="BG980" i="1"/>
  <c r="BG979" i="1"/>
  <c r="BG1004" i="1"/>
  <c r="BG1005" i="1"/>
  <c r="BG1016" i="1"/>
  <c r="BG1003" i="1"/>
  <c r="AT850" i="1"/>
  <c r="AT849" i="1"/>
  <c r="AT982" i="1"/>
  <c r="AT981" i="1"/>
  <c r="AT980" i="1"/>
  <c r="AT979" i="1"/>
  <c r="AT1004" i="1"/>
  <c r="AT1005" i="1"/>
  <c r="AT1016" i="1"/>
  <c r="AT1003" i="1"/>
  <c r="AZ361" i="1"/>
  <c r="BA361" i="1"/>
  <c r="BB361" i="1"/>
  <c r="BD361" i="1"/>
  <c r="AZ360" i="1"/>
  <c r="BA360" i="1"/>
  <c r="BB360" i="1"/>
  <c r="BD360" i="1"/>
  <c r="BG350" i="1"/>
  <c r="BG351" i="1"/>
  <c r="BG352" i="1"/>
  <c r="BG353" i="1"/>
  <c r="BG354" i="1"/>
  <c r="BG355" i="1"/>
  <c r="BG356" i="1"/>
  <c r="BG357" i="1"/>
  <c r="BG358" i="1"/>
  <c r="BG359" i="1"/>
  <c r="BG349" i="1"/>
  <c r="AT355" i="1"/>
  <c r="AM104" i="1"/>
  <c r="AO104" i="1"/>
  <c r="AP104" i="1"/>
  <c r="BG1021" i="1"/>
  <c r="BG1019" i="1"/>
  <c r="BG1018" i="1"/>
  <c r="BG1017" i="1"/>
  <c r="AT1021" i="1"/>
  <c r="AT1019" i="1"/>
  <c r="AT1018" i="1"/>
  <c r="AT1017" i="1"/>
  <c r="BC104" i="1"/>
  <c r="AZ104" i="1"/>
  <c r="AT15" i="1"/>
  <c r="BG15" i="1"/>
  <c r="BG86" i="1"/>
  <c r="BG87" i="1"/>
  <c r="BG88" i="1"/>
  <c r="BG89" i="1"/>
  <c r="BG114" i="1"/>
  <c r="BG115" i="1"/>
  <c r="BG116" i="1"/>
  <c r="AT117" i="1"/>
  <c r="BG117" i="1"/>
  <c r="AT118" i="1"/>
  <c r="BG118" i="1"/>
  <c r="AT119" i="1"/>
  <c r="BG119" i="1"/>
  <c r="BG226" i="1"/>
  <c r="AT234" i="1"/>
  <c r="AT235" i="1"/>
  <c r="AT279" i="1"/>
  <c r="BG282" i="1"/>
  <c r="BG283" i="1"/>
  <c r="AT289" i="1"/>
  <c r="BG289" i="1"/>
  <c r="AT290" i="1"/>
  <c r="BG290" i="1"/>
  <c r="BG291" i="1"/>
  <c r="BG292" i="1"/>
  <c r="BG319" i="1"/>
  <c r="BG415" i="1"/>
  <c r="BG431" i="1"/>
  <c r="BG432" i="1"/>
  <c r="BG439" i="1"/>
  <c r="BG445" i="1"/>
  <c r="BG446" i="1"/>
  <c r="BG447" i="1"/>
  <c r="BG448" i="1"/>
  <c r="BG449" i="1"/>
  <c r="BG450" i="1"/>
  <c r="BG451" i="1"/>
  <c r="AT456" i="1"/>
  <c r="BG456" i="1"/>
  <c r="AT461" i="1"/>
  <c r="BG461" i="1"/>
  <c r="AT463" i="1"/>
  <c r="BG463" i="1"/>
  <c r="AT464" i="1"/>
  <c r="BG464" i="1"/>
  <c r="AT465" i="1"/>
  <c r="AT466" i="1"/>
  <c r="AT467" i="1"/>
  <c r="AT468" i="1"/>
  <c r="BG469" i="1"/>
  <c r="BG513" i="1"/>
  <c r="AT514" i="1"/>
  <c r="BG514" i="1"/>
  <c r="AT515" i="1"/>
  <c r="BG515" i="1"/>
  <c r="AT580" i="1"/>
  <c r="BG580" i="1"/>
  <c r="AT581" i="1"/>
  <c r="BG581" i="1"/>
  <c r="AT605" i="1"/>
  <c r="BG610" i="1"/>
  <c r="BG611" i="1"/>
  <c r="BG612" i="1"/>
  <c r="BG613" i="1"/>
  <c r="BG675" i="1"/>
  <c r="BG676" i="1"/>
  <c r="BG677" i="1"/>
  <c r="BG678" i="1"/>
  <c r="BG679" i="1"/>
  <c r="BG680" i="1"/>
  <c r="BG681" i="1"/>
  <c r="BG682" i="1"/>
  <c r="BG683" i="1"/>
  <c r="BG684" i="1"/>
  <c r="BG685" i="1"/>
  <c r="BG686" i="1"/>
  <c r="AT693" i="1"/>
  <c r="BG693" i="1"/>
  <c r="AT694" i="1"/>
  <c r="BG694" i="1"/>
  <c r="BG698" i="1"/>
  <c r="BG699" i="1"/>
  <c r="BG700" i="1"/>
  <c r="AT702" i="1"/>
  <c r="AT750" i="1"/>
  <c r="BG750" i="1"/>
  <c r="BG772" i="1"/>
  <c r="BG773" i="1"/>
  <c r="BG774" i="1"/>
  <c r="BG775" i="1"/>
  <c r="BG776" i="1"/>
  <c r="BG777" i="1"/>
  <c r="BG778" i="1"/>
  <c r="BG779" i="1"/>
  <c r="BG780" i="1"/>
  <c r="BG781" i="1"/>
  <c r="BG786" i="1"/>
  <c r="AT791" i="1"/>
  <c r="AT792" i="1"/>
  <c r="AT793" i="1"/>
  <c r="AN739" i="1"/>
  <c r="AM739" i="1"/>
  <c r="AQ697" i="1"/>
  <c r="AQ696" i="1"/>
  <c r="AQ695" i="1"/>
  <c r="AM562" i="1"/>
  <c r="AM527" i="1"/>
  <c r="AN519" i="1"/>
  <c r="AM327" i="1"/>
  <c r="AN239" i="1"/>
  <c r="AM239" i="1"/>
  <c r="AN238" i="1"/>
  <c r="AM238" i="1"/>
  <c r="AM236" i="1"/>
  <c r="AM36" i="1"/>
  <c r="AN36" i="1"/>
  <c r="AM326" i="1"/>
  <c r="AR327" i="1"/>
  <c r="AM360" i="1"/>
  <c r="AN360" i="1"/>
  <c r="AO360" i="1"/>
  <c r="AM361" i="1"/>
  <c r="AN361" i="1"/>
  <c r="AO361" i="1"/>
  <c r="AM470" i="1"/>
  <c r="AN470" i="1"/>
  <c r="AN493" i="1"/>
  <c r="AR499" i="1"/>
  <c r="AR500" i="1"/>
  <c r="AR501" i="1"/>
  <c r="AN524" i="1"/>
  <c r="AM567" i="1"/>
  <c r="AN567" i="1"/>
  <c r="AR602" i="1"/>
  <c r="AR603" i="1"/>
  <c r="AM604" i="1"/>
  <c r="AN604" i="1"/>
  <c r="AR604" i="1"/>
  <c r="AM658" i="1"/>
  <c r="AN658" i="1"/>
  <c r="AM659" i="1"/>
  <c r="AN659" i="1"/>
  <c r="AM660" i="1"/>
  <c r="AN660" i="1"/>
  <c r="AN11" i="1"/>
  <c r="BC786" i="1"/>
  <c r="BB786" i="1"/>
  <c r="BA786" i="1"/>
  <c r="AZ786" i="1"/>
  <c r="AZ785" i="1"/>
  <c r="AZ784" i="1"/>
  <c r="BD697" i="1"/>
  <c r="BA697" i="1"/>
  <c r="AZ697" i="1"/>
  <c r="BD695" i="1"/>
  <c r="BA470" i="1"/>
  <c r="AZ470" i="1"/>
  <c r="BA316" i="1"/>
  <c r="AZ316" i="1"/>
  <c r="BA315" i="1"/>
  <c r="AZ315" i="1"/>
  <c r="BA314" i="1"/>
  <c r="AZ314" i="1"/>
  <c r="BB2" i="1"/>
  <c r="BD2" i="1"/>
  <c r="BA1065" i="1"/>
  <c r="BG1065" i="1" s="1"/>
  <c r="BG1066" i="1"/>
  <c r="BA1067" i="1"/>
  <c r="BG1067" i="1"/>
  <c r="BC1068" i="1"/>
  <c r="BG1068" i="1"/>
  <c r="BG1070" i="1"/>
  <c r="BG1048" i="1"/>
  <c r="BG1049" i="1"/>
  <c r="BG1050" i="1"/>
  <c r="BG1051" i="1"/>
  <c r="BG1052" i="1"/>
  <c r="BG1053" i="1"/>
  <c r="BG1054" i="1"/>
  <c r="BG1055" i="1"/>
  <c r="BG1056" i="1"/>
  <c r="BG1057" i="1"/>
  <c r="BG1058" i="1"/>
  <c r="BG1059" i="1"/>
  <c r="AZ1042" i="1"/>
  <c r="BA1042" i="1"/>
  <c r="AZ1043" i="1"/>
  <c r="BA1043" i="1"/>
  <c r="AZ1044" i="1"/>
  <c r="BA1044" i="1"/>
  <c r="AZ1045" i="1"/>
  <c r="BA1045" i="1"/>
  <c r="AZ1046" i="1"/>
  <c r="BA1046" i="1"/>
  <c r="AZ1047" i="1"/>
  <c r="BA1047" i="1"/>
  <c r="AZ1036" i="1"/>
  <c r="BA1036" i="1"/>
  <c r="BD1036" i="1"/>
  <c r="AZ1037" i="1"/>
  <c r="BA1037" i="1"/>
  <c r="BD1037" i="1"/>
  <c r="BE1037" i="1"/>
  <c r="AZ1038" i="1"/>
  <c r="BA1038" i="1"/>
  <c r="BD1038" i="1"/>
  <c r="BE1038" i="1"/>
  <c r="AZ1039" i="1"/>
  <c r="BA1039" i="1"/>
  <c r="BD1039" i="1"/>
  <c r="BE1039" i="1"/>
  <c r="AZ1040" i="1"/>
  <c r="BA1040" i="1"/>
  <c r="BD1040" i="1"/>
  <c r="BE1040" i="1"/>
  <c r="AZ1041" i="1"/>
  <c r="BA1041" i="1"/>
  <c r="BD1041" i="1"/>
  <c r="BE1041" i="1"/>
  <c r="AZ1035" i="1"/>
  <c r="AZ649" i="1"/>
  <c r="BA10" i="1"/>
  <c r="BA11" i="1"/>
  <c r="BA12" i="1"/>
  <c r="BA13" i="1"/>
  <c r="AZ36" i="1"/>
  <c r="BA36" i="1"/>
  <c r="AZ41" i="1"/>
  <c r="AZ42" i="1"/>
  <c r="BA73" i="1"/>
  <c r="BB73" i="1"/>
  <c r="BC73" i="1"/>
  <c r="BA74" i="1"/>
  <c r="BB74" i="1"/>
  <c r="BC74" i="1"/>
  <c r="BB104" i="1"/>
  <c r="AZ108" i="1"/>
  <c r="AZ109" i="1"/>
  <c r="AZ113" i="1"/>
  <c r="AZ226" i="1"/>
  <c r="BA226" i="1"/>
  <c r="BB226" i="1"/>
  <c r="AZ227" i="1"/>
  <c r="BA227" i="1"/>
  <c r="BB227" i="1"/>
  <c r="BC227" i="1"/>
  <c r="BA233" i="1"/>
  <c r="AZ317" i="1"/>
  <c r="AZ326" i="1"/>
  <c r="BE326" i="1"/>
  <c r="AZ327" i="1"/>
  <c r="BE327" i="1"/>
  <c r="BC329" i="1"/>
  <c r="AZ412" i="1"/>
  <c r="BB412" i="1"/>
  <c r="BC412" i="1"/>
  <c r="BC442" i="1"/>
  <c r="BA493" i="1"/>
  <c r="BA494" i="1"/>
  <c r="BE499" i="1"/>
  <c r="BE500" i="1"/>
  <c r="BE501" i="1"/>
  <c r="BA519" i="1"/>
  <c r="BA520" i="1"/>
  <c r="BA521" i="1"/>
  <c r="BA522" i="1"/>
  <c r="BA524" i="1"/>
  <c r="AZ567" i="1"/>
  <c r="BA567" i="1"/>
  <c r="AZ586" i="1"/>
  <c r="AZ604" i="1"/>
  <c r="BA604" i="1"/>
  <c r="BE604" i="1"/>
  <c r="BA630" i="1"/>
  <c r="BC630" i="1"/>
  <c r="BB645" i="1"/>
  <c r="BC645" i="1"/>
  <c r="AZ646" i="1"/>
  <c r="BB646" i="1"/>
  <c r="BC646" i="1"/>
  <c r="BD646" i="1"/>
  <c r="BC647" i="1"/>
  <c r="AZ782" i="1"/>
  <c r="AZ783" i="1"/>
  <c r="BA783" i="1"/>
  <c r="AZ789" i="1"/>
  <c r="BA789" i="1"/>
  <c r="BB789" i="1"/>
  <c r="AZ790" i="1"/>
  <c r="BA790" i="1"/>
  <c r="BB790" i="1"/>
  <c r="AZ791" i="1"/>
  <c r="BA791" i="1"/>
  <c r="BB791" i="1"/>
  <c r="BD791" i="1"/>
  <c r="AZ792" i="1"/>
  <c r="BA792" i="1"/>
  <c r="BB792" i="1"/>
  <c r="BD792" i="1"/>
  <c r="AZ793" i="1"/>
  <c r="BA793" i="1"/>
  <c r="BB793" i="1"/>
  <c r="BD793" i="1"/>
  <c r="AZ794" i="1"/>
  <c r="BA794" i="1"/>
  <c r="BB794" i="1"/>
  <c r="AZ795" i="1"/>
  <c r="BA795" i="1"/>
  <c r="BB795" i="1"/>
  <c r="AZ796" i="1"/>
  <c r="BA796" i="1"/>
  <c r="AG1182" i="1"/>
  <c r="K204" i="16"/>
  <c r="E357" i="16"/>
  <c r="E356" i="16"/>
  <c r="E358" i="16"/>
  <c r="E359" i="16"/>
  <c r="E360" i="16"/>
  <c r="BC587" i="1"/>
  <c r="BB586" i="1"/>
  <c r="BG853" i="1"/>
  <c r="AT1397" i="1"/>
  <c r="AY1481" i="1"/>
  <c r="AI1481" i="1"/>
  <c r="AT948" i="1"/>
  <c r="AT1404" i="1"/>
  <c r="BG1597" i="1"/>
  <c r="BB587" i="1"/>
  <c r="AI630" i="1"/>
  <c r="AI278" i="1"/>
  <c r="AI41" i="1"/>
  <c r="AG36" i="1"/>
  <c r="BG1403" i="1"/>
  <c r="BB583" i="1"/>
  <c r="BC583" i="1"/>
  <c r="BG619" i="1"/>
  <c r="AG659" i="1"/>
  <c r="AI317" i="1"/>
  <c r="AI315" i="1"/>
  <c r="AI227" i="1"/>
  <c r="BG1598" i="1"/>
  <c r="BG1044" i="1"/>
  <c r="BG1045" i="1"/>
  <c r="AT104" i="1"/>
  <c r="AI1397" i="1"/>
  <c r="AT1587" i="1"/>
  <c r="BG1590" i="1"/>
  <c r="AT1623" i="1"/>
  <c r="BG959" i="1"/>
  <c r="AI539" i="1"/>
  <c r="AT1373" i="1"/>
  <c r="BG1397" i="1"/>
  <c r="BG1404" i="1"/>
  <c r="BG1450" i="1"/>
  <c r="AT1631" i="1"/>
  <c r="AZ584" i="1"/>
  <c r="BG1047" i="1"/>
  <c r="BG1043" i="1"/>
  <c r="BG452" i="1"/>
  <c r="AT278" i="1"/>
  <c r="BC585" i="1"/>
  <c r="AZ582" i="1"/>
  <c r="BG539" i="1"/>
  <c r="AT926" i="1"/>
  <c r="BG854" i="1"/>
  <c r="AI1342" i="1"/>
  <c r="AT1372" i="1"/>
  <c r="BG1458" i="1"/>
  <c r="BG1630" i="1"/>
  <c r="BB585" i="1"/>
  <c r="BB582" i="1"/>
  <c r="BG1046" i="1"/>
  <c r="AT452" i="1"/>
  <c r="AT454" i="1"/>
  <c r="BG512" i="1"/>
  <c r="AT1630" i="1"/>
  <c r="BG1038" i="1"/>
  <c r="BG460" i="1"/>
  <c r="BG360" i="1"/>
  <c r="BG1342" i="1"/>
  <c r="BG1344" i="1"/>
  <c r="BG1451" i="1"/>
  <c r="BG1588" i="1"/>
  <c r="BG1629" i="1"/>
  <c r="BG1631" i="1"/>
  <c r="BG1645" i="1"/>
  <c r="AI1514" i="1"/>
  <c r="AI442" i="1"/>
  <c r="BF1481" i="1"/>
  <c r="AH1481" i="1"/>
  <c r="AI1473" i="1"/>
  <c r="AG1472" i="1"/>
  <c r="AI444" i="1"/>
  <c r="AG567" i="1"/>
  <c r="BG1040" i="1"/>
  <c r="AI1343" i="1"/>
  <c r="BF1343" i="1"/>
  <c r="AH1343" i="1"/>
  <c r="BG1036" i="1"/>
  <c r="AG621" i="1"/>
  <c r="AT621" i="1"/>
  <c r="AT1562" i="1"/>
  <c r="BG1042" i="1"/>
  <c r="AI1274" i="1"/>
  <c r="BG1274" i="1"/>
  <c r="BG1041" i="1"/>
  <c r="BG1037" i="1"/>
  <c r="BG1039" i="1"/>
  <c r="AT512" i="1"/>
  <c r="AT462" i="1"/>
  <c r="AT460" i="1"/>
  <c r="BG620" i="1"/>
  <c r="BG361" i="1"/>
  <c r="AT853" i="1"/>
  <c r="AS1589" i="1"/>
  <c r="AF1589" i="1"/>
  <c r="AT1589" i="1"/>
  <c r="BG1035" i="1"/>
  <c r="BG618" i="1"/>
  <c r="AT854" i="1"/>
  <c r="BG455" i="1"/>
  <c r="AT455" i="1"/>
  <c r="AS1338" i="1"/>
  <c r="AF1338" i="1"/>
  <c r="AG1338" i="1"/>
  <c r="AG1344" i="1"/>
  <c r="BG1346" i="1"/>
  <c r="AI1346" i="1"/>
  <c r="AT1466" i="1"/>
  <c r="BG1467" i="1"/>
  <c r="BG1483" i="1"/>
  <c r="BG1485" i="1"/>
  <c r="AG1630" i="1"/>
  <c r="BG1644" i="1"/>
  <c r="BG453" i="1"/>
  <c r="BG454" i="1"/>
  <c r="BG457" i="1"/>
  <c r="AT457" i="1"/>
  <c r="AI1072" i="1"/>
  <c r="BF1072" i="1"/>
  <c r="AH1072" i="1" s="1"/>
  <c r="BG1343" i="1"/>
  <c r="BG1345" i="1"/>
  <c r="BG1621" i="1"/>
  <c r="BG1624" i="1"/>
  <c r="AI423" i="1"/>
  <c r="AG423" i="1"/>
  <c r="BF412" i="1"/>
  <c r="AH412" i="1" s="1"/>
  <c r="AI412" i="1"/>
  <c r="AI424" i="1"/>
  <c r="AG424" i="1"/>
  <c r="AI443" i="1"/>
  <c r="AI790" i="1"/>
  <c r="AW1478" i="1"/>
  <c r="AG1473" i="1"/>
  <c r="AI1472" i="1"/>
  <c r="AJ466" i="1"/>
  <c r="AM466" i="1"/>
  <c r="AL466" i="1"/>
  <c r="AQ466" i="1"/>
  <c r="AN466" i="1"/>
  <c r="E361" i="16"/>
  <c r="F357" i="16"/>
  <c r="AJ465" i="1"/>
  <c r="AL465" i="1"/>
  <c r="AN465" i="1"/>
  <c r="AQ465" i="1"/>
  <c r="AM465" i="1"/>
  <c r="AI1182" i="1"/>
  <c r="AL468" i="1"/>
  <c r="AJ468" i="1"/>
  <c r="AM468" i="1"/>
  <c r="AN468" i="1"/>
  <c r="AQ468" i="1"/>
  <c r="AL467" i="1"/>
  <c r="AJ467" i="1"/>
  <c r="AM467" i="1"/>
  <c r="AQ467" i="1"/>
  <c r="AN467" i="1"/>
  <c r="AT453" i="1"/>
  <c r="BG462" i="1"/>
  <c r="AS360" i="1"/>
  <c r="AF360" i="1"/>
  <c r="AS1180" i="1" s="1"/>
  <c r="AF1180" i="1" s="1"/>
  <c r="AS361" i="1"/>
  <c r="AF361" i="1"/>
  <c r="AI1035" i="1"/>
  <c r="BF1035" i="1"/>
  <c r="AH1035" i="1"/>
  <c r="BF785" i="1"/>
  <c r="AH785" i="1" s="1"/>
  <c r="AI785" i="1"/>
  <c r="AS702" i="1"/>
  <c r="AF702" i="1"/>
  <c r="AG702" i="1"/>
  <c r="AG690" i="1"/>
  <c r="AS690" i="1"/>
  <c r="AF690" i="1"/>
  <c r="BF585" i="1"/>
  <c r="AH585" i="1"/>
  <c r="AX585" i="1"/>
  <c r="AI585" i="1"/>
  <c r="AS527" i="1"/>
  <c r="AF527" i="1"/>
  <c r="AG527" i="1"/>
  <c r="BF462" i="1"/>
  <c r="AH462" i="1" s="1"/>
  <c r="AI462" i="1"/>
  <c r="BF460" i="1"/>
  <c r="AH460" i="1" s="1"/>
  <c r="AI460" i="1"/>
  <c r="AG454" i="1"/>
  <c r="AS454" i="1"/>
  <c r="AF454" i="1" s="1"/>
  <c r="AG360" i="1"/>
  <c r="AI1047" i="1"/>
  <c r="BF1047" i="1"/>
  <c r="AH1047" i="1" s="1"/>
  <c r="BF1045" i="1"/>
  <c r="AH1045" i="1"/>
  <c r="AI1045" i="1"/>
  <c r="AI1043" i="1"/>
  <c r="BF1043" i="1"/>
  <c r="AH1043" i="1"/>
  <c r="BF1041" i="1"/>
  <c r="AH1041" i="1" s="1"/>
  <c r="AI1041" i="1"/>
  <c r="AI1039" i="1"/>
  <c r="BF1039" i="1"/>
  <c r="AH1039" i="1" s="1"/>
  <c r="BF1037" i="1"/>
  <c r="AH1037" i="1"/>
  <c r="AI1037" i="1"/>
  <c r="BF796" i="1"/>
  <c r="AH796" i="1" s="1"/>
  <c r="AI796" i="1"/>
  <c r="BF794" i="1"/>
  <c r="AH794" i="1"/>
  <c r="AI794" i="1"/>
  <c r="BF792" i="1"/>
  <c r="AH792" i="1" s="1"/>
  <c r="AI792" i="1"/>
  <c r="BF786" i="1"/>
  <c r="AH786" i="1"/>
  <c r="AI786" i="1"/>
  <c r="AS604" i="1"/>
  <c r="AF604" i="1" s="1"/>
  <c r="AG604" i="1"/>
  <c r="AX584" i="1"/>
  <c r="AI584" i="1" s="1"/>
  <c r="BF584" i="1"/>
  <c r="AH584" i="1"/>
  <c r="AI558" i="1"/>
  <c r="BF558" i="1"/>
  <c r="AH558" i="1" s="1"/>
  <c r="AG539" i="1"/>
  <c r="AI470" i="1"/>
  <c r="BF470" i="1"/>
  <c r="AH470" i="1" s="1"/>
  <c r="BF454" i="1"/>
  <c r="AH454" i="1"/>
  <c r="AI454" i="1"/>
  <c r="AI452" i="1"/>
  <c r="BF452" i="1"/>
  <c r="AH452" i="1"/>
  <c r="BF361" i="1"/>
  <c r="AH361" i="1" s="1"/>
  <c r="AI361" i="1"/>
  <c r="AW280" i="1"/>
  <c r="AY280" i="1"/>
  <c r="AI280" i="1" s="1"/>
  <c r="AS278" i="1"/>
  <c r="AF278" i="1"/>
  <c r="AG278" i="1"/>
  <c r="AG1335" i="1"/>
  <c r="AS1335" i="1"/>
  <c r="AF1335" i="1"/>
  <c r="AT1335" i="1"/>
  <c r="AG1339" i="1"/>
  <c r="AT1339" i="1"/>
  <c r="AS1339" i="1"/>
  <c r="AF1339" i="1" s="1"/>
  <c r="AG1343" i="1"/>
  <c r="AT1343" i="1"/>
  <c r="AS1343" i="1"/>
  <c r="AF1343" i="1" s="1"/>
  <c r="AG1345" i="1"/>
  <c r="AT1345" i="1"/>
  <c r="AS1345" i="1"/>
  <c r="AF1345" i="1" s="1"/>
  <c r="BF1350" i="1"/>
  <c r="AH1350" i="1" s="1"/>
  <c r="AI1350" i="1"/>
  <c r="BF1352" i="1"/>
  <c r="AH1352" i="1" s="1"/>
  <c r="AI1352" i="1"/>
  <c r="BF1354" i="1"/>
  <c r="AH1354" i="1"/>
  <c r="AI1354" i="1"/>
  <c r="BF1356" i="1"/>
  <c r="AH1356" i="1"/>
  <c r="AI1356" i="1"/>
  <c r="BF1358" i="1"/>
  <c r="AH1358" i="1" s="1"/>
  <c r="AI1358" i="1"/>
  <c r="BF1360" i="1"/>
  <c r="AH1360" i="1"/>
  <c r="AI1360" i="1"/>
  <c r="BF1363" i="1"/>
  <c r="AH1363" i="1" s="1"/>
  <c r="AI1363" i="1"/>
  <c r="BF1466" i="1"/>
  <c r="AH1466" i="1"/>
  <c r="AI1466" i="1"/>
  <c r="BG1466" i="1"/>
  <c r="AI1499" i="1"/>
  <c r="BF1499" i="1"/>
  <c r="AH1499" i="1" s="1"/>
  <c r="BG1499" i="1"/>
  <c r="AI1507" i="1"/>
  <c r="BF1507" i="1"/>
  <c r="AH1507" i="1" s="1"/>
  <c r="BG1507" i="1"/>
  <c r="AG1590" i="1"/>
  <c r="AS1590" i="1"/>
  <c r="AF1590" i="1" s="1"/>
  <c r="AT1590" i="1"/>
  <c r="AS1593" i="1"/>
  <c r="AF1593" i="1"/>
  <c r="AG1593" i="1"/>
  <c r="AS1595" i="1"/>
  <c r="AF1595" i="1" s="1"/>
  <c r="AG1595" i="1"/>
  <c r="BG1599" i="1"/>
  <c r="BG1636" i="1"/>
  <c r="AS1334" i="1"/>
  <c r="AF1334" i="1"/>
  <c r="AG1334" i="1"/>
  <c r="AT1334" i="1"/>
  <c r="BF1375" i="1"/>
  <c r="AH1375" i="1"/>
  <c r="AI1375" i="1"/>
  <c r="BG1375" i="1"/>
  <c r="BF1399" i="1"/>
  <c r="AH1399" i="1"/>
  <c r="AI1399" i="1"/>
  <c r="AS1405" i="1"/>
  <c r="AF1405" i="1" s="1"/>
  <c r="AG1405" i="1"/>
  <c r="AI1408" i="1"/>
  <c r="BF1408" i="1"/>
  <c r="AH1408" i="1" s="1"/>
  <c r="AI1410" i="1"/>
  <c r="BF1410" i="1"/>
  <c r="AH1410" i="1" s="1"/>
  <c r="AI1417" i="1"/>
  <c r="BF1417" i="1"/>
  <c r="AH1417" i="1"/>
  <c r="AI1432" i="1"/>
  <c r="BF1432" i="1"/>
  <c r="AH1432" i="1"/>
  <c r="AI1434" i="1"/>
  <c r="BF1434" i="1"/>
  <c r="AH1434" i="1" s="1"/>
  <c r="BF1497" i="1"/>
  <c r="AH1497" i="1" s="1"/>
  <c r="AI1497" i="1"/>
  <c r="BG1497" i="1"/>
  <c r="BF1505" i="1"/>
  <c r="AH1505" i="1" s="1"/>
  <c r="AI1505" i="1"/>
  <c r="BG1505" i="1"/>
  <c r="BG1562" i="1"/>
  <c r="BG1622" i="1"/>
  <c r="BF1639" i="1"/>
  <c r="AH1639" i="1" s="1"/>
  <c r="AI1639" i="1"/>
  <c r="BG1639" i="1"/>
  <c r="BF1308" i="1"/>
  <c r="AH1308" i="1" s="1"/>
  <c r="BG1308" i="1"/>
  <c r="AI1308" i="1"/>
  <c r="BF1325" i="1"/>
  <c r="AH1325" i="1" s="1"/>
  <c r="AI1325" i="1"/>
  <c r="BF1329" i="1"/>
  <c r="AH1329" i="1" s="1"/>
  <c r="AI1329" i="1"/>
  <c r="BF1333" i="1"/>
  <c r="AH1333" i="1"/>
  <c r="AI1333" i="1"/>
  <c r="AS1342" i="1"/>
  <c r="AF1342" i="1"/>
  <c r="AT1342" i="1"/>
  <c r="AG1342" i="1"/>
  <c r="AS1344" i="1"/>
  <c r="AF1344" i="1"/>
  <c r="AT1344" i="1"/>
  <c r="AI1364" i="1"/>
  <c r="BF1364" i="1"/>
  <c r="AH1364" i="1"/>
  <c r="BG1364" i="1"/>
  <c r="AS1374" i="1"/>
  <c r="AF1374" i="1" s="1"/>
  <c r="AG1374" i="1"/>
  <c r="AT1374" i="1"/>
  <c r="BF1463" i="1"/>
  <c r="AH1463" i="1" s="1"/>
  <c r="AI1463" i="1"/>
  <c r="BF1469" i="1"/>
  <c r="AH1469" i="1" s="1"/>
  <c r="AI1469" i="1"/>
  <c r="AI1503" i="1"/>
  <c r="BF1503" i="1"/>
  <c r="AH1503" i="1" s="1"/>
  <c r="BG1503" i="1"/>
  <c r="AS1538" i="1"/>
  <c r="AF1538" i="1"/>
  <c r="AG1538" i="1"/>
  <c r="AS1540" i="1"/>
  <c r="AF1540" i="1"/>
  <c r="AG1540" i="1"/>
  <c r="AS1542" i="1"/>
  <c r="AF1542" i="1" s="1"/>
  <c r="AG1542" i="1"/>
  <c r="AI1549" i="1"/>
  <c r="BF1549" i="1"/>
  <c r="AH1549" i="1" s="1"/>
  <c r="AI1558" i="1"/>
  <c r="BF1558" i="1"/>
  <c r="AH1558" i="1" s="1"/>
  <c r="AS1562" i="1"/>
  <c r="AF1562" i="1"/>
  <c r="AG1562" i="1"/>
  <c r="AG1588" i="1"/>
  <c r="AS1588" i="1"/>
  <c r="AF1588" i="1"/>
  <c r="AT1588" i="1"/>
  <c r="AG1620" i="1"/>
  <c r="AS1620" i="1"/>
  <c r="AF1620" i="1"/>
  <c r="AI1628" i="1"/>
  <c r="BF1628" i="1"/>
  <c r="AH1628" i="1" s="1"/>
  <c r="BG1628" i="1"/>
  <c r="AY281" i="1"/>
  <c r="AW281" i="1"/>
  <c r="BF104" i="1"/>
  <c r="AH104" i="1"/>
  <c r="AI104" i="1"/>
  <c r="BF2" i="1"/>
  <c r="AH2" i="1" s="1"/>
  <c r="AI2" i="1"/>
  <c r="AT1346" i="1"/>
  <c r="AS1364" i="1"/>
  <c r="AF1364" i="1" s="1"/>
  <c r="AG1364" i="1"/>
  <c r="AT1364" i="1"/>
  <c r="AI1372" i="1"/>
  <c r="BF1372" i="1"/>
  <c r="AH1372" i="1"/>
  <c r="AI1457" i="1"/>
  <c r="BG1457" i="1"/>
  <c r="AS1467" i="1"/>
  <c r="AF1467" i="1"/>
  <c r="AG1467" i="1"/>
  <c r="AT1467" i="1"/>
  <c r="BF1501" i="1"/>
  <c r="AH1501" i="1"/>
  <c r="AI1501" i="1"/>
  <c r="BG1501" i="1"/>
  <c r="BF1509" i="1"/>
  <c r="AH1509" i="1"/>
  <c r="AI1509" i="1"/>
  <c r="BG1509" i="1"/>
  <c r="BG1600" i="1"/>
  <c r="BF1627" i="1"/>
  <c r="AH1627" i="1" s="1"/>
  <c r="AI1627" i="1"/>
  <c r="BG1627" i="1"/>
  <c r="BF465" i="1"/>
  <c r="AH465" i="1" s="1"/>
  <c r="AI465" i="1"/>
  <c r="BG465" i="1"/>
  <c r="AI36" i="1"/>
  <c r="AG1631" i="1"/>
  <c r="AS1594" i="1"/>
  <c r="AF1594" i="1" s="1"/>
  <c r="AG1589" i="1"/>
  <c r="BF1559" i="1"/>
  <c r="AH1559" i="1" s="1"/>
  <c r="BF1511" i="1"/>
  <c r="AH1511" i="1"/>
  <c r="AI1464" i="1"/>
  <c r="AI1416" i="1"/>
  <c r="BF1402" i="1"/>
  <c r="AH1402" i="1"/>
  <c r="AI113" i="1"/>
  <c r="AG104" i="1"/>
  <c r="AI1326" i="1"/>
  <c r="BF1326" i="1"/>
  <c r="AH1326" i="1"/>
  <c r="AI1330" i="1"/>
  <c r="BF1330" i="1"/>
  <c r="AH1330" i="1"/>
  <c r="AS1351" i="1"/>
  <c r="AF1351" i="1" s="1"/>
  <c r="AG1351" i="1"/>
  <c r="AS1353" i="1"/>
  <c r="AF1353" i="1"/>
  <c r="AG1353" i="1"/>
  <c r="AS1355" i="1"/>
  <c r="AF1355" i="1"/>
  <c r="AG1355" i="1"/>
  <c r="AS1357" i="1"/>
  <c r="AF1357" i="1" s="1"/>
  <c r="AG1357" i="1"/>
  <c r="AS1359" i="1"/>
  <c r="AF1359" i="1"/>
  <c r="AG1359" i="1"/>
  <c r="AS1361" i="1"/>
  <c r="AF1361" i="1" s="1"/>
  <c r="AG1361" i="1"/>
  <c r="BF1365" i="1"/>
  <c r="AH1365" i="1"/>
  <c r="AI1365" i="1"/>
  <c r="AS1366" i="1"/>
  <c r="AF1366" i="1" s="1"/>
  <c r="AG1366" i="1"/>
  <c r="AI1366" i="1"/>
  <c r="AG1371" i="1"/>
  <c r="AS1371" i="1"/>
  <c r="AF1371" i="1" s="1"/>
  <c r="AG1406" i="1"/>
  <c r="AS1406" i="1"/>
  <c r="AF1406" i="1"/>
  <c r="AG1409" i="1"/>
  <c r="AS1409" i="1"/>
  <c r="AF1409" i="1" s="1"/>
  <c r="AG1433" i="1"/>
  <c r="AS1433" i="1"/>
  <c r="AF1433" i="1"/>
  <c r="AG1435" i="1"/>
  <c r="AS1435" i="1"/>
  <c r="AF1435" i="1" s="1"/>
  <c r="BF1489" i="1"/>
  <c r="AH1489" i="1" s="1"/>
  <c r="AI1489" i="1"/>
  <c r="AI1491" i="1"/>
  <c r="BF1491" i="1"/>
  <c r="AH1491" i="1" s="1"/>
  <c r="BF1493" i="1"/>
  <c r="AH1493" i="1" s="1"/>
  <c r="AI1493" i="1"/>
  <c r="AI1510" i="1"/>
  <c r="BF1510" i="1"/>
  <c r="AH1510" i="1" s="1"/>
  <c r="AI1513" i="1"/>
  <c r="BF1513" i="1"/>
  <c r="AH1513" i="1"/>
  <c r="BF1538" i="1"/>
  <c r="AH1538" i="1"/>
  <c r="AI1538" i="1"/>
  <c r="BF1540" i="1"/>
  <c r="AH1540" i="1" s="1"/>
  <c r="AI1540" i="1"/>
  <c r="BF1542" i="1"/>
  <c r="AH1542" i="1"/>
  <c r="AI1542" i="1"/>
  <c r="BF1562" i="1"/>
  <c r="AH1562" i="1" s="1"/>
  <c r="AI1562" i="1"/>
  <c r="BF1583" i="1"/>
  <c r="AH1583" i="1"/>
  <c r="AI1583" i="1"/>
  <c r="BF1587" i="1"/>
  <c r="AH1587" i="1" s="1"/>
  <c r="AI1587" i="1"/>
  <c r="BF1589" i="1"/>
  <c r="AH1589" i="1"/>
  <c r="AI1589" i="1"/>
  <c r="BF1593" i="1"/>
  <c r="AH1593" i="1" s="1"/>
  <c r="AI1593" i="1"/>
  <c r="BF1595" i="1"/>
  <c r="AH1595" i="1"/>
  <c r="AI1595" i="1"/>
  <c r="AI1620" i="1"/>
  <c r="BF1620" i="1"/>
  <c r="AH1620" i="1"/>
  <c r="AI1623" i="1"/>
  <c r="AI1625" i="1"/>
  <c r="BF1626" i="1"/>
  <c r="AH1626" i="1"/>
  <c r="AI1626" i="1"/>
  <c r="AI1632" i="1"/>
  <c r="BF1632" i="1"/>
  <c r="AH1632" i="1"/>
  <c r="AI1635" i="1"/>
  <c r="BF1635" i="1"/>
  <c r="AH1635" i="1" s="1"/>
  <c r="BF468" i="1"/>
  <c r="AH468" i="1" s="1"/>
  <c r="AI468" i="1"/>
  <c r="BG468" i="1"/>
  <c r="AI1645" i="1"/>
  <c r="BF1645" i="1"/>
  <c r="AH1645" i="1"/>
  <c r="AW1479" i="1"/>
  <c r="AI1345" i="1"/>
  <c r="AG1336" i="1"/>
  <c r="AI512" i="1"/>
  <c r="BF278" i="1"/>
  <c r="AH278" i="1"/>
  <c r="AG1639" i="1"/>
  <c r="BF1623" i="1"/>
  <c r="AH1623" i="1" s="1"/>
  <c r="AS1596" i="1"/>
  <c r="AF1596" i="1" s="1"/>
  <c r="AI1470" i="1"/>
  <c r="AI1451" i="1"/>
  <c r="BF1414" i="1"/>
  <c r="AH1414" i="1" s="1"/>
  <c r="BF1327" i="1"/>
  <c r="AH1327" i="1" s="1"/>
  <c r="BF1036" i="1"/>
  <c r="AH1036" i="1" s="1"/>
  <c r="AI1036" i="1"/>
  <c r="BF702" i="1"/>
  <c r="AH702" i="1"/>
  <c r="AI702" i="1"/>
  <c r="AG660" i="1"/>
  <c r="AI604" i="1"/>
  <c r="BF587" i="1"/>
  <c r="AH587" i="1" s="1"/>
  <c r="AX587" i="1"/>
  <c r="AI587" i="1" s="1"/>
  <c r="BF583" i="1"/>
  <c r="AH583" i="1" s="1"/>
  <c r="AX583" i="1"/>
  <c r="AI583" i="1" s="1"/>
  <c r="AS470" i="1"/>
  <c r="AF470" i="1" s="1"/>
  <c r="AG470" i="1"/>
  <c r="AS462" i="1"/>
  <c r="AF462" i="1"/>
  <c r="AG462" i="1"/>
  <c r="AG460" i="1"/>
  <c r="AS460" i="1"/>
  <c r="AF460" i="1"/>
  <c r="AS453" i="1"/>
  <c r="AF453" i="1"/>
  <c r="AG453" i="1"/>
  <c r="AG361" i="1"/>
  <c r="AI316" i="1"/>
  <c r="AI314" i="1"/>
  <c r="AI1275" i="1"/>
  <c r="BF1275" i="1"/>
  <c r="AH1275" i="1" s="1"/>
  <c r="AT1336" i="1"/>
  <c r="AT1340" i="1"/>
  <c r="AT1347" i="1"/>
  <c r="AI1351" i="1"/>
  <c r="BF1351" i="1"/>
  <c r="AH1351" i="1" s="1"/>
  <c r="AI1353" i="1"/>
  <c r="BF1353" i="1"/>
  <c r="AH1353" i="1"/>
  <c r="AI1355" i="1"/>
  <c r="BF1355" i="1"/>
  <c r="AH1355" i="1" s="1"/>
  <c r="AI1357" i="1"/>
  <c r="BF1357" i="1"/>
  <c r="AH1357" i="1"/>
  <c r="AI1359" i="1"/>
  <c r="BF1359" i="1"/>
  <c r="AH1359" i="1" s="1"/>
  <c r="AI1361" i="1"/>
  <c r="BF1361" i="1"/>
  <c r="AH1361" i="1"/>
  <c r="AT1366" i="1"/>
  <c r="BG1366" i="1"/>
  <c r="BF1367" i="1"/>
  <c r="AH1367" i="1"/>
  <c r="AI1367" i="1"/>
  <c r="AS1372" i="1"/>
  <c r="AF1372" i="1" s="1"/>
  <c r="AG1372" i="1"/>
  <c r="AI1374" i="1"/>
  <c r="AI1401" i="1"/>
  <c r="BF1401" i="1"/>
  <c r="AH1401" i="1"/>
  <c r="AS1407" i="1"/>
  <c r="AF1407" i="1"/>
  <c r="AG1407" i="1"/>
  <c r="BF1415" i="1"/>
  <c r="AH1415" i="1" s="1"/>
  <c r="AI1415" i="1"/>
  <c r="BF1419" i="1"/>
  <c r="AH1419" i="1"/>
  <c r="AI1419" i="1"/>
  <c r="BF1433" i="1"/>
  <c r="AH1433" i="1" s="1"/>
  <c r="AI1433" i="1"/>
  <c r="BF1435" i="1"/>
  <c r="AH1435" i="1"/>
  <c r="AI1435" i="1"/>
  <c r="AI1465" i="1"/>
  <c r="BF1465" i="1"/>
  <c r="AH1465" i="1"/>
  <c r="AG1466" i="1"/>
  <c r="AS1466" i="1"/>
  <c r="AF1466" i="1" s="1"/>
  <c r="AI1467" i="1"/>
  <c r="BF1467" i="1"/>
  <c r="AH1467" i="1"/>
  <c r="AI1471" i="1"/>
  <c r="BF1471" i="1"/>
  <c r="AH1471" i="1" s="1"/>
  <c r="BF1496" i="1"/>
  <c r="AH1496" i="1" s="1"/>
  <c r="AI1496" i="1"/>
  <c r="AI1498" i="1"/>
  <c r="BF1498" i="1"/>
  <c r="AH1498" i="1" s="1"/>
  <c r="BF1500" i="1"/>
  <c r="AH1500" i="1" s="1"/>
  <c r="AI1500" i="1"/>
  <c r="AI1502" i="1"/>
  <c r="BF1502" i="1"/>
  <c r="AH1502" i="1" s="1"/>
  <c r="BF1504" i="1"/>
  <c r="AH1504" i="1" s="1"/>
  <c r="AI1504" i="1"/>
  <c r="AI1506" i="1"/>
  <c r="BF1506" i="1"/>
  <c r="AH1506" i="1" s="1"/>
  <c r="BF1508" i="1"/>
  <c r="AH1508" i="1" s="1"/>
  <c r="AI1508" i="1"/>
  <c r="AS1548" i="1"/>
  <c r="AF1548" i="1"/>
  <c r="AG1548" i="1"/>
  <c r="BF1556" i="1"/>
  <c r="AH1556" i="1" s="1"/>
  <c r="AI1556" i="1"/>
  <c r="BF1560" i="1"/>
  <c r="AH1560" i="1"/>
  <c r="AI1560" i="1"/>
  <c r="BF1621" i="1"/>
  <c r="AH1621" i="1" s="1"/>
  <c r="AI1621" i="1"/>
  <c r="AS1623" i="1"/>
  <c r="AF1623" i="1"/>
  <c r="AG1623" i="1"/>
  <c r="AT1624" i="1"/>
  <c r="BG1625" i="1"/>
  <c r="BG1626" i="1"/>
  <c r="AG1632" i="1"/>
  <c r="BG1635" i="1"/>
  <c r="BF1636" i="1"/>
  <c r="AH1636" i="1"/>
  <c r="AI1636" i="1"/>
  <c r="BF467" i="1"/>
  <c r="AH467" i="1" s="1"/>
  <c r="AI467" i="1"/>
  <c r="BG467" i="1"/>
  <c r="AI1644" i="1"/>
  <c r="BF1644" i="1"/>
  <c r="AH1644" i="1"/>
  <c r="AW1480" i="1"/>
  <c r="AI1344" i="1"/>
  <c r="AS1337" i="1"/>
  <c r="AF1337" i="1"/>
  <c r="AG512" i="1"/>
  <c r="AS1630" i="1"/>
  <c r="AF1630" i="1" s="1"/>
  <c r="AI1557" i="1"/>
  <c r="AS1539" i="1"/>
  <c r="AF1539" i="1"/>
  <c r="AI1485" i="1"/>
  <c r="BF1468" i="1"/>
  <c r="AH1468" i="1" s="1"/>
  <c r="BF1418" i="1"/>
  <c r="AH1418" i="1" s="1"/>
  <c r="AI1404" i="1"/>
  <c r="AI1400" i="1"/>
  <c r="BF1374" i="1"/>
  <c r="AH1374" i="1" s="1"/>
  <c r="AI1371" i="1"/>
  <c r="BF1331" i="1"/>
  <c r="AH1331" i="1"/>
  <c r="BF539" i="1"/>
  <c r="AH539" i="1"/>
  <c r="AI1607" i="1"/>
  <c r="AI1046" i="1"/>
  <c r="BF1046" i="1"/>
  <c r="AH1046" i="1"/>
  <c r="BF1044" i="1"/>
  <c r="AH1044" i="1"/>
  <c r="AI1044" i="1"/>
  <c r="BF1042" i="1"/>
  <c r="AH1042" i="1" s="1"/>
  <c r="AI1042" i="1"/>
  <c r="BF1040" i="1"/>
  <c r="AH1040" i="1"/>
  <c r="AI1040" i="1"/>
  <c r="AI1038" i="1"/>
  <c r="BF1038" i="1"/>
  <c r="AH1038" i="1"/>
  <c r="BF795" i="1"/>
  <c r="AH795" i="1"/>
  <c r="AI795" i="1"/>
  <c r="AI793" i="1"/>
  <c r="BF793" i="1"/>
  <c r="AH793" i="1"/>
  <c r="AI791" i="1"/>
  <c r="BF791" i="1"/>
  <c r="AH791" i="1" s="1"/>
  <c r="BF784" i="1"/>
  <c r="AH784" i="1" s="1"/>
  <c r="AI784" i="1"/>
  <c r="BF782" i="1"/>
  <c r="AH782" i="1"/>
  <c r="AI782" i="1"/>
  <c r="AW783" i="1"/>
  <c r="AI783" i="1" s="1"/>
  <c r="AX586" i="1"/>
  <c r="AI586" i="1"/>
  <c r="BF586" i="1"/>
  <c r="AH586" i="1"/>
  <c r="AX582" i="1"/>
  <c r="AI582" i="1"/>
  <c r="BF582" i="1"/>
  <c r="AH582" i="1"/>
  <c r="BF453" i="1"/>
  <c r="AH453" i="1"/>
  <c r="AI453" i="1"/>
  <c r="AI360" i="1"/>
  <c r="BF360" i="1"/>
  <c r="AH360" i="1"/>
  <c r="BF1324" i="1"/>
  <c r="AH1324" i="1"/>
  <c r="AI1324" i="1"/>
  <c r="BF1328" i="1"/>
  <c r="AH1328" i="1" s="1"/>
  <c r="AI1328" i="1"/>
  <c r="BF1332" i="1"/>
  <c r="AH1332" i="1"/>
  <c r="AI1332" i="1"/>
  <c r="AT1337" i="1"/>
  <c r="AT1338" i="1"/>
  <c r="AG1350" i="1"/>
  <c r="AS1350" i="1"/>
  <c r="AF1350" i="1"/>
  <c r="AG1352" i="1"/>
  <c r="AS1352" i="1"/>
  <c r="AF1352" i="1" s="1"/>
  <c r="AG1354" i="1"/>
  <c r="AS1354" i="1"/>
  <c r="AF1354" i="1"/>
  <c r="AG1356" i="1"/>
  <c r="AS1356" i="1"/>
  <c r="AF1356" i="1" s="1"/>
  <c r="AG1358" i="1"/>
  <c r="AS1358" i="1"/>
  <c r="AF1358" i="1"/>
  <c r="AG1360" i="1"/>
  <c r="AS1360" i="1"/>
  <c r="AF1360" i="1" s="1"/>
  <c r="BF1362" i="1"/>
  <c r="AH1362" i="1" s="1"/>
  <c r="AI1362" i="1"/>
  <c r="AT1371" i="1"/>
  <c r="AG1373" i="1"/>
  <c r="AS1373" i="1"/>
  <c r="AF1373" i="1"/>
  <c r="AS1397" i="1"/>
  <c r="AF1397" i="1"/>
  <c r="AG1397" i="1"/>
  <c r="BF1403" i="1"/>
  <c r="AH1403" i="1" s="1"/>
  <c r="AI1403" i="1"/>
  <c r="AG1404" i="1"/>
  <c r="AS1404" i="1"/>
  <c r="AF1404" i="1" s="1"/>
  <c r="AS1408" i="1"/>
  <c r="AF1408" i="1" s="1"/>
  <c r="AG1408" i="1"/>
  <c r="AS1410" i="1"/>
  <c r="AF1410" i="1"/>
  <c r="AG1410" i="1"/>
  <c r="AS1432" i="1"/>
  <c r="AF1432" i="1" s="1"/>
  <c r="AG1432" i="1"/>
  <c r="AS1434" i="1"/>
  <c r="AF1434" i="1"/>
  <c r="AG1434" i="1"/>
  <c r="AI1450" i="1"/>
  <c r="BF1450" i="1"/>
  <c r="AH1450" i="1"/>
  <c r="BF1484" i="1"/>
  <c r="AH1484" i="1"/>
  <c r="AI1484" i="1"/>
  <c r="BF1488" i="1"/>
  <c r="AH1488" i="1" s="1"/>
  <c r="AI1488" i="1"/>
  <c r="AI1490" i="1"/>
  <c r="BF1490" i="1"/>
  <c r="AH1490" i="1" s="1"/>
  <c r="BF1492" i="1"/>
  <c r="AH1492" i="1" s="1"/>
  <c r="AI1492" i="1"/>
  <c r="AI1494" i="1"/>
  <c r="BF1494" i="1"/>
  <c r="AH1494" i="1" s="1"/>
  <c r="BG1513" i="1"/>
  <c r="AI1539" i="1"/>
  <c r="BF1539" i="1"/>
  <c r="AH1539" i="1" s="1"/>
  <c r="AI1541" i="1"/>
  <c r="BF1541" i="1"/>
  <c r="AH1541" i="1"/>
  <c r="BF1548" i="1"/>
  <c r="AH1548" i="1"/>
  <c r="AI1548" i="1"/>
  <c r="AI1561" i="1"/>
  <c r="BF1561" i="1"/>
  <c r="AH1561" i="1"/>
  <c r="BG1583" i="1"/>
  <c r="AI1586" i="1"/>
  <c r="BF1586" i="1"/>
  <c r="AH1586" i="1"/>
  <c r="BG1587" i="1"/>
  <c r="AI1588" i="1"/>
  <c r="BF1588" i="1"/>
  <c r="AH1588" i="1"/>
  <c r="BG1589" i="1"/>
  <c r="AI1590" i="1"/>
  <c r="BF1590" i="1"/>
  <c r="AH1590" i="1"/>
  <c r="AI1594" i="1"/>
  <c r="BF1594" i="1"/>
  <c r="AH1594" i="1" s="1"/>
  <c r="AI1596" i="1"/>
  <c r="BF1596" i="1"/>
  <c r="AH1596" i="1"/>
  <c r="AI1608" i="1"/>
  <c r="BF1608" i="1"/>
  <c r="AH1608" i="1" s="1"/>
  <c r="BF1622" i="1"/>
  <c r="AH1622" i="1" s="1"/>
  <c r="AI1622" i="1"/>
  <c r="BG1623" i="1"/>
  <c r="BF1629" i="1"/>
  <c r="AH1629" i="1" s="1"/>
  <c r="AI1629" i="1"/>
  <c r="AI1630" i="1"/>
  <c r="BF1630" i="1"/>
  <c r="AH1630" i="1" s="1"/>
  <c r="BF1631" i="1"/>
  <c r="AH1631" i="1" s="1"/>
  <c r="AI1631" i="1"/>
  <c r="BG1632" i="1"/>
  <c r="AT1639" i="1"/>
  <c r="BF466" i="1"/>
  <c r="AH466" i="1"/>
  <c r="AI466" i="1"/>
  <c r="BG466" i="1"/>
  <c r="AW1477" i="1"/>
  <c r="AS1347" i="1"/>
  <c r="AF1347" i="1" s="1"/>
  <c r="AG1340" i="1"/>
  <c r="AS1632" i="1"/>
  <c r="AF1632" i="1"/>
  <c r="AG1587" i="1"/>
  <c r="AI1585" i="1"/>
  <c r="BF1550" i="1"/>
  <c r="AH1550" i="1"/>
  <c r="AS1541" i="1"/>
  <c r="AF1541" i="1"/>
  <c r="BF1483" i="1"/>
  <c r="AH1483" i="1"/>
  <c r="AI1409" i="1"/>
  <c r="BF1397" i="1"/>
  <c r="AH1397" i="1" s="1"/>
  <c r="AI1373" i="1"/>
  <c r="AI42" i="1"/>
  <c r="AI567" i="1"/>
  <c r="AI789" i="1"/>
  <c r="BF1478" i="1"/>
  <c r="AH1478" i="1" s="1"/>
  <c r="AI1478" i="1"/>
  <c r="BF1479" i="1"/>
  <c r="AH1479" i="1"/>
  <c r="AI1479" i="1"/>
  <c r="AS467" i="1"/>
  <c r="AF467" i="1" s="1"/>
  <c r="AG467" i="1"/>
  <c r="AG465" i="1"/>
  <c r="AS465" i="1"/>
  <c r="AF465" i="1" s="1"/>
  <c r="AS468" i="1"/>
  <c r="AF468" i="1" s="1"/>
  <c r="AG468" i="1"/>
  <c r="F358" i="16"/>
  <c r="F360" i="16"/>
  <c r="F361" i="16"/>
  <c r="F356" i="16"/>
  <c r="BF783" i="1"/>
  <c r="AH783" i="1" s="1"/>
  <c r="AI1480" i="1"/>
  <c r="BF1480" i="1"/>
  <c r="AH1480" i="1"/>
  <c r="BF281" i="1"/>
  <c r="AH281" i="1"/>
  <c r="AI281" i="1"/>
  <c r="AG466" i="1"/>
  <c r="AS466" i="1"/>
  <c r="AF466" i="1"/>
  <c r="BF280" i="1"/>
  <c r="AH280" i="1" s="1"/>
  <c r="AI1477" i="1"/>
  <c r="BF1477" i="1"/>
  <c r="AH1477" i="1"/>
  <c r="F359" i="16"/>
  <c r="L51" i="13"/>
  <c r="P164" i="13"/>
  <c r="L256" i="13"/>
  <c r="P157" i="13"/>
  <c r="L212" i="13"/>
  <c r="P333" i="13"/>
  <c r="P78" i="13"/>
  <c r="L220" i="13"/>
  <c r="L207" i="13"/>
  <c r="P156" i="13"/>
  <c r="L155" i="13"/>
  <c r="P216" i="13"/>
  <c r="L322" i="13"/>
  <c r="P312" i="13"/>
  <c r="L351" i="13"/>
  <c r="L52" i="13"/>
  <c r="P140" i="13"/>
  <c r="P25" i="13"/>
  <c r="L124" i="13"/>
  <c r="P203" i="13"/>
  <c r="P14" i="13"/>
  <c r="P135" i="13"/>
  <c r="L75" i="13"/>
  <c r="L164" i="13"/>
  <c r="P263" i="13"/>
  <c r="P114" i="13"/>
  <c r="P69" i="13"/>
  <c r="P316" i="13"/>
  <c r="P302" i="13"/>
  <c r="L276" i="13"/>
  <c r="L313" i="13"/>
  <c r="L316" i="13"/>
  <c r="L64" i="13"/>
  <c r="L10" i="13"/>
  <c r="L178" i="13"/>
  <c r="L288" i="13"/>
  <c r="P118" i="13"/>
  <c r="L57" i="13"/>
  <c r="L43" i="13"/>
  <c r="L102" i="13"/>
  <c r="P40" i="13"/>
  <c r="L133" i="13"/>
  <c r="P233" i="13"/>
  <c r="L173" i="13"/>
  <c r="P244" i="13"/>
  <c r="L28" i="13"/>
  <c r="L292" i="13"/>
  <c r="L127" i="13"/>
  <c r="P84" i="13"/>
  <c r="P190" i="13"/>
  <c r="P339" i="13"/>
  <c r="P220" i="13"/>
  <c r="L312" i="13"/>
  <c r="P116" i="13"/>
  <c r="P61" i="13"/>
  <c r="L36" i="13"/>
  <c r="P85" i="13"/>
  <c r="P123" i="13"/>
  <c r="P18" i="13"/>
  <c r="L107" i="13"/>
  <c r="L46" i="13"/>
  <c r="L269" i="13"/>
  <c r="P260" i="13"/>
  <c r="L61" i="13"/>
  <c r="P287" i="13"/>
  <c r="P179" i="13"/>
  <c r="P117" i="13"/>
  <c r="L24" i="13"/>
  <c r="P231" i="13"/>
  <c r="L71" i="13"/>
  <c r="P32" i="13"/>
  <c r="L143" i="13"/>
  <c r="P322" i="13"/>
  <c r="P127" i="13"/>
  <c r="L206" i="13"/>
  <c r="P239" i="13"/>
  <c r="P301" i="13"/>
  <c r="P346" i="13"/>
  <c r="P111" i="13"/>
  <c r="P4" i="13"/>
  <c r="L90" i="13"/>
  <c r="P172" i="13"/>
  <c r="P332" i="13"/>
  <c r="P49" i="13"/>
  <c r="L194" i="13"/>
  <c r="P81" i="13"/>
  <c r="P125" i="13"/>
  <c r="P13" i="13"/>
  <c r="P19" i="13"/>
  <c r="L324" i="13"/>
  <c r="P181" i="13"/>
  <c r="L295" i="13"/>
  <c r="P291" i="13"/>
  <c r="L217" i="13"/>
  <c r="L186" i="13"/>
  <c r="P262" i="13"/>
  <c r="L346" i="13"/>
  <c r="L179" i="13"/>
  <c r="P141" i="13"/>
  <c r="L109" i="13"/>
  <c r="L262" i="13"/>
  <c r="L69" i="13"/>
  <c r="L156" i="13"/>
  <c r="L138" i="13"/>
  <c r="P206" i="13"/>
  <c r="P325" i="13"/>
  <c r="P327" i="13"/>
  <c r="P101" i="13"/>
  <c r="P103" i="13"/>
  <c r="P253" i="13"/>
  <c r="L319" i="13"/>
  <c r="L50" i="13"/>
  <c r="L290" i="13"/>
  <c r="L148" i="13"/>
  <c r="P335" i="13"/>
  <c r="L201" i="13"/>
  <c r="P121" i="13"/>
  <c r="L197" i="13"/>
  <c r="L82" i="13"/>
  <c r="P150" i="13"/>
  <c r="P130" i="13"/>
  <c r="L335" i="13"/>
  <c r="L73" i="13"/>
  <c r="P341" i="13"/>
  <c r="P318" i="13"/>
  <c r="L91" i="13"/>
  <c r="L4" i="13"/>
  <c r="P319" i="13"/>
  <c r="P256" i="13"/>
  <c r="P60" i="13"/>
  <c r="P204" i="13"/>
  <c r="P191" i="13"/>
  <c r="L130" i="13"/>
  <c r="P354" i="13"/>
  <c r="L7" i="13"/>
  <c r="P357" i="13"/>
  <c r="L242" i="13"/>
  <c r="P252" i="13"/>
  <c r="L175" i="13"/>
  <c r="P122" i="13"/>
  <c r="L249" i="13"/>
  <c r="P234" i="13"/>
  <c r="L280" i="13"/>
  <c r="L341" i="13"/>
  <c r="P22" i="13"/>
  <c r="L125" i="13"/>
  <c r="L225" i="13"/>
  <c r="P232" i="13"/>
  <c r="P338" i="13"/>
  <c r="L26" i="13"/>
  <c r="L149" i="13"/>
  <c r="L203" i="13"/>
  <c r="L25" i="13"/>
  <c r="L275" i="13"/>
  <c r="P299" i="13"/>
  <c r="P245" i="13"/>
  <c r="P177" i="13"/>
  <c r="L294" i="13"/>
  <c r="L307" i="13"/>
  <c r="L229" i="13"/>
  <c r="L286" i="13"/>
  <c r="L219" i="13"/>
  <c r="P35" i="13"/>
  <c r="L23" i="13"/>
  <c r="L19" i="13"/>
  <c r="L87" i="13"/>
  <c r="L336" i="13"/>
  <c r="P258" i="13"/>
  <c r="L83" i="13"/>
  <c r="P336" i="13"/>
  <c r="P89" i="13"/>
  <c r="L215" i="13"/>
  <c r="L183" i="13"/>
  <c r="L150" i="13"/>
  <c r="L228" i="13"/>
  <c r="P241" i="13"/>
  <c r="P99" i="13"/>
  <c r="L345" i="13"/>
  <c r="P139" i="13"/>
  <c r="L181" i="13"/>
  <c r="P292" i="13"/>
  <c r="P330" i="13"/>
  <c r="L236" i="13"/>
  <c r="P100" i="13"/>
  <c r="P186" i="13"/>
  <c r="P198" i="13"/>
  <c r="L270" i="13"/>
  <c r="P113" i="13"/>
  <c r="L118" i="13"/>
  <c r="P176" i="13"/>
  <c r="L49" i="13"/>
  <c r="P334" i="13"/>
  <c r="L245" i="13"/>
  <c r="L34" i="13"/>
  <c r="P324" i="13"/>
  <c r="P188" i="13"/>
  <c r="P273" i="13"/>
  <c r="L176" i="13"/>
  <c r="P131" i="13"/>
  <c r="L325" i="13"/>
  <c r="P163" i="13"/>
  <c r="L8" i="13"/>
  <c r="P73" i="13"/>
  <c r="P54" i="13"/>
  <c r="P128" i="13"/>
  <c r="P74" i="13"/>
  <c r="P193" i="13"/>
  <c r="P247" i="13"/>
  <c r="L121" i="13"/>
  <c r="P328" i="13"/>
  <c r="P154" i="13"/>
  <c r="L141" i="13"/>
  <c r="L171" i="13"/>
  <c r="P285" i="13"/>
  <c r="L6" i="13"/>
  <c r="P271" i="13"/>
  <c r="P275" i="13"/>
  <c r="L68" i="13"/>
  <c r="L311" i="13"/>
  <c r="L263" i="13"/>
  <c r="L278" i="13"/>
  <c r="L244" i="13"/>
  <c r="P106" i="13"/>
  <c r="L208" i="13"/>
  <c r="P315" i="13"/>
  <c r="L160" i="13"/>
  <c r="L103" i="13"/>
  <c r="L33" i="13"/>
  <c r="L166" i="13"/>
  <c r="P331" i="13"/>
  <c r="P248" i="13"/>
  <c r="P180" i="13"/>
  <c r="P182" i="13"/>
  <c r="L128" i="13"/>
  <c r="P279" i="13"/>
  <c r="P187" i="13"/>
  <c r="L234" i="13"/>
  <c r="L139" i="13"/>
  <c r="L223" i="13"/>
  <c r="L154" i="13"/>
  <c r="L257" i="13"/>
  <c r="L332" i="13"/>
  <c r="P223" i="13"/>
  <c r="P313" i="13"/>
  <c r="L204" i="13"/>
  <c r="P165" i="13"/>
  <c r="L66" i="13"/>
  <c r="L264" i="13"/>
  <c r="P134" i="13"/>
  <c r="P20" i="13"/>
  <c r="P115" i="13"/>
  <c r="P175" i="13"/>
  <c r="L20" i="13"/>
  <c r="L221" i="13"/>
  <c r="L283" i="13"/>
  <c r="L314" i="13"/>
  <c r="L309" i="13"/>
  <c r="L327" i="13"/>
  <c r="L343" i="13"/>
  <c r="L151" i="13"/>
  <c r="L27" i="13"/>
  <c r="L287" i="13"/>
  <c r="L329" i="13"/>
  <c r="L252" i="13"/>
  <c r="L189" i="13"/>
  <c r="L129" i="13"/>
  <c r="L302" i="13"/>
  <c r="L159" i="13"/>
  <c r="P133" i="13"/>
  <c r="P129" i="13"/>
  <c r="P310" i="13"/>
  <c r="P218" i="13"/>
  <c r="P290" i="13"/>
  <c r="P5" i="13"/>
  <c r="P105" i="13"/>
  <c r="P210" i="13"/>
  <c r="L86" i="13"/>
  <c r="L303" i="13"/>
  <c r="L177" i="13"/>
  <c r="L153" i="13"/>
  <c r="P58" i="13"/>
  <c r="P167" i="13"/>
  <c r="P21" i="13"/>
  <c r="L296" i="13"/>
  <c r="P95" i="13"/>
  <c r="L142" i="13"/>
  <c r="P208" i="13"/>
  <c r="L272" i="13"/>
  <c r="P82" i="13"/>
  <c r="P174" i="13"/>
  <c r="L163" i="13"/>
  <c r="L330" i="13"/>
  <c r="L106" i="13"/>
  <c r="L340" i="13"/>
  <c r="P86" i="13"/>
  <c r="P64" i="13"/>
  <c r="P221" i="13"/>
  <c r="L227" i="13"/>
  <c r="L338" i="13"/>
  <c r="P110" i="13"/>
  <c r="P212" i="13"/>
  <c r="P33" i="13"/>
  <c r="P38" i="13"/>
  <c r="L85" i="13"/>
  <c r="P6" i="13"/>
  <c r="P205" i="13"/>
  <c r="L348" i="13"/>
  <c r="P184" i="13"/>
  <c r="P98" i="13"/>
  <c r="L39" i="13"/>
  <c r="L246" i="13"/>
  <c r="L62" i="13"/>
  <c r="L65" i="13"/>
  <c r="L144" i="13"/>
  <c r="L342" i="13"/>
  <c r="L259" i="13"/>
  <c r="L352" i="13"/>
  <c r="L98" i="13"/>
  <c r="P24" i="13"/>
  <c r="P269" i="13"/>
  <c r="L248" i="13"/>
  <c r="L326" i="13"/>
  <c r="L100" i="13"/>
  <c r="L77" i="13"/>
  <c r="L167" i="13"/>
  <c r="L355" i="13"/>
  <c r="L89" i="13"/>
  <c r="P342" i="13"/>
  <c r="L38" i="13"/>
  <c r="L58" i="13"/>
  <c r="P282" i="13"/>
  <c r="P345" i="13"/>
  <c r="P50" i="13"/>
  <c r="P320" i="13"/>
  <c r="P88" i="13"/>
  <c r="L328" i="13"/>
  <c r="P57" i="13"/>
  <c r="P195" i="13"/>
  <c r="L284" i="13"/>
  <c r="P289" i="13"/>
  <c r="P75" i="13"/>
  <c r="P142" i="13"/>
  <c r="L111" i="13"/>
  <c r="P93" i="13"/>
  <c r="L182" i="13"/>
  <c r="L18" i="13"/>
  <c r="L230" i="13"/>
  <c r="L261" i="13"/>
  <c r="L99" i="13"/>
  <c r="P311" i="13"/>
  <c r="L266" i="13"/>
  <c r="L63" i="13"/>
  <c r="P200" i="13"/>
  <c r="L205" i="13"/>
  <c r="P148" i="13"/>
  <c r="P211" i="13"/>
  <c r="P173" i="13"/>
  <c r="P155" i="13"/>
  <c r="L101" i="13"/>
  <c r="P15" i="13"/>
  <c r="P277" i="13"/>
  <c r="P28" i="13"/>
  <c r="P267" i="13"/>
  <c r="L239" i="13"/>
  <c r="P309" i="13"/>
  <c r="L110" i="13"/>
  <c r="P36" i="13"/>
  <c r="P305" i="13"/>
  <c r="P31" i="13"/>
  <c r="L188" i="13"/>
  <c r="L299" i="13"/>
  <c r="L165" i="13"/>
  <c r="P337" i="13"/>
  <c r="P80" i="13"/>
  <c r="P39" i="13"/>
  <c r="L298" i="13"/>
  <c r="L251" i="13"/>
  <c r="L105" i="13"/>
  <c r="L187" i="13"/>
  <c r="P145" i="13"/>
  <c r="P254" i="13"/>
  <c r="P162" i="13"/>
  <c r="P16" i="13"/>
  <c r="P52" i="13"/>
  <c r="P138" i="13"/>
  <c r="P161" i="13"/>
  <c r="P214" i="13"/>
  <c r="L247" i="13"/>
  <c r="P261" i="13"/>
  <c r="P27" i="13"/>
  <c r="P257" i="13"/>
  <c r="P70" i="13"/>
  <c r="P192" i="13"/>
  <c r="P37" i="13"/>
  <c r="P323" i="13"/>
  <c r="P94" i="13"/>
  <c r="P268" i="13"/>
  <c r="P147" i="13"/>
  <c r="L289" i="13"/>
  <c r="P42" i="13"/>
  <c r="P30" i="13"/>
  <c r="L112" i="13"/>
  <c r="P240" i="13"/>
  <c r="L267" i="13"/>
  <c r="L185" i="13"/>
  <c r="L30" i="13"/>
  <c r="L97" i="13"/>
  <c r="L211" i="13"/>
  <c r="P274" i="13"/>
  <c r="P246" i="13"/>
  <c r="P255" i="13"/>
  <c r="L93" i="13"/>
  <c r="L72" i="13"/>
  <c r="L14" i="13"/>
  <c r="L271" i="13"/>
  <c r="L17" i="13"/>
  <c r="P72" i="13"/>
  <c r="L81" i="13"/>
  <c r="L9" i="13"/>
  <c r="L168" i="13"/>
  <c r="L281" i="13"/>
  <c r="L135" i="13"/>
  <c r="L293" i="13"/>
  <c r="L213" i="13"/>
  <c r="P34" i="13"/>
  <c r="L337" i="13"/>
  <c r="L279" i="13"/>
  <c r="L137" i="13"/>
  <c r="L31" i="13"/>
  <c r="P300" i="13"/>
  <c r="P297" i="13"/>
  <c r="P144" i="13"/>
  <c r="P250" i="13"/>
  <c r="L274" i="13"/>
  <c r="P158" i="13"/>
  <c r="L356" i="13"/>
  <c r="P29" i="13"/>
  <c r="P317" i="13"/>
  <c r="L172" i="13"/>
  <c r="L74" i="13"/>
  <c r="L184" i="13"/>
  <c r="L113" i="13"/>
  <c r="L347" i="13"/>
  <c r="L70" i="13"/>
  <c r="P209" i="13"/>
  <c r="L134" i="13"/>
  <c r="L350" i="13"/>
  <c r="P41" i="13"/>
  <c r="P314" i="13"/>
  <c r="P243" i="13"/>
  <c r="P344" i="13"/>
  <c r="P137" i="13"/>
  <c r="P53" i="13"/>
  <c r="L306" i="13"/>
  <c r="P196" i="13"/>
  <c r="L232" i="13"/>
  <c r="P306" i="13"/>
  <c r="P149" i="13"/>
  <c r="L161" i="13"/>
  <c r="L95" i="13"/>
  <c r="L114" i="13"/>
  <c r="P281" i="13"/>
  <c r="P224" i="13"/>
  <c r="P11" i="13"/>
  <c r="L231" i="13"/>
  <c r="L200" i="13"/>
  <c r="L122" i="13"/>
  <c r="L88" i="13"/>
  <c r="L16" i="13"/>
  <c r="L32" i="13"/>
  <c r="P237" i="13"/>
  <c r="L193" i="13"/>
  <c r="L56" i="13"/>
  <c r="L157" i="13"/>
  <c r="L308" i="13"/>
  <c r="L301" i="13"/>
  <c r="L353" i="13"/>
  <c r="P249" i="13"/>
  <c r="P55" i="13"/>
  <c r="L334" i="13"/>
  <c r="L258" i="13"/>
  <c r="L158" i="13"/>
  <c r="P79" i="13"/>
  <c r="P265" i="13"/>
  <c r="P178" i="13"/>
  <c r="P146" i="13"/>
  <c r="P199" i="13"/>
  <c r="L169" i="13"/>
  <c r="P97" i="13"/>
  <c r="P26" i="13"/>
  <c r="L45" i="13"/>
  <c r="P264" i="13"/>
  <c r="P43" i="13"/>
  <c r="P126" i="13"/>
  <c r="P8" i="13"/>
  <c r="P288" i="13"/>
  <c r="L11" i="13"/>
  <c r="L222" i="13"/>
  <c r="L174" i="13"/>
  <c r="P349" i="13"/>
  <c r="L131" i="13"/>
  <c r="L44" i="13"/>
  <c r="L323" i="13"/>
  <c r="L216" i="13"/>
  <c r="P68" i="13"/>
  <c r="L67" i="13"/>
  <c r="P251" i="13"/>
  <c r="P266" i="13"/>
  <c r="P242" i="13"/>
  <c r="P278" i="13"/>
  <c r="L180" i="13"/>
  <c r="L237" i="13"/>
  <c r="L265" i="13"/>
  <c r="P119" i="13"/>
  <c r="P236" i="13"/>
  <c r="P152" i="13"/>
  <c r="L37" i="13"/>
  <c r="P44" i="13"/>
  <c r="L78" i="13"/>
  <c r="L132" i="13"/>
  <c r="L198" i="13"/>
  <c r="L192" i="13"/>
  <c r="L196" i="13"/>
  <c r="P66" i="13"/>
  <c r="L331" i="13"/>
  <c r="P77" i="13"/>
  <c r="L273" i="13"/>
  <c r="P112" i="13"/>
  <c r="P293" i="13"/>
  <c r="P202" i="13"/>
  <c r="L54" i="13"/>
  <c r="P107" i="13"/>
  <c r="P169" i="13"/>
  <c r="L282" i="13"/>
  <c r="L108" i="13"/>
  <c r="L357" i="13"/>
  <c r="L190" i="13"/>
  <c r="L226" i="13"/>
  <c r="P109" i="13"/>
  <c r="P76" i="13"/>
  <c r="L147" i="13"/>
  <c r="L344" i="13"/>
  <c r="P159" i="13"/>
  <c r="L76" i="13"/>
  <c r="P225" i="13"/>
  <c r="P304" i="13"/>
  <c r="L260" i="13"/>
  <c r="P92" i="13"/>
  <c r="L191" i="13"/>
  <c r="L318" i="13"/>
  <c r="P12" i="13"/>
  <c r="P151" i="13"/>
  <c r="L146" i="13"/>
  <c r="P213" i="13"/>
  <c r="P280" i="13"/>
  <c r="P7" i="13"/>
  <c r="P238" i="13"/>
  <c r="L339" i="13"/>
  <c r="P108" i="13"/>
  <c r="P347" i="13"/>
  <c r="P46" i="13"/>
  <c r="P259" i="13"/>
  <c r="L320" i="13"/>
  <c r="P355" i="13"/>
  <c r="L235" i="13"/>
  <c r="P215" i="13"/>
  <c r="L94" i="13"/>
  <c r="L233" i="13"/>
  <c r="P308" i="13"/>
  <c r="L84" i="13"/>
  <c r="L53" i="13"/>
  <c r="L21" i="13"/>
  <c r="L96" i="13"/>
  <c r="P166" i="13"/>
  <c r="P168" i="13"/>
  <c r="L117" i="13"/>
  <c r="P222" i="13"/>
  <c r="P228" i="13"/>
  <c r="L140" i="13"/>
  <c r="P321" i="13"/>
  <c r="L42" i="13"/>
  <c r="P351" i="13"/>
  <c r="L116" i="13"/>
  <c r="P284" i="13"/>
  <c r="P102" i="13"/>
  <c r="L120" i="13"/>
  <c r="L354" i="13"/>
  <c r="L333" i="13"/>
  <c r="P286" i="13"/>
  <c r="P67" i="13"/>
  <c r="P143" i="13"/>
  <c r="L253" i="13"/>
  <c r="P194" i="13"/>
  <c r="P295" i="13"/>
  <c r="L224" i="13"/>
  <c r="L304" i="13"/>
  <c r="P51" i="13"/>
  <c r="P348" i="13"/>
  <c r="L123" i="13"/>
  <c r="L92" i="13"/>
  <c r="L291" i="13"/>
  <c r="L60" i="13"/>
  <c r="L115" i="13"/>
  <c r="P219" i="13"/>
  <c r="P283" i="13"/>
  <c r="P296" i="13"/>
  <c r="L240" i="13"/>
  <c r="P10" i="13"/>
  <c r="P171" i="13"/>
  <c r="P303" i="13"/>
  <c r="P59" i="13"/>
  <c r="L47" i="13"/>
  <c r="P329" i="13"/>
  <c r="L136" i="13"/>
  <c r="L15" i="13"/>
  <c r="L13" i="13"/>
  <c r="L238" i="13"/>
  <c r="L126" i="13"/>
  <c r="P48" i="13"/>
  <c r="L41" i="13"/>
  <c r="L22" i="13"/>
  <c r="P201" i="13"/>
  <c r="L218" i="13"/>
  <c r="L310" i="13"/>
  <c r="L315" i="13"/>
  <c r="P65" i="13"/>
  <c r="P226" i="13"/>
  <c r="P9" i="13"/>
  <c r="P63" i="13"/>
  <c r="P307" i="13"/>
  <c r="P229" i="13"/>
  <c r="P153" i="13"/>
  <c r="P87" i="13"/>
  <c r="L199" i="13"/>
  <c r="L277" i="13"/>
  <c r="P183" i="13"/>
  <c r="P189" i="13"/>
  <c r="L104" i="13"/>
  <c r="P120" i="13"/>
  <c r="P272" i="13"/>
  <c r="P352" i="13"/>
  <c r="P90" i="13"/>
  <c r="P160" i="13"/>
  <c r="L170" i="13"/>
  <c r="L297" i="13"/>
  <c r="L285" i="13"/>
  <c r="L48" i="13"/>
  <c r="P185" i="13"/>
  <c r="P62" i="13"/>
  <c r="P235" i="13"/>
  <c r="P353" i="13"/>
  <c r="P71" i="13"/>
  <c r="L12" i="13"/>
  <c r="L80" i="13"/>
  <c r="L241" i="13"/>
  <c r="P104" i="13"/>
  <c r="P197" i="13"/>
  <c r="L250" i="13"/>
  <c r="L349" i="13"/>
  <c r="P343" i="13"/>
  <c r="P326" i="13"/>
  <c r="L321" i="13"/>
  <c r="P350" i="13"/>
  <c r="L40" i="13"/>
  <c r="P227" i="13"/>
  <c r="P124" i="13"/>
  <c r="P136" i="13"/>
  <c r="L5" i="13"/>
  <c r="P298" i="13"/>
  <c r="L55" i="13"/>
  <c r="P83" i="13"/>
  <c r="P294" i="13"/>
  <c r="L29" i="13"/>
  <c r="P47" i="13"/>
  <c r="P91" i="13"/>
  <c r="L255" i="13"/>
  <c r="P56" i="13"/>
  <c r="P356" i="13"/>
  <c r="L79" i="13"/>
  <c r="L162" i="13"/>
  <c r="L210" i="13"/>
  <c r="P270" i="13"/>
  <c r="P230" i="13"/>
  <c r="P96" i="13"/>
  <c r="L152" i="13"/>
  <c r="P170" i="13"/>
  <c r="L214" i="13"/>
  <c r="P45" i="13"/>
  <c r="P217" i="13"/>
  <c r="L305" i="13"/>
  <c r="P132" i="13"/>
  <c r="L119" i="13"/>
  <c r="L35" i="13"/>
  <c r="P207" i="13"/>
  <c r="P276" i="13"/>
  <c r="P23" i="13"/>
  <c r="L300" i="13"/>
  <c r="L243" i="13"/>
  <c r="L145" i="13"/>
  <c r="L254" i="13"/>
  <c r="L202" i="13"/>
  <c r="P340" i="13"/>
  <c r="P17" i="13"/>
  <c r="L268" i="13"/>
  <c r="L195" i="13"/>
  <c r="L209" i="13"/>
  <c r="L59" i="13"/>
  <c r="L317" i="13"/>
  <c r="AD37" i="13"/>
  <c r="AE28" i="13"/>
  <c r="Z89" i="13"/>
  <c r="Y129" i="13"/>
  <c r="AD152" i="13"/>
  <c r="AC91" i="13"/>
  <c r="X132" i="13"/>
  <c r="AC118" i="13"/>
  <c r="Z267" i="13"/>
  <c r="Z132" i="13"/>
  <c r="AE60" i="13"/>
  <c r="Y111" i="13"/>
  <c r="AE145" i="13"/>
  <c r="X269" i="13"/>
  <c r="AE87" i="13"/>
  <c r="X342" i="13"/>
  <c r="Y208" i="13"/>
  <c r="AE66" i="13"/>
  <c r="X198" i="13"/>
  <c r="AE206" i="13"/>
  <c r="X181" i="13"/>
  <c r="Y5" i="13"/>
  <c r="Z196" i="13"/>
  <c r="Z348" i="13"/>
  <c r="Z183" i="13"/>
  <c r="X188" i="13"/>
  <c r="Y217" i="13"/>
  <c r="Y343" i="13"/>
  <c r="Z130" i="13"/>
  <c r="Z128" i="13"/>
  <c r="AC110" i="13"/>
  <c r="AE89" i="13"/>
  <c r="AE42" i="13"/>
  <c r="AC346" i="13"/>
  <c r="X193" i="13"/>
  <c r="X86" i="13"/>
  <c r="AC32" i="13"/>
  <c r="Y85" i="13"/>
  <c r="AE17" i="13"/>
  <c r="Y193" i="13"/>
  <c r="AD95" i="13"/>
  <c r="Y90" i="13"/>
  <c r="AE109" i="13"/>
  <c r="Y87" i="13"/>
  <c r="AC17" i="13"/>
  <c r="AD92" i="13"/>
  <c r="X87" i="13"/>
  <c r="Y119" i="13"/>
  <c r="X278" i="13"/>
  <c r="Y213" i="13"/>
  <c r="X219" i="13"/>
  <c r="AC60" i="13"/>
  <c r="AC205" i="13"/>
  <c r="Y210" i="13"/>
  <c r="AD32" i="13"/>
  <c r="X105" i="13"/>
  <c r="AE90" i="13"/>
  <c r="Z105" i="13"/>
  <c r="AD145" i="13"/>
  <c r="Y115" i="13"/>
  <c r="X113" i="13"/>
  <c r="Y261" i="13"/>
  <c r="AC28" i="13"/>
  <c r="X46" i="13"/>
  <c r="Y134" i="13"/>
  <c r="AE68" i="13"/>
  <c r="AE85" i="13"/>
  <c r="X348" i="13"/>
  <c r="AD89" i="13"/>
  <c r="Z345" i="13"/>
  <c r="AE20" i="13"/>
  <c r="Z48" i="13"/>
  <c r="AE205" i="13"/>
  <c r="Y179" i="13"/>
  <c r="X101" i="13"/>
  <c r="X345" i="13"/>
  <c r="Z95" i="13"/>
  <c r="AD67" i="13"/>
  <c r="AD133" i="13"/>
  <c r="X130" i="13"/>
  <c r="X82" i="13"/>
  <c r="X106" i="13"/>
  <c r="Z112" i="13"/>
  <c r="AE204" i="13"/>
  <c r="AE213" i="13"/>
  <c r="AC24" i="13"/>
  <c r="X213" i="13"/>
  <c r="Z227" i="13"/>
  <c r="Y91" i="13"/>
  <c r="AD346" i="13"/>
  <c r="AC213" i="13"/>
  <c r="Y112" i="13"/>
  <c r="AD111" i="13"/>
  <c r="Y93" i="13"/>
  <c r="Z213" i="13"/>
  <c r="X133" i="13"/>
  <c r="Z116" i="13"/>
  <c r="Z92" i="13"/>
  <c r="AC221" i="13"/>
  <c r="AE95" i="13"/>
  <c r="Z217" i="13"/>
  <c r="AD115" i="13"/>
  <c r="Z109" i="13"/>
  <c r="AD28" i="13"/>
  <c r="AD108" i="13"/>
  <c r="X85" i="13"/>
  <c r="Z277" i="13"/>
  <c r="AE113" i="13"/>
  <c r="X6" i="13"/>
  <c r="Y259" i="13"/>
  <c r="AC92" i="13"/>
  <c r="Y82" i="13"/>
  <c r="Y48" i="13"/>
  <c r="X268" i="13"/>
  <c r="AE133" i="13"/>
  <c r="X177" i="13"/>
  <c r="AE18" i="13"/>
  <c r="X252" i="13"/>
  <c r="AC106" i="13"/>
  <c r="Y180" i="13"/>
  <c r="AE112" i="13"/>
  <c r="AE106" i="13"/>
  <c r="AE22" i="13"/>
  <c r="Z41" i="13"/>
  <c r="AC207" i="13"/>
  <c r="Z335" i="13"/>
  <c r="X61" i="13"/>
  <c r="Z123" i="13"/>
  <c r="Z225" i="13"/>
  <c r="Y196" i="13"/>
  <c r="X346" i="13"/>
  <c r="Y106" i="13"/>
  <c r="X131" i="13"/>
  <c r="Z219" i="13"/>
  <c r="Y118" i="13"/>
  <c r="Z207" i="13"/>
  <c r="AD86" i="13"/>
  <c r="Z179" i="13"/>
  <c r="Y47" i="13"/>
  <c r="AE93" i="13"/>
  <c r="AC70" i="13"/>
  <c r="AC71" i="13"/>
  <c r="AD196" i="13"/>
  <c r="X114" i="13"/>
  <c r="AD215" i="13"/>
  <c r="AD236" i="13"/>
  <c r="X124" i="13"/>
  <c r="AE43" i="13"/>
  <c r="Z111" i="13"/>
  <c r="AD9" i="13"/>
  <c r="Y70" i="13"/>
  <c r="AE19" i="13"/>
  <c r="Y333" i="13"/>
  <c r="X261" i="13"/>
  <c r="X277" i="13"/>
  <c r="Y143" i="13"/>
  <c r="Z226" i="13"/>
  <c r="X215" i="13"/>
  <c r="AD61" i="13"/>
  <c r="AD42" i="13"/>
  <c r="X93" i="13"/>
  <c r="Z91" i="13"/>
  <c r="X276" i="13"/>
  <c r="Y81" i="13"/>
  <c r="AE128" i="13"/>
  <c r="Y276" i="13"/>
  <c r="Y178" i="13"/>
  <c r="AD88" i="13"/>
  <c r="Y95" i="13"/>
  <c r="AE4" i="13"/>
  <c r="X49" i="13"/>
  <c r="Z215" i="13"/>
  <c r="Y186" i="13"/>
  <c r="AC104" i="13"/>
  <c r="Z129" i="13"/>
  <c r="AC9" i="13"/>
  <c r="Z186" i="13"/>
  <c r="Y144" i="13"/>
  <c r="Y128" i="13"/>
  <c r="AE210" i="13"/>
  <c r="Z259" i="13"/>
  <c r="Z113" i="13"/>
  <c r="Z346" i="13"/>
  <c r="Z83" i="13"/>
  <c r="AC196" i="13"/>
  <c r="X118" i="13"/>
  <c r="AC218" i="13"/>
  <c r="AE346" i="13"/>
  <c r="Y218" i="13"/>
  <c r="Y198" i="13"/>
  <c r="Z52" i="13"/>
  <c r="AD58" i="13"/>
  <c r="AD60" i="13"/>
  <c r="AC198" i="13"/>
  <c r="X353" i="13"/>
  <c r="AD85" i="13"/>
  <c r="X104" i="13"/>
  <c r="Y211" i="13"/>
  <c r="X178" i="13"/>
  <c r="Y189" i="13"/>
  <c r="AC105" i="13"/>
  <c r="AE71" i="13"/>
  <c r="X208" i="13"/>
  <c r="AD118" i="13"/>
  <c r="AC68" i="13"/>
  <c r="X180" i="13"/>
  <c r="AE104" i="13"/>
  <c r="AC108" i="13"/>
  <c r="AE70" i="13"/>
  <c r="AE152" i="13"/>
  <c r="X176" i="13"/>
  <c r="X218" i="13"/>
  <c r="Y92" i="13"/>
  <c r="Z49" i="13"/>
  <c r="Y131" i="13"/>
  <c r="AC204" i="13"/>
  <c r="X183" i="13"/>
  <c r="AD109" i="13"/>
  <c r="Z133" i="13"/>
  <c r="Z46" i="13"/>
  <c r="X119" i="13"/>
  <c r="AC113" i="13"/>
  <c r="AC114" i="13"/>
  <c r="Z342" i="13"/>
  <c r="AC115" i="13"/>
  <c r="Z222" i="13"/>
  <c r="Z110" i="13"/>
  <c r="Z206" i="13"/>
  <c r="AD87" i="13"/>
  <c r="X197" i="13"/>
  <c r="Y71" i="13"/>
  <c r="X107" i="13"/>
  <c r="X333" i="13"/>
  <c r="Y345" i="13"/>
  <c r="X214" i="13"/>
  <c r="Y184" i="13"/>
  <c r="Y187" i="13"/>
  <c r="AD43" i="13"/>
  <c r="Z90" i="13"/>
  <c r="Y49" i="13"/>
  <c r="AE105" i="13"/>
  <c r="X352" i="13"/>
  <c r="AD217" i="13"/>
  <c r="X122" i="13"/>
  <c r="Y268" i="13"/>
  <c r="Y110" i="13"/>
  <c r="AE129" i="13"/>
  <c r="X51" i="13"/>
  <c r="AD221" i="13"/>
  <c r="AD112" i="13"/>
  <c r="AD26" i="13"/>
  <c r="X227" i="13"/>
  <c r="AC152" i="13"/>
  <c r="Z188" i="13"/>
  <c r="Z193" i="13"/>
  <c r="AC81" i="13"/>
  <c r="X207" i="13"/>
  <c r="Y132" i="13"/>
  <c r="Y214" i="13"/>
  <c r="Y101" i="13"/>
  <c r="X112" i="13"/>
  <c r="X35" i="13"/>
  <c r="AC57" i="13"/>
  <c r="Z353" i="13"/>
  <c r="AE236" i="13"/>
  <c r="AE92" i="13"/>
  <c r="AD219" i="13"/>
  <c r="AE117" i="13"/>
  <c r="AD106" i="13"/>
  <c r="Z81" i="13"/>
  <c r="AD70" i="13"/>
  <c r="X340" i="13"/>
  <c r="AD82" i="13"/>
  <c r="Z261" i="13"/>
  <c r="Z189" i="13"/>
  <c r="AD117" i="13"/>
  <c r="Z85" i="13"/>
  <c r="AC62" i="13"/>
  <c r="AC109" i="13"/>
  <c r="AD129" i="13"/>
  <c r="AD81" i="13"/>
  <c r="AC66" i="13"/>
  <c r="Y221" i="13"/>
  <c r="AD18" i="13"/>
  <c r="X179" i="13"/>
  <c r="AC61" i="13"/>
  <c r="X182" i="13"/>
  <c r="X196" i="13"/>
  <c r="X189" i="13"/>
  <c r="X45" i="13"/>
  <c r="Y205" i="13"/>
  <c r="Y84" i="13"/>
  <c r="Y109" i="13"/>
  <c r="AC197" i="13"/>
  <c r="Z181" i="13"/>
  <c r="X225" i="13"/>
  <c r="Z224" i="13"/>
  <c r="AE32" i="13"/>
  <c r="Y83" i="13"/>
  <c r="AD19" i="13"/>
  <c r="AD24" i="13"/>
  <c r="X128" i="13"/>
  <c r="AD218" i="13"/>
  <c r="AC219" i="13"/>
  <c r="X81" i="13"/>
  <c r="X210" i="13"/>
  <c r="AC310" i="13"/>
  <c r="X186" i="13"/>
  <c r="Y339" i="13"/>
  <c r="AE107" i="13"/>
  <c r="Z269" i="13"/>
  <c r="AD107" i="13"/>
  <c r="Z211" i="13"/>
  <c r="AE83" i="13"/>
  <c r="Y226" i="13"/>
  <c r="Y114" i="13"/>
  <c r="AC4" i="13"/>
  <c r="AD110" i="13"/>
  <c r="AD193" i="13"/>
  <c r="AC19" i="13"/>
  <c r="X267" i="13"/>
  <c r="AD204" i="13"/>
  <c r="AC86" i="13"/>
  <c r="X134" i="13"/>
  <c r="Y98" i="13"/>
  <c r="AC22" i="13"/>
  <c r="X187" i="13"/>
  <c r="Z205" i="13"/>
  <c r="Y340" i="13"/>
  <c r="Y104" i="13"/>
  <c r="Y122" i="13"/>
  <c r="X217" i="13"/>
  <c r="AC145" i="13"/>
  <c r="Y215" i="13"/>
  <c r="X109" i="13"/>
  <c r="AE131" i="13"/>
  <c r="X116" i="13"/>
  <c r="X90" i="13"/>
  <c r="Z84" i="13"/>
  <c r="Z182" i="13"/>
  <c r="Z35" i="13"/>
  <c r="Z333" i="13"/>
  <c r="Z104" i="13"/>
  <c r="X117" i="13"/>
  <c r="Y223" i="13"/>
  <c r="AE91" i="13"/>
  <c r="Y278" i="13"/>
  <c r="AD114" i="13"/>
  <c r="AD17" i="13"/>
  <c r="AE111" i="13"/>
  <c r="Y188" i="13"/>
  <c r="Z134" i="13"/>
  <c r="Y185" i="13"/>
  <c r="AE10" i="13"/>
  <c r="Z252" i="13"/>
  <c r="Z184" i="13"/>
  <c r="AD84" i="13"/>
  <c r="AD104" i="13"/>
  <c r="Z278" i="13"/>
  <c r="X88" i="13"/>
  <c r="Z71" i="13"/>
  <c r="X343" i="13"/>
  <c r="AC20" i="13"/>
  <c r="Z144" i="13"/>
  <c r="AE81" i="13"/>
  <c r="Z180" i="13"/>
  <c r="X53" i="13"/>
  <c r="AC117" i="13"/>
  <c r="AC90" i="13"/>
  <c r="Z131" i="13"/>
  <c r="Y176" i="13"/>
  <c r="Z115" i="13"/>
  <c r="X144" i="13"/>
  <c r="AC129" i="13"/>
  <c r="Y117" i="13"/>
  <c r="Z249" i="13"/>
  <c r="AD225" i="13"/>
  <c r="AC264" i="13"/>
  <c r="Z119" i="13"/>
  <c r="X48" i="13"/>
  <c r="AE80" i="13"/>
  <c r="X20" i="13"/>
  <c r="AD186" i="13"/>
  <c r="X341" i="13"/>
  <c r="AC41" i="13"/>
  <c r="Y303" i="13"/>
  <c r="X10" i="13"/>
  <c r="AC347" i="13"/>
  <c r="AE186" i="13"/>
  <c r="AD318" i="13"/>
  <c r="AD159" i="13"/>
  <c r="AD168" i="13"/>
  <c r="Y51" i="13"/>
  <c r="AD197" i="13"/>
  <c r="AC303" i="13"/>
  <c r="AE218" i="13"/>
  <c r="AD48" i="13"/>
  <c r="AE311" i="13"/>
  <c r="X77" i="13"/>
  <c r="AE276" i="13"/>
  <c r="Y335" i="13"/>
  <c r="X250" i="13"/>
  <c r="AE45" i="13"/>
  <c r="Y301" i="13"/>
  <c r="X344" i="13"/>
  <c r="AD163" i="13"/>
  <c r="AC183" i="13"/>
  <c r="AE58" i="13"/>
  <c r="Y4" i="13"/>
  <c r="X75" i="13"/>
  <c r="AD322" i="13"/>
  <c r="Y166" i="13"/>
  <c r="Y341" i="13"/>
  <c r="Z246" i="13"/>
  <c r="Y250" i="13"/>
  <c r="AD278" i="13"/>
  <c r="AC201" i="13"/>
  <c r="AC190" i="13"/>
  <c r="AE237" i="13"/>
  <c r="AC311" i="13"/>
  <c r="Y170" i="13"/>
  <c r="Y251" i="13"/>
  <c r="Y174" i="13"/>
  <c r="Y43" i="13"/>
  <c r="AE310" i="13"/>
  <c r="AE168" i="13"/>
  <c r="AD335" i="13"/>
  <c r="X301" i="13"/>
  <c r="AD337" i="13"/>
  <c r="AE322" i="13"/>
  <c r="AD343" i="13"/>
  <c r="AD162" i="13"/>
  <c r="AD253" i="13"/>
  <c r="Z170" i="13"/>
  <c r="AD268" i="13"/>
  <c r="Z244" i="13"/>
  <c r="AE214" i="13"/>
  <c r="AE203" i="13"/>
  <c r="AE9" i="13"/>
  <c r="AC193" i="13"/>
  <c r="AC37" i="13"/>
  <c r="X205" i="13"/>
  <c r="Y224" i="13"/>
  <c r="Z214" i="13"/>
  <c r="AC236" i="13"/>
  <c r="X223" i="13"/>
  <c r="X92" i="13"/>
  <c r="AE69" i="13"/>
  <c r="Y222" i="13"/>
  <c r="Z108" i="13"/>
  <c r="Y116" i="13"/>
  <c r="AC42" i="13"/>
  <c r="AC26" i="13"/>
  <c r="X221" i="13"/>
  <c r="X115" i="13"/>
  <c r="AE26" i="13"/>
  <c r="Z117" i="13"/>
  <c r="Z197" i="13"/>
  <c r="Z185" i="13"/>
  <c r="X110" i="13"/>
  <c r="Y225" i="13"/>
  <c r="Z198" i="13"/>
  <c r="Z340" i="13"/>
  <c r="X184" i="13"/>
  <c r="Z47" i="13"/>
  <c r="Z114" i="13"/>
  <c r="Y88" i="13"/>
  <c r="AE37" i="13"/>
  <c r="Y177" i="13"/>
  <c r="AC83" i="13"/>
  <c r="Z118" i="13"/>
  <c r="Z53" i="13"/>
  <c r="AD90" i="13"/>
  <c r="AE73" i="13"/>
  <c r="AD210" i="13"/>
  <c r="AD207" i="13"/>
  <c r="AC210" i="13"/>
  <c r="AE215" i="13"/>
  <c r="Y183" i="13"/>
  <c r="Z51" i="13"/>
  <c r="Z176" i="13"/>
  <c r="AD206" i="13"/>
  <c r="Y267" i="13"/>
  <c r="Y41" i="13"/>
  <c r="AD68" i="13"/>
  <c r="Y253" i="13"/>
  <c r="Z6" i="13"/>
  <c r="AD198" i="13"/>
  <c r="X70" i="13"/>
  <c r="Y123" i="13"/>
  <c r="AE207" i="13"/>
  <c r="AC88" i="13"/>
  <c r="Z5" i="13"/>
  <c r="AE196" i="13"/>
  <c r="Z122" i="13"/>
  <c r="AD91" i="13"/>
  <c r="AC206" i="13"/>
  <c r="Y182" i="13"/>
  <c r="AD105" i="13"/>
  <c r="AC215" i="13"/>
  <c r="Z218" i="13"/>
  <c r="X41" i="13"/>
  <c r="AD20" i="13"/>
  <c r="Y207" i="13"/>
  <c r="AD167" i="13"/>
  <c r="AC46" i="13"/>
  <c r="AE269" i="13"/>
  <c r="Z242" i="13"/>
  <c r="Z245" i="13"/>
  <c r="AE309" i="13"/>
  <c r="AD35" i="13"/>
  <c r="Z334" i="13"/>
  <c r="AD277" i="13"/>
  <c r="Y69" i="13"/>
  <c r="Z80" i="13"/>
  <c r="AD238" i="13"/>
  <c r="AE271" i="13"/>
  <c r="Y317" i="13"/>
  <c r="AE6" i="13"/>
  <c r="Y86" i="13"/>
  <c r="Y322" i="13"/>
  <c r="AC257" i="13"/>
  <c r="X69" i="13"/>
  <c r="AD259" i="13"/>
  <c r="AC336" i="13"/>
  <c r="Y161" i="13"/>
  <c r="X32" i="13"/>
  <c r="AE222" i="13"/>
  <c r="Z66" i="13"/>
  <c r="X201" i="13"/>
  <c r="Z336" i="13"/>
  <c r="Z61" i="13"/>
  <c r="X347" i="13"/>
  <c r="X238" i="13"/>
  <c r="X170" i="13"/>
  <c r="AE257" i="13"/>
  <c r="Z354" i="13"/>
  <c r="Y334" i="13"/>
  <c r="AD332" i="13"/>
  <c r="X300" i="13"/>
  <c r="AE353" i="13"/>
  <c r="AD77" i="13"/>
  <c r="AC191" i="13"/>
  <c r="Y60" i="13"/>
  <c r="X234" i="13"/>
  <c r="AD257" i="13"/>
  <c r="AC58" i="13"/>
  <c r="AD57" i="13"/>
  <c r="AD131" i="13"/>
  <c r="AE197" i="13"/>
  <c r="Y130" i="13"/>
  <c r="X83" i="13"/>
  <c r="X226" i="13"/>
  <c r="AD205" i="13"/>
  <c r="X5" i="13"/>
  <c r="AD185" i="13"/>
  <c r="Y269" i="13"/>
  <c r="Z93" i="13"/>
  <c r="Y133" i="13"/>
  <c r="Y46" i="13"/>
  <c r="AE67" i="13"/>
  <c r="Y352" i="13"/>
  <c r="AD211" i="13"/>
  <c r="Y53" i="13"/>
  <c r="Z223" i="13"/>
  <c r="Z352" i="13"/>
  <c r="AE88" i="13"/>
  <c r="Y181" i="13"/>
  <c r="X84" i="13"/>
  <c r="X123" i="13"/>
  <c r="Y348" i="13"/>
  <c r="AE57" i="13"/>
  <c r="AC18" i="13"/>
  <c r="AC43" i="13"/>
  <c r="Z86" i="13"/>
  <c r="Y113" i="13"/>
  <c r="AC69" i="13"/>
  <c r="Z70" i="13"/>
  <c r="AE221" i="13"/>
  <c r="Y105" i="13"/>
  <c r="AC107" i="13"/>
  <c r="AE211" i="13"/>
  <c r="Y45" i="13"/>
  <c r="Z339" i="13"/>
  <c r="AD4" i="13"/>
  <c r="Y108" i="13"/>
  <c r="X206" i="13"/>
  <c r="Y353" i="13"/>
  <c r="AE24" i="13"/>
  <c r="AC111" i="13"/>
  <c r="X339" i="13"/>
  <c r="Y227" i="13"/>
  <c r="Y35" i="13"/>
  <c r="X318" i="13"/>
  <c r="X224" i="13"/>
  <c r="AC85" i="13"/>
  <c r="AC185" i="13"/>
  <c r="AC95" i="13"/>
  <c r="AE115" i="13"/>
  <c r="AD93" i="13"/>
  <c r="AE108" i="13"/>
  <c r="X71" i="13"/>
  <c r="Z276" i="13"/>
  <c r="Z268" i="13"/>
  <c r="Z187" i="13"/>
  <c r="Y89" i="13"/>
  <c r="X95" i="13"/>
  <c r="Z98" i="13"/>
  <c r="Z45" i="13"/>
  <c r="AD66" i="13"/>
  <c r="Y52" i="13"/>
  <c r="Y342" i="13"/>
  <c r="Y237" i="13"/>
  <c r="X26" i="13"/>
  <c r="AE5" i="13"/>
  <c r="X58" i="13"/>
  <c r="Y315" i="13"/>
  <c r="X322" i="13"/>
  <c r="AE250" i="13"/>
  <c r="AE219" i="13"/>
  <c r="AE245" i="13"/>
  <c r="Z349" i="13"/>
  <c r="Y197" i="13"/>
  <c r="AD340" i="13"/>
  <c r="AE167" i="13"/>
  <c r="AE162" i="13"/>
  <c r="AE253" i="13"/>
  <c r="AC6" i="13"/>
  <c r="Y66" i="13"/>
  <c r="Y318" i="13"/>
  <c r="AC315" i="13"/>
  <c r="AD161" i="13"/>
  <c r="X316" i="13"/>
  <c r="Z73" i="13"/>
  <c r="AC80" i="13"/>
  <c r="AE336" i="13"/>
  <c r="Z238" i="13"/>
  <c r="Z62" i="13"/>
  <c r="AD223" i="13"/>
  <c r="Y75" i="13"/>
  <c r="Y246" i="13"/>
  <c r="AD352" i="13"/>
  <c r="AD269" i="13"/>
  <c r="Y77" i="13"/>
  <c r="AC241" i="13"/>
  <c r="Y24" i="13"/>
  <c r="AC344" i="13"/>
  <c r="AD80" i="13"/>
  <c r="Z87" i="13"/>
  <c r="Y162" i="13"/>
  <c r="Z344" i="13"/>
  <c r="AC75" i="13"/>
  <c r="Z75" i="13"/>
  <c r="Y245" i="13"/>
  <c r="Z322" i="13"/>
  <c r="Z19" i="13"/>
  <c r="X299" i="13"/>
  <c r="AC240" i="13"/>
  <c r="AD227" i="13"/>
  <c r="Y26" i="13"/>
  <c r="Z337" i="13"/>
  <c r="X4" i="13"/>
  <c r="AC226" i="13"/>
  <c r="AC268" i="13"/>
  <c r="Z25" i="13"/>
  <c r="AE190" i="13"/>
  <c r="X78" i="13"/>
  <c r="Y347" i="13"/>
  <c r="X317" i="13"/>
  <c r="AC335" i="13"/>
  <c r="AD341" i="13"/>
  <c r="AE332" i="13"/>
  <c r="AC250" i="13"/>
  <c r="AE82" i="13"/>
  <c r="AC211" i="13"/>
  <c r="Z177" i="13"/>
  <c r="AE110" i="13"/>
  <c r="X211" i="13"/>
  <c r="X129" i="13"/>
  <c r="Y252" i="13"/>
  <c r="AC87" i="13"/>
  <c r="X185" i="13"/>
  <c r="AE61" i="13"/>
  <c r="Z107" i="13"/>
  <c r="AC112" i="13"/>
  <c r="AE118" i="13"/>
  <c r="X91" i="13"/>
  <c r="Y107" i="13"/>
  <c r="AC89" i="13"/>
  <c r="X259" i="13"/>
  <c r="X52" i="13"/>
  <c r="AD98" i="13"/>
  <c r="X237" i="13"/>
  <c r="AC171" i="13"/>
  <c r="AC222" i="13"/>
  <c r="AE180" i="13"/>
  <c r="Z159" i="13"/>
  <c r="AC163" i="13"/>
  <c r="AE49" i="13"/>
  <c r="Y238" i="13"/>
  <c r="AE52" i="13"/>
  <c r="AD51" i="13"/>
  <c r="Y175" i="13"/>
  <c r="AD226" i="13"/>
  <c r="X337" i="13"/>
  <c r="Z347" i="13"/>
  <c r="AD348" i="13"/>
  <c r="AC101" i="13"/>
  <c r="Z69" i="13"/>
  <c r="Y78" i="13"/>
  <c r="AE75" i="13"/>
  <c r="Z314" i="13"/>
  <c r="AC237" i="13"/>
  <c r="X303" i="13"/>
  <c r="X143" i="13"/>
  <c r="X60" i="13"/>
  <c r="AC337" i="13"/>
  <c r="AD75" i="13"/>
  <c r="AC235" i="13"/>
  <c r="AD303" i="13"/>
  <c r="X245" i="13"/>
  <c r="AE77" i="13"/>
  <c r="AC98" i="13"/>
  <c r="AC48" i="13"/>
  <c r="AC76" i="13"/>
  <c r="AE313" i="13"/>
  <c r="AE315" i="13"/>
  <c r="X253" i="13"/>
  <c r="AC313" i="13"/>
  <c r="AC223" i="13"/>
  <c r="AC186" i="13"/>
  <c r="AC261" i="13"/>
  <c r="AE333" i="13"/>
  <c r="X79" i="13"/>
  <c r="X240" i="13"/>
  <c r="X161" i="13"/>
  <c r="AE182" i="13"/>
  <c r="Z240" i="13"/>
  <c r="X335" i="13"/>
  <c r="AE335" i="13"/>
  <c r="Z68" i="13"/>
  <c r="AD264" i="13"/>
  <c r="Y61" i="13"/>
  <c r="AE340" i="13"/>
  <c r="AE238" i="13"/>
  <c r="Z79" i="13"/>
  <c r="AD184" i="13"/>
  <c r="Z33" i="13"/>
  <c r="AD222" i="13"/>
  <c r="Y244" i="13"/>
  <c r="AC259" i="13"/>
  <c r="X68" i="13"/>
  <c r="AD271" i="13"/>
  <c r="Y355" i="13"/>
  <c r="AE183" i="13"/>
  <c r="X73" i="13"/>
  <c r="Y344" i="13"/>
  <c r="AE277" i="13"/>
  <c r="X57" i="13"/>
  <c r="Z60" i="13"/>
  <c r="AD191" i="13"/>
  <c r="AD336" i="13"/>
  <c r="Z251" i="13"/>
  <c r="AC77" i="13"/>
  <c r="Z355" i="13"/>
  <c r="AE278" i="13"/>
  <c r="AC225" i="13"/>
  <c r="AE223" i="13"/>
  <c r="AC343" i="13"/>
  <c r="Z201" i="13"/>
  <c r="Z341" i="13"/>
  <c r="AE171" i="13"/>
  <c r="AE53" i="13"/>
  <c r="X349" i="13"/>
  <c r="Z58" i="13"/>
  <c r="Z67" i="13"/>
  <c r="AD353" i="13"/>
  <c r="AE261" i="13"/>
  <c r="X80" i="13"/>
  <c r="AD183" i="13"/>
  <c r="AE246" i="13"/>
  <c r="X33" i="13"/>
  <c r="AC314" i="13"/>
  <c r="AD276" i="13"/>
  <c r="AE339" i="13"/>
  <c r="Z9" i="13"/>
  <c r="Z82" i="13"/>
  <c r="AD113" i="13"/>
  <c r="Z208" i="13"/>
  <c r="AE86" i="13"/>
  <c r="X108" i="13"/>
  <c r="Z143" i="13"/>
  <c r="Z88" i="13"/>
  <c r="AE198" i="13"/>
  <c r="Y18" i="13"/>
  <c r="AD22" i="13"/>
  <c r="Z221" i="13"/>
  <c r="AC82" i="13"/>
  <c r="AC128" i="13"/>
  <c r="AD71" i="13"/>
  <c r="Z343" i="13"/>
  <c r="AD83" i="13"/>
  <c r="Z18" i="13"/>
  <c r="Y167" i="13"/>
  <c r="X62" i="13"/>
  <c r="AD181" i="13"/>
  <c r="X166" i="13"/>
  <c r="X355" i="13"/>
  <c r="AD78" i="13"/>
  <c r="AC234" i="13"/>
  <c r="AD47" i="13"/>
  <c r="AD347" i="13"/>
  <c r="AE267" i="13"/>
  <c r="AD311" i="13"/>
  <c r="AD246" i="13"/>
  <c r="X249" i="13"/>
  <c r="AD310" i="13"/>
  <c r="AC341" i="13"/>
  <c r="Y67" i="13"/>
  <c r="X25" i="13"/>
  <c r="X19" i="13"/>
  <c r="AC309" i="13"/>
  <c r="AC317" i="13"/>
  <c r="X67" i="13"/>
  <c r="AE234" i="13"/>
  <c r="Z317" i="13"/>
  <c r="AC184" i="13"/>
  <c r="AD314" i="13"/>
  <c r="X167" i="13"/>
  <c r="Y300" i="13"/>
  <c r="AD245" i="13"/>
  <c r="AD5" i="13"/>
  <c r="AE78" i="13"/>
  <c r="Z303" i="13"/>
  <c r="AE48" i="13"/>
  <c r="AC333" i="13"/>
  <c r="AE312" i="13"/>
  <c r="AD250" i="13"/>
  <c r="Y68" i="13"/>
  <c r="AE240" i="13"/>
  <c r="AE98" i="13"/>
  <c r="X175" i="13"/>
  <c r="AD182" i="13"/>
  <c r="Y337" i="13"/>
  <c r="AC227" i="13"/>
  <c r="Y10" i="13"/>
  <c r="AD166" i="13"/>
  <c r="AE337" i="13"/>
  <c r="AD101" i="13"/>
  <c r="Y354" i="13"/>
  <c r="Z174" i="13"/>
  <c r="X162" i="13"/>
  <c r="AE316" i="13"/>
  <c r="AC332" i="13"/>
  <c r="AE163" i="13"/>
  <c r="Z234" i="13"/>
  <c r="AD267" i="13"/>
  <c r="Y20" i="13"/>
  <c r="Z4" i="13"/>
  <c r="Y299" i="13"/>
  <c r="AE46" i="13"/>
  <c r="Z315" i="13"/>
  <c r="Z24" i="13"/>
  <c r="Z316" i="13"/>
  <c r="AE235" i="13"/>
  <c r="Z203" i="13"/>
  <c r="X242" i="13"/>
  <c r="Z301" i="13"/>
  <c r="Z43" i="13"/>
  <c r="AE314" i="13"/>
  <c r="AD241" i="13"/>
  <c r="Z318" i="13"/>
  <c r="Z32" i="13"/>
  <c r="AC168" i="13"/>
  <c r="AD224" i="13"/>
  <c r="Z76" i="13"/>
  <c r="X18" i="13"/>
  <c r="AE62" i="13"/>
  <c r="Y6" i="13"/>
  <c r="Y206" i="13"/>
  <c r="AE84" i="13"/>
  <c r="AC93" i="13"/>
  <c r="Y79" i="13"/>
  <c r="Z101" i="13"/>
  <c r="AD333" i="13"/>
  <c r="Z210" i="13"/>
  <c r="X98" i="13"/>
  <c r="AC131" i="13"/>
  <c r="X47" i="13"/>
  <c r="AD62" i="13"/>
  <c r="Y277" i="13"/>
  <c r="AE114" i="13"/>
  <c r="AC84" i="13"/>
  <c r="AE159" i="13"/>
  <c r="Y241" i="13"/>
  <c r="AD339" i="13"/>
  <c r="AE193" i="13"/>
  <c r="AD190" i="13"/>
  <c r="X354" i="13"/>
  <c r="AE264" i="13"/>
  <c r="AD316" i="13"/>
  <c r="Z20" i="13"/>
  <c r="X168" i="13"/>
  <c r="AC5" i="13"/>
  <c r="Z299" i="13"/>
  <c r="AD261" i="13"/>
  <c r="AD315" i="13"/>
  <c r="AC245" i="13"/>
  <c r="Y203" i="13"/>
  <c r="AD214" i="13"/>
  <c r="AC47" i="13"/>
  <c r="Y19" i="13"/>
  <c r="Z166" i="13"/>
  <c r="Z167" i="13"/>
  <c r="X243" i="13"/>
  <c r="X76" i="13"/>
  <c r="AE51" i="13"/>
  <c r="Y58" i="13"/>
  <c r="Y243" i="13"/>
  <c r="AD342" i="13"/>
  <c r="X246" i="13"/>
  <c r="AD240" i="13"/>
  <c r="Y234" i="13"/>
  <c r="Y346" i="13"/>
  <c r="AD312" i="13"/>
  <c r="AE101" i="13"/>
  <c r="AC318" i="13"/>
  <c r="AE181" i="13"/>
  <c r="AC249" i="13"/>
  <c r="X332" i="13"/>
  <c r="Y73" i="13"/>
  <c r="AE76" i="13"/>
  <c r="AD249" i="13"/>
  <c r="AC352" i="13"/>
  <c r="AD234" i="13"/>
  <c r="AE342" i="13"/>
  <c r="AC78" i="13"/>
  <c r="AD313" i="13"/>
  <c r="Z243" i="13"/>
  <c r="Z26" i="13"/>
  <c r="Y168" i="13"/>
  <c r="AC267" i="13"/>
  <c r="Z161" i="13"/>
  <c r="Z57" i="13"/>
  <c r="X203" i="13"/>
  <c r="AC316" i="13"/>
  <c r="Z175" i="13"/>
  <c r="Z241" i="13"/>
  <c r="Y316" i="13"/>
  <c r="AE41" i="13"/>
  <c r="X43" i="13"/>
  <c r="AE344" i="13"/>
  <c r="AD76" i="13"/>
  <c r="AE249" i="13"/>
  <c r="AD73" i="13"/>
  <c r="X66" i="13"/>
  <c r="AC49" i="13"/>
  <c r="Y25" i="13"/>
  <c r="X314" i="13"/>
  <c r="AE166" i="13"/>
  <c r="Y159" i="13"/>
  <c r="AC167" i="13"/>
  <c r="AD6" i="13"/>
  <c r="AC162" i="13"/>
  <c r="AD52" i="13"/>
  <c r="AE303" i="13"/>
  <c r="AD46" i="13"/>
  <c r="AE259" i="13"/>
  <c r="Z10" i="13"/>
  <c r="Z78" i="13"/>
  <c r="AD49" i="13"/>
  <c r="AE225" i="13"/>
  <c r="AC340" i="13"/>
  <c r="AE184" i="13"/>
  <c r="AC161" i="13"/>
  <c r="X159" i="13"/>
  <c r="Z332" i="13"/>
  <c r="AD180" i="13"/>
  <c r="AC253" i="13"/>
  <c r="Y332" i="13"/>
  <c r="Y57" i="13"/>
  <c r="Y219" i="13"/>
  <c r="X222" i="13"/>
  <c r="AC217" i="13"/>
  <c r="AE185" i="13"/>
  <c r="Z178" i="13"/>
  <c r="AE217" i="13"/>
  <c r="AD10" i="13"/>
  <c r="AC133" i="13"/>
  <c r="Y124" i="13"/>
  <c r="AD69" i="13"/>
  <c r="AC67" i="13"/>
  <c r="Z106" i="13"/>
  <c r="AC10" i="13"/>
  <c r="AD213" i="13"/>
  <c r="X89" i="13"/>
  <c r="AD128" i="13"/>
  <c r="Z124" i="13"/>
  <c r="Z250" i="13"/>
  <c r="Z168" i="13"/>
  <c r="AC166" i="13"/>
  <c r="X24" i="13"/>
  <c r="AD53" i="13"/>
  <c r="AC353" i="13"/>
  <c r="X111" i="13"/>
  <c r="AD309" i="13"/>
  <c r="Z235" i="13"/>
  <c r="Y80" i="13"/>
  <c r="AE317" i="13"/>
  <c r="Y336" i="13"/>
  <c r="AE341" i="13"/>
  <c r="AC276" i="13"/>
  <c r="AD317" i="13"/>
  <c r="AE224" i="13"/>
  <c r="AC51" i="13"/>
  <c r="AE318" i="13"/>
  <c r="AC224" i="13"/>
  <c r="Y240" i="13"/>
  <c r="AC182" i="13"/>
  <c r="AC342" i="13"/>
  <c r="AC269" i="13"/>
  <c r="AC278" i="13"/>
  <c r="AD237" i="13"/>
  <c r="X244" i="13"/>
  <c r="AD171" i="13"/>
  <c r="AE348" i="13"/>
  <c r="AD203" i="13"/>
  <c r="Z253" i="13"/>
  <c r="Z74" i="13"/>
  <c r="X174" i="13"/>
  <c r="X9" i="13"/>
  <c r="AC322" i="13"/>
  <c r="X74" i="13"/>
  <c r="AC214" i="13"/>
  <c r="AC159" i="13"/>
  <c r="AE227" i="13"/>
  <c r="AE35" i="13"/>
  <c r="X336" i="13"/>
  <c r="AC45" i="13"/>
  <c r="AC348" i="13"/>
  <c r="Y201" i="13"/>
  <c r="AC349" i="13"/>
  <c r="X315" i="13"/>
  <c r="AD45" i="13"/>
  <c r="AE191" i="13"/>
  <c r="AC246" i="13"/>
  <c r="AE161" i="13"/>
  <c r="AE343" i="13"/>
  <c r="Y62" i="13"/>
  <c r="AD344" i="13"/>
  <c r="Y9" i="13"/>
  <c r="AD41" i="13"/>
  <c r="AE349" i="13"/>
  <c r="Y242" i="13"/>
  <c r="X241" i="13"/>
  <c r="AC181" i="13"/>
  <c r="AC271" i="13"/>
  <c r="AC238" i="13"/>
  <c r="Y235" i="13"/>
  <c r="AC73" i="13"/>
  <c r="AE268" i="13"/>
  <c r="AC312" i="13"/>
  <c r="X251" i="13"/>
  <c r="Y74" i="13"/>
  <c r="AE226" i="13"/>
  <c r="Y314" i="13"/>
  <c r="AE47" i="13"/>
  <c r="Z162" i="13"/>
  <c r="Y33" i="13"/>
  <c r="AC203" i="13"/>
  <c r="AC52" i="13"/>
  <c r="AC180" i="13"/>
  <c r="AE201" i="13"/>
  <c r="Z300" i="13"/>
  <c r="Y32" i="13"/>
  <c r="AE241" i="13"/>
  <c r="Y349" i="13"/>
  <c r="Y249" i="13"/>
  <c r="AE347" i="13"/>
  <c r="X235" i="13"/>
  <c r="Z77" i="13"/>
  <c r="AE352" i="13"/>
  <c r="AC53" i="13"/>
  <c r="X334" i="13"/>
  <c r="Y76" i="13"/>
  <c r="AD349" i="13"/>
  <c r="AD235" i="13"/>
  <c r="AD201" i="13"/>
  <c r="Z237" i="13"/>
  <c r="AC277" i="13"/>
  <c r="AC339" i="13"/>
  <c r="AC35" i="13"/>
  <c r="BB584" i="1" l="1"/>
  <c r="AT925" i="1"/>
  <c r="Q132" i="13"/>
  <c r="Q7" i="13"/>
  <c r="S352" i="13"/>
  <c r="N214" i="13"/>
  <c r="R151" i="13"/>
  <c r="O195" i="13"/>
  <c r="S230" i="13"/>
  <c r="Q92" i="13"/>
  <c r="N104" i="13"/>
  <c r="N79" i="13"/>
  <c r="M76" i="13"/>
  <c r="N84" i="13"/>
  <c r="Q91" i="13"/>
  <c r="Q76" i="13"/>
  <c r="R308" i="13"/>
  <c r="S83" i="13"/>
  <c r="O357" i="13"/>
  <c r="N145" i="13"/>
  <c r="Q136" i="13"/>
  <c r="Q107" i="13"/>
  <c r="S215" i="13"/>
  <c r="Q350" i="13"/>
  <c r="Q112" i="13"/>
  <c r="M235" i="13"/>
  <c r="M349" i="13"/>
  <c r="R66" i="13"/>
  <c r="S355" i="13"/>
  <c r="M241" i="13"/>
  <c r="M132" i="13"/>
  <c r="S63" i="13"/>
  <c r="S353" i="13"/>
  <c r="Q152" i="13"/>
  <c r="R46" i="13"/>
  <c r="N48" i="13"/>
  <c r="M237" i="13"/>
  <c r="S108" i="13"/>
  <c r="S160" i="13"/>
  <c r="S266" i="13"/>
  <c r="M67" i="13"/>
  <c r="M105" i="13"/>
  <c r="N73" i="13"/>
  <c r="O44" i="13"/>
  <c r="S80" i="13"/>
  <c r="O82" i="13"/>
  <c r="M222" i="13"/>
  <c r="O188" i="13"/>
  <c r="S335" i="13"/>
  <c r="S126" i="13"/>
  <c r="M110" i="13"/>
  <c r="O319" i="13"/>
  <c r="R26" i="13"/>
  <c r="Q28" i="13"/>
  <c r="S327" i="13"/>
  <c r="Q146" i="13"/>
  <c r="S155" i="13"/>
  <c r="O156" i="13"/>
  <c r="N158" i="13"/>
  <c r="O205" i="13"/>
  <c r="R141" i="13"/>
  <c r="R249" i="13"/>
  <c r="R311" i="13"/>
  <c r="M186" i="13"/>
  <c r="O157" i="13"/>
  <c r="M18" i="13"/>
  <c r="S181" i="13"/>
  <c r="O32" i="13"/>
  <c r="R142" i="13"/>
  <c r="R125" i="13"/>
  <c r="O200" i="13"/>
  <c r="R195" i="13"/>
  <c r="R332" i="13"/>
  <c r="Q281" i="13"/>
  <c r="Q320" i="13"/>
  <c r="S111" i="13"/>
  <c r="Q149" i="13"/>
  <c r="O58" i="13"/>
  <c r="N206" i="13"/>
  <c r="O306" i="13"/>
  <c r="M355" i="13"/>
  <c r="S32" i="13"/>
  <c r="Q243" i="13"/>
  <c r="M326" i="13"/>
  <c r="S117" i="13"/>
  <c r="O134" i="13"/>
  <c r="M98" i="13"/>
  <c r="R260" i="13"/>
  <c r="O113" i="13"/>
  <c r="O144" i="13"/>
  <c r="Q18" i="13"/>
  <c r="S317" i="13"/>
  <c r="N39" i="13"/>
  <c r="S158" i="13"/>
  <c r="M348" i="13"/>
  <c r="R139" i="13"/>
  <c r="R297" i="13"/>
  <c r="R38" i="13"/>
  <c r="N228" i="13"/>
  <c r="M279" i="13"/>
  <c r="O338" i="13"/>
  <c r="Q89" i="13"/>
  <c r="O293" i="13"/>
  <c r="S86" i="13"/>
  <c r="O336" i="13"/>
  <c r="M9" i="13"/>
  <c r="N23" i="13"/>
  <c r="M288" i="13"/>
  <c r="N272" i="13"/>
  <c r="O229" i="13"/>
  <c r="O316" i="13"/>
  <c r="M296" i="13"/>
  <c r="R245" i="13"/>
  <c r="R316" i="13"/>
  <c r="O153" i="13"/>
  <c r="O203" i="13"/>
  <c r="M164" i="13"/>
  <c r="Q210" i="13"/>
  <c r="Q232" i="13"/>
  <c r="Q203" i="13"/>
  <c r="S218" i="13"/>
  <c r="O341" i="13"/>
  <c r="O52" i="13"/>
  <c r="N159" i="13"/>
  <c r="S122" i="13"/>
  <c r="R216" i="13"/>
  <c r="O252" i="13"/>
  <c r="Q357" i="13"/>
  <c r="O220" i="13"/>
  <c r="N151" i="13"/>
  <c r="Q238" i="13"/>
  <c r="R166" i="13"/>
  <c r="N22" i="13"/>
  <c r="N146" i="13"/>
  <c r="R272" i="13"/>
  <c r="M238" i="13"/>
  <c r="M191" i="13"/>
  <c r="O268" i="13"/>
  <c r="R329" i="13"/>
  <c r="R225" i="13"/>
  <c r="Q189" i="13"/>
  <c r="Q171" i="13"/>
  <c r="M147" i="13"/>
  <c r="R183" i="13"/>
  <c r="Q283" i="13"/>
  <c r="M190" i="13"/>
  <c r="N277" i="13"/>
  <c r="O291" i="13"/>
  <c r="Q169" i="13"/>
  <c r="O243" i="13"/>
  <c r="Q51" i="13"/>
  <c r="R293" i="13"/>
  <c r="S153" i="13"/>
  <c r="S194" i="13"/>
  <c r="M331" i="13"/>
  <c r="S276" i="13"/>
  <c r="S286" i="13"/>
  <c r="M198" i="13"/>
  <c r="M320" i="13"/>
  <c r="S102" i="13"/>
  <c r="M37" i="13"/>
  <c r="Q9" i="13"/>
  <c r="O42" i="13"/>
  <c r="S238" i="13"/>
  <c r="S166" i="13"/>
  <c r="Q45" i="13"/>
  <c r="O146" i="13"/>
  <c r="Q272" i="13"/>
  <c r="S96" i="13"/>
  <c r="N191" i="13"/>
  <c r="N268" i="13"/>
  <c r="N162" i="13"/>
  <c r="Q225" i="13"/>
  <c r="R189" i="13"/>
  <c r="O255" i="13"/>
  <c r="O147" i="13"/>
  <c r="Q183" i="13"/>
  <c r="Q294" i="13"/>
  <c r="O190" i="13"/>
  <c r="O277" i="13"/>
  <c r="O5" i="13"/>
  <c r="S169" i="13"/>
  <c r="M243" i="13"/>
  <c r="O40" i="13"/>
  <c r="S293" i="13"/>
  <c r="R153" i="13"/>
  <c r="S343" i="13"/>
  <c r="N331" i="13"/>
  <c r="R276" i="13"/>
  <c r="S104" i="13"/>
  <c r="N198" i="13"/>
  <c r="N320" i="13"/>
  <c r="S71" i="13"/>
  <c r="O37" i="13"/>
  <c r="S9" i="13"/>
  <c r="R185" i="13"/>
  <c r="N265" i="13"/>
  <c r="S65" i="13"/>
  <c r="M170" i="13"/>
  <c r="S242" i="13"/>
  <c r="S251" i="13"/>
  <c r="O187" i="13"/>
  <c r="Q341" i="13"/>
  <c r="M323" i="13"/>
  <c r="R39" i="13"/>
  <c r="S150" i="13"/>
  <c r="O174" i="13"/>
  <c r="N299" i="13"/>
  <c r="M201" i="13"/>
  <c r="S8" i="13"/>
  <c r="S36" i="13"/>
  <c r="M50" i="13"/>
  <c r="M45" i="13"/>
  <c r="Q267" i="13"/>
  <c r="S101" i="13"/>
  <c r="Q199" i="13"/>
  <c r="M101" i="13"/>
  <c r="M138" i="13"/>
  <c r="S79" i="13"/>
  <c r="S148" i="13"/>
  <c r="O109" i="13"/>
  <c r="Q55" i="13"/>
  <c r="O266" i="13"/>
  <c r="R262" i="13"/>
  <c r="N308" i="13"/>
  <c r="O230" i="13"/>
  <c r="N295" i="13"/>
  <c r="Q237" i="13"/>
  <c r="N111" i="13"/>
  <c r="R13" i="13"/>
  <c r="N122" i="13"/>
  <c r="N284" i="13"/>
  <c r="S49" i="13"/>
  <c r="S224" i="13"/>
  <c r="Q88" i="13"/>
  <c r="Q4" i="13"/>
  <c r="O161" i="13"/>
  <c r="S282" i="13"/>
  <c r="R239" i="13"/>
  <c r="R196" i="13"/>
  <c r="O89" i="13"/>
  <c r="M143" i="13"/>
  <c r="Q344" i="13"/>
  <c r="M100" i="13"/>
  <c r="O24" i="13"/>
  <c r="M350" i="13"/>
  <c r="Q24" i="13"/>
  <c r="M61" i="13"/>
  <c r="M347" i="13"/>
  <c r="M342" i="13"/>
  <c r="M107" i="13"/>
  <c r="N172" i="13"/>
  <c r="O246" i="13"/>
  <c r="M36" i="13"/>
  <c r="R184" i="13"/>
  <c r="O181" i="13"/>
  <c r="S144" i="13"/>
  <c r="N85" i="13"/>
  <c r="S241" i="13"/>
  <c r="N137" i="13"/>
  <c r="R110" i="13"/>
  <c r="O215" i="13"/>
  <c r="N213" i="13"/>
  <c r="Q64" i="13"/>
  <c r="Q258" i="13"/>
  <c r="O168" i="13"/>
  <c r="O19" i="13"/>
  <c r="S118" i="13"/>
  <c r="R82" i="13"/>
  <c r="N286" i="13"/>
  <c r="M64" i="13"/>
  <c r="S95" i="13"/>
  <c r="S177" i="13"/>
  <c r="Q302" i="13"/>
  <c r="S58" i="13"/>
  <c r="N25" i="13"/>
  <c r="Q263" i="13"/>
  <c r="M86" i="13"/>
  <c r="R338" i="13"/>
  <c r="R14" i="13"/>
  <c r="Q290" i="13"/>
  <c r="S22" i="13"/>
  <c r="S140" i="13"/>
  <c r="Q133" i="13"/>
  <c r="O249" i="13"/>
  <c r="M322" i="13"/>
  <c r="N189" i="13"/>
  <c r="O242" i="13"/>
  <c r="O207" i="13"/>
  <c r="M27" i="13"/>
  <c r="N339" i="13"/>
  <c r="N59" i="13"/>
  <c r="Q217" i="13"/>
  <c r="R213" i="13"/>
  <c r="M96" i="13"/>
  <c r="N152" i="13"/>
  <c r="M318" i="13"/>
  <c r="R120" i="13"/>
  <c r="O210" i="13"/>
  <c r="Q304" i="13"/>
  <c r="S17" i="13"/>
  <c r="S56" i="13"/>
  <c r="M344" i="13"/>
  <c r="N202" i="13"/>
  <c r="N29" i="13"/>
  <c r="M226" i="13"/>
  <c r="M233" i="13"/>
  <c r="R298" i="13"/>
  <c r="N282" i="13"/>
  <c r="N199" i="13"/>
  <c r="Q227" i="13"/>
  <c r="R202" i="13"/>
  <c r="M300" i="13"/>
  <c r="S326" i="13"/>
  <c r="Q77" i="13"/>
  <c r="S229" i="13"/>
  <c r="S197" i="13"/>
  <c r="O192" i="13"/>
  <c r="Q207" i="13"/>
  <c r="O12" i="13"/>
  <c r="R44" i="13"/>
  <c r="Q259" i="13"/>
  <c r="Q62" i="13"/>
  <c r="Q119" i="13"/>
  <c r="S347" i="13"/>
  <c r="N297" i="13"/>
  <c r="Q278" i="13"/>
  <c r="M119" i="13"/>
  <c r="S145" i="13"/>
  <c r="R318" i="13"/>
  <c r="N216" i="13"/>
  <c r="O298" i="13"/>
  <c r="S130" i="13"/>
  <c r="S349" i="13"/>
  <c r="N165" i="13"/>
  <c r="Q121" i="13"/>
  <c r="Q288" i="13"/>
  <c r="R305" i="13"/>
  <c r="O290" i="13"/>
  <c r="R264" i="13"/>
  <c r="O239" i="13"/>
  <c r="S103" i="13"/>
  <c r="M169" i="13"/>
  <c r="R15" i="13"/>
  <c r="Q206" i="13"/>
  <c r="S265" i="13"/>
  <c r="R211" i="13"/>
  <c r="M262" i="13"/>
  <c r="N334" i="13"/>
  <c r="M63" i="13"/>
  <c r="N346" i="13"/>
  <c r="M301" i="13"/>
  <c r="O261" i="13"/>
  <c r="S291" i="13"/>
  <c r="O193" i="13"/>
  <c r="S93" i="13"/>
  <c r="Q19" i="13"/>
  <c r="M88" i="13"/>
  <c r="R289" i="13"/>
  <c r="O194" i="13"/>
  <c r="S11" i="13"/>
  <c r="O328" i="13"/>
  <c r="M90" i="13"/>
  <c r="O95" i="13"/>
  <c r="R345" i="13"/>
  <c r="R301" i="13"/>
  <c r="O232" i="13"/>
  <c r="Q342" i="13"/>
  <c r="S322" i="13"/>
  <c r="R137" i="13"/>
  <c r="N77" i="13"/>
  <c r="Q231" i="13"/>
  <c r="R41" i="13"/>
  <c r="S269" i="13"/>
  <c r="Q287" i="13"/>
  <c r="O70" i="13"/>
  <c r="O259" i="13"/>
  <c r="N46" i="13"/>
  <c r="O74" i="13"/>
  <c r="M62" i="13"/>
  <c r="R85" i="13"/>
  <c r="O356" i="13"/>
  <c r="S292" i="13"/>
  <c r="R250" i="13"/>
  <c r="Q6" i="13"/>
  <c r="Q99" i="13"/>
  <c r="N31" i="13"/>
  <c r="R212" i="13"/>
  <c r="N183" i="13"/>
  <c r="S34" i="13"/>
  <c r="R221" i="13"/>
  <c r="N83" i="13"/>
  <c r="M281" i="13"/>
  <c r="M106" i="13"/>
  <c r="M57" i="13"/>
  <c r="Q174" i="13"/>
  <c r="N219" i="13"/>
  <c r="N10" i="13"/>
  <c r="M142" i="13"/>
  <c r="N294" i="13"/>
  <c r="M276" i="13"/>
  <c r="S167" i="13"/>
  <c r="M275" i="13"/>
  <c r="Q114" i="13"/>
  <c r="M303" i="13"/>
  <c r="M26" i="13"/>
  <c r="Q135" i="13"/>
  <c r="S5" i="13"/>
  <c r="M125" i="13"/>
  <c r="S25" i="13"/>
  <c r="R129" i="13"/>
  <c r="R234" i="13"/>
  <c r="S312" i="13"/>
  <c r="O129" i="13"/>
  <c r="Q252" i="13"/>
  <c r="Q156" i="13"/>
  <c r="M287" i="13"/>
  <c r="R354" i="13"/>
  <c r="M317" i="13"/>
  <c r="M218" i="13"/>
  <c r="Q280" i="13"/>
  <c r="M209" i="13"/>
  <c r="R48" i="13"/>
  <c r="Q12" i="13"/>
  <c r="M21" i="13"/>
  <c r="N15" i="13"/>
  <c r="N260" i="13"/>
  <c r="O53" i="13"/>
  <c r="Q59" i="13"/>
  <c r="S159" i="13"/>
  <c r="R340" i="13"/>
  <c r="O240" i="13"/>
  <c r="R109" i="13"/>
  <c r="M254" i="13"/>
  <c r="M115" i="13"/>
  <c r="N108" i="13"/>
  <c r="O94" i="13"/>
  <c r="M123" i="13"/>
  <c r="N54" i="13"/>
  <c r="R87" i="13"/>
  <c r="M224" i="13"/>
  <c r="O273" i="13"/>
  <c r="S23" i="13"/>
  <c r="Q143" i="13"/>
  <c r="M196" i="13"/>
  <c r="Q307" i="13"/>
  <c r="M354" i="13"/>
  <c r="N78" i="13"/>
  <c r="N35" i="13"/>
  <c r="N116" i="13"/>
  <c r="N317" i="13"/>
  <c r="S170" i="13"/>
  <c r="M260" i="13"/>
  <c r="Q340" i="13"/>
  <c r="M55" i="13"/>
  <c r="O54" i="13"/>
  <c r="R23" i="13"/>
  <c r="N80" i="13"/>
  <c r="Q236" i="13"/>
  <c r="M315" i="13"/>
  <c r="N251" i="13"/>
  <c r="O197" i="13"/>
  <c r="Q43" i="13"/>
  <c r="R277" i="13"/>
  <c r="N69" i="13"/>
  <c r="O353" i="13"/>
  <c r="O182" i="13"/>
  <c r="R81" i="13"/>
  <c r="O114" i="13"/>
  <c r="M38" i="13"/>
  <c r="M71" i="13"/>
  <c r="Q209" i="13"/>
  <c r="O65" i="13"/>
  <c r="N274" i="13"/>
  <c r="S33" i="13"/>
  <c r="Q336" i="13"/>
  <c r="O163" i="13"/>
  <c r="N307" i="13"/>
  <c r="Q69" i="13"/>
  <c r="Q105" i="13"/>
  <c r="N280" i="13"/>
  <c r="O155" i="13"/>
  <c r="M339" i="13"/>
  <c r="R201" i="13"/>
  <c r="O96" i="13"/>
  <c r="N318" i="13"/>
  <c r="M136" i="13"/>
  <c r="R17" i="13"/>
  <c r="O344" i="13"/>
  <c r="Q296" i="13"/>
  <c r="O233" i="13"/>
  <c r="O282" i="13"/>
  <c r="Q348" i="13"/>
  <c r="O300" i="13"/>
  <c r="S77" i="13"/>
  <c r="R67" i="13"/>
  <c r="S207" i="13"/>
  <c r="S44" i="13"/>
  <c r="Q351" i="13"/>
  <c r="R226" i="13"/>
  <c r="N140" i="13"/>
  <c r="N180" i="13"/>
  <c r="N315" i="13"/>
  <c r="Q168" i="13"/>
  <c r="N91" i="13"/>
  <c r="R68" i="13"/>
  <c r="Q20" i="13"/>
  <c r="O335" i="13"/>
  <c r="M131" i="13"/>
  <c r="R165" i="13"/>
  <c r="N197" i="13"/>
  <c r="M11" i="13"/>
  <c r="N332" i="13"/>
  <c r="O148" i="13"/>
  <c r="S43" i="13"/>
  <c r="N139" i="13"/>
  <c r="Q253" i="13"/>
  <c r="Q97" i="13"/>
  <c r="N128" i="13"/>
  <c r="R325" i="13"/>
  <c r="R178" i="13"/>
  <c r="S331" i="13"/>
  <c r="O69" i="13"/>
  <c r="O258" i="13"/>
  <c r="N160" i="13"/>
  <c r="O179" i="13"/>
  <c r="M353" i="13"/>
  <c r="M244" i="13"/>
  <c r="N217" i="13"/>
  <c r="N56" i="13"/>
  <c r="O68" i="13"/>
  <c r="N324" i="13"/>
  <c r="N16" i="13"/>
  <c r="S285" i="13"/>
  <c r="S81" i="13"/>
  <c r="O231" i="13"/>
  <c r="R328" i="13"/>
  <c r="R172" i="13"/>
  <c r="N114" i="13"/>
  <c r="R74" i="13"/>
  <c r="Q346" i="13"/>
  <c r="Q306" i="13"/>
  <c r="M8" i="13"/>
  <c r="Q127" i="13"/>
  <c r="S53" i="13"/>
  <c r="M176" i="13"/>
  <c r="N71" i="13"/>
  <c r="Q314" i="13"/>
  <c r="O34" i="13"/>
  <c r="R179" i="13"/>
  <c r="R209" i="13"/>
  <c r="S176" i="13"/>
  <c r="M269" i="13"/>
  <c r="N184" i="13"/>
  <c r="R198" i="13"/>
  <c r="R123" i="13"/>
  <c r="Q29" i="13"/>
  <c r="Q61" i="13"/>
  <c r="O274" i="13"/>
  <c r="Q205" i="13"/>
  <c r="Q339" i="13"/>
  <c r="Q300" i="13"/>
  <c r="R33" i="13"/>
  <c r="N292" i="13"/>
  <c r="M337" i="13"/>
  <c r="O227" i="13"/>
  <c r="N305" i="13"/>
  <c r="S12" i="13"/>
  <c r="N53" i="13"/>
  <c r="S47" i="13"/>
  <c r="O108" i="13"/>
  <c r="Q87" i="13"/>
  <c r="N250" i="13"/>
  <c r="M78" i="13"/>
  <c r="S226" i="13"/>
  <c r="S90" i="13"/>
  <c r="M335" i="13"/>
  <c r="N11" i="13"/>
  <c r="Q309" i="13"/>
  <c r="Q325" i="13"/>
  <c r="M258" i="13"/>
  <c r="M99" i="13"/>
  <c r="O324" i="13"/>
  <c r="M231" i="13"/>
  <c r="Q50" i="13"/>
  <c r="R127" i="13"/>
  <c r="R314" i="13"/>
  <c r="N352" i="13"/>
  <c r="S123" i="13"/>
  <c r="S205" i="13"/>
  <c r="N150" i="13"/>
  <c r="M135" i="13"/>
  <c r="Q35" i="13"/>
  <c r="N313" i="13"/>
  <c r="N177" i="13"/>
  <c r="M225" i="13"/>
  <c r="O351" i="13"/>
  <c r="S280" i="13"/>
  <c r="N21" i="13"/>
  <c r="R356" i="13"/>
  <c r="S109" i="13"/>
  <c r="M94" i="13"/>
  <c r="O321" i="13"/>
  <c r="O196" i="13"/>
  <c r="M35" i="13"/>
  <c r="M285" i="13"/>
  <c r="M91" i="13"/>
  <c r="N131" i="13"/>
  <c r="S31" i="13"/>
  <c r="S253" i="13"/>
  <c r="S178" i="13"/>
  <c r="R200" i="13"/>
  <c r="O217" i="13"/>
  <c r="O16" i="13"/>
  <c r="R57" i="13"/>
  <c r="R346" i="13"/>
  <c r="R53" i="13"/>
  <c r="N248" i="13"/>
  <c r="N269" i="13"/>
  <c r="S29" i="13"/>
  <c r="N345" i="13"/>
  <c r="N337" i="13"/>
  <c r="N340" i="13"/>
  <c r="N178" i="13"/>
  <c r="R21" i="13"/>
  <c r="N149" i="13"/>
  <c r="N124" i="13"/>
  <c r="O302" i="13"/>
  <c r="O7" i="13"/>
  <c r="M59" i="13"/>
  <c r="Q213" i="13"/>
  <c r="O126" i="13"/>
  <c r="S120" i="13"/>
  <c r="R304" i="13"/>
  <c r="R303" i="13"/>
  <c r="O202" i="13"/>
  <c r="N226" i="13"/>
  <c r="M60" i="13"/>
  <c r="M199" i="13"/>
  <c r="Q202" i="13"/>
  <c r="R295" i="13"/>
  <c r="R229" i="13"/>
  <c r="N192" i="13"/>
  <c r="M120" i="13"/>
  <c r="R259" i="13"/>
  <c r="Q46" i="13"/>
  <c r="M265" i="13"/>
  <c r="Q65" i="13"/>
  <c r="R222" i="13"/>
  <c r="Q242" i="13"/>
  <c r="R251" i="13"/>
  <c r="R175" i="13"/>
  <c r="S341" i="13"/>
  <c r="N323" i="13"/>
  <c r="M264" i="13"/>
  <c r="Q150" i="13"/>
  <c r="M174" i="13"/>
  <c r="S313" i="13"/>
  <c r="N201" i="13"/>
  <c r="Q8" i="13"/>
  <c r="M154" i="13"/>
  <c r="N50" i="13"/>
  <c r="N45" i="13"/>
  <c r="Q187" i="13"/>
  <c r="R101" i="13"/>
  <c r="R199" i="13"/>
  <c r="Q180" i="13"/>
  <c r="O138" i="13"/>
  <c r="Q79" i="13"/>
  <c r="M33" i="13"/>
  <c r="M109" i="13"/>
  <c r="S55" i="13"/>
  <c r="O208" i="13"/>
  <c r="Q262" i="13"/>
  <c r="O308" i="13"/>
  <c r="N263" i="13"/>
  <c r="M295" i="13"/>
  <c r="S237" i="13"/>
  <c r="R271" i="13"/>
  <c r="Q13" i="13"/>
  <c r="O122" i="13"/>
  <c r="N141" i="13"/>
  <c r="Q49" i="13"/>
  <c r="R224" i="13"/>
  <c r="R247" i="13"/>
  <c r="R4" i="13"/>
  <c r="M161" i="13"/>
  <c r="Q54" i="13"/>
  <c r="Q239" i="13"/>
  <c r="S196" i="13"/>
  <c r="N325" i="13"/>
  <c r="O143" i="13"/>
  <c r="S344" i="13"/>
  <c r="R188" i="13"/>
  <c r="M24" i="13"/>
  <c r="O350" i="13"/>
  <c r="Q334" i="13"/>
  <c r="N61" i="13"/>
  <c r="N347" i="13"/>
  <c r="S113" i="13"/>
  <c r="O107" i="13"/>
  <c r="O172" i="13"/>
  <c r="Q100" i="13"/>
  <c r="N36" i="13"/>
  <c r="Q184" i="13"/>
  <c r="O312" i="13"/>
  <c r="Q144" i="13"/>
  <c r="M85" i="13"/>
  <c r="S84" i="13"/>
  <c r="M137" i="13"/>
  <c r="Q110" i="13"/>
  <c r="S244" i="13"/>
  <c r="O213" i="13"/>
  <c r="S64" i="13"/>
  <c r="R40" i="13"/>
  <c r="N168" i="13"/>
  <c r="M19" i="13"/>
  <c r="R72" i="13"/>
  <c r="Q82" i="13"/>
  <c r="O286" i="13"/>
  <c r="N72" i="13"/>
  <c r="Q95" i="13"/>
  <c r="Q177" i="13"/>
  <c r="Q274" i="13"/>
  <c r="N209" i="13"/>
  <c r="S270" i="13"/>
  <c r="Q159" i="13"/>
  <c r="O254" i="13"/>
  <c r="Q124" i="13"/>
  <c r="N273" i="13"/>
  <c r="R307" i="13"/>
  <c r="R235" i="13"/>
  <c r="M180" i="13"/>
  <c r="Q68" i="13"/>
  <c r="S337" i="13"/>
  <c r="M148" i="13"/>
  <c r="R97" i="13"/>
  <c r="S173" i="13"/>
  <c r="N179" i="13"/>
  <c r="M56" i="13"/>
  <c r="R75" i="13"/>
  <c r="Q172" i="13"/>
  <c r="R306" i="13"/>
  <c r="O167" i="13"/>
  <c r="Q179" i="13"/>
  <c r="M184" i="13"/>
  <c r="R98" i="13"/>
  <c r="R300" i="13"/>
  <c r="M227" i="13"/>
  <c r="N87" i="13"/>
  <c r="R208" i="13"/>
  <c r="R299" i="13"/>
  <c r="M75" i="13"/>
  <c r="S310" i="13"/>
  <c r="M175" i="13"/>
  <c r="Q78" i="13"/>
  <c r="S7" i="13"/>
  <c r="M41" i="13"/>
  <c r="M195" i="13"/>
  <c r="R92" i="13"/>
  <c r="N47" i="13"/>
  <c r="O84" i="13"/>
  <c r="R76" i="13"/>
  <c r="R219" i="13"/>
  <c r="M145" i="13"/>
  <c r="R107" i="13"/>
  <c r="N304" i="13"/>
  <c r="O235" i="13"/>
  <c r="S66" i="13"/>
  <c r="N333" i="13"/>
  <c r="Q63" i="13"/>
  <c r="R152" i="13"/>
  <c r="S119" i="13"/>
  <c r="R347" i="13"/>
  <c r="R228" i="13"/>
  <c r="R278" i="13"/>
  <c r="O119" i="13"/>
  <c r="N20" i="13"/>
  <c r="Q318" i="13"/>
  <c r="M216" i="13"/>
  <c r="S134" i="13"/>
  <c r="R130" i="13"/>
  <c r="Q349" i="13"/>
  <c r="O204" i="13"/>
  <c r="S121" i="13"/>
  <c r="S288" i="13"/>
  <c r="M257" i="13"/>
  <c r="M290" i="13"/>
  <c r="Q264" i="13"/>
  <c r="M234" i="13"/>
  <c r="R103" i="13"/>
  <c r="N169" i="13"/>
  <c r="R182" i="13"/>
  <c r="S206" i="13"/>
  <c r="R265" i="13"/>
  <c r="N166" i="13"/>
  <c r="N262" i="13"/>
  <c r="O334" i="13"/>
  <c r="R315" i="13"/>
  <c r="O346" i="13"/>
  <c r="O301" i="13"/>
  <c r="O278" i="13"/>
  <c r="R291" i="13"/>
  <c r="N193" i="13"/>
  <c r="S275" i="13"/>
  <c r="S19" i="13"/>
  <c r="O88" i="13"/>
  <c r="O171" i="13"/>
  <c r="N194" i="13"/>
  <c r="R11" i="13"/>
  <c r="O121" i="13"/>
  <c r="N90" i="13"/>
  <c r="M95" i="13"/>
  <c r="Q128" i="13"/>
  <c r="S301" i="13"/>
  <c r="M232" i="13"/>
  <c r="R163" i="13"/>
  <c r="R322" i="13"/>
  <c r="S137" i="13"/>
  <c r="R273" i="13"/>
  <c r="S231" i="13"/>
  <c r="Q41" i="13"/>
  <c r="M245" i="13"/>
  <c r="R287" i="13"/>
  <c r="N70" i="13"/>
  <c r="M118" i="13"/>
  <c r="M46" i="13"/>
  <c r="M74" i="13"/>
  <c r="S186" i="13"/>
  <c r="Q85" i="13"/>
  <c r="N356" i="13"/>
  <c r="Q116" i="13"/>
  <c r="S250" i="13"/>
  <c r="R6" i="13"/>
  <c r="S190" i="13"/>
  <c r="O31" i="13"/>
  <c r="Q212" i="13"/>
  <c r="N28" i="13"/>
  <c r="Q34" i="13"/>
  <c r="S221" i="13"/>
  <c r="N133" i="13"/>
  <c r="N281" i="13"/>
  <c r="O106" i="13"/>
  <c r="N81" i="13"/>
  <c r="S174" i="13"/>
  <c r="O219" i="13"/>
  <c r="M14" i="13"/>
  <c r="O142" i="13"/>
  <c r="M294" i="13"/>
  <c r="Q246" i="13"/>
  <c r="R167" i="13"/>
  <c r="O329" i="13"/>
  <c r="N13" i="13"/>
  <c r="S308" i="13"/>
  <c r="R112" i="13"/>
  <c r="R284" i="13"/>
  <c r="R108" i="13"/>
  <c r="R115" i="13"/>
  <c r="M82" i="13"/>
  <c r="R126" i="13"/>
  <c r="R279" i="13"/>
  <c r="N156" i="13"/>
  <c r="Q249" i="13"/>
  <c r="O311" i="13"/>
  <c r="Q125" i="13"/>
  <c r="S281" i="13"/>
  <c r="S73" i="13"/>
  <c r="Q32" i="13"/>
  <c r="N134" i="13"/>
  <c r="M270" i="13"/>
  <c r="R158" i="13"/>
  <c r="S38" i="13"/>
  <c r="O173" i="13"/>
  <c r="Q86" i="13"/>
  <c r="O9" i="13"/>
  <c r="N17" i="13"/>
  <c r="N229" i="13"/>
  <c r="O296" i="13"/>
  <c r="O211" i="13"/>
  <c r="M153" i="13"/>
  <c r="N203" i="13"/>
  <c r="O267" i="13"/>
  <c r="S210" i="13"/>
  <c r="R232" i="13"/>
  <c r="S42" i="13"/>
  <c r="Q218" i="13"/>
  <c r="N341" i="13"/>
  <c r="R94" i="13"/>
  <c r="O159" i="13"/>
  <c r="Q122" i="13"/>
  <c r="S70" i="13"/>
  <c r="N252" i="13"/>
  <c r="S357" i="13"/>
  <c r="N247" i="13"/>
  <c r="O151" i="13"/>
  <c r="R238" i="13"/>
  <c r="R217" i="13"/>
  <c r="M22" i="13"/>
  <c r="M146" i="13"/>
  <c r="M152" i="13"/>
  <c r="O238" i="13"/>
  <c r="O191" i="13"/>
  <c r="M210" i="13"/>
  <c r="Q329" i="13"/>
  <c r="S225" i="13"/>
  <c r="Q56" i="13"/>
  <c r="R171" i="13"/>
  <c r="N147" i="13"/>
  <c r="O29" i="13"/>
  <c r="R283" i="13"/>
  <c r="N190" i="13"/>
  <c r="Q298" i="13"/>
  <c r="M291" i="13"/>
  <c r="R169" i="13"/>
  <c r="R227" i="13"/>
  <c r="R51" i="13"/>
  <c r="Q293" i="13"/>
  <c r="Q326" i="13"/>
  <c r="R194" i="13"/>
  <c r="O331" i="13"/>
  <c r="R197" i="13"/>
  <c r="Q286" i="13"/>
  <c r="O198" i="13"/>
  <c r="M12" i="13"/>
  <c r="R102" i="13"/>
  <c r="N37" i="13"/>
  <c r="S62" i="13"/>
  <c r="N42" i="13"/>
  <c r="O265" i="13"/>
  <c r="O297" i="13"/>
  <c r="Q222" i="13"/>
  <c r="R242" i="13"/>
  <c r="Q145" i="13"/>
  <c r="Q175" i="13"/>
  <c r="R341" i="13"/>
  <c r="M298" i="13"/>
  <c r="N264" i="13"/>
  <c r="R150" i="13"/>
  <c r="O165" i="13"/>
  <c r="Q313" i="13"/>
  <c r="O201" i="13"/>
  <c r="Q305" i="13"/>
  <c r="O154" i="13"/>
  <c r="O50" i="13"/>
  <c r="M239" i="13"/>
  <c r="R187" i="13"/>
  <c r="Q101" i="13"/>
  <c r="S15" i="13"/>
  <c r="R180" i="13"/>
  <c r="N138" i="13"/>
  <c r="Q211" i="13"/>
  <c r="O33" i="13"/>
  <c r="N109" i="13"/>
  <c r="N63" i="13"/>
  <c r="N208" i="13"/>
  <c r="S262" i="13"/>
  <c r="N261" i="13"/>
  <c r="M263" i="13"/>
  <c r="O295" i="13"/>
  <c r="Q93" i="13"/>
  <c r="Q271" i="13"/>
  <c r="S13" i="13"/>
  <c r="S289" i="13"/>
  <c r="O141" i="13"/>
  <c r="R49" i="13"/>
  <c r="N328" i="13"/>
  <c r="S247" i="13"/>
  <c r="S4" i="13"/>
  <c r="S345" i="13"/>
  <c r="S54" i="13"/>
  <c r="S239" i="13"/>
  <c r="S342" i="13"/>
  <c r="M325" i="13"/>
  <c r="N143" i="13"/>
  <c r="M77" i="13"/>
  <c r="S188" i="13"/>
  <c r="N24" i="13"/>
  <c r="Q269" i="13"/>
  <c r="S334" i="13"/>
  <c r="O61" i="13"/>
  <c r="N259" i="13"/>
  <c r="R113" i="13"/>
  <c r="N107" i="13"/>
  <c r="N62" i="13"/>
  <c r="S100" i="13"/>
  <c r="O36" i="13"/>
  <c r="R292" i="13"/>
  <c r="M312" i="13"/>
  <c r="R144" i="13"/>
  <c r="S99" i="13"/>
  <c r="R84" i="13"/>
  <c r="O137" i="13"/>
  <c r="M183" i="13"/>
  <c r="R244" i="13"/>
  <c r="M213" i="13"/>
  <c r="O83" i="13"/>
  <c r="Q40" i="13"/>
  <c r="M168" i="13"/>
  <c r="O57" i="13"/>
  <c r="S72" i="13"/>
  <c r="S82" i="13"/>
  <c r="O10" i="13"/>
  <c r="O72" i="13"/>
  <c r="R95" i="13"/>
  <c r="O276" i="13"/>
  <c r="R274" i="13"/>
  <c r="Q58" i="13"/>
  <c r="S114" i="13"/>
  <c r="O185" i="13"/>
  <c r="O86" i="13"/>
  <c r="S135" i="13"/>
  <c r="Q30" i="13"/>
  <c r="R290" i="13"/>
  <c r="Q25" i="13"/>
  <c r="R268" i="13"/>
  <c r="R133" i="13"/>
  <c r="Q312" i="13"/>
  <c r="S192" i="13"/>
  <c r="O189" i="13"/>
  <c r="R156" i="13"/>
  <c r="R261" i="13"/>
  <c r="N27" i="13"/>
  <c r="O317" i="13"/>
  <c r="O305" i="13"/>
  <c r="Q201" i="13"/>
  <c r="O209" i="13"/>
  <c r="Q170" i="13"/>
  <c r="M126" i="13"/>
  <c r="O21" i="13"/>
  <c r="Q270" i="13"/>
  <c r="N136" i="13"/>
  <c r="M53" i="13"/>
  <c r="Q356" i="13"/>
  <c r="Q303" i="13"/>
  <c r="S340" i="13"/>
  <c r="Q47" i="13"/>
  <c r="S296" i="13"/>
  <c r="N254" i="13"/>
  <c r="N55" i="13"/>
  <c r="O60" i="13"/>
  <c r="N94" i="13"/>
  <c r="R124" i="13"/>
  <c r="R348" i="13"/>
  <c r="S87" i="13"/>
  <c r="N321" i="13"/>
  <c r="S295" i="13"/>
  <c r="Q23" i="13"/>
  <c r="M250" i="13"/>
  <c r="Q67" i="13"/>
  <c r="S307" i="13"/>
  <c r="M80" i="13"/>
  <c r="O120" i="13"/>
  <c r="O35" i="13"/>
  <c r="S235" i="13"/>
  <c r="S351" i="13"/>
  <c r="Q226" i="13"/>
  <c r="O285" i="13"/>
  <c r="Q228" i="13"/>
  <c r="O315" i="13"/>
  <c r="Q90" i="13"/>
  <c r="M20" i="13"/>
  <c r="S68" i="13"/>
  <c r="N310" i="13"/>
  <c r="O104" i="13"/>
  <c r="N357" i="13"/>
  <c r="M253" i="13"/>
  <c r="S236" i="13"/>
  <c r="M117" i="13"/>
  <c r="M73" i="13"/>
  <c r="N222" i="13"/>
  <c r="M223" i="13"/>
  <c r="Q327" i="13"/>
  <c r="O158" i="13"/>
  <c r="S106" i="13"/>
  <c r="Q181" i="13"/>
  <c r="M200" i="13"/>
  <c r="R193" i="13"/>
  <c r="O206" i="13"/>
  <c r="R243" i="13"/>
  <c r="N49" i="13"/>
  <c r="R18" i="13"/>
  <c r="N348" i="13"/>
  <c r="O127" i="13"/>
  <c r="R233" i="13"/>
  <c r="O340" i="13"/>
  <c r="M163" i="13"/>
  <c r="M271" i="13"/>
  <c r="M307" i="13"/>
  <c r="S21" i="13"/>
  <c r="R58" i="13"/>
  <c r="O25" i="13"/>
  <c r="N185" i="13"/>
  <c r="N86" i="13"/>
  <c r="Q338" i="13"/>
  <c r="S30" i="13"/>
  <c r="S290" i="13"/>
  <c r="R22" i="13"/>
  <c r="S268" i="13"/>
  <c r="S133" i="13"/>
  <c r="M249" i="13"/>
  <c r="Q192" i="13"/>
  <c r="M189" i="13"/>
  <c r="M242" i="13"/>
  <c r="S261" i="13"/>
  <c r="O27" i="13"/>
  <c r="O339" i="13"/>
  <c r="M305" i="13"/>
  <c r="S201" i="13"/>
  <c r="S213" i="13"/>
  <c r="R170" i="13"/>
  <c r="N126" i="13"/>
  <c r="O318" i="13"/>
  <c r="R270" i="13"/>
  <c r="O136" i="13"/>
  <c r="S304" i="13"/>
  <c r="S356" i="13"/>
  <c r="S303" i="13"/>
  <c r="N344" i="13"/>
  <c r="R47" i="13"/>
  <c r="R296" i="13"/>
  <c r="O226" i="13"/>
  <c r="O55" i="13"/>
  <c r="N60" i="13"/>
  <c r="M282" i="13"/>
  <c r="S124" i="13"/>
  <c r="S348" i="13"/>
  <c r="S202" i="13"/>
  <c r="M321" i="13"/>
  <c r="Q295" i="13"/>
  <c r="R77" i="13"/>
  <c r="O250" i="13"/>
  <c r="S67" i="13"/>
  <c r="M192" i="13"/>
  <c r="O80" i="13"/>
  <c r="N120" i="13"/>
  <c r="Q44" i="13"/>
  <c r="Q235" i="13"/>
  <c r="R351" i="13"/>
  <c r="R119" i="13"/>
  <c r="N285" i="13"/>
  <c r="S228" i="13"/>
  <c r="S278" i="13"/>
  <c r="R90" i="13"/>
  <c r="O20" i="13"/>
  <c r="S318" i="13"/>
  <c r="O251" i="13"/>
  <c r="R134" i="13"/>
  <c r="Q130" i="13"/>
  <c r="Q337" i="13"/>
  <c r="M204" i="13"/>
  <c r="R121" i="13"/>
  <c r="Q31" i="13"/>
  <c r="N257" i="13"/>
  <c r="N290" i="13"/>
  <c r="S309" i="13"/>
  <c r="O234" i="13"/>
  <c r="Q103" i="13"/>
  <c r="Q277" i="13"/>
  <c r="Q182" i="13"/>
  <c r="R206" i="13"/>
  <c r="R173" i="13"/>
  <c r="M166" i="13"/>
  <c r="O262" i="13"/>
  <c r="S200" i="13"/>
  <c r="S315" i="13"/>
  <c r="M346" i="13"/>
  <c r="O99" i="13"/>
  <c r="M278" i="13"/>
  <c r="Q291" i="13"/>
  <c r="N182" i="13"/>
  <c r="Q275" i="13"/>
  <c r="R19" i="13"/>
  <c r="Q75" i="13"/>
  <c r="M171" i="13"/>
  <c r="M194" i="13"/>
  <c r="Q57" i="13"/>
  <c r="N121" i="13"/>
  <c r="O90" i="13"/>
  <c r="R50" i="13"/>
  <c r="R128" i="13"/>
  <c r="Q301" i="13"/>
  <c r="N38" i="13"/>
  <c r="S163" i="13"/>
  <c r="Q322" i="13"/>
  <c r="M167" i="13"/>
  <c r="Q273" i="13"/>
  <c r="R231" i="13"/>
  <c r="M248" i="13"/>
  <c r="O245" i="13"/>
  <c r="S287" i="13"/>
  <c r="M352" i="13"/>
  <c r="N118" i="13"/>
  <c r="O46" i="13"/>
  <c r="M65" i="13"/>
  <c r="Q186" i="13"/>
  <c r="S85" i="13"/>
  <c r="S98" i="13"/>
  <c r="R116" i="13"/>
  <c r="Q250" i="13"/>
  <c r="O345" i="13"/>
  <c r="R190" i="13"/>
  <c r="M31" i="13"/>
  <c r="M150" i="13"/>
  <c r="O28" i="13"/>
  <c r="R34" i="13"/>
  <c r="R336" i="13"/>
  <c r="M133" i="13"/>
  <c r="O281" i="13"/>
  <c r="O87" i="13"/>
  <c r="M81" i="13"/>
  <c r="R174" i="13"/>
  <c r="O178" i="13"/>
  <c r="N14" i="13"/>
  <c r="N142" i="13"/>
  <c r="M313" i="13"/>
  <c r="S246" i="13"/>
  <c r="Q167" i="13"/>
  <c r="S69" i="13"/>
  <c r="O30" i="13"/>
  <c r="N303" i="13"/>
  <c r="O75" i="13"/>
  <c r="O112" i="13"/>
  <c r="Q5" i="13"/>
  <c r="O124" i="13"/>
  <c r="R147" i="13"/>
  <c r="S129" i="13"/>
  <c r="M351" i="13"/>
  <c r="Q37" i="13"/>
  <c r="M129" i="13"/>
  <c r="N155" i="13"/>
  <c r="Q27" i="13"/>
  <c r="N287" i="13"/>
  <c r="R78" i="13"/>
  <c r="R132" i="13"/>
  <c r="O218" i="13"/>
  <c r="R352" i="13"/>
  <c r="O214" i="13"/>
  <c r="S48" i="13"/>
  <c r="N195" i="13"/>
  <c r="R230" i="13"/>
  <c r="M15" i="13"/>
  <c r="M104" i="13"/>
  <c r="O79" i="13"/>
  <c r="S59" i="13"/>
  <c r="M84" i="13"/>
  <c r="S91" i="13"/>
  <c r="N240" i="13"/>
  <c r="Q308" i="13"/>
  <c r="R83" i="13"/>
  <c r="O115" i="13"/>
  <c r="O145" i="13"/>
  <c r="S136" i="13"/>
  <c r="N123" i="13"/>
  <c r="R215" i="13"/>
  <c r="R350" i="13"/>
  <c r="O224" i="13"/>
  <c r="N235" i="13"/>
  <c r="N349" i="13"/>
  <c r="S143" i="13"/>
  <c r="R355" i="13"/>
  <c r="N241" i="13"/>
  <c r="O354" i="13"/>
  <c r="R63" i="13"/>
  <c r="Q353" i="13"/>
  <c r="M116" i="13"/>
  <c r="S46" i="13"/>
  <c r="O48" i="13"/>
  <c r="O140" i="13"/>
  <c r="Q108" i="13"/>
  <c r="Q160" i="13"/>
  <c r="R168" i="13"/>
  <c r="O67" i="13"/>
  <c r="O105" i="13"/>
  <c r="S20" i="13"/>
  <c r="M44" i="13"/>
  <c r="Q80" i="13"/>
  <c r="Q165" i="13"/>
  <c r="O222" i="13"/>
  <c r="N188" i="13"/>
  <c r="M332" i="13"/>
  <c r="Q126" i="13"/>
  <c r="N110" i="13"/>
  <c r="M139" i="13"/>
  <c r="S26" i="13"/>
  <c r="S28" i="13"/>
  <c r="M128" i="13"/>
  <c r="S146" i="13"/>
  <c r="Q155" i="13"/>
  <c r="R331" i="13"/>
  <c r="M158" i="13"/>
  <c r="N205" i="13"/>
  <c r="M160" i="13"/>
  <c r="S249" i="13"/>
  <c r="S311" i="13"/>
  <c r="O244" i="13"/>
  <c r="N157" i="13"/>
  <c r="N18" i="13"/>
  <c r="N68" i="13"/>
  <c r="N32" i="13"/>
  <c r="Q142" i="13"/>
  <c r="R285" i="13"/>
  <c r="N200" i="13"/>
  <c r="S195" i="13"/>
  <c r="S328" i="13"/>
  <c r="R281" i="13"/>
  <c r="S320" i="13"/>
  <c r="S74" i="13"/>
  <c r="S149" i="13"/>
  <c r="N58" i="13"/>
  <c r="O8" i="13"/>
  <c r="M306" i="13"/>
  <c r="O355" i="13"/>
  <c r="O176" i="13"/>
  <c r="S243" i="13"/>
  <c r="O326" i="13"/>
  <c r="M34" i="13"/>
  <c r="M134" i="13"/>
  <c r="Q352" i="13"/>
  <c r="O76" i="13"/>
  <c r="N92" i="13"/>
  <c r="Q355" i="13"/>
  <c r="R321" i="13"/>
  <c r="Q266" i="13"/>
  <c r="N44" i="13"/>
  <c r="R223" i="13"/>
  <c r="M319" i="13"/>
  <c r="R146" i="13"/>
  <c r="O103" i="13"/>
  <c r="N186" i="13"/>
  <c r="M32" i="13"/>
  <c r="R154" i="13"/>
  <c r="R111" i="13"/>
  <c r="N306" i="13"/>
  <c r="Q324" i="13"/>
  <c r="Q260" i="13"/>
  <c r="Q317" i="13"/>
  <c r="R220" i="13"/>
  <c r="N279" i="13"/>
  <c r="N293" i="13"/>
  <c r="M102" i="13"/>
  <c r="M23" i="13"/>
  <c r="M272" i="13"/>
  <c r="M93" i="13"/>
  <c r="S245" i="13"/>
  <c r="O275" i="13"/>
  <c r="N30" i="13"/>
  <c r="O303" i="13"/>
  <c r="N26" i="13"/>
  <c r="M112" i="13"/>
  <c r="R5" i="13"/>
  <c r="O125" i="13"/>
  <c r="S147" i="13"/>
  <c r="Q129" i="13"/>
  <c r="Q234" i="13"/>
  <c r="S37" i="13"/>
  <c r="N129" i="13"/>
  <c r="R252" i="13"/>
  <c r="S27" i="13"/>
  <c r="O287" i="13"/>
  <c r="Q354" i="13"/>
  <c r="S132" i="13"/>
  <c r="N218" i="13"/>
  <c r="R280" i="13"/>
  <c r="M214" i="13"/>
  <c r="Q48" i="13"/>
  <c r="R12" i="13"/>
  <c r="Q230" i="13"/>
  <c r="O15" i="13"/>
  <c r="O260" i="13"/>
  <c r="M79" i="13"/>
  <c r="R59" i="13"/>
  <c r="R159" i="13"/>
  <c r="R91" i="13"/>
  <c r="M240" i="13"/>
  <c r="Q109" i="13"/>
  <c r="Q83" i="13"/>
  <c r="N115" i="13"/>
  <c r="M108" i="13"/>
  <c r="R136" i="13"/>
  <c r="O123" i="13"/>
  <c r="M54" i="13"/>
  <c r="S350" i="13"/>
  <c r="N224" i="13"/>
  <c r="M273" i="13"/>
  <c r="O349" i="13"/>
  <c r="R143" i="13"/>
  <c r="N196" i="13"/>
  <c r="O241" i="13"/>
  <c r="N354" i="13"/>
  <c r="O78" i="13"/>
  <c r="R353" i="13"/>
  <c r="O116" i="13"/>
  <c r="R236" i="13"/>
  <c r="M48" i="13"/>
  <c r="M140" i="13"/>
  <c r="O180" i="13"/>
  <c r="R160" i="13"/>
  <c r="S168" i="13"/>
  <c r="O91" i="13"/>
  <c r="N105" i="13"/>
  <c r="R20" i="13"/>
  <c r="N335" i="13"/>
  <c r="R80" i="13"/>
  <c r="S165" i="13"/>
  <c r="M197" i="13"/>
  <c r="M188" i="13"/>
  <c r="O332" i="13"/>
  <c r="N148" i="13"/>
  <c r="O110" i="13"/>
  <c r="O139" i="13"/>
  <c r="R253" i="13"/>
  <c r="R28" i="13"/>
  <c r="O128" i="13"/>
  <c r="S325" i="13"/>
  <c r="R155" i="13"/>
  <c r="Q331" i="13"/>
  <c r="M69" i="13"/>
  <c r="M205" i="13"/>
  <c r="O160" i="13"/>
  <c r="M179" i="13"/>
  <c r="Q311" i="13"/>
  <c r="N244" i="13"/>
  <c r="M217" i="13"/>
  <c r="O18" i="13"/>
  <c r="M68" i="13"/>
  <c r="M324" i="13"/>
  <c r="S142" i="13"/>
  <c r="Q285" i="13"/>
  <c r="Q81" i="13"/>
  <c r="Q195" i="13"/>
  <c r="Q328" i="13"/>
  <c r="S172" i="13"/>
  <c r="R320" i="13"/>
  <c r="Q74" i="13"/>
  <c r="S346" i="13"/>
  <c r="M58" i="13"/>
  <c r="N8" i="13"/>
  <c r="S127" i="13"/>
  <c r="N355" i="13"/>
  <c r="N176" i="13"/>
  <c r="O71" i="13"/>
  <c r="N326" i="13"/>
  <c r="N34" i="13"/>
  <c r="S179" i="13"/>
  <c r="O98" i="13"/>
  <c r="R176" i="13"/>
  <c r="O269" i="13"/>
  <c r="M144" i="13"/>
  <c r="S198" i="13"/>
  <c r="Q123" i="13"/>
  <c r="O39" i="13"/>
  <c r="S61" i="13"/>
  <c r="M274" i="13"/>
  <c r="Q139" i="13"/>
  <c r="R339" i="13"/>
  <c r="S300" i="13"/>
  <c r="O228" i="13"/>
  <c r="M292" i="13"/>
  <c r="O337" i="13"/>
  <c r="R89" i="13"/>
  <c r="Q233" i="13"/>
  <c r="N135" i="13"/>
  <c r="M336" i="13"/>
  <c r="M43" i="13"/>
  <c r="N163" i="13"/>
  <c r="N288" i="13"/>
  <c r="O271" i="13"/>
  <c r="Q208" i="13"/>
  <c r="N316" i="13"/>
  <c r="Q255" i="13"/>
  <c r="Q21" i="13"/>
  <c r="S316" i="13"/>
  <c r="O97" i="13"/>
  <c r="O177" i="13"/>
  <c r="O164" i="13"/>
  <c r="S240" i="13"/>
  <c r="S105" i="13"/>
  <c r="R203" i="13"/>
  <c r="N289" i="13"/>
  <c r="R310" i="13"/>
  <c r="M52" i="13"/>
  <c r="R323" i="13"/>
  <c r="N302" i="13"/>
  <c r="Q216" i="13"/>
  <c r="R257" i="13"/>
  <c r="M329" i="13"/>
  <c r="N220" i="13"/>
  <c r="Q214" i="13"/>
  <c r="M310" i="13"/>
  <c r="Q166" i="13"/>
  <c r="R45" i="13"/>
  <c r="N41" i="13"/>
  <c r="S272" i="13"/>
  <c r="Q96" i="13"/>
  <c r="O13" i="13"/>
  <c r="M268" i="13"/>
  <c r="M162" i="13"/>
  <c r="M47" i="13"/>
  <c r="S189" i="13"/>
  <c r="M255" i="13"/>
  <c r="S10" i="13"/>
  <c r="S183" i="13"/>
  <c r="R294" i="13"/>
  <c r="S219" i="13"/>
  <c r="M277" i="13"/>
  <c r="N5" i="13"/>
  <c r="M92" i="13"/>
  <c r="N243" i="13"/>
  <c r="M40" i="13"/>
  <c r="M304" i="13"/>
  <c r="Q153" i="13"/>
  <c r="R343" i="13"/>
  <c r="N253" i="13"/>
  <c r="Q276" i="13"/>
  <c r="R104" i="13"/>
  <c r="O333" i="13"/>
  <c r="O320" i="13"/>
  <c r="Q71" i="13"/>
  <c r="Q284" i="13"/>
  <c r="R9" i="13"/>
  <c r="S185" i="13"/>
  <c r="S321" i="13"/>
  <c r="R65" i="13"/>
  <c r="N170" i="13"/>
  <c r="N117" i="13"/>
  <c r="Q251" i="13"/>
  <c r="N187" i="13"/>
  <c r="S115" i="13"/>
  <c r="O323" i="13"/>
  <c r="Q39" i="13"/>
  <c r="M66" i="13"/>
  <c r="N174" i="13"/>
  <c r="M299" i="13"/>
  <c r="Q223" i="13"/>
  <c r="R8" i="13"/>
  <c r="R36" i="13"/>
  <c r="O223" i="13"/>
  <c r="O45" i="13"/>
  <c r="S267" i="13"/>
  <c r="Q279" i="13"/>
  <c r="S199" i="13"/>
  <c r="N101" i="13"/>
  <c r="S248" i="13"/>
  <c r="R79" i="13"/>
  <c r="R148" i="13"/>
  <c r="N103" i="13"/>
  <c r="R55" i="13"/>
  <c r="M266" i="13"/>
  <c r="Q106" i="13"/>
  <c r="M308" i="13"/>
  <c r="M230" i="13"/>
  <c r="M311" i="13"/>
  <c r="R237" i="13"/>
  <c r="M111" i="13"/>
  <c r="M6" i="13"/>
  <c r="M122" i="13"/>
  <c r="O284" i="13"/>
  <c r="S154" i="13"/>
  <c r="Q224" i="13"/>
  <c r="R88" i="13"/>
  <c r="Q193" i="13"/>
  <c r="N161" i="13"/>
  <c r="R282" i="13"/>
  <c r="R73" i="13"/>
  <c r="Q196" i="13"/>
  <c r="M89" i="13"/>
  <c r="Q131" i="13"/>
  <c r="R344" i="13"/>
  <c r="N100" i="13"/>
  <c r="R324" i="13"/>
  <c r="N350" i="13"/>
  <c r="R24" i="13"/>
  <c r="S151" i="13"/>
  <c r="Q10" i="13"/>
  <c r="Q215" i="13"/>
  <c r="N132" i="13"/>
  <c r="O237" i="13"/>
  <c r="N67" i="13"/>
  <c r="N66" i="13"/>
  <c r="R335" i="13"/>
  <c r="Q26" i="13"/>
  <c r="Q248" i="13"/>
  <c r="S141" i="13"/>
  <c r="M157" i="13"/>
  <c r="N6" i="13"/>
  <c r="S332" i="13"/>
  <c r="R149" i="13"/>
  <c r="R131" i="13"/>
  <c r="R117" i="13"/>
  <c r="N113" i="13"/>
  <c r="O236" i="13"/>
  <c r="Q297" i="13"/>
  <c r="M338" i="13"/>
  <c r="O135" i="13"/>
  <c r="O43" i="13"/>
  <c r="R35" i="13"/>
  <c r="S208" i="13"/>
  <c r="R255" i="13"/>
  <c r="Q299" i="13"/>
  <c r="N97" i="13"/>
  <c r="M177" i="13"/>
  <c r="M149" i="13"/>
  <c r="R240" i="13"/>
  <c r="R105" i="13"/>
  <c r="O225" i="13"/>
  <c r="O289" i="13"/>
  <c r="Q310" i="13"/>
  <c r="O280" i="13"/>
  <c r="S323" i="13"/>
  <c r="M302" i="13"/>
  <c r="N175" i="13"/>
  <c r="S257" i="13"/>
  <c r="N329" i="13"/>
  <c r="M7" i="13"/>
  <c r="R214" i="13"/>
  <c r="O310" i="13"/>
  <c r="R7" i="13"/>
  <c r="S45" i="13"/>
  <c r="O41" i="13"/>
  <c r="Q151" i="13"/>
  <c r="R96" i="13"/>
  <c r="M13" i="13"/>
  <c r="S92" i="13"/>
  <c r="O162" i="13"/>
  <c r="O47" i="13"/>
  <c r="N76" i="13"/>
  <c r="N255" i="13"/>
  <c r="R10" i="13"/>
  <c r="S76" i="13"/>
  <c r="S294" i="13"/>
  <c r="Q219" i="13"/>
  <c r="M357" i="13"/>
  <c r="M5" i="13"/>
  <c r="O92" i="13"/>
  <c r="S107" i="13"/>
  <c r="N40" i="13"/>
  <c r="O304" i="13"/>
  <c r="S112" i="13"/>
  <c r="Q343" i="13"/>
  <c r="O253" i="13"/>
  <c r="Q66" i="13"/>
  <c r="Q104" i="13"/>
  <c r="M333" i="13"/>
  <c r="O132" i="13"/>
  <c r="R71" i="13"/>
  <c r="S284" i="13"/>
  <c r="S152" i="13"/>
  <c r="Q185" i="13"/>
  <c r="Q321" i="13"/>
  <c r="N237" i="13"/>
  <c r="O170" i="13"/>
  <c r="O117" i="13"/>
  <c r="R266" i="13"/>
  <c r="M187" i="13"/>
  <c r="Q115" i="13"/>
  <c r="O73" i="13"/>
  <c r="S39" i="13"/>
  <c r="O66" i="13"/>
  <c r="N82" i="13"/>
  <c r="O299" i="13"/>
  <c r="S223" i="13"/>
  <c r="Q335" i="13"/>
  <c r="Q36" i="13"/>
  <c r="N223" i="13"/>
  <c r="N319" i="13"/>
  <c r="R267" i="13"/>
  <c r="S279" i="13"/>
  <c r="R327" i="13"/>
  <c r="O101" i="13"/>
  <c r="R248" i="13"/>
  <c r="M156" i="13"/>
  <c r="Q148" i="13"/>
  <c r="M103" i="13"/>
  <c r="Q141" i="13"/>
  <c r="N266" i="13"/>
  <c r="R106" i="13"/>
  <c r="O186" i="13"/>
  <c r="N230" i="13"/>
  <c r="N311" i="13"/>
  <c r="R181" i="13"/>
  <c r="O111" i="13"/>
  <c r="O6" i="13"/>
  <c r="S125" i="13"/>
  <c r="M284" i="13"/>
  <c r="Q154" i="13"/>
  <c r="Q332" i="13"/>
  <c r="S88" i="13"/>
  <c r="S193" i="13"/>
  <c r="Q111" i="13"/>
  <c r="Q282" i="13"/>
  <c r="Q73" i="13"/>
  <c r="M206" i="13"/>
  <c r="N89" i="13"/>
  <c r="S131" i="13"/>
  <c r="R32" i="13"/>
  <c r="O100" i="13"/>
  <c r="S324" i="13"/>
  <c r="Q117" i="13"/>
  <c r="S24" i="13"/>
  <c r="O49" i="13"/>
  <c r="S260" i="13"/>
  <c r="O342" i="13"/>
  <c r="O270" i="13"/>
  <c r="S18" i="13"/>
  <c r="M246" i="13"/>
  <c r="M236" i="13"/>
  <c r="Q158" i="13"/>
  <c r="N181" i="13"/>
  <c r="Q220" i="13"/>
  <c r="S297" i="13"/>
  <c r="Q241" i="13"/>
  <c r="M127" i="13"/>
  <c r="O279" i="13"/>
  <c r="N215" i="13"/>
  <c r="M173" i="13"/>
  <c r="M293" i="13"/>
  <c r="S258" i="13"/>
  <c r="N102" i="13"/>
  <c r="N9" i="13"/>
  <c r="R118" i="13"/>
  <c r="M17" i="13"/>
  <c r="O272" i="13"/>
  <c r="N64" i="13"/>
  <c r="N93" i="13"/>
  <c r="N296" i="13"/>
  <c r="R302" i="13"/>
  <c r="M211" i="13"/>
  <c r="N153" i="13"/>
  <c r="S263" i="13"/>
  <c r="M267" i="13"/>
  <c r="R210" i="13"/>
  <c r="Q14" i="13"/>
  <c r="Q42" i="13"/>
  <c r="R218" i="13"/>
  <c r="R140" i="13"/>
  <c r="Q94" i="13"/>
  <c r="M159" i="13"/>
  <c r="O322" i="13"/>
  <c r="R70" i="13"/>
  <c r="M252" i="13"/>
  <c r="N207" i="13"/>
  <c r="O247" i="13"/>
  <c r="M151" i="13"/>
  <c r="O59" i="13"/>
  <c r="S217" i="13"/>
  <c r="O22" i="13"/>
  <c r="N96" i="13"/>
  <c r="O152" i="13"/>
  <c r="N238" i="13"/>
  <c r="Q120" i="13"/>
  <c r="N210" i="13"/>
  <c r="S329" i="13"/>
  <c r="Q17" i="13"/>
  <c r="R56" i="13"/>
  <c r="S171" i="13"/>
  <c r="M202" i="13"/>
  <c r="M29" i="13"/>
  <c r="S283" i="13"/>
  <c r="N233" i="13"/>
  <c r="S298" i="13"/>
  <c r="N291" i="13"/>
  <c r="O199" i="13"/>
  <c r="S227" i="13"/>
  <c r="S51" i="13"/>
  <c r="N300" i="13"/>
  <c r="R326" i="13"/>
  <c r="Q194" i="13"/>
  <c r="Q229" i="13"/>
  <c r="Q197" i="13"/>
  <c r="R286" i="13"/>
  <c r="R207" i="13"/>
  <c r="N12" i="13"/>
  <c r="Q102" i="13"/>
  <c r="S259" i="13"/>
  <c r="R62" i="13"/>
  <c r="M42" i="13"/>
  <c r="Q347" i="13"/>
  <c r="M297" i="13"/>
  <c r="S222" i="13"/>
  <c r="N119" i="13"/>
  <c r="R145" i="13"/>
  <c r="S175" i="13"/>
  <c r="O216" i="13"/>
  <c r="O264" i="13"/>
  <c r="M165" i="13"/>
  <c r="R288" i="13"/>
  <c r="N154" i="13"/>
  <c r="N239" i="13"/>
  <c r="O169" i="13"/>
  <c r="S180" i="13"/>
  <c r="S211" i="13"/>
  <c r="M334" i="13"/>
  <c r="M208" i="13"/>
  <c r="M261" i="13"/>
  <c r="M193" i="13"/>
  <c r="S271" i="13"/>
  <c r="Q289" i="13"/>
  <c r="Q11" i="13"/>
  <c r="Q247" i="13"/>
  <c r="Q345" i="13"/>
  <c r="N232" i="13"/>
  <c r="O325" i="13"/>
  <c r="O77" i="13"/>
  <c r="S41" i="13"/>
  <c r="R334" i="13"/>
  <c r="M70" i="13"/>
  <c r="M259" i="13"/>
  <c r="Q113" i="13"/>
  <c r="N74" i="13"/>
  <c r="O62" i="13"/>
  <c r="R100" i="13"/>
  <c r="M356" i="13"/>
  <c r="Q292" i="13"/>
  <c r="N312" i="13"/>
  <c r="S6" i="13"/>
  <c r="R99" i="13"/>
  <c r="Q84" i="13"/>
  <c r="S212" i="13"/>
  <c r="O183" i="13"/>
  <c r="Q244" i="13"/>
  <c r="Q221" i="13"/>
  <c r="M83" i="13"/>
  <c r="S40" i="13"/>
  <c r="N106" i="13"/>
  <c r="N57" i="13"/>
  <c r="Q72" i="13"/>
  <c r="M219" i="13"/>
  <c r="M10" i="13"/>
  <c r="M72" i="13"/>
  <c r="O294" i="13"/>
  <c r="N276" i="13"/>
  <c r="S274" i="13"/>
  <c r="N275" i="13"/>
  <c r="R114" i="13"/>
  <c r="M185" i="13"/>
  <c r="O26" i="13"/>
  <c r="R135" i="13"/>
  <c r="R30" i="13"/>
  <c r="N125" i="13"/>
  <c r="R25" i="13"/>
  <c r="Q268" i="13"/>
  <c r="S234" i="13"/>
  <c r="R312" i="13"/>
  <c r="R192" i="13"/>
  <c r="S252" i="13"/>
  <c r="S156" i="13"/>
  <c r="Q261" i="13"/>
  <c r="S354" i="13"/>
  <c r="M130" i="13"/>
  <c r="N212" i="13"/>
  <c r="M309" i="13"/>
  <c r="Q256" i="13"/>
  <c r="O51" i="13"/>
  <c r="Q161" i="13"/>
  <c r="M327" i="13"/>
  <c r="Q60" i="13"/>
  <c r="S157" i="13"/>
  <c r="S333" i="13"/>
  <c r="R254" i="13"/>
  <c r="M251" i="13"/>
  <c r="O131" i="13"/>
  <c r="N204" i="13"/>
  <c r="R31" i="13"/>
  <c r="R43" i="13"/>
  <c r="N234" i="13"/>
  <c r="S277" i="13"/>
  <c r="Q178" i="13"/>
  <c r="O166" i="13"/>
  <c r="Q200" i="13"/>
  <c r="N353" i="13"/>
  <c r="N278" i="13"/>
  <c r="M182" i="13"/>
  <c r="M16" i="13"/>
  <c r="N171" i="13"/>
  <c r="S57" i="13"/>
  <c r="M114" i="13"/>
  <c r="S128" i="13"/>
  <c r="O38" i="13"/>
  <c r="Q53" i="13"/>
  <c r="S273" i="13"/>
  <c r="O248" i="13"/>
  <c r="S209" i="13"/>
  <c r="O352" i="13"/>
  <c r="O118" i="13"/>
  <c r="O184" i="13"/>
  <c r="N65" i="13"/>
  <c r="R186" i="13"/>
  <c r="R29" i="13"/>
  <c r="Q98" i="13"/>
  <c r="S116" i="13"/>
  <c r="R205" i="13"/>
  <c r="M345" i="13"/>
  <c r="Q190" i="13"/>
  <c r="Q33" i="13"/>
  <c r="O150" i="13"/>
  <c r="M28" i="13"/>
  <c r="N227" i="13"/>
  <c r="S336" i="13"/>
  <c r="O133" i="13"/>
  <c r="M340" i="13"/>
  <c r="M87" i="13"/>
  <c r="O81" i="13"/>
  <c r="S35" i="13"/>
  <c r="M178" i="13"/>
  <c r="O14" i="13"/>
  <c r="O307" i="13"/>
  <c r="O313" i="13"/>
  <c r="R246" i="13"/>
  <c r="S299" i="13"/>
  <c r="R69" i="13"/>
  <c r="M30" i="13"/>
  <c r="O149" i="13"/>
  <c r="N75" i="13"/>
  <c r="N112" i="13"/>
  <c r="N225" i="13"/>
  <c r="M124" i="13"/>
  <c r="Q147" i="13"/>
  <c r="M280" i="13"/>
  <c r="N351" i="13"/>
  <c r="R37" i="13"/>
  <c r="O175" i="13"/>
  <c r="M155" i="13"/>
  <c r="R27" i="13"/>
  <c r="N7" i="13"/>
  <c r="S78" i="13"/>
  <c r="R333" i="13"/>
  <c r="O327" i="13"/>
  <c r="S60" i="13"/>
  <c r="R164" i="13"/>
  <c r="O221" i="13"/>
  <c r="N343" i="13"/>
  <c r="R204" i="13"/>
  <c r="S16" i="13"/>
  <c r="N283" i="13"/>
  <c r="N4" i="13"/>
  <c r="O212" i="13"/>
  <c r="R52" i="13"/>
  <c r="M314" i="13"/>
  <c r="N51" i="13"/>
  <c r="R161" i="13"/>
  <c r="S204" i="13"/>
  <c r="O256" i="13"/>
  <c r="R162" i="13"/>
  <c r="M4" i="13"/>
  <c r="N314" i="13"/>
  <c r="S138" i="13"/>
  <c r="S254" i="13"/>
  <c r="N256" i="13"/>
  <c r="M212" i="13"/>
  <c r="R256" i="13"/>
  <c r="M221" i="13"/>
  <c r="Q16" i="13"/>
  <c r="Q138" i="13"/>
  <c r="N298" i="13"/>
  <c r="R349" i="13"/>
  <c r="R313" i="13"/>
  <c r="S305" i="13"/>
  <c r="S264" i="13"/>
  <c r="S187" i="13"/>
  <c r="Q15" i="13"/>
  <c r="Q265" i="13"/>
  <c r="N33" i="13"/>
  <c r="O63" i="13"/>
  <c r="N301" i="13"/>
  <c r="O263" i="13"/>
  <c r="R93" i="13"/>
  <c r="N88" i="13"/>
  <c r="M141" i="13"/>
  <c r="M328" i="13"/>
  <c r="N95" i="13"/>
  <c r="R54" i="13"/>
  <c r="R342" i="13"/>
  <c r="Q137" i="13"/>
  <c r="Q188" i="13"/>
  <c r="R269" i="13"/>
  <c r="N98" i="13"/>
  <c r="Q176" i="13"/>
  <c r="M113" i="13"/>
  <c r="N144" i="13"/>
  <c r="Q198" i="13"/>
  <c r="R317" i="13"/>
  <c r="M39" i="13"/>
  <c r="R61" i="13"/>
  <c r="O348" i="13"/>
  <c r="S139" i="13"/>
  <c r="S339" i="13"/>
  <c r="Q38" i="13"/>
  <c r="M228" i="13"/>
  <c r="O292" i="13"/>
  <c r="N338" i="13"/>
  <c r="S89" i="13"/>
  <c r="S233" i="13"/>
  <c r="R86" i="13"/>
  <c r="N336" i="13"/>
  <c r="N43" i="13"/>
  <c r="O23" i="13"/>
  <c r="O288" i="13"/>
  <c r="N271" i="13"/>
  <c r="M229" i="13"/>
  <c r="M316" i="13"/>
  <c r="S255" i="13"/>
  <c r="Q245" i="13"/>
  <c r="Q316" i="13"/>
  <c r="M97" i="13"/>
  <c r="M203" i="13"/>
  <c r="N164" i="13"/>
  <c r="Q240" i="13"/>
  <c r="S232" i="13"/>
  <c r="S203" i="13"/>
  <c r="M289" i="13"/>
  <c r="M341" i="13"/>
  <c r="N52" i="13"/>
  <c r="Q323" i="13"/>
  <c r="R122" i="13"/>
  <c r="S216" i="13"/>
  <c r="Q257" i="13"/>
  <c r="R357" i="13"/>
  <c r="M220" i="13"/>
  <c r="S214" i="13"/>
  <c r="O343" i="13"/>
  <c r="Q204" i="13"/>
  <c r="M256" i="13"/>
  <c r="O283" i="13"/>
  <c r="O4" i="13"/>
  <c r="R191" i="13"/>
  <c r="S52" i="13"/>
  <c r="O314" i="13"/>
  <c r="Q319" i="13"/>
  <c r="Q333" i="13"/>
  <c r="R138" i="13"/>
  <c r="O309" i="13"/>
  <c r="S164" i="13"/>
  <c r="Q254" i="13"/>
  <c r="Q191" i="13"/>
  <c r="Q157" i="13"/>
  <c r="R16" i="13"/>
  <c r="R319" i="13"/>
  <c r="N130" i="13"/>
  <c r="R157" i="13"/>
  <c r="O130" i="13"/>
  <c r="S256" i="13"/>
  <c r="N327" i="13"/>
  <c r="S162" i="13"/>
  <c r="Q52" i="13"/>
  <c r="Q162" i="13"/>
  <c r="M283" i="13"/>
  <c r="Q164" i="13"/>
  <c r="Q134" i="13"/>
  <c r="R337" i="13"/>
  <c r="O11" i="13"/>
  <c r="O257" i="13"/>
  <c r="R309" i="13"/>
  <c r="S97" i="13"/>
  <c r="S182" i="13"/>
  <c r="Q173" i="13"/>
  <c r="N258" i="13"/>
  <c r="Q315" i="13"/>
  <c r="N99" i="13"/>
  <c r="O56" i="13"/>
  <c r="R275" i="13"/>
  <c r="S75" i="13"/>
  <c r="N231" i="13"/>
  <c r="M121" i="13"/>
  <c r="S50" i="13"/>
  <c r="S306" i="13"/>
  <c r="Q163" i="13"/>
  <c r="N167" i="13"/>
  <c r="S314" i="13"/>
  <c r="N245" i="13"/>
  <c r="M49" i="13"/>
  <c r="O347" i="13"/>
  <c r="N342" i="13"/>
  <c r="N270" i="13"/>
  <c r="M172" i="13"/>
  <c r="N246" i="13"/>
  <c r="N236" i="13"/>
  <c r="S184" i="13"/>
  <c r="M181" i="13"/>
  <c r="S220" i="13"/>
  <c r="O85" i="13"/>
  <c r="R241" i="13"/>
  <c r="N127" i="13"/>
  <c r="S110" i="13"/>
  <c r="M215" i="13"/>
  <c r="N173" i="13"/>
  <c r="R64" i="13"/>
  <c r="R258" i="13"/>
  <c r="O102" i="13"/>
  <c r="N19" i="13"/>
  <c r="Q118" i="13"/>
  <c r="O17" i="13"/>
  <c r="M286" i="13"/>
  <c r="O64" i="13"/>
  <c r="O93" i="13"/>
  <c r="R177" i="13"/>
  <c r="S302" i="13"/>
  <c r="N211" i="13"/>
  <c r="M25" i="13"/>
  <c r="R263" i="13"/>
  <c r="N267" i="13"/>
  <c r="S338" i="13"/>
  <c r="S14" i="13"/>
  <c r="R42" i="13"/>
  <c r="Q22" i="13"/>
  <c r="Q140" i="13"/>
  <c r="S94" i="13"/>
  <c r="N249" i="13"/>
  <c r="N322" i="13"/>
  <c r="Q70" i="13"/>
  <c r="N242" i="13"/>
  <c r="M207" i="13"/>
  <c r="M247" i="13"/>
  <c r="S191" i="13"/>
  <c r="S319" i="13"/>
  <c r="N309" i="13"/>
  <c r="S161" i="13"/>
  <c r="N221" i="13"/>
  <c r="M51" i="13"/>
  <c r="M343" i="13"/>
  <c r="R60" i="13"/>
  <c r="F309" i="13" l="1"/>
  <c r="W247" i="13"/>
  <c r="AB140" i="13"/>
  <c r="G263" i="13"/>
  <c r="G177" i="13"/>
  <c r="W286" i="13"/>
  <c r="G258" i="13"/>
  <c r="G64" i="13"/>
  <c r="F173" i="13"/>
  <c r="F127" i="13"/>
  <c r="F236" i="13"/>
  <c r="W172" i="13"/>
  <c r="F270" i="13"/>
  <c r="W121" i="13"/>
  <c r="F231" i="13"/>
  <c r="G275" i="13"/>
  <c r="F99" i="13"/>
  <c r="F258" i="13"/>
  <c r="AB173" i="13"/>
  <c r="AB134" i="13"/>
  <c r="AB164" i="13"/>
  <c r="W283" i="13"/>
  <c r="Y283" i="13" s="1"/>
  <c r="F327" i="13"/>
  <c r="G157" i="13"/>
  <c r="G319" i="13"/>
  <c r="G16" i="13"/>
  <c r="AB157" i="13"/>
  <c r="AB254" i="13"/>
  <c r="G138" i="13"/>
  <c r="AB319" i="13"/>
  <c r="W256" i="13"/>
  <c r="W220" i="13"/>
  <c r="G357" i="13"/>
  <c r="G122" i="13"/>
  <c r="AB323" i="13"/>
  <c r="W289" i="13"/>
  <c r="F164" i="13"/>
  <c r="W97" i="13"/>
  <c r="F271" i="13"/>
  <c r="F338" i="13"/>
  <c r="AB38" i="13"/>
  <c r="W39" i="13"/>
  <c r="AB176" i="13"/>
  <c r="AB188" i="13"/>
  <c r="AB137" i="13"/>
  <c r="G54" i="13"/>
  <c r="W328" i="13"/>
  <c r="W141" i="13"/>
  <c r="AB265" i="13"/>
  <c r="AB15" i="13"/>
  <c r="F298" i="13"/>
  <c r="AB138" i="13"/>
  <c r="AB16" i="13"/>
  <c r="G256" i="13"/>
  <c r="W212" i="13"/>
  <c r="F256" i="13"/>
  <c r="F283" i="13"/>
  <c r="G164" i="13"/>
  <c r="F7" i="13"/>
  <c r="G27" i="13"/>
  <c r="W155" i="13"/>
  <c r="F351" i="13"/>
  <c r="W280" i="13"/>
  <c r="AB147" i="13"/>
  <c r="W30" i="13"/>
  <c r="W28" i="13"/>
  <c r="AB33" i="13"/>
  <c r="G29" i="13"/>
  <c r="F65" i="13"/>
  <c r="F171" i="13"/>
  <c r="W16" i="13"/>
  <c r="AB178" i="13"/>
  <c r="G31" i="13"/>
  <c r="F204" i="13"/>
  <c r="G254" i="13"/>
  <c r="W327" i="13"/>
  <c r="AB256" i="13"/>
  <c r="W309" i="13"/>
  <c r="F212" i="13"/>
  <c r="G192" i="13"/>
  <c r="G25" i="13"/>
  <c r="F125" i="13"/>
  <c r="G30" i="13"/>
  <c r="G135" i="13"/>
  <c r="F275" i="13"/>
  <c r="AB244" i="13"/>
  <c r="G99" i="13"/>
  <c r="F312" i="13"/>
  <c r="AB292" i="13"/>
  <c r="W356" i="13"/>
  <c r="G100" i="13"/>
  <c r="G334" i="13"/>
  <c r="F232" i="13"/>
  <c r="AB345" i="13"/>
  <c r="AD345" i="13" s="1"/>
  <c r="AB247" i="13"/>
  <c r="AB289" i="13"/>
  <c r="F239" i="13"/>
  <c r="F154" i="13"/>
  <c r="G288" i="13"/>
  <c r="W165" i="13"/>
  <c r="W297" i="13"/>
  <c r="W42" i="13"/>
  <c r="AB102" i="13"/>
  <c r="F12" i="13"/>
  <c r="G286" i="13"/>
  <c r="AB194" i="13"/>
  <c r="G326" i="13"/>
  <c r="F291" i="13"/>
  <c r="F233" i="13"/>
  <c r="W29" i="13"/>
  <c r="W202" i="13"/>
  <c r="G56" i="13"/>
  <c r="AB120" i="13"/>
  <c r="F96" i="13"/>
  <c r="W151" i="13"/>
  <c r="AB94" i="13"/>
  <c r="G140" i="13"/>
  <c r="AB14" i="13"/>
  <c r="F153" i="13"/>
  <c r="G302" i="13"/>
  <c r="F296" i="13"/>
  <c r="F64" i="13"/>
  <c r="W17" i="13"/>
  <c r="F102" i="13"/>
  <c r="W293" i="13"/>
  <c r="W173" i="13"/>
  <c r="W127" i="13"/>
  <c r="AB220" i="13"/>
  <c r="AB158" i="13"/>
  <c r="W236" i="13"/>
  <c r="AB282" i="13"/>
  <c r="AB154" i="13"/>
  <c r="W284" i="13"/>
  <c r="F311" i="13"/>
  <c r="F230" i="13"/>
  <c r="F266" i="13"/>
  <c r="AB141" i="13"/>
  <c r="W103" i="13"/>
  <c r="AB148" i="13"/>
  <c r="W156" i="13"/>
  <c r="G248" i="13"/>
  <c r="G327" i="13"/>
  <c r="F319" i="13"/>
  <c r="AB36" i="13"/>
  <c r="G266" i="13"/>
  <c r="AB321" i="13"/>
  <c r="AD321" i="13" s="1"/>
  <c r="F40" i="13"/>
  <c r="W357" i="13"/>
  <c r="F255" i="13"/>
  <c r="W13" i="13"/>
  <c r="G96" i="13"/>
  <c r="AB151" i="13"/>
  <c r="G7" i="13"/>
  <c r="W7" i="13"/>
  <c r="F329" i="13"/>
  <c r="W149" i="13"/>
  <c r="F97" i="13"/>
  <c r="AB299" i="13"/>
  <c r="G255" i="13"/>
  <c r="W338" i="13"/>
  <c r="AB297" i="13"/>
  <c r="G149" i="13"/>
  <c r="W157" i="13"/>
  <c r="AB248" i="13"/>
  <c r="F350" i="13"/>
  <c r="G324" i="13"/>
  <c r="F100" i="13"/>
  <c r="G282" i="13"/>
  <c r="W311" i="13"/>
  <c r="W308" i="13"/>
  <c r="W266" i="13"/>
  <c r="G55" i="13"/>
  <c r="F103" i="13"/>
  <c r="G148" i="13"/>
  <c r="G79" i="13"/>
  <c r="AB279" i="13"/>
  <c r="G36" i="13"/>
  <c r="G8" i="13"/>
  <c r="AB39" i="13"/>
  <c r="AB251" i="13"/>
  <c r="G65" i="13"/>
  <c r="AB284" i="13"/>
  <c r="AB153" i="13"/>
  <c r="W304" i="13"/>
  <c r="W40" i="13"/>
  <c r="G294" i="13"/>
  <c r="W255" i="13"/>
  <c r="AB96" i="13"/>
  <c r="W310" i="13"/>
  <c r="F220" i="13"/>
  <c r="W329" i="13"/>
  <c r="AB216" i="13"/>
  <c r="F302" i="13"/>
  <c r="G323" i="13"/>
  <c r="F289" i="13"/>
  <c r="AB21" i="13"/>
  <c r="AB255" i="13"/>
  <c r="AB208" i="13"/>
  <c r="AC208" i="13" s="1"/>
  <c r="F288" i="13"/>
  <c r="F163" i="13"/>
  <c r="F135" i="13"/>
  <c r="AB233" i="13"/>
  <c r="W292" i="13"/>
  <c r="AB139" i="13"/>
  <c r="W274" i="13"/>
  <c r="AB123" i="13"/>
  <c r="AE123" i="13" s="1"/>
  <c r="G176" i="13"/>
  <c r="F34" i="13"/>
  <c r="F326" i="13"/>
  <c r="F8" i="13"/>
  <c r="AB74" i="13"/>
  <c r="G320" i="13"/>
  <c r="AB328" i="13"/>
  <c r="AB195" i="13"/>
  <c r="AB285" i="13"/>
  <c r="W324" i="13"/>
  <c r="AB331" i="13"/>
  <c r="G155" i="13"/>
  <c r="F148" i="13"/>
  <c r="G160" i="13"/>
  <c r="W140" i="13"/>
  <c r="G143" i="13"/>
  <c r="W273" i="13"/>
  <c r="W54" i="13"/>
  <c r="G136" i="13"/>
  <c r="G59" i="13"/>
  <c r="G12" i="13"/>
  <c r="G280" i="13"/>
  <c r="AB354" i="13"/>
  <c r="G252" i="13"/>
  <c r="F30" i="13"/>
  <c r="W272" i="13"/>
  <c r="W23" i="13"/>
  <c r="W102" i="13"/>
  <c r="F293" i="13"/>
  <c r="F279" i="13"/>
  <c r="G220" i="13"/>
  <c r="AB260" i="13"/>
  <c r="AB324" i="13"/>
  <c r="F306" i="13"/>
  <c r="G154" i="13"/>
  <c r="G146" i="13"/>
  <c r="W319" i="13"/>
  <c r="F44" i="13"/>
  <c r="AB266" i="13"/>
  <c r="G321" i="13"/>
  <c r="AB355" i="13"/>
  <c r="W34" i="13"/>
  <c r="W306" i="13"/>
  <c r="G281" i="13"/>
  <c r="F200" i="13"/>
  <c r="G285" i="13"/>
  <c r="AB142" i="13"/>
  <c r="F157" i="13"/>
  <c r="W160" i="13"/>
  <c r="W158" i="13"/>
  <c r="G331" i="13"/>
  <c r="AB155" i="13"/>
  <c r="W139" i="13"/>
  <c r="AB126" i="13"/>
  <c r="AB165" i="13"/>
  <c r="W44" i="13"/>
  <c r="AB160" i="13"/>
  <c r="G63" i="13"/>
  <c r="G355" i="13"/>
  <c r="G350" i="13"/>
  <c r="AB308" i="13"/>
  <c r="W15" i="13"/>
  <c r="G230" i="13"/>
  <c r="F195" i="13"/>
  <c r="G132" i="13"/>
  <c r="F287" i="13"/>
  <c r="AB27" i="13"/>
  <c r="F155" i="13"/>
  <c r="W351" i="13"/>
  <c r="G147" i="13"/>
  <c r="W313" i="13"/>
  <c r="F142" i="13"/>
  <c r="F14" i="13"/>
  <c r="G174" i="13"/>
  <c r="G34" i="13"/>
  <c r="W150" i="13"/>
  <c r="W31" i="13"/>
  <c r="G116" i="13"/>
  <c r="W65" i="13"/>
  <c r="W248" i="13"/>
  <c r="G231" i="13"/>
  <c r="AB273" i="13"/>
  <c r="F38" i="13"/>
  <c r="AB301" i="13"/>
  <c r="AD301" i="13" s="1"/>
  <c r="G50" i="13"/>
  <c r="F121" i="13"/>
  <c r="W194" i="13"/>
  <c r="W171" i="13"/>
  <c r="AB275" i="13"/>
  <c r="AB291" i="13"/>
  <c r="G173" i="13"/>
  <c r="AB103" i="13"/>
  <c r="F290" i="13"/>
  <c r="F257" i="13"/>
  <c r="AB31" i="13"/>
  <c r="G121" i="13"/>
  <c r="W204" i="13"/>
  <c r="AB130" i="13"/>
  <c r="G134" i="13"/>
  <c r="F285" i="13"/>
  <c r="G119" i="13"/>
  <c r="G351" i="13"/>
  <c r="AB44" i="13"/>
  <c r="F120" i="13"/>
  <c r="W192" i="13"/>
  <c r="AB295" i="13"/>
  <c r="W321" i="13"/>
  <c r="W282" i="13"/>
  <c r="G296" i="13"/>
  <c r="G270" i="13"/>
  <c r="F126" i="13"/>
  <c r="G170" i="13"/>
  <c r="W305" i="13"/>
  <c r="AB192" i="13"/>
  <c r="AB338" i="13"/>
  <c r="W307" i="13"/>
  <c r="W271" i="13"/>
  <c r="W163" i="13"/>
  <c r="G233" i="13"/>
  <c r="G243" i="13"/>
  <c r="AB327" i="13"/>
  <c r="F357" i="13"/>
  <c r="F310" i="13"/>
  <c r="AB23" i="13"/>
  <c r="F321" i="13"/>
  <c r="G124" i="13"/>
  <c r="F94" i="13"/>
  <c r="F55" i="13"/>
  <c r="F254" i="13"/>
  <c r="AB356" i="13"/>
  <c r="F136" i="13"/>
  <c r="AB270" i="13"/>
  <c r="W126" i="13"/>
  <c r="AB170" i="13"/>
  <c r="F27" i="13"/>
  <c r="G156" i="13"/>
  <c r="AB25" i="13"/>
  <c r="G290" i="13"/>
  <c r="AB30" i="13"/>
  <c r="G274" i="13"/>
  <c r="AB40" i="13"/>
  <c r="G244" i="13"/>
  <c r="G144" i="13"/>
  <c r="W312" i="13"/>
  <c r="G292" i="13"/>
  <c r="W325" i="13"/>
  <c r="F328" i="13"/>
  <c r="W263" i="13"/>
  <c r="F63" i="13"/>
  <c r="F138" i="13"/>
  <c r="G187" i="13"/>
  <c r="W239" i="13"/>
  <c r="AB305" i="13"/>
  <c r="G150" i="13"/>
  <c r="F264" i="13"/>
  <c r="W298" i="13"/>
  <c r="AB175" i="13"/>
  <c r="G242" i="13"/>
  <c r="F42" i="13"/>
  <c r="F37" i="13"/>
  <c r="G102" i="13"/>
  <c r="W12" i="13"/>
  <c r="AB286" i="13"/>
  <c r="G194" i="13"/>
  <c r="AB326" i="13"/>
  <c r="AB293" i="13"/>
  <c r="G169" i="13"/>
  <c r="W291" i="13"/>
  <c r="AB298" i="13"/>
  <c r="F190" i="13"/>
  <c r="G283" i="13"/>
  <c r="F147" i="13"/>
  <c r="AB56" i="13"/>
  <c r="AB329" i="13"/>
  <c r="W152" i="13"/>
  <c r="W146" i="13"/>
  <c r="W22" i="13"/>
  <c r="F247" i="13"/>
  <c r="AB122" i="13"/>
  <c r="G94" i="13"/>
  <c r="G232" i="13"/>
  <c r="W153" i="13"/>
  <c r="F229" i="13"/>
  <c r="F17" i="13"/>
  <c r="G158" i="13"/>
  <c r="W270" i="13"/>
  <c r="AB125" i="13"/>
  <c r="F156" i="13"/>
  <c r="G279" i="13"/>
  <c r="G126" i="13"/>
  <c r="G284" i="13"/>
  <c r="F13" i="13"/>
  <c r="W294" i="13"/>
  <c r="W14" i="13"/>
  <c r="F281" i="13"/>
  <c r="AB34" i="13"/>
  <c r="F28" i="13"/>
  <c r="AB212" i="13"/>
  <c r="AB116" i="13"/>
  <c r="F356" i="13"/>
  <c r="G287" i="13"/>
  <c r="G273" i="13"/>
  <c r="G11" i="13"/>
  <c r="F194" i="13"/>
  <c r="G291" i="13"/>
  <c r="F262" i="13"/>
  <c r="G265" i="13"/>
  <c r="F169" i="13"/>
  <c r="G103" i="13"/>
  <c r="W290" i="13"/>
  <c r="W257" i="13"/>
  <c r="G130" i="13"/>
  <c r="W216" i="13"/>
  <c r="G228" i="13"/>
  <c r="AB63" i="13"/>
  <c r="F304" i="13"/>
  <c r="W145" i="13"/>
  <c r="W195" i="13"/>
  <c r="G299" i="13"/>
  <c r="G208" i="13"/>
  <c r="G300" i="13"/>
  <c r="AB179" i="13"/>
  <c r="G306" i="13"/>
  <c r="AB172" i="13"/>
  <c r="W56" i="13"/>
  <c r="G97" i="13"/>
  <c r="W148" i="13"/>
  <c r="G307" i="13"/>
  <c r="F273" i="13"/>
  <c r="AB124" i="13"/>
  <c r="F209" i="13"/>
  <c r="AB274" i="13"/>
  <c r="AB177" i="13"/>
  <c r="F72" i="13"/>
  <c r="G72" i="13"/>
  <c r="G40" i="13"/>
  <c r="W137" i="13"/>
  <c r="AB144" i="13"/>
  <c r="AF60" i="13"/>
  <c r="G60" i="13"/>
  <c r="F221" i="13"/>
  <c r="AA221" i="13"/>
  <c r="F242" i="13"/>
  <c r="AA242" i="13"/>
  <c r="F322" i="13"/>
  <c r="AA322" i="13"/>
  <c r="AA249" i="13"/>
  <c r="F249" i="13"/>
  <c r="AE140" i="13"/>
  <c r="AD140" i="13"/>
  <c r="AF140" i="13"/>
  <c r="AC140" i="13"/>
  <c r="G42" i="13"/>
  <c r="AF42" i="13"/>
  <c r="F267" i="13"/>
  <c r="AA267" i="13"/>
  <c r="F211" i="13"/>
  <c r="AA211" i="13"/>
  <c r="X286" i="13"/>
  <c r="F19" i="13"/>
  <c r="AA19" i="13"/>
  <c r="G241" i="13"/>
  <c r="AF241" i="13"/>
  <c r="AA246" i="13"/>
  <c r="F246" i="13"/>
  <c r="F342" i="13"/>
  <c r="AA342" i="13"/>
  <c r="F245" i="13"/>
  <c r="AA245" i="13"/>
  <c r="F167" i="13"/>
  <c r="AA167" i="13"/>
  <c r="AF309" i="13"/>
  <c r="G309" i="13"/>
  <c r="AF337" i="13"/>
  <c r="G337" i="13"/>
  <c r="F130" i="13"/>
  <c r="AA130" i="13"/>
  <c r="AD319" i="13"/>
  <c r="G191" i="13"/>
  <c r="AF191" i="13"/>
  <c r="AD323" i="13"/>
  <c r="AC323" i="13"/>
  <c r="AF323" i="13"/>
  <c r="AE323" i="13"/>
  <c r="F52" i="13"/>
  <c r="AA52" i="13"/>
  <c r="X97" i="13"/>
  <c r="F43" i="13"/>
  <c r="AA43" i="13"/>
  <c r="AA336" i="13"/>
  <c r="F336" i="13"/>
  <c r="AF86" i="13"/>
  <c r="G86" i="13"/>
  <c r="AF38" i="13"/>
  <c r="AC38" i="13"/>
  <c r="AD38" i="13"/>
  <c r="AE38" i="13"/>
  <c r="G61" i="13"/>
  <c r="AF61" i="13"/>
  <c r="G317" i="13"/>
  <c r="AF317" i="13"/>
  <c r="AA144" i="13"/>
  <c r="F144" i="13"/>
  <c r="AC176" i="13"/>
  <c r="AD176" i="13"/>
  <c r="AE176" i="13"/>
  <c r="AF176" i="13"/>
  <c r="F98" i="13"/>
  <c r="AA98" i="13"/>
  <c r="AF269" i="13"/>
  <c r="G269" i="13"/>
  <c r="G342" i="13"/>
  <c r="AF342" i="13"/>
  <c r="F95" i="13"/>
  <c r="AA95" i="13"/>
  <c r="X328" i="13"/>
  <c r="Z328" i="13"/>
  <c r="Y328" i="13"/>
  <c r="AA328" i="13"/>
  <c r="AA88" i="13"/>
  <c r="F88" i="13"/>
  <c r="G93" i="13"/>
  <c r="AF93" i="13"/>
  <c r="AA301" i="13"/>
  <c r="F301" i="13"/>
  <c r="AA33" i="13"/>
  <c r="F33" i="13"/>
  <c r="G313" i="13"/>
  <c r="AF313" i="13"/>
  <c r="G349" i="13"/>
  <c r="AF349" i="13"/>
  <c r="AA212" i="13"/>
  <c r="Z212" i="13"/>
  <c r="X212" i="13"/>
  <c r="Y212" i="13"/>
  <c r="F314" i="13"/>
  <c r="AA314" i="13"/>
  <c r="G162" i="13"/>
  <c r="AF162" i="13"/>
  <c r="G161" i="13"/>
  <c r="AF161" i="13"/>
  <c r="AA51" i="13"/>
  <c r="F51" i="13"/>
  <c r="AF52" i="13"/>
  <c r="G52" i="13"/>
  <c r="AA4" i="13"/>
  <c r="F4" i="13"/>
  <c r="AF204" i="13"/>
  <c r="G204" i="13"/>
  <c r="F343" i="13"/>
  <c r="AA343" i="13"/>
  <c r="AF333" i="13"/>
  <c r="G333" i="13"/>
  <c r="G37" i="13"/>
  <c r="AF37" i="13"/>
  <c r="F225" i="13"/>
  <c r="AA225" i="13"/>
  <c r="AA112" i="13"/>
  <c r="F112" i="13"/>
  <c r="F75" i="13"/>
  <c r="AA75" i="13"/>
  <c r="G69" i="13"/>
  <c r="AF69" i="13"/>
  <c r="AF246" i="13"/>
  <c r="G246" i="13"/>
  <c r="F227" i="13"/>
  <c r="AA227" i="13"/>
  <c r="AF205" i="13"/>
  <c r="G205" i="13"/>
  <c r="G186" i="13"/>
  <c r="AF186" i="13"/>
  <c r="AA278" i="13"/>
  <c r="F278" i="13"/>
  <c r="F353" i="13"/>
  <c r="AA353" i="13"/>
  <c r="AA234" i="13"/>
  <c r="F234" i="13"/>
  <c r="AF43" i="13"/>
  <c r="G43" i="13"/>
  <c r="G312" i="13"/>
  <c r="AF312" i="13"/>
  <c r="AF114" i="13"/>
  <c r="G114" i="13"/>
  <c r="F276" i="13"/>
  <c r="AA276" i="13"/>
  <c r="AA57" i="13"/>
  <c r="F57" i="13"/>
  <c r="F106" i="13"/>
  <c r="AA106" i="13"/>
  <c r="AC292" i="13"/>
  <c r="AE292" i="13"/>
  <c r="AD292" i="13"/>
  <c r="AF292" i="13"/>
  <c r="F74" i="13"/>
  <c r="AA74" i="13"/>
  <c r="G145" i="13"/>
  <c r="AF145" i="13"/>
  <c r="F119" i="13"/>
  <c r="AA119" i="13"/>
  <c r="Z297" i="13"/>
  <c r="AA297" i="13"/>
  <c r="X297" i="13"/>
  <c r="Y297" i="13"/>
  <c r="AF62" i="13"/>
  <c r="G62" i="13"/>
  <c r="AF207" i="13"/>
  <c r="G207" i="13"/>
  <c r="AA300" i="13"/>
  <c r="F300" i="13"/>
  <c r="AA210" i="13"/>
  <c r="F210" i="13"/>
  <c r="F238" i="13"/>
  <c r="AA238" i="13"/>
  <c r="F207" i="13"/>
  <c r="AA207" i="13"/>
  <c r="G70" i="13"/>
  <c r="AF70" i="13"/>
  <c r="AF94" i="13"/>
  <c r="AC94" i="13"/>
  <c r="AE94" i="13"/>
  <c r="AD94" i="13"/>
  <c r="AF218" i="13"/>
  <c r="G218" i="13"/>
  <c r="G210" i="13"/>
  <c r="AF210" i="13"/>
  <c r="AA93" i="13"/>
  <c r="F93" i="13"/>
  <c r="AF118" i="13"/>
  <c r="G118" i="13"/>
  <c r="AA9" i="13"/>
  <c r="F9" i="13"/>
  <c r="Z293" i="13"/>
  <c r="Y293" i="13"/>
  <c r="AA293" i="13"/>
  <c r="X293" i="13"/>
  <c r="AA215" i="13"/>
  <c r="F215" i="13"/>
  <c r="AA181" i="13"/>
  <c r="F181" i="13"/>
  <c r="G32" i="13"/>
  <c r="AF32" i="13"/>
  <c r="AA89" i="13"/>
  <c r="F89" i="13"/>
  <c r="AF282" i="13"/>
  <c r="AE282" i="13"/>
  <c r="AD282" i="13"/>
  <c r="AC282" i="13"/>
  <c r="X284" i="13"/>
  <c r="Y284" i="13"/>
  <c r="Z284" i="13"/>
  <c r="AA284" i="13"/>
  <c r="AF181" i="13"/>
  <c r="G181" i="13"/>
  <c r="AF106" i="13"/>
  <c r="G106" i="13"/>
  <c r="AF267" i="13"/>
  <c r="G267" i="13"/>
  <c r="AA223" i="13"/>
  <c r="F223" i="13"/>
  <c r="F82" i="13"/>
  <c r="AA82" i="13"/>
  <c r="F237" i="13"/>
  <c r="AA237" i="13"/>
  <c r="AF71" i="13"/>
  <c r="G71" i="13"/>
  <c r="AF10" i="13"/>
  <c r="G10" i="13"/>
  <c r="F76" i="13"/>
  <c r="AA76" i="13"/>
  <c r="AF214" i="13"/>
  <c r="G214" i="13"/>
  <c r="F175" i="13"/>
  <c r="AA175" i="13"/>
  <c r="G105" i="13"/>
  <c r="AF105" i="13"/>
  <c r="AF240" i="13"/>
  <c r="G240" i="13"/>
  <c r="Y149" i="13"/>
  <c r="Z149" i="13"/>
  <c r="X149" i="13"/>
  <c r="AA149" i="13"/>
  <c r="AC299" i="13"/>
  <c r="G35" i="13"/>
  <c r="AF35" i="13"/>
  <c r="AE297" i="13"/>
  <c r="AF297" i="13"/>
  <c r="AC297" i="13"/>
  <c r="AD297" i="13"/>
  <c r="F113" i="13"/>
  <c r="AA113" i="13"/>
  <c r="AF117" i="13"/>
  <c r="G117" i="13"/>
  <c r="G131" i="13"/>
  <c r="AF131" i="13"/>
  <c r="F6" i="13"/>
  <c r="AA6" i="13"/>
  <c r="G335" i="13"/>
  <c r="AF335" i="13"/>
  <c r="AA66" i="13"/>
  <c r="F66" i="13"/>
  <c r="AA67" i="13"/>
  <c r="F67" i="13"/>
  <c r="F132" i="13"/>
  <c r="AA132" i="13"/>
  <c r="G24" i="13"/>
  <c r="AF24" i="13"/>
  <c r="G344" i="13"/>
  <c r="AF344" i="13"/>
  <c r="AF73" i="13"/>
  <c r="G73" i="13"/>
  <c r="F161" i="13"/>
  <c r="AA161" i="13"/>
  <c r="G88" i="13"/>
  <c r="AF88" i="13"/>
  <c r="AF237" i="13"/>
  <c r="G237" i="13"/>
  <c r="AA101" i="13"/>
  <c r="F101" i="13"/>
  <c r="F174" i="13"/>
  <c r="AA174" i="13"/>
  <c r="F187" i="13"/>
  <c r="AA187" i="13"/>
  <c r="AA117" i="13"/>
  <c r="F117" i="13"/>
  <c r="AA170" i="13"/>
  <c r="F170" i="13"/>
  <c r="G9" i="13"/>
  <c r="AF9" i="13"/>
  <c r="AE284" i="13"/>
  <c r="G104" i="13"/>
  <c r="AF104" i="13"/>
  <c r="AA253" i="13"/>
  <c r="F253" i="13"/>
  <c r="AF343" i="13"/>
  <c r="G343" i="13"/>
  <c r="AA304" i="13"/>
  <c r="Z304" i="13"/>
  <c r="Y304" i="13"/>
  <c r="X304" i="13"/>
  <c r="AA243" i="13"/>
  <c r="F243" i="13"/>
  <c r="AA5" i="13"/>
  <c r="F5" i="13"/>
  <c r="F41" i="13"/>
  <c r="AA41" i="13"/>
  <c r="G45" i="13"/>
  <c r="AF45" i="13"/>
  <c r="Z329" i="13"/>
  <c r="AA329" i="13"/>
  <c r="X329" i="13"/>
  <c r="Y329" i="13"/>
  <c r="AF257" i="13"/>
  <c r="G257" i="13"/>
  <c r="AE216" i="13"/>
  <c r="AD216" i="13"/>
  <c r="AC216" i="13"/>
  <c r="AF216" i="13"/>
  <c r="G310" i="13"/>
  <c r="AF310" i="13"/>
  <c r="AF203" i="13"/>
  <c r="G203" i="13"/>
  <c r="F316" i="13"/>
  <c r="AA316" i="13"/>
  <c r="AF89" i="13"/>
  <c r="G89" i="13"/>
  <c r="AA292" i="13"/>
  <c r="Z292" i="13"/>
  <c r="X292" i="13"/>
  <c r="Y292" i="13"/>
  <c r="G339" i="13"/>
  <c r="AF339" i="13"/>
  <c r="AA176" i="13"/>
  <c r="F176" i="13"/>
  <c r="AA355" i="13"/>
  <c r="F355" i="13"/>
  <c r="AF74" i="13"/>
  <c r="AC74" i="13"/>
  <c r="AD74" i="13"/>
  <c r="AE74" i="13"/>
  <c r="AC328" i="13"/>
  <c r="AE328" i="13"/>
  <c r="AF328" i="13"/>
  <c r="AD328" i="13"/>
  <c r="AD285" i="13"/>
  <c r="AE285" i="13"/>
  <c r="AF285" i="13"/>
  <c r="AC285" i="13"/>
  <c r="Z324" i="13"/>
  <c r="X324" i="13"/>
  <c r="Y324" i="13"/>
  <c r="AA324" i="13"/>
  <c r="AA244" i="13"/>
  <c r="F244" i="13"/>
  <c r="G28" i="13"/>
  <c r="AF28" i="13"/>
  <c r="AF253" i="13"/>
  <c r="G253" i="13"/>
  <c r="AF80" i="13"/>
  <c r="G80" i="13"/>
  <c r="F335" i="13"/>
  <c r="AA335" i="13"/>
  <c r="G20" i="13"/>
  <c r="AF20" i="13"/>
  <c r="F105" i="13"/>
  <c r="AA105" i="13"/>
  <c r="Z140" i="13"/>
  <c r="Y140" i="13"/>
  <c r="AA140" i="13"/>
  <c r="X140" i="13"/>
  <c r="G236" i="13"/>
  <c r="AF236" i="13"/>
  <c r="AF353" i="13"/>
  <c r="G353" i="13"/>
  <c r="F354" i="13"/>
  <c r="AA354" i="13"/>
  <c r="AA196" i="13"/>
  <c r="F196" i="13"/>
  <c r="F224" i="13"/>
  <c r="AA224" i="13"/>
  <c r="AA115" i="13"/>
  <c r="F115" i="13"/>
  <c r="G91" i="13"/>
  <c r="AF91" i="13"/>
  <c r="G159" i="13"/>
  <c r="AF159" i="13"/>
  <c r="AA218" i="13"/>
  <c r="F218" i="13"/>
  <c r="AE354" i="13"/>
  <c r="AF354" i="13"/>
  <c r="AC354" i="13"/>
  <c r="AD354" i="13"/>
  <c r="F129" i="13"/>
  <c r="AA129" i="13"/>
  <c r="G5" i="13"/>
  <c r="AF5" i="13"/>
  <c r="AA26" i="13"/>
  <c r="F26" i="13"/>
  <c r="AE324" i="13"/>
  <c r="AF324" i="13"/>
  <c r="AC324" i="13"/>
  <c r="AD324" i="13"/>
  <c r="G111" i="13"/>
  <c r="AF111" i="13"/>
  <c r="AA186" i="13"/>
  <c r="F186" i="13"/>
  <c r="Y319" i="13"/>
  <c r="AA319" i="13"/>
  <c r="X319" i="13"/>
  <c r="Z319" i="13"/>
  <c r="G223" i="13"/>
  <c r="AF223" i="13"/>
  <c r="AA92" i="13"/>
  <c r="F92" i="13"/>
  <c r="Z306" i="13"/>
  <c r="X306" i="13"/>
  <c r="AA306" i="13"/>
  <c r="Y306" i="13"/>
  <c r="AA58" i="13"/>
  <c r="F58" i="13"/>
  <c r="F32" i="13"/>
  <c r="AA32" i="13"/>
  <c r="AA68" i="13"/>
  <c r="F68" i="13"/>
  <c r="AA18" i="13"/>
  <c r="F18" i="13"/>
  <c r="AA205" i="13"/>
  <c r="F205" i="13"/>
  <c r="AA110" i="13"/>
  <c r="F110" i="13"/>
  <c r="F188" i="13"/>
  <c r="AA188" i="13"/>
  <c r="G168" i="13"/>
  <c r="AF168" i="13"/>
  <c r="AA241" i="13"/>
  <c r="F241" i="13"/>
  <c r="F349" i="13"/>
  <c r="AA349" i="13"/>
  <c r="F235" i="13"/>
  <c r="AA235" i="13"/>
  <c r="G215" i="13"/>
  <c r="AF215" i="13"/>
  <c r="AA123" i="13"/>
  <c r="F123" i="13"/>
  <c r="G83" i="13"/>
  <c r="AF83" i="13"/>
  <c r="AC308" i="13"/>
  <c r="AE308" i="13"/>
  <c r="AD308" i="13"/>
  <c r="AF308" i="13"/>
  <c r="AA240" i="13"/>
  <c r="F240" i="13"/>
  <c r="G352" i="13"/>
  <c r="AF352" i="13"/>
  <c r="G78" i="13"/>
  <c r="AF78" i="13"/>
  <c r="AF27" i="13"/>
  <c r="AE27" i="13"/>
  <c r="AC27" i="13"/>
  <c r="AD27" i="13"/>
  <c r="AA303" i="13"/>
  <c r="F303" i="13"/>
  <c r="G336" i="13"/>
  <c r="AF336" i="13"/>
  <c r="G190" i="13"/>
  <c r="AF190" i="13"/>
  <c r="AA118" i="13"/>
  <c r="F118" i="13"/>
  <c r="AF301" i="13"/>
  <c r="AC301" i="13"/>
  <c r="G128" i="13"/>
  <c r="AF128" i="13"/>
  <c r="AF19" i="13"/>
  <c r="G19" i="13"/>
  <c r="F182" i="13"/>
  <c r="AA182" i="13"/>
  <c r="AE291" i="13"/>
  <c r="AD291" i="13"/>
  <c r="AF291" i="13"/>
  <c r="AC291" i="13"/>
  <c r="G206" i="13"/>
  <c r="AF206" i="13"/>
  <c r="G90" i="13"/>
  <c r="AF90" i="13"/>
  <c r="G77" i="13"/>
  <c r="AF77" i="13"/>
  <c r="AF295" i="13"/>
  <c r="AC295" i="13"/>
  <c r="AD295" i="13"/>
  <c r="AE295" i="13"/>
  <c r="AA321" i="13"/>
  <c r="Z321" i="13"/>
  <c r="Y321" i="13"/>
  <c r="X321" i="13"/>
  <c r="AA282" i="13"/>
  <c r="Z282" i="13"/>
  <c r="X282" i="13"/>
  <c r="Y282" i="13"/>
  <c r="F60" i="13"/>
  <c r="AA60" i="13"/>
  <c r="AF47" i="13"/>
  <c r="G47" i="13"/>
  <c r="AA344" i="13"/>
  <c r="F344" i="13"/>
  <c r="AA305" i="13"/>
  <c r="X305" i="13"/>
  <c r="Y305" i="13"/>
  <c r="Z305" i="13"/>
  <c r="G22" i="13"/>
  <c r="AF22" i="13"/>
  <c r="F86" i="13"/>
  <c r="AA86" i="13"/>
  <c r="AA185" i="13"/>
  <c r="F185" i="13"/>
  <c r="AF58" i="13"/>
  <c r="G58" i="13"/>
  <c r="Y307" i="13"/>
  <c r="AA307" i="13"/>
  <c r="X307" i="13"/>
  <c r="Z307" i="13"/>
  <c r="F348" i="13"/>
  <c r="AA348" i="13"/>
  <c r="AF18" i="13"/>
  <c r="G18" i="13"/>
  <c r="F49" i="13"/>
  <c r="AA49" i="13"/>
  <c r="G193" i="13"/>
  <c r="AF193" i="13"/>
  <c r="AC327" i="13"/>
  <c r="AD327" i="13"/>
  <c r="AF327" i="13"/>
  <c r="AE327" i="13"/>
  <c r="AA222" i="13"/>
  <c r="F222" i="13"/>
  <c r="AF348" i="13"/>
  <c r="G348" i="13"/>
  <c r="AE170" i="13"/>
  <c r="AC170" i="13"/>
  <c r="AD170" i="13"/>
  <c r="AF170" i="13"/>
  <c r="AF261" i="13"/>
  <c r="G261" i="13"/>
  <c r="G133" i="13"/>
  <c r="AF133" i="13"/>
  <c r="G268" i="13"/>
  <c r="AF268" i="13"/>
  <c r="AF95" i="13"/>
  <c r="G95" i="13"/>
  <c r="G84" i="13"/>
  <c r="AF84" i="13"/>
  <c r="F62" i="13"/>
  <c r="AA62" i="13"/>
  <c r="F107" i="13"/>
  <c r="AA107" i="13"/>
  <c r="G113" i="13"/>
  <c r="AF113" i="13"/>
  <c r="F259" i="13"/>
  <c r="AA259" i="13"/>
  <c r="F24" i="13"/>
  <c r="AA24" i="13"/>
  <c r="F143" i="13"/>
  <c r="AA143" i="13"/>
  <c r="AA325" i="13"/>
  <c r="X325" i="13"/>
  <c r="Y325" i="13"/>
  <c r="Z325" i="13"/>
  <c r="G49" i="13"/>
  <c r="AF49" i="13"/>
  <c r="AA261" i="13"/>
  <c r="F261" i="13"/>
  <c r="F208" i="13"/>
  <c r="AA208" i="13"/>
  <c r="AA109" i="13"/>
  <c r="F109" i="13"/>
  <c r="G180" i="13"/>
  <c r="AF180" i="13"/>
  <c r="Z239" i="13"/>
  <c r="Y239" i="13"/>
  <c r="AA239" i="13"/>
  <c r="X239" i="13"/>
  <c r="AE305" i="13"/>
  <c r="AD305" i="13"/>
  <c r="AC305" i="13"/>
  <c r="AF305" i="13"/>
  <c r="X298" i="13"/>
  <c r="Z298" i="13"/>
  <c r="Y298" i="13"/>
  <c r="AA298" i="13"/>
  <c r="AF341" i="13"/>
  <c r="G341" i="13"/>
  <c r="AE286" i="13"/>
  <c r="AF286" i="13"/>
  <c r="AD286" i="13"/>
  <c r="AC286" i="13"/>
  <c r="G197" i="13"/>
  <c r="AF197" i="13"/>
  <c r="AE326" i="13"/>
  <c r="AC326" i="13"/>
  <c r="AD326" i="13"/>
  <c r="AF326" i="13"/>
  <c r="AD293" i="13"/>
  <c r="AC293" i="13"/>
  <c r="AF293" i="13"/>
  <c r="AE293" i="13"/>
  <c r="AF51" i="13"/>
  <c r="G51" i="13"/>
  <c r="AF227" i="13"/>
  <c r="G227" i="13"/>
  <c r="Z291" i="13"/>
  <c r="AA291" i="13"/>
  <c r="X291" i="13"/>
  <c r="Y291" i="13"/>
  <c r="AE298" i="13"/>
  <c r="AC298" i="13"/>
  <c r="AD298" i="13"/>
  <c r="AF298" i="13"/>
  <c r="G171" i="13"/>
  <c r="AF171" i="13"/>
  <c r="AD329" i="13"/>
  <c r="AC329" i="13"/>
  <c r="AF329" i="13"/>
  <c r="AE329" i="13"/>
  <c r="AF217" i="13"/>
  <c r="G217" i="13"/>
  <c r="AF238" i="13"/>
  <c r="G238" i="13"/>
  <c r="F252" i="13"/>
  <c r="AA252" i="13"/>
  <c r="AD122" i="13"/>
  <c r="AE122" i="13"/>
  <c r="AC122" i="13"/>
  <c r="AF122" i="13"/>
  <c r="F341" i="13"/>
  <c r="AA341" i="13"/>
  <c r="AA203" i="13"/>
  <c r="F203" i="13"/>
  <c r="F134" i="13"/>
  <c r="AA134" i="13"/>
  <c r="G115" i="13"/>
  <c r="AF115" i="13"/>
  <c r="G108" i="13"/>
  <c r="AF108" i="13"/>
  <c r="G112" i="13"/>
  <c r="AF112" i="13"/>
  <c r="AF167" i="13"/>
  <c r="G167" i="13"/>
  <c r="Z294" i="13"/>
  <c r="X294" i="13"/>
  <c r="Y294" i="13"/>
  <c r="AA294" i="13"/>
  <c r="F81" i="13"/>
  <c r="AA81" i="13"/>
  <c r="F133" i="13"/>
  <c r="AA133" i="13"/>
  <c r="AE212" i="13"/>
  <c r="AD212" i="13"/>
  <c r="AF212" i="13"/>
  <c r="AC212" i="13"/>
  <c r="AF6" i="13"/>
  <c r="G6" i="13"/>
  <c r="AC116" i="13"/>
  <c r="AE116" i="13"/>
  <c r="AD116" i="13"/>
  <c r="AF116" i="13"/>
  <c r="AA70" i="13"/>
  <c r="F70" i="13"/>
  <c r="G322" i="13"/>
  <c r="AF322" i="13"/>
  <c r="AF163" i="13"/>
  <c r="G163" i="13"/>
  <c r="F90" i="13"/>
  <c r="AA90" i="13"/>
  <c r="AA193" i="13"/>
  <c r="F193" i="13"/>
  <c r="G315" i="13"/>
  <c r="AF315" i="13"/>
  <c r="AA166" i="13"/>
  <c r="F166" i="13"/>
  <c r="G182" i="13"/>
  <c r="AF182" i="13"/>
  <c r="AA290" i="13"/>
  <c r="Z290" i="13"/>
  <c r="X290" i="13"/>
  <c r="Y290" i="13"/>
  <c r="AA216" i="13"/>
  <c r="Y216" i="13"/>
  <c r="Z216" i="13"/>
  <c r="X216" i="13"/>
  <c r="AA20" i="13"/>
  <c r="F20" i="13"/>
  <c r="AF278" i="13"/>
  <c r="G278" i="13"/>
  <c r="AF347" i="13"/>
  <c r="G347" i="13"/>
  <c r="G152" i="13"/>
  <c r="AF152" i="13"/>
  <c r="F333" i="13"/>
  <c r="AA333" i="13"/>
  <c r="G107" i="13"/>
  <c r="AF107" i="13"/>
  <c r="AF219" i="13"/>
  <c r="G219" i="13"/>
  <c r="G76" i="13"/>
  <c r="AF76" i="13"/>
  <c r="F47" i="13"/>
  <c r="AA47" i="13"/>
  <c r="G92" i="13"/>
  <c r="AF92" i="13"/>
  <c r="AA87" i="13"/>
  <c r="F87" i="13"/>
  <c r="G98" i="13"/>
  <c r="AF98" i="13"/>
  <c r="AF75" i="13"/>
  <c r="G75" i="13"/>
  <c r="F179" i="13"/>
  <c r="AA179" i="13"/>
  <c r="G235" i="13"/>
  <c r="AF235" i="13"/>
  <c r="F168" i="13"/>
  <c r="AA168" i="13"/>
  <c r="F36" i="13"/>
  <c r="AB100" i="13"/>
  <c r="F347" i="13"/>
  <c r="AA347" i="13"/>
  <c r="AA61" i="13"/>
  <c r="F61" i="13"/>
  <c r="AB334" i="13"/>
  <c r="G188" i="13"/>
  <c r="F325" i="13"/>
  <c r="AB239" i="13"/>
  <c r="AB54" i="13"/>
  <c r="G4" i="13"/>
  <c r="AF4" i="13"/>
  <c r="G247" i="13"/>
  <c r="AF224" i="13"/>
  <c r="G224" i="13"/>
  <c r="F141" i="13"/>
  <c r="AB13" i="13"/>
  <c r="AF271" i="13"/>
  <c r="G271" i="13"/>
  <c r="W295" i="13"/>
  <c r="F263" i="13"/>
  <c r="AB262" i="13"/>
  <c r="AB79" i="13"/>
  <c r="G199" i="13"/>
  <c r="G101" i="13"/>
  <c r="AF101" i="13"/>
  <c r="AB187" i="13"/>
  <c r="F45" i="13"/>
  <c r="AA45" i="13"/>
  <c r="F50" i="13"/>
  <c r="W154" i="13"/>
  <c r="AB8" i="13"/>
  <c r="F201" i="13"/>
  <c r="AA201" i="13"/>
  <c r="AB150" i="13"/>
  <c r="W264" i="13"/>
  <c r="F323" i="13"/>
  <c r="G175" i="13"/>
  <c r="G251" i="13"/>
  <c r="AB242" i="13"/>
  <c r="AF222" i="13"/>
  <c r="G222" i="13"/>
  <c r="AB65" i="13"/>
  <c r="W265" i="13"/>
  <c r="AF259" i="13"/>
  <c r="G259" i="13"/>
  <c r="W120" i="13"/>
  <c r="F192" i="13"/>
  <c r="G229" i="13"/>
  <c r="G295" i="13"/>
  <c r="AB202" i="13"/>
  <c r="F226" i="13"/>
  <c r="AA226" i="13"/>
  <c r="AF303" i="13"/>
  <c r="G303" i="13"/>
  <c r="G304" i="13"/>
  <c r="W59" i="13"/>
  <c r="F124" i="13"/>
  <c r="AA124" i="13"/>
  <c r="F149" i="13"/>
  <c r="G21" i="13"/>
  <c r="F178" i="13"/>
  <c r="AA178" i="13"/>
  <c r="F340" i="13"/>
  <c r="AA340" i="13"/>
  <c r="AA337" i="13"/>
  <c r="F337" i="13"/>
  <c r="F345" i="13"/>
  <c r="AA345" i="13"/>
  <c r="F269" i="13"/>
  <c r="AA269" i="13"/>
  <c r="F248" i="13"/>
  <c r="G53" i="13"/>
  <c r="AF53" i="13"/>
  <c r="G346" i="13"/>
  <c r="AF346" i="13"/>
  <c r="AF57" i="13"/>
  <c r="G57" i="13"/>
  <c r="G200" i="13"/>
  <c r="F131" i="13"/>
  <c r="AA131" i="13"/>
  <c r="W285" i="13"/>
  <c r="W94" i="13"/>
  <c r="G356" i="13"/>
  <c r="F21" i="13"/>
  <c r="F177" i="13"/>
  <c r="AA177" i="13"/>
  <c r="F313" i="13"/>
  <c r="W135" i="13"/>
  <c r="F150" i="13"/>
  <c r="F352" i="13"/>
  <c r="AA352" i="13"/>
  <c r="G314" i="13"/>
  <c r="AF314" i="13"/>
  <c r="G127" i="13"/>
  <c r="AB50" i="13"/>
  <c r="W99" i="13"/>
  <c r="W258" i="13"/>
  <c r="AB325" i="13"/>
  <c r="F11" i="13"/>
  <c r="F250" i="13"/>
  <c r="AA250" i="13"/>
  <c r="AA53" i="13"/>
  <c r="F53" i="13"/>
  <c r="F305" i="13"/>
  <c r="F292" i="13"/>
  <c r="G33" i="13"/>
  <c r="AB300" i="13"/>
  <c r="AB29" i="13"/>
  <c r="G123" i="13"/>
  <c r="AF198" i="13"/>
  <c r="G198" i="13"/>
  <c r="AA184" i="13"/>
  <c r="F184" i="13"/>
  <c r="G209" i="13"/>
  <c r="G179" i="13"/>
  <c r="F71" i="13"/>
  <c r="AA71" i="13"/>
  <c r="AB127" i="13"/>
  <c r="W8" i="13"/>
  <c r="AB306" i="13"/>
  <c r="G74" i="13"/>
  <c r="AA114" i="13"/>
  <c r="F114" i="13"/>
  <c r="G172" i="13"/>
  <c r="G328" i="13"/>
  <c r="F16" i="13"/>
  <c r="F324" i="13"/>
  <c r="F56" i="13"/>
  <c r="AA217" i="13"/>
  <c r="F217" i="13"/>
  <c r="F160" i="13"/>
  <c r="G178" i="13"/>
  <c r="G325" i="13"/>
  <c r="F128" i="13"/>
  <c r="AA128" i="13"/>
  <c r="AB97" i="13"/>
  <c r="F139" i="13"/>
  <c r="AA332" i="13"/>
  <c r="F332" i="13"/>
  <c r="F197" i="13"/>
  <c r="AA197" i="13"/>
  <c r="G165" i="13"/>
  <c r="G68" i="13"/>
  <c r="AF68" i="13"/>
  <c r="AA91" i="13"/>
  <c r="F91" i="13"/>
  <c r="AA315" i="13"/>
  <c r="F315" i="13"/>
  <c r="F180" i="13"/>
  <c r="AA180" i="13"/>
  <c r="F140" i="13"/>
  <c r="G226" i="13"/>
  <c r="AF226" i="13"/>
  <c r="AB351" i="13"/>
  <c r="G67" i="13"/>
  <c r="AF67" i="13"/>
  <c r="AB296" i="13"/>
  <c r="G17" i="13"/>
  <c r="AF17" i="13"/>
  <c r="W136" i="13"/>
  <c r="AA318" i="13"/>
  <c r="F318" i="13"/>
  <c r="AF201" i="13"/>
  <c r="G201" i="13"/>
  <c r="F280" i="13"/>
  <c r="F307" i="13"/>
  <c r="F274" i="13"/>
  <c r="AB209" i="13"/>
  <c r="W38" i="13"/>
  <c r="AF81" i="13"/>
  <c r="G81" i="13"/>
  <c r="F69" i="13"/>
  <c r="AA69" i="13"/>
  <c r="G277" i="13"/>
  <c r="AF277" i="13"/>
  <c r="F251" i="13"/>
  <c r="AA251" i="13"/>
  <c r="AA80" i="13"/>
  <c r="F80" i="13"/>
  <c r="G23" i="13"/>
  <c r="W55" i="13"/>
  <c r="W260" i="13"/>
  <c r="F317" i="13"/>
  <c r="AA317" i="13"/>
  <c r="F116" i="13"/>
  <c r="AA116" i="13"/>
  <c r="F35" i="13"/>
  <c r="AA35" i="13"/>
  <c r="AA78" i="13"/>
  <c r="F78" i="13"/>
  <c r="AB307" i="13"/>
  <c r="AB143" i="13"/>
  <c r="G87" i="13"/>
  <c r="AF87" i="13"/>
  <c r="F54" i="13"/>
  <c r="F108" i="13"/>
  <c r="AA108" i="13"/>
  <c r="W254" i="13"/>
  <c r="AF109" i="13"/>
  <c r="G109" i="13"/>
  <c r="AF340" i="13"/>
  <c r="G340" i="13"/>
  <c r="AB59" i="13"/>
  <c r="F260" i="13"/>
  <c r="F15" i="13"/>
  <c r="W21" i="13"/>
  <c r="AB12" i="13"/>
  <c r="AF48" i="13"/>
  <c r="G48" i="13"/>
  <c r="W209" i="13"/>
  <c r="AB280" i="13"/>
  <c r="G354" i="13"/>
  <c r="W287" i="13"/>
  <c r="AB156" i="13"/>
  <c r="AB252" i="13"/>
  <c r="G234" i="13"/>
  <c r="AF234" i="13"/>
  <c r="G129" i="13"/>
  <c r="AF129" i="13"/>
  <c r="W125" i="13"/>
  <c r="AB135" i="13"/>
  <c r="W275" i="13"/>
  <c r="F294" i="13"/>
  <c r="W142" i="13"/>
  <c r="AA10" i="13"/>
  <c r="F10" i="13"/>
  <c r="F219" i="13"/>
  <c r="AA219" i="13"/>
  <c r="AB174" i="13"/>
  <c r="W281" i="13"/>
  <c r="F83" i="13"/>
  <c r="AA83" i="13"/>
  <c r="G221" i="13"/>
  <c r="AF221" i="13"/>
  <c r="F183" i="13"/>
  <c r="AA183" i="13"/>
  <c r="G212" i="13"/>
  <c r="F31" i="13"/>
  <c r="AB99" i="13"/>
  <c r="G250" i="13"/>
  <c r="AF250" i="13"/>
  <c r="G85" i="13"/>
  <c r="AF85" i="13"/>
  <c r="F46" i="13"/>
  <c r="AA46" i="13"/>
  <c r="AB287" i="13"/>
  <c r="AF41" i="13"/>
  <c r="G41" i="13"/>
  <c r="F77" i="13"/>
  <c r="AA77" i="13"/>
  <c r="G137" i="13"/>
  <c r="G301" i="13"/>
  <c r="G345" i="13"/>
  <c r="G289" i="13"/>
  <c r="F346" i="13"/>
  <c r="AA346" i="13"/>
  <c r="W63" i="13"/>
  <c r="F334" i="13"/>
  <c r="AA334" i="13"/>
  <c r="W262" i="13"/>
  <c r="AF211" i="13"/>
  <c r="G211" i="13"/>
  <c r="G15" i="13"/>
  <c r="G264" i="13"/>
  <c r="AF264" i="13"/>
  <c r="G305" i="13"/>
  <c r="AB288" i="13"/>
  <c r="AB121" i="13"/>
  <c r="F165" i="13"/>
  <c r="F216" i="13"/>
  <c r="AF318" i="13"/>
  <c r="G318" i="13"/>
  <c r="F297" i="13"/>
  <c r="AB119" i="13"/>
  <c r="G44" i="13"/>
  <c r="G202" i="13"/>
  <c r="F199" i="13"/>
  <c r="F282" i="13"/>
  <c r="G298" i="13"/>
  <c r="W233" i="13"/>
  <c r="F29" i="13"/>
  <c r="F202" i="13"/>
  <c r="AB304" i="13"/>
  <c r="G120" i="13"/>
  <c r="F152" i="13"/>
  <c r="W96" i="13"/>
  <c r="G213" i="13"/>
  <c r="AF213" i="13"/>
  <c r="F59" i="13"/>
  <c r="F339" i="13"/>
  <c r="AA339" i="13"/>
  <c r="W27" i="13"/>
  <c r="AA189" i="13"/>
  <c r="F189" i="13"/>
  <c r="AB290" i="13"/>
  <c r="G14" i="13"/>
  <c r="G338" i="13"/>
  <c r="AB263" i="13"/>
  <c r="AA25" i="13"/>
  <c r="F25" i="13"/>
  <c r="W64" i="13"/>
  <c r="F286" i="13"/>
  <c r="G82" i="13"/>
  <c r="AF82" i="13"/>
  <c r="AB258" i="13"/>
  <c r="AB64" i="13"/>
  <c r="F213" i="13"/>
  <c r="AA213" i="13"/>
  <c r="AF110" i="13"/>
  <c r="G110" i="13"/>
  <c r="F137" i="13"/>
  <c r="F85" i="13"/>
  <c r="AA85" i="13"/>
  <c r="G184" i="13"/>
  <c r="AF184" i="13"/>
  <c r="W36" i="13"/>
  <c r="F172" i="13"/>
  <c r="W350" i="13"/>
  <c r="W100" i="13"/>
  <c r="G196" i="13"/>
  <c r="AF196" i="13"/>
  <c r="G239" i="13"/>
  <c r="F284" i="13"/>
  <c r="F122" i="13"/>
  <c r="AA122" i="13"/>
  <c r="G13" i="13"/>
  <c r="F111" i="13"/>
  <c r="AA111" i="13"/>
  <c r="F295" i="13"/>
  <c r="F308" i="13"/>
  <c r="G262" i="13"/>
  <c r="AB55" i="13"/>
  <c r="W138" i="13"/>
  <c r="W50" i="13"/>
  <c r="F299" i="13"/>
  <c r="AA299" i="13"/>
  <c r="G39" i="13"/>
  <c r="W323" i="13"/>
  <c r="F265" i="13"/>
  <c r="AF185" i="13"/>
  <c r="G185" i="13"/>
  <c r="F320" i="13"/>
  <c r="AA198" i="13"/>
  <c r="F198" i="13"/>
  <c r="AF276" i="13"/>
  <c r="G276" i="13"/>
  <c r="F331" i="13"/>
  <c r="G153" i="13"/>
  <c r="AB294" i="13"/>
  <c r="G189" i="13"/>
  <c r="F162" i="13"/>
  <c r="AA162" i="13"/>
  <c r="F268" i="13"/>
  <c r="AA268" i="13"/>
  <c r="F191" i="13"/>
  <c r="AB272" i="13"/>
  <c r="W37" i="13"/>
  <c r="W320" i="13"/>
  <c r="W331" i="13"/>
  <c r="G293" i="13"/>
  <c r="AB169" i="13"/>
  <c r="F277" i="13"/>
  <c r="AA277" i="13"/>
  <c r="W190" i="13"/>
  <c r="AB283" i="13"/>
  <c r="AF183" i="13"/>
  <c r="G183" i="13"/>
  <c r="W147" i="13"/>
  <c r="AB189" i="13"/>
  <c r="G225" i="13"/>
  <c r="AF225" i="13"/>
  <c r="G329" i="13"/>
  <c r="W191" i="13"/>
  <c r="G272" i="13"/>
  <c r="F146" i="13"/>
  <c r="F22" i="13"/>
  <c r="G166" i="13"/>
  <c r="AF166" i="13"/>
  <c r="F151" i="13"/>
  <c r="AB357" i="13"/>
  <c r="G216" i="13"/>
  <c r="AA159" i="13"/>
  <c r="F159" i="13"/>
  <c r="W164" i="13"/>
  <c r="AF316" i="13"/>
  <c r="G316" i="13"/>
  <c r="G245" i="13"/>
  <c r="AF245" i="13"/>
  <c r="W296" i="13"/>
  <c r="F272" i="13"/>
  <c r="W288" i="13"/>
  <c r="F23" i="13"/>
  <c r="W279" i="13"/>
  <c r="F228" i="13"/>
  <c r="G38" i="13"/>
  <c r="G297" i="13"/>
  <c r="G139" i="13"/>
  <c r="F39" i="13"/>
  <c r="G260" i="13"/>
  <c r="W326" i="13"/>
  <c r="AB243" i="13"/>
  <c r="AA206" i="13"/>
  <c r="F206" i="13"/>
  <c r="AB149" i="13"/>
  <c r="AB320" i="13"/>
  <c r="AB281" i="13"/>
  <c r="AF332" i="13"/>
  <c r="G332" i="13"/>
  <c r="G195" i="13"/>
  <c r="G125" i="13"/>
  <c r="G142" i="13"/>
  <c r="G311" i="13"/>
  <c r="AF311" i="13"/>
  <c r="G249" i="13"/>
  <c r="AF249" i="13"/>
  <c r="G141" i="13"/>
  <c r="F158" i="13"/>
  <c r="AB146" i="13"/>
  <c r="G26" i="13"/>
  <c r="AF26" i="13"/>
  <c r="AA73" i="13"/>
  <c r="F73" i="13"/>
  <c r="F48" i="13"/>
  <c r="AA48" i="13"/>
  <c r="G46" i="13"/>
  <c r="AF46" i="13"/>
  <c r="G66" i="13"/>
  <c r="AF66" i="13"/>
  <c r="AB350" i="13"/>
  <c r="AB136" i="13"/>
  <c r="F145" i="13"/>
  <c r="G308" i="13"/>
  <c r="F84" i="13"/>
  <c r="AA84" i="13"/>
  <c r="F79" i="13"/>
  <c r="AA79" i="13"/>
  <c r="F104" i="13"/>
  <c r="AA104" i="13"/>
  <c r="G151" i="13"/>
  <c r="F214" i="13"/>
  <c r="AA214" i="13"/>
  <c r="AB7" i="13"/>
  <c r="AB132" i="13"/>
  <c r="Z172" i="13"/>
  <c r="AC173" i="13"/>
  <c r="AE134" i="13"/>
  <c r="AC164" i="13"/>
  <c r="AC157" i="13"/>
  <c r="AD254" i="13"/>
  <c r="Z256" i="13"/>
  <c r="X220" i="13"/>
  <c r="Z289" i="13"/>
  <c r="AD188" i="13"/>
  <c r="AC137" i="13"/>
  <c r="X141" i="13"/>
  <c r="AC265" i="13"/>
  <c r="AD138" i="13"/>
  <c r="AC16" i="13"/>
  <c r="Z155" i="13"/>
  <c r="X280" i="13"/>
  <c r="AE147" i="13"/>
  <c r="Z30" i="13"/>
  <c r="AE33" i="13"/>
  <c r="Y16" i="13"/>
  <c r="AC178" i="13"/>
  <c r="Y327" i="13"/>
  <c r="AD256" i="13"/>
  <c r="AC247" i="13"/>
  <c r="AD289" i="13"/>
  <c r="X165" i="13"/>
  <c r="AC102" i="13"/>
  <c r="Z202" i="13"/>
  <c r="AC120" i="13"/>
  <c r="Y151" i="13"/>
  <c r="X17" i="13"/>
  <c r="Z127" i="13"/>
  <c r="AE220" i="13"/>
  <c r="AD158" i="13"/>
  <c r="AD154" i="13"/>
  <c r="AD141" i="13"/>
  <c r="AC148" i="13"/>
  <c r="X156" i="13"/>
  <c r="AC36" i="13"/>
  <c r="X357" i="13"/>
  <c r="AE151" i="13"/>
  <c r="X338" i="13"/>
  <c r="Z157" i="13"/>
  <c r="AE248" i="13"/>
  <c r="X311" i="13"/>
  <c r="Z266" i="13"/>
  <c r="AC279" i="13"/>
  <c r="AC39" i="13"/>
  <c r="AC251" i="13"/>
  <c r="AE153" i="13"/>
  <c r="Z40" i="13"/>
  <c r="Z255" i="13"/>
  <c r="AC96" i="13"/>
  <c r="Z310" i="13"/>
  <c r="AD21" i="13"/>
  <c r="AD255" i="13"/>
  <c r="AE139" i="13"/>
  <c r="Y274" i="13"/>
  <c r="AE331" i="13"/>
  <c r="Z273" i="13"/>
  <c r="Z54" i="13"/>
  <c r="Y272" i="13"/>
  <c r="Y23" i="13"/>
  <c r="AC266" i="13"/>
  <c r="AD355" i="13"/>
  <c r="X34" i="13"/>
  <c r="AD142" i="13"/>
  <c r="X160" i="13"/>
  <c r="X158" i="13"/>
  <c r="Z139" i="13"/>
  <c r="X172" i="13"/>
  <c r="AE173" i="13"/>
  <c r="AC134" i="13"/>
  <c r="AE164" i="13"/>
  <c r="AD157" i="13"/>
  <c r="AE254" i="13"/>
  <c r="X256" i="13"/>
  <c r="Z220" i="13"/>
  <c r="X289" i="13"/>
  <c r="AE188" i="13"/>
  <c r="AD137" i="13"/>
  <c r="Z141" i="13"/>
  <c r="AD265" i="13"/>
  <c r="AC138" i="13"/>
  <c r="AD16" i="13"/>
  <c r="Y155" i="13"/>
  <c r="Z280" i="13"/>
  <c r="AD147" i="13"/>
  <c r="X30" i="13"/>
  <c r="AC33" i="13"/>
  <c r="X16" i="13"/>
  <c r="AE178" i="13"/>
  <c r="X327" i="13"/>
  <c r="AC256" i="13"/>
  <c r="AE247" i="13"/>
  <c r="AC289" i="13"/>
  <c r="Y165" i="13"/>
  <c r="AE102" i="13"/>
  <c r="Y202" i="13"/>
  <c r="AE120" i="13"/>
  <c r="X151" i="13"/>
  <c r="Z17" i="13"/>
  <c r="Y127" i="13"/>
  <c r="AC220" i="13"/>
  <c r="AE158" i="13"/>
  <c r="AE154" i="13"/>
  <c r="AE141" i="13"/>
  <c r="AD148" i="13"/>
  <c r="Z156" i="13"/>
  <c r="AE36" i="13"/>
  <c r="Z357" i="13"/>
  <c r="AC151" i="13"/>
  <c r="Y338" i="13"/>
  <c r="Y157" i="13"/>
  <c r="AD248" i="13"/>
  <c r="Z311" i="13"/>
  <c r="Y266" i="13"/>
  <c r="AD279" i="13"/>
  <c r="AD39" i="13"/>
  <c r="AD251" i="13"/>
  <c r="AD153" i="13"/>
  <c r="Y40" i="13"/>
  <c r="Y255" i="13"/>
  <c r="AE96" i="13"/>
  <c r="X310" i="13"/>
  <c r="AE21" i="13"/>
  <c r="AE255" i="13"/>
  <c r="AC139" i="13"/>
  <c r="X274" i="13"/>
  <c r="AD331" i="13"/>
  <c r="Y273" i="13"/>
  <c r="Y54" i="13"/>
  <c r="X272" i="13"/>
  <c r="X23" i="13"/>
  <c r="AD266" i="13"/>
  <c r="AE355" i="13"/>
  <c r="Z34" i="13"/>
  <c r="AE142" i="13"/>
  <c r="Z160" i="13"/>
  <c r="Y158" i="13"/>
  <c r="Y172" i="13"/>
  <c r="AE157" i="13"/>
  <c r="AC254" i="13"/>
  <c r="Y289" i="13"/>
  <c r="AC188" i="13"/>
  <c r="AE137" i="13"/>
  <c r="Y141" i="13"/>
  <c r="AE265" i="13"/>
  <c r="AE138" i="13"/>
  <c r="AE16" i="13"/>
  <c r="Y280" i="13"/>
  <c r="AC147" i="13"/>
  <c r="AD33" i="13"/>
  <c r="Z16" i="13"/>
  <c r="AD178" i="13"/>
  <c r="Z327" i="13"/>
  <c r="AE256" i="13"/>
  <c r="AD247" i="13"/>
  <c r="AE289" i="13"/>
  <c r="Z165" i="13"/>
  <c r="AD120" i="13"/>
  <c r="Y17" i="13"/>
  <c r="AC158" i="13"/>
  <c r="AC154" i="13"/>
  <c r="AC141" i="13"/>
  <c r="AE148" i="13"/>
  <c r="Y156" i="13"/>
  <c r="AD36" i="13"/>
  <c r="Z338" i="13"/>
  <c r="X157" i="13"/>
  <c r="AC248" i="13"/>
  <c r="Y311" i="13"/>
  <c r="X266" i="13"/>
  <c r="AE39" i="13"/>
  <c r="AC21" i="13"/>
  <c r="AC255" i="13"/>
  <c r="AC331" i="13"/>
  <c r="X273" i="13"/>
  <c r="Z272" i="13"/>
  <c r="Z23" i="13"/>
  <c r="Z247" i="13"/>
  <c r="AD173" i="13"/>
  <c r="Y220" i="13"/>
  <c r="X202" i="13"/>
  <c r="AE279" i="13"/>
  <c r="AC153" i="13"/>
  <c r="Y310" i="13"/>
  <c r="AE266" i="13"/>
  <c r="Y34" i="13"/>
  <c r="AC142" i="13"/>
  <c r="Y160" i="13"/>
  <c r="Z158" i="13"/>
  <c r="X139" i="13"/>
  <c r="AD165" i="13"/>
  <c r="X15" i="13"/>
  <c r="Y351" i="13"/>
  <c r="Z150" i="13"/>
  <c r="Z31" i="13"/>
  <c r="Z248" i="13"/>
  <c r="AE273" i="13"/>
  <c r="AE275" i="13"/>
  <c r="AE103" i="13"/>
  <c r="AE31" i="13"/>
  <c r="Y204" i="13"/>
  <c r="AD130" i="13"/>
  <c r="AD338" i="13"/>
  <c r="AE23" i="13"/>
  <c r="AC25" i="13"/>
  <c r="AC30" i="13"/>
  <c r="Y312" i="13"/>
  <c r="AE175" i="13"/>
  <c r="Z12" i="13"/>
  <c r="AD56" i="13"/>
  <c r="Y152" i="13"/>
  <c r="Y146" i="13"/>
  <c r="X22" i="13"/>
  <c r="AE125" i="13"/>
  <c r="X14" i="13"/>
  <c r="AE34" i="13"/>
  <c r="Y56" i="13"/>
  <c r="AE124" i="13"/>
  <c r="AD274" i="13"/>
  <c r="AD177" i="13"/>
  <c r="AC274" i="13"/>
  <c r="Y247" i="13"/>
  <c r="AD134" i="13"/>
  <c r="AD102" i="13"/>
  <c r="Y357" i="13"/>
  <c r="X40" i="13"/>
  <c r="AD139" i="13"/>
  <c r="AC355" i="13"/>
  <c r="Y139" i="13"/>
  <c r="AE126" i="13"/>
  <c r="AC165" i="13"/>
  <c r="Z44" i="13"/>
  <c r="AE160" i="13"/>
  <c r="Z15" i="13"/>
  <c r="Z351" i="13"/>
  <c r="Z313" i="13"/>
  <c r="Y150" i="13"/>
  <c r="Y31" i="13"/>
  <c r="Z65" i="13"/>
  <c r="X248" i="13"/>
  <c r="AC273" i="13"/>
  <c r="X194" i="13"/>
  <c r="X171" i="13"/>
  <c r="AC275" i="13"/>
  <c r="AD103" i="13"/>
  <c r="AC31" i="13"/>
  <c r="X204" i="13"/>
  <c r="AE130" i="13"/>
  <c r="AC44" i="13"/>
  <c r="Y192" i="13"/>
  <c r="AC192" i="13"/>
  <c r="AE338" i="13"/>
  <c r="X271" i="13"/>
  <c r="Z163" i="13"/>
  <c r="AC23" i="13"/>
  <c r="AE356" i="13"/>
  <c r="AE270" i="13"/>
  <c r="X126" i="13"/>
  <c r="AD25" i="13"/>
  <c r="AD30" i="13"/>
  <c r="AD40" i="13"/>
  <c r="X312" i="13"/>
  <c r="Z263" i="13"/>
  <c r="AD175" i="13"/>
  <c r="Y12" i="13"/>
  <c r="AE56" i="13"/>
  <c r="Z152" i="13"/>
  <c r="X146" i="13"/>
  <c r="Z22" i="13"/>
  <c r="Y153" i="13"/>
  <c r="Z270" i="13"/>
  <c r="AD125" i="13"/>
  <c r="Y14" i="13"/>
  <c r="AD34" i="13"/>
  <c r="Z257" i="13"/>
  <c r="AC63" i="13"/>
  <c r="X145" i="13"/>
  <c r="Z195" i="13"/>
  <c r="AC179" i="13"/>
  <c r="AC172" i="13"/>
  <c r="X56" i="13"/>
  <c r="X148" i="13"/>
  <c r="AD124" i="13"/>
  <c r="AD144" i="13"/>
  <c r="AD164" i="13"/>
  <c r="Y30" i="13"/>
  <c r="Z151" i="13"/>
  <c r="X127" i="13"/>
  <c r="AE251" i="13"/>
  <c r="X255" i="13"/>
  <c r="Z274" i="13"/>
  <c r="AC126" i="13"/>
  <c r="AD160" i="13"/>
  <c r="Y313" i="13"/>
  <c r="X65" i="13"/>
  <c r="Z194" i="13"/>
  <c r="AE44" i="13"/>
  <c r="X192" i="13"/>
  <c r="AE192" i="13"/>
  <c r="Z271" i="13"/>
  <c r="X163" i="13"/>
  <c r="AD356" i="13"/>
  <c r="AD270" i="13"/>
  <c r="Z126" i="13"/>
  <c r="AC40" i="13"/>
  <c r="X263" i="13"/>
  <c r="Z153" i="13"/>
  <c r="Y270" i="13"/>
  <c r="Y257" i="13"/>
  <c r="AD63" i="13"/>
  <c r="Z145" i="13"/>
  <c r="Y195" i="13"/>
  <c r="AE179" i="13"/>
  <c r="AD172" i="13"/>
  <c r="Z148" i="13"/>
  <c r="Z137" i="13"/>
  <c r="AC144" i="13"/>
  <c r="AC177" i="13"/>
  <c r="Y256" i="13"/>
  <c r="X155" i="13"/>
  <c r="AD220" i="13"/>
  <c r="AD151" i="13"/>
  <c r="AD96" i="13"/>
  <c r="X54" i="13"/>
  <c r="AD126" i="13"/>
  <c r="AE165" i="13"/>
  <c r="AC160" i="13"/>
  <c r="Y15" i="13"/>
  <c r="X351" i="13"/>
  <c r="X313" i="13"/>
  <c r="X31" i="13"/>
  <c r="Y65" i="13"/>
  <c r="AD273" i="13"/>
  <c r="Y194" i="13"/>
  <c r="AD275" i="13"/>
  <c r="AD31" i="13"/>
  <c r="Z204" i="13"/>
  <c r="AC130" i="13"/>
  <c r="AD44" i="13"/>
  <c r="Z192" i="13"/>
  <c r="AD192" i="13"/>
  <c r="AC338" i="13"/>
  <c r="Y271" i="13"/>
  <c r="Y163" i="13"/>
  <c r="AD23" i="13"/>
  <c r="AC356" i="13"/>
  <c r="AC270" i="13"/>
  <c r="Y126" i="13"/>
  <c r="AE25" i="13"/>
  <c r="AE30" i="13"/>
  <c r="AE40" i="13"/>
  <c r="Z312" i="13"/>
  <c r="Y263" i="13"/>
  <c r="AC175" i="13"/>
  <c r="X12" i="13"/>
  <c r="AC56" i="13"/>
  <c r="X152" i="13"/>
  <c r="Z146" i="13"/>
  <c r="Y22" i="13"/>
  <c r="X153" i="13"/>
  <c r="X270" i="13"/>
  <c r="AC125" i="13"/>
  <c r="Z14" i="13"/>
  <c r="AC34" i="13"/>
  <c r="X257" i="13"/>
  <c r="AE63" i="13"/>
  <c r="Y145" i="13"/>
  <c r="X195" i="13"/>
  <c r="AD179" i="13"/>
  <c r="AE172" i="13"/>
  <c r="Z56" i="13"/>
  <c r="Y148" i="13"/>
  <c r="AC124" i="13"/>
  <c r="AE274" i="13"/>
  <c r="AE177" i="13"/>
  <c r="Y137" i="13"/>
  <c r="AE144" i="13"/>
  <c r="X137" i="13"/>
  <c r="Y121" i="13"/>
  <c r="AE244" i="13"/>
  <c r="Y356" i="13"/>
  <c r="Z29" i="13"/>
  <c r="Y13" i="13"/>
  <c r="AD155" i="13"/>
  <c r="Y44" i="13"/>
  <c r="Z171" i="13"/>
  <c r="AF144" i="13" l="1"/>
  <c r="AF177" i="13"/>
  <c r="AF274" i="13"/>
  <c r="AA56" i="13"/>
  <c r="AF172" i="13"/>
  <c r="AF63" i="13"/>
  <c r="AA14" i="13"/>
  <c r="AA146" i="13"/>
  <c r="AA312" i="13"/>
  <c r="AF40" i="13"/>
  <c r="AF30" i="13"/>
  <c r="AF25" i="13"/>
  <c r="AA192" i="13"/>
  <c r="AA204" i="13"/>
  <c r="AF165" i="13"/>
  <c r="AA137" i="13"/>
  <c r="AA148" i="13"/>
  <c r="AF179" i="13"/>
  <c r="AA145" i="13"/>
  <c r="AA153" i="13"/>
  <c r="AA126" i="13"/>
  <c r="AA271" i="13"/>
  <c r="AF192" i="13"/>
  <c r="AF44" i="13"/>
  <c r="AA194" i="13"/>
  <c r="AA274" i="13"/>
  <c r="AF251" i="13"/>
  <c r="AA151" i="13"/>
  <c r="AA195" i="13"/>
  <c r="AA257" i="13"/>
  <c r="AA270" i="13"/>
  <c r="AA22" i="13"/>
  <c r="AA152" i="13"/>
  <c r="AF56" i="13"/>
  <c r="AA263" i="13"/>
  <c r="AF270" i="13"/>
  <c r="AF356" i="13"/>
  <c r="AA163" i="13"/>
  <c r="AF338" i="13"/>
  <c r="AF130" i="13"/>
  <c r="AA65" i="13"/>
  <c r="AA313" i="13"/>
  <c r="AA351" i="13"/>
  <c r="AA15" i="13"/>
  <c r="AF160" i="13"/>
  <c r="AF126" i="13"/>
  <c r="AF124" i="13"/>
  <c r="AF34" i="13"/>
  <c r="AF125" i="13"/>
  <c r="AA12" i="13"/>
  <c r="AF175" i="13"/>
  <c r="AF23" i="13"/>
  <c r="AF31" i="13"/>
  <c r="AF275" i="13"/>
  <c r="AF273" i="13"/>
  <c r="AA31" i="13"/>
  <c r="AA158" i="13"/>
  <c r="AF266" i="13"/>
  <c r="AF279" i="13"/>
  <c r="AA23" i="13"/>
  <c r="AA272" i="13"/>
  <c r="AF39" i="13"/>
  <c r="AA338" i="13"/>
  <c r="AF148" i="13"/>
  <c r="AA165" i="13"/>
  <c r="AF289" i="13"/>
  <c r="AF256" i="13"/>
  <c r="AA327" i="13"/>
  <c r="AA16" i="13"/>
  <c r="AF16" i="13"/>
  <c r="AF138" i="13"/>
  <c r="AF265" i="13"/>
  <c r="AF137" i="13"/>
  <c r="AF157" i="13"/>
  <c r="AA160" i="13"/>
  <c r="AF142" i="13"/>
  <c r="AA34" i="13"/>
  <c r="AF355" i="13"/>
  <c r="AF255" i="13"/>
  <c r="AF21" i="13"/>
  <c r="AF96" i="13"/>
  <c r="AA311" i="13"/>
  <c r="AA357" i="13"/>
  <c r="AF36" i="13"/>
  <c r="AA156" i="13"/>
  <c r="AF141" i="13"/>
  <c r="AF154" i="13"/>
  <c r="AF158" i="13"/>
  <c r="AA17" i="13"/>
  <c r="AF120" i="13"/>
  <c r="AF102" i="13"/>
  <c r="AF247" i="13"/>
  <c r="AF178" i="13"/>
  <c r="AA280" i="13"/>
  <c r="AA141" i="13"/>
  <c r="AF188" i="13"/>
  <c r="AA220" i="13"/>
  <c r="AF254" i="13"/>
  <c r="AF164" i="13"/>
  <c r="AF173" i="13"/>
  <c r="AA139" i="13"/>
  <c r="AA54" i="13"/>
  <c r="AA273" i="13"/>
  <c r="AF331" i="13"/>
  <c r="AF139" i="13"/>
  <c r="AA310" i="13"/>
  <c r="AA255" i="13"/>
  <c r="AA40" i="13"/>
  <c r="AF153" i="13"/>
  <c r="AA266" i="13"/>
  <c r="AF248" i="13"/>
  <c r="AA157" i="13"/>
  <c r="AF151" i="13"/>
  <c r="AF220" i="13"/>
  <c r="AA127" i="13"/>
  <c r="AA202" i="13"/>
  <c r="AF33" i="13"/>
  <c r="AA30" i="13"/>
  <c r="AF147" i="13"/>
  <c r="AA155" i="13"/>
  <c r="AA289" i="13"/>
  <c r="AA256" i="13"/>
  <c r="AF134" i="13"/>
  <c r="AA172" i="13"/>
  <c r="AF103" i="13"/>
  <c r="AA150" i="13"/>
  <c r="AE301" i="13"/>
  <c r="AA44" i="13"/>
  <c r="AC123" i="13"/>
  <c r="AD123" i="13"/>
  <c r="AF123" i="13"/>
  <c r="AD208" i="13"/>
  <c r="AF208" i="13"/>
  <c r="AE208" i="13"/>
  <c r="AF284" i="13"/>
  <c r="AD284" i="13"/>
  <c r="AC284" i="13"/>
  <c r="X308" i="13"/>
  <c r="Z308" i="13"/>
  <c r="AA308" i="13"/>
  <c r="AD299" i="13"/>
  <c r="AE299" i="13"/>
  <c r="AF299" i="13"/>
  <c r="AE321" i="13"/>
  <c r="AC321" i="13"/>
  <c r="AF321" i="13"/>
  <c r="AF345" i="13"/>
  <c r="AC345" i="13"/>
  <c r="AE345" i="13"/>
  <c r="AA97" i="13"/>
  <c r="Y97" i="13"/>
  <c r="Z97" i="13"/>
  <c r="AE319" i="13"/>
  <c r="AF319" i="13"/>
  <c r="AC319" i="13"/>
  <c r="X283" i="13"/>
  <c r="AA283" i="13"/>
  <c r="Z283" i="13"/>
  <c r="AA286" i="13"/>
  <c r="Z286" i="13"/>
  <c r="Y286" i="13"/>
  <c r="Y308" i="13"/>
  <c r="AA247" i="13"/>
  <c r="AE320" i="13"/>
  <c r="AC320" i="13"/>
  <c r="AD320" i="13"/>
  <c r="AF320" i="13"/>
  <c r="AF149" i="13"/>
  <c r="AC149" i="13"/>
  <c r="AE149" i="13"/>
  <c r="AD149" i="13"/>
  <c r="AF243" i="13"/>
  <c r="AC243" i="13"/>
  <c r="AD243" i="13"/>
  <c r="AE243" i="13"/>
  <c r="Y326" i="13"/>
  <c r="Z326" i="13"/>
  <c r="AA326" i="13"/>
  <c r="X326" i="13"/>
  <c r="Y296" i="13"/>
  <c r="AA296" i="13"/>
  <c r="X296" i="13"/>
  <c r="Z296" i="13"/>
  <c r="AC283" i="13"/>
  <c r="AE283" i="13"/>
  <c r="AD283" i="13"/>
  <c r="AF283" i="13"/>
  <c r="AC169" i="13"/>
  <c r="AD169" i="13"/>
  <c r="AE169" i="13"/>
  <c r="AF169" i="13"/>
  <c r="AA320" i="13"/>
  <c r="X320" i="13"/>
  <c r="Z320" i="13"/>
  <c r="Y320" i="13"/>
  <c r="AE294" i="13"/>
  <c r="AD294" i="13"/>
  <c r="AC294" i="13"/>
  <c r="AF294" i="13"/>
  <c r="X323" i="13"/>
  <c r="Z323" i="13"/>
  <c r="Y323" i="13"/>
  <c r="AA323" i="13"/>
  <c r="AA50" i="13"/>
  <c r="X50" i="13"/>
  <c r="Y50" i="13"/>
  <c r="Z50" i="13"/>
  <c r="AF64" i="13"/>
  <c r="AE64" i="13"/>
  <c r="AC64" i="13"/>
  <c r="AD64" i="13"/>
  <c r="Z64" i="13"/>
  <c r="Y64" i="13"/>
  <c r="AA64" i="13"/>
  <c r="X64" i="13"/>
  <c r="AE290" i="13"/>
  <c r="AD290" i="13"/>
  <c r="AC290" i="13"/>
  <c r="AF290" i="13"/>
  <c r="Z27" i="13"/>
  <c r="Y27" i="13"/>
  <c r="X27" i="13"/>
  <c r="AA27" i="13"/>
  <c r="AC304" i="13"/>
  <c r="AE304" i="13"/>
  <c r="AF304" i="13"/>
  <c r="AD304" i="13"/>
  <c r="AC119" i="13"/>
  <c r="AD119" i="13"/>
  <c r="AF119" i="13"/>
  <c r="AE119" i="13"/>
  <c r="X262" i="13"/>
  <c r="Z262" i="13"/>
  <c r="Y262" i="13"/>
  <c r="AA262" i="13"/>
  <c r="AD99" i="13"/>
  <c r="AE99" i="13"/>
  <c r="AF99" i="13"/>
  <c r="AC99" i="13"/>
  <c r="AC174" i="13"/>
  <c r="AE174" i="13"/>
  <c r="AD174" i="13"/>
  <c r="AF174" i="13"/>
  <c r="AE135" i="13"/>
  <c r="AF135" i="13"/>
  <c r="AC135" i="13"/>
  <c r="AD135" i="13"/>
  <c r="AE252" i="13"/>
  <c r="AC252" i="13"/>
  <c r="AF252" i="13"/>
  <c r="AD252" i="13"/>
  <c r="X209" i="13"/>
  <c r="Z209" i="13"/>
  <c r="Y209" i="13"/>
  <c r="AA209" i="13"/>
  <c r="AE143" i="13"/>
  <c r="AC143" i="13"/>
  <c r="AF143" i="13"/>
  <c r="AD143" i="13"/>
  <c r="AE307" i="13"/>
  <c r="AD307" i="13"/>
  <c r="AF307" i="13"/>
  <c r="AC307" i="13"/>
  <c r="Z38" i="13"/>
  <c r="X38" i="13"/>
  <c r="AA38" i="13"/>
  <c r="Y38" i="13"/>
  <c r="AE209" i="13"/>
  <c r="AC209" i="13"/>
  <c r="AF209" i="13"/>
  <c r="AD209" i="13"/>
  <c r="AF296" i="13"/>
  <c r="AC296" i="13"/>
  <c r="AD296" i="13"/>
  <c r="AE296" i="13"/>
  <c r="AE97" i="13"/>
  <c r="AC97" i="13"/>
  <c r="AF97" i="13"/>
  <c r="AD97" i="13"/>
  <c r="AF306" i="13"/>
  <c r="AE306" i="13"/>
  <c r="AD306" i="13"/>
  <c r="AC306" i="13"/>
  <c r="Z8" i="13"/>
  <c r="Y8" i="13"/>
  <c r="AA8" i="13"/>
  <c r="X8" i="13"/>
  <c r="AD300" i="13"/>
  <c r="AF300" i="13"/>
  <c r="AC300" i="13"/>
  <c r="AE300" i="13"/>
  <c r="AD325" i="13"/>
  <c r="AE325" i="13"/>
  <c r="AC325" i="13"/>
  <c r="AF325" i="13"/>
  <c r="X99" i="13"/>
  <c r="Z99" i="13"/>
  <c r="AA99" i="13"/>
  <c r="Y99" i="13"/>
  <c r="AE50" i="13"/>
  <c r="AD50" i="13"/>
  <c r="AF50" i="13"/>
  <c r="AC50" i="13"/>
  <c r="AA135" i="13"/>
  <c r="Y135" i="13"/>
  <c r="Z135" i="13"/>
  <c r="X135" i="13"/>
  <c r="Z94" i="13"/>
  <c r="Y94" i="13"/>
  <c r="AA94" i="13"/>
  <c r="X94" i="13"/>
  <c r="X285" i="13"/>
  <c r="Z285" i="13"/>
  <c r="AA285" i="13"/>
  <c r="Y285" i="13"/>
  <c r="AD242" i="13"/>
  <c r="AE242" i="13"/>
  <c r="AF242" i="13"/>
  <c r="AC242" i="13"/>
  <c r="AF8" i="13"/>
  <c r="AE8" i="13"/>
  <c r="AC8" i="13"/>
  <c r="AD8" i="13"/>
  <c r="AD79" i="13"/>
  <c r="AF79" i="13"/>
  <c r="AE79" i="13"/>
  <c r="AC79" i="13"/>
  <c r="AD262" i="13"/>
  <c r="AF262" i="13"/>
  <c r="AC262" i="13"/>
  <c r="AE262" i="13"/>
  <c r="Z295" i="13"/>
  <c r="X295" i="13"/>
  <c r="Y295" i="13"/>
  <c r="AA295" i="13"/>
  <c r="AE239" i="13"/>
  <c r="AC239" i="13"/>
  <c r="AF239" i="13"/>
  <c r="AD239" i="13"/>
  <c r="AD334" i="13"/>
  <c r="AF334" i="13"/>
  <c r="AC334" i="13"/>
  <c r="AE334" i="13"/>
  <c r="Y171" i="13"/>
  <c r="X44" i="13"/>
  <c r="AC155" i="13"/>
  <c r="X102" i="13"/>
  <c r="AC195" i="13"/>
  <c r="X7" i="13"/>
  <c r="X13" i="13"/>
  <c r="X236" i="13"/>
  <c r="X173" i="13"/>
  <c r="AD14" i="13"/>
  <c r="AD194" i="13"/>
  <c r="Y42" i="13"/>
  <c r="AC244" i="13"/>
  <c r="Z309" i="13"/>
  <c r="Z28" i="13"/>
  <c r="Z39" i="13"/>
  <c r="Z121" i="13"/>
  <c r="AD233" i="13"/>
  <c r="AE132" i="13"/>
  <c r="AE7" i="13"/>
  <c r="AD136" i="13"/>
  <c r="AE350" i="13"/>
  <c r="AD146" i="13"/>
  <c r="AC281" i="13"/>
  <c r="Y279" i="13"/>
  <c r="Y288" i="13"/>
  <c r="Y164" i="13"/>
  <c r="AD357" i="13"/>
  <c r="Z191" i="13"/>
  <c r="AD189" i="13"/>
  <c r="X147" i="13"/>
  <c r="X190" i="13"/>
  <c r="X331" i="13"/>
  <c r="Y37" i="13"/>
  <c r="AE272" i="13"/>
  <c r="Y138" i="13"/>
  <c r="AE55" i="13"/>
  <c r="Z100" i="13"/>
  <c r="Y350" i="13"/>
  <c r="Y36" i="13"/>
  <c r="AD258" i="13"/>
  <c r="AE263" i="13"/>
  <c r="X96" i="13"/>
  <c r="X233" i="13"/>
  <c r="AD121" i="13"/>
  <c r="AD288" i="13"/>
  <c r="Y63" i="13"/>
  <c r="AE287" i="13"/>
  <c r="X281" i="13"/>
  <c r="X142" i="13"/>
  <c r="Y275" i="13"/>
  <c r="Y125" i="13"/>
  <c r="AD156" i="13"/>
  <c r="Y287" i="13"/>
  <c r="AC280" i="13"/>
  <c r="AE12" i="13"/>
  <c r="X21" i="13"/>
  <c r="AE59" i="13"/>
  <c r="X254" i="13"/>
  <c r="Z260" i="13"/>
  <c r="Z55" i="13"/>
  <c r="Z136" i="13"/>
  <c r="AC351" i="13"/>
  <c r="AC127" i="13"/>
  <c r="AE29" i="13"/>
  <c r="X258" i="13"/>
  <c r="X59" i="13"/>
  <c r="AC202" i="13"/>
  <c r="X120" i="13"/>
  <c r="Z265" i="13"/>
  <c r="AC65" i="13"/>
  <c r="X264" i="13"/>
  <c r="AD150" i="13"/>
  <c r="X154" i="13"/>
  <c r="AC187" i="13"/>
  <c r="AD13" i="13"/>
  <c r="AE54" i="13"/>
  <c r="AC100" i="13"/>
  <c r="X287" i="13"/>
  <c r="AD12" i="13"/>
  <c r="AD59" i="13"/>
  <c r="Y260" i="13"/>
  <c r="Y136" i="13"/>
  <c r="AD351" i="13"/>
  <c r="AE260" i="13"/>
  <c r="Y102" i="13"/>
  <c r="AE233" i="13"/>
  <c r="Y7" i="13"/>
  <c r="Y103" i="13"/>
  <c r="Z236" i="13"/>
  <c r="Y173" i="13"/>
  <c r="Y29" i="13"/>
  <c r="AC194" i="13"/>
  <c r="X42" i="13"/>
  <c r="X356" i="13"/>
  <c r="AD244" i="13"/>
  <c r="Y309" i="13"/>
  <c r="AC15" i="13"/>
  <c r="X39" i="13"/>
  <c r="X121" i="13"/>
  <c r="AC132" i="13"/>
  <c r="AC7" i="13"/>
  <c r="AC136" i="13"/>
  <c r="AC350" i="13"/>
  <c r="AC146" i="13"/>
  <c r="AD281" i="13"/>
  <c r="Z279" i="13"/>
  <c r="X288" i="13"/>
  <c r="X164" i="13"/>
  <c r="AC357" i="13"/>
  <c r="Y191" i="13"/>
  <c r="AC189" i="13"/>
  <c r="Z147" i="13"/>
  <c r="Z190" i="13"/>
  <c r="Z331" i="13"/>
  <c r="Z37" i="13"/>
  <c r="AD272" i="13"/>
  <c r="Z138" i="13"/>
  <c r="AD55" i="13"/>
  <c r="X100" i="13"/>
  <c r="Z350" i="13"/>
  <c r="X36" i="13"/>
  <c r="AE258" i="13"/>
  <c r="AC263" i="13"/>
  <c r="Y96" i="13"/>
  <c r="Y233" i="13"/>
  <c r="AC121" i="13"/>
  <c r="AE288" i="13"/>
  <c r="Z63" i="13"/>
  <c r="AC287" i="13"/>
  <c r="Z281" i="13"/>
  <c r="Z142" i="13"/>
  <c r="X275" i="13"/>
  <c r="X125" i="13"/>
  <c r="AE156" i="13"/>
  <c r="AE280" i="13"/>
  <c r="Z21" i="13"/>
  <c r="Z254" i="13"/>
  <c r="X55" i="13"/>
  <c r="Y248" i="13"/>
  <c r="AD260" i="13"/>
  <c r="Z102" i="13"/>
  <c r="AC233" i="13"/>
  <c r="Z7" i="13"/>
  <c r="Z103" i="13"/>
  <c r="Y236" i="13"/>
  <c r="AE14" i="13"/>
  <c r="X29" i="13"/>
  <c r="AE194" i="13"/>
  <c r="Z356" i="13"/>
  <c r="X28" i="13"/>
  <c r="AE15" i="13"/>
  <c r="Y39" i="13"/>
  <c r="AD132" i="13"/>
  <c r="AD7" i="13"/>
  <c r="AE136" i="13"/>
  <c r="AD350" i="13"/>
  <c r="AE146" i="13"/>
  <c r="AE281" i="13"/>
  <c r="X279" i="13"/>
  <c r="Z288" i="13"/>
  <c r="Z164" i="13"/>
  <c r="AE357" i="13"/>
  <c r="X191" i="13"/>
  <c r="AE189" i="13"/>
  <c r="Y147" i="13"/>
  <c r="Y190" i="13"/>
  <c r="Y331" i="13"/>
  <c r="X37" i="13"/>
  <c r="AC272" i="13"/>
  <c r="X138" i="13"/>
  <c r="AC55" i="13"/>
  <c r="Y100" i="13"/>
  <c r="X350" i="13"/>
  <c r="Z36" i="13"/>
  <c r="AC258" i="13"/>
  <c r="AD263" i="13"/>
  <c r="Z96" i="13"/>
  <c r="Z233" i="13"/>
  <c r="AE121" i="13"/>
  <c r="AC288" i="13"/>
  <c r="X63" i="13"/>
  <c r="AD287" i="13"/>
  <c r="Y281" i="13"/>
  <c r="Y142" i="13"/>
  <c r="Z275" i="13"/>
  <c r="Z125" i="13"/>
  <c r="AC156" i="13"/>
  <c r="Z287" i="13"/>
  <c r="AD280" i="13"/>
  <c r="AC12" i="13"/>
  <c r="Y21" i="13"/>
  <c r="AC59" i="13"/>
  <c r="Y254" i="13"/>
  <c r="X260" i="13"/>
  <c r="Y55" i="13"/>
  <c r="X136" i="13"/>
  <c r="AE351" i="13"/>
  <c r="AD127" i="13"/>
  <c r="AD29" i="13"/>
  <c r="Z258" i="13"/>
  <c r="Z59" i="13"/>
  <c r="AE202" i="13"/>
  <c r="Y120" i="13"/>
  <c r="X265" i="13"/>
  <c r="AE65" i="13"/>
  <c r="Y264" i="13"/>
  <c r="AC150" i="13"/>
  <c r="Y154" i="13"/>
  <c r="AD187" i="13"/>
  <c r="AC13" i="13"/>
  <c r="AD54" i="13"/>
  <c r="AE100" i="13"/>
  <c r="AC103" i="13"/>
  <c r="X150" i="13"/>
  <c r="AE155" i="13"/>
  <c r="AC260" i="13"/>
  <c r="AD195" i="13"/>
  <c r="Z13" i="13"/>
  <c r="X103" i="13"/>
  <c r="Z173" i="13"/>
  <c r="AC14" i="13"/>
  <c r="Z42" i="13"/>
  <c r="X309" i="13"/>
  <c r="Y28" i="13"/>
  <c r="AD15" i="13"/>
  <c r="AE195" i="13"/>
  <c r="X247" i="13"/>
  <c r="AE127" i="13"/>
  <c r="Y258" i="13"/>
  <c r="AD202" i="13"/>
  <c r="Y265" i="13"/>
  <c r="Z264" i="13"/>
  <c r="Z154" i="13"/>
  <c r="AE13" i="13"/>
  <c r="AD100" i="13"/>
  <c r="AC29" i="13"/>
  <c r="Y59" i="13"/>
  <c r="Z120" i="13"/>
  <c r="AD65" i="13"/>
  <c r="AE150" i="13"/>
  <c r="AE187" i="13"/>
  <c r="AC54" i="13"/>
  <c r="AF187" i="13" l="1"/>
  <c r="AF150" i="13"/>
  <c r="AA120" i="13"/>
  <c r="AF13" i="13"/>
  <c r="AA154" i="13"/>
  <c r="AA264" i="13"/>
  <c r="AF127" i="13"/>
  <c r="AF195" i="13"/>
  <c r="AA42" i="13"/>
  <c r="AA173" i="13"/>
  <c r="AA13" i="13"/>
  <c r="AF155" i="13"/>
  <c r="AF100" i="13"/>
  <c r="AF65" i="13"/>
  <c r="AF202" i="13"/>
  <c r="AA59" i="13"/>
  <c r="AA258" i="13"/>
  <c r="AF351" i="13"/>
  <c r="AA287" i="13"/>
  <c r="AA125" i="13"/>
  <c r="AA275" i="13"/>
  <c r="AF121" i="13"/>
  <c r="AA233" i="13"/>
  <c r="AA96" i="13"/>
  <c r="AA36" i="13"/>
  <c r="AF189" i="13"/>
  <c r="AF357" i="13"/>
  <c r="AA164" i="13"/>
  <c r="AA288" i="13"/>
  <c r="AF281" i="13"/>
  <c r="AF146" i="13"/>
  <c r="AF136" i="13"/>
  <c r="AF15" i="13"/>
  <c r="AA356" i="13"/>
  <c r="AF194" i="13"/>
  <c r="AF14" i="13"/>
  <c r="AA103" i="13"/>
  <c r="AA7" i="13"/>
  <c r="AA102" i="13"/>
  <c r="AA248" i="13"/>
  <c r="AA254" i="13"/>
  <c r="AA21" i="13"/>
  <c r="AF280" i="13"/>
  <c r="AF156" i="13"/>
  <c r="AA142" i="13"/>
  <c r="AA281" i="13"/>
  <c r="AA63" i="13"/>
  <c r="AF288" i="13"/>
  <c r="AF258" i="13"/>
  <c r="AA350" i="13"/>
  <c r="AA138" i="13"/>
  <c r="AA37" i="13"/>
  <c r="AA331" i="13"/>
  <c r="AA190" i="13"/>
  <c r="AA147" i="13"/>
  <c r="AA279" i="13"/>
  <c r="AF244" i="13"/>
  <c r="AA29" i="13"/>
  <c r="AA236" i="13"/>
  <c r="AF233" i="13"/>
  <c r="AF260" i="13"/>
  <c r="AF54" i="13"/>
  <c r="AA265" i="13"/>
  <c r="AF29" i="13"/>
  <c r="AA136" i="13"/>
  <c r="AA55" i="13"/>
  <c r="AA260" i="13"/>
  <c r="AF59" i="13"/>
  <c r="AF12" i="13"/>
  <c r="AF287" i="13"/>
  <c r="AF263" i="13"/>
  <c r="AA100" i="13"/>
  <c r="AF55" i="13"/>
  <c r="AF272" i="13"/>
  <c r="AA191" i="13"/>
  <c r="AF350" i="13"/>
  <c r="AF7" i="13"/>
  <c r="AF132" i="13"/>
  <c r="AA121" i="13"/>
  <c r="AA39" i="13"/>
  <c r="AA28" i="13"/>
  <c r="AA309" i="13"/>
  <c r="AA17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Heller</author>
    <author>Heller, Martin</author>
  </authors>
  <commentList>
    <comment ref="H123" authorId="0" shapeId="0" xr:uid="{00000000-0006-0000-0100-000001000000}">
      <text>
        <r>
          <rPr>
            <b/>
            <sz val="9"/>
            <color indexed="81"/>
            <rFont val="Calibri"/>
            <family val="2"/>
          </rPr>
          <t>Martin Heller:</t>
        </r>
        <r>
          <rPr>
            <sz val="9"/>
            <color indexed="81"/>
            <rFont val="Calibri"/>
            <family val="2"/>
          </rPr>
          <t xml:space="preserve">
LCA data goes directly to orange juice
</t>
        </r>
      </text>
    </comment>
    <comment ref="H129" authorId="0" shapeId="0" xr:uid="{00000000-0006-0000-0100-000002000000}">
      <text>
        <r>
          <rPr>
            <b/>
            <sz val="9"/>
            <color indexed="81"/>
            <rFont val="Calibri"/>
            <family val="2"/>
          </rPr>
          <t>Martin Heller:</t>
        </r>
        <r>
          <rPr>
            <sz val="9"/>
            <color indexed="81"/>
            <rFont val="Calibri"/>
            <family val="2"/>
          </rPr>
          <t xml:space="preserve">
have values for lemon juice directly
</t>
        </r>
      </text>
    </comment>
    <comment ref="H299" authorId="1" shapeId="0" xr:uid="{00000000-0006-0000-0100-000003000000}">
      <text>
        <r>
          <rPr>
            <b/>
            <sz val="9"/>
            <color indexed="81"/>
            <rFont val="Tahoma"/>
            <charset val="1"/>
          </rPr>
          <t>Heller, Martin:</t>
        </r>
        <r>
          <rPr>
            <sz val="9"/>
            <color indexed="81"/>
            <rFont val="Tahoma"/>
            <charset val="1"/>
          </rPr>
          <t xml:space="preserve">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H300" authorId="1" shapeId="0" xr:uid="{00000000-0006-0000-0100-000004000000}">
      <text>
        <r>
          <rPr>
            <b/>
            <sz val="9"/>
            <color rgb="FF000000"/>
            <rFont val="Tahoma"/>
            <charset val="1"/>
          </rPr>
          <t>Heller, Martin:</t>
        </r>
        <r>
          <rPr>
            <sz val="9"/>
            <color rgb="FF000000"/>
            <rFont val="Tahoma"/>
            <charset val="1"/>
          </rPr>
          <t xml:space="preserve">
</t>
        </r>
        <r>
          <rPr>
            <sz val="9"/>
            <color rgb="FF000000"/>
            <rFont val="Tahoma"/>
            <charset val="1"/>
          </rPr>
          <t>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H301" authorId="1" shapeId="0" xr:uid="{00000000-0006-0000-0100-000005000000}">
      <text>
        <r>
          <rPr>
            <b/>
            <sz val="9"/>
            <color rgb="FF000000"/>
            <rFont val="Tahoma"/>
            <charset val="1"/>
          </rPr>
          <t>Heller, Martin:</t>
        </r>
        <r>
          <rPr>
            <sz val="9"/>
            <color rgb="FF000000"/>
            <rFont val="Tahoma"/>
            <charset val="1"/>
          </rPr>
          <t xml:space="preserve">
</t>
        </r>
        <r>
          <rPr>
            <sz val="9"/>
            <color rgb="FF000000"/>
            <rFont val="Tahoma"/>
            <charset val="1"/>
          </rPr>
          <t>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G330" authorId="0" shapeId="0" xr:uid="{00000000-0006-0000-0100-000006000000}">
      <text>
        <r>
          <rPr>
            <b/>
            <sz val="9"/>
            <color indexed="81"/>
            <rFont val="Calibri"/>
            <family val="2"/>
          </rPr>
          <t>Martin Heller:</t>
        </r>
        <r>
          <rPr>
            <sz val="9"/>
            <color indexed="81"/>
            <rFont val="Calibri"/>
            <family val="2"/>
          </rPr>
          <t xml:space="preserve">
these should remain zero</t>
        </r>
      </text>
    </comment>
    <comment ref="H355" authorId="0" shapeId="0" xr:uid="{00000000-0006-0000-0100-000007000000}">
      <text>
        <r>
          <rPr>
            <b/>
            <sz val="9"/>
            <color indexed="81"/>
            <rFont val="Calibri"/>
            <family val="2"/>
          </rPr>
          <t>Martin Heller:</t>
        </r>
        <r>
          <rPr>
            <sz val="9"/>
            <color indexed="81"/>
            <rFont val="Calibri"/>
            <family val="2"/>
          </rPr>
          <t xml:space="preserve">
using factor difference between roasted coffe bean and instant coffee powder as a proxy for difference between tea and instant tea.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Heller, Martin</author>
    <author>Martin Heller</author>
    <author>Team Meyer</author>
    <author/>
  </authors>
  <commentList>
    <comment ref="AE3" authorId="0" shapeId="0" xr:uid="{00000000-0006-0000-0200-00000100000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E4" authorId="0" shapeId="0" xr:uid="{00000000-0006-0000-0200-00000200000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E5" authorId="0" shapeId="0" xr:uid="{00000000-0006-0000-0200-00000300000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J104" authorId="1" shapeId="0" xr:uid="{00000000-0006-0000-0200-000004000000}">
      <text>
        <r>
          <rPr>
            <b/>
            <sz val="10"/>
            <color indexed="81"/>
            <rFont val="Calibri"/>
            <family val="2"/>
          </rPr>
          <t>Martin Heller:</t>
        </r>
        <r>
          <rPr>
            <sz val="10"/>
            <color indexed="81"/>
            <rFont val="Calibri"/>
            <family val="2"/>
          </rPr>
          <t xml:space="preserve">
removed "biogenic energy" of feeds, as included in report, as this is not how other values here are represented.  In the Phase 2 report, it indicates that this gross bioenergy contained in feed represents 83% of total.  511*.83=424.  This was subtracted from the value of 436 MJ/lb for feed, and 8MJ/lb for cattle rearing was added.</t>
        </r>
      </text>
    </comment>
    <comment ref="AH106" authorId="0" shapeId="0" xr:uid="{00000000-0006-0000-0200-000005000000}">
      <text>
        <r>
          <rPr>
            <b/>
            <sz val="10"/>
            <color indexed="81"/>
            <rFont val="Calibri"/>
            <family val="2"/>
          </rPr>
          <t>Heller, Martin:</t>
        </r>
        <r>
          <rPr>
            <sz val="10"/>
            <color indexed="81"/>
            <rFont val="Calibri"/>
            <family val="2"/>
          </rPr>
          <t xml:space="preserve">
including land use increases value by 3x, to 84.1</t>
        </r>
      </text>
    </comment>
    <comment ref="BF106" authorId="0" shapeId="0" xr:uid="{00000000-0006-0000-0200-000006000000}">
      <text>
        <r>
          <rPr>
            <b/>
            <sz val="10"/>
            <color indexed="81"/>
            <rFont val="Calibri"/>
            <family val="2"/>
          </rPr>
          <t>Heller, Martin:</t>
        </r>
        <r>
          <rPr>
            <sz val="10"/>
            <color indexed="81"/>
            <rFont val="Calibri"/>
            <family val="2"/>
          </rPr>
          <t xml:space="preserve">
including land use increases value by 3x, to 84.1</t>
        </r>
      </text>
    </comment>
    <comment ref="AI108" authorId="0" shapeId="0" xr:uid="{00000000-0006-0000-0200-000007000000}">
      <text>
        <r>
          <rPr>
            <b/>
            <sz val="10"/>
            <color indexed="81"/>
            <rFont val="Calibri"/>
            <family val="2"/>
          </rPr>
          <t>Heller, Martin:</t>
        </r>
        <r>
          <rPr>
            <sz val="10"/>
            <color indexed="81"/>
            <rFont val="Calibri"/>
            <family val="2"/>
          </rPr>
          <t xml:space="preserve">
=46.3 kg CO2e/kg CW when including land use change</t>
        </r>
      </text>
    </comment>
    <comment ref="BG108" authorId="0" shapeId="0" xr:uid="{00000000-0006-0000-0200-000008000000}">
      <text>
        <r>
          <rPr>
            <b/>
            <sz val="10"/>
            <color indexed="81"/>
            <rFont val="Calibri"/>
            <family val="2"/>
          </rPr>
          <t>Heller, Martin:</t>
        </r>
        <r>
          <rPr>
            <sz val="10"/>
            <color indexed="81"/>
            <rFont val="Calibri"/>
            <family val="2"/>
          </rPr>
          <t xml:space="preserve">
=46.3 kg CO2e/kg CW when including land use change</t>
        </r>
      </text>
    </comment>
    <comment ref="AG355" authorId="2" shapeId="0" xr:uid="{00000000-0006-0000-0200-000009000000}">
      <text>
        <r>
          <rPr>
            <b/>
            <sz val="10"/>
            <color indexed="81"/>
            <rFont val="Calibri"/>
            <family val="2"/>
          </rPr>
          <t>Team Meyer:</t>
        </r>
        <r>
          <rPr>
            <sz val="10"/>
            <color indexed="81"/>
            <rFont val="Calibri"/>
            <family val="2"/>
          </rPr>
          <t xml:space="preserve">
95% transportation from Uganda and retail</t>
        </r>
      </text>
    </comment>
    <comment ref="AI355" authorId="2" shapeId="0" xr:uid="{00000000-0006-0000-0200-00000A000000}">
      <text>
        <r>
          <rPr>
            <b/>
            <sz val="10"/>
            <color indexed="81"/>
            <rFont val="Calibri"/>
            <family val="2"/>
          </rPr>
          <t>Team Meyer:</t>
        </r>
        <r>
          <rPr>
            <sz val="10"/>
            <color indexed="81"/>
            <rFont val="Calibri"/>
            <family val="2"/>
          </rPr>
          <t xml:space="preserve">
95% transport from Uganda and retail</t>
        </r>
      </text>
    </comment>
    <comment ref="AT355" authorId="3" shapeId="0" xr:uid="{00000000-0006-0000-0200-00000B000000}">
      <text>
        <r>
          <rPr>
            <sz val="10"/>
            <color rgb="FF000000"/>
            <rFont val="Calibri"/>
            <family val="2"/>
          </rPr>
          <t>Team Meyer:
95% transportation from Uganda and retail</t>
        </r>
      </text>
    </comment>
    <comment ref="AV355" authorId="2" shapeId="0" xr:uid="{00000000-0006-0000-0200-00000C000000}">
      <text>
        <r>
          <rPr>
            <b/>
            <sz val="10"/>
            <color indexed="81"/>
            <rFont val="Calibri"/>
            <family val="2"/>
          </rPr>
          <t>Team Meyer:</t>
        </r>
        <r>
          <rPr>
            <sz val="10"/>
            <color indexed="81"/>
            <rFont val="Calibri"/>
            <family val="2"/>
          </rPr>
          <t xml:space="preserve">
95% transportation from Uganda and retail</t>
        </r>
      </text>
    </comment>
    <comment ref="BG355" authorId="3" shapeId="0" xr:uid="{00000000-0006-0000-0200-00000D000000}">
      <text>
        <r>
          <rPr>
            <sz val="10"/>
            <color rgb="FF000000"/>
            <rFont val="Calibri"/>
            <family val="2"/>
          </rPr>
          <t>Team Meyer:
95% transport from Uganda and retail</t>
        </r>
      </text>
    </comment>
    <comment ref="AH412" authorId="0" shapeId="0" xr:uid="{00000000-0006-0000-0200-00000E000000}">
      <text>
        <r>
          <rPr>
            <b/>
            <sz val="10"/>
            <color indexed="81"/>
            <rFont val="Calibri"/>
            <family val="2"/>
          </rPr>
          <t>Heller, Martin:</t>
        </r>
        <r>
          <rPr>
            <sz val="10"/>
            <color indexed="81"/>
            <rFont val="Calibri"/>
            <family val="2"/>
          </rPr>
          <t xml:space="preserve">
this value reported directly in report; no adjustments necessary</t>
        </r>
      </text>
    </comment>
    <comment ref="AG470" authorId="3" shapeId="0" xr:uid="{00000000-0006-0000-0200-00000F000000}">
      <text>
        <r>
          <rPr>
            <sz val="10"/>
            <color rgb="FF000000"/>
            <rFont val="Calibri"/>
            <family val="2"/>
          </rPr>
          <t xml:space="preserve">52% of this is airfreight
</t>
        </r>
      </text>
    </comment>
    <comment ref="AI470" authorId="3" shapeId="0" xr:uid="{00000000-0006-0000-0200-000010000000}">
      <text>
        <r>
          <rPr>
            <sz val="10"/>
            <color rgb="FF000000"/>
            <rFont val="Calibri"/>
            <family val="2"/>
          </rPr>
          <t>airfreight is 55%</t>
        </r>
      </text>
    </comment>
    <comment ref="AT470" authorId="3" shapeId="0" xr:uid="{00000000-0006-0000-0200-000011000000}">
      <text>
        <r>
          <rPr>
            <sz val="10"/>
            <color rgb="FF000000"/>
            <rFont val="Calibri"/>
            <family val="2"/>
          </rPr>
          <t xml:space="preserve">52% of this is airfreight
</t>
        </r>
      </text>
    </comment>
    <comment ref="AV470" authorId="3" shapeId="0" xr:uid="{00000000-0006-0000-0200-000012000000}">
      <text>
        <r>
          <rPr>
            <sz val="10"/>
            <color rgb="FF000000"/>
            <rFont val="Calibri"/>
            <family val="2"/>
          </rPr>
          <t xml:space="preserve">52% of this is airfreight
</t>
        </r>
      </text>
    </comment>
    <comment ref="BG470" authorId="3" shapeId="0" xr:uid="{00000000-0006-0000-0200-000013000000}">
      <text>
        <r>
          <rPr>
            <sz val="10"/>
            <color rgb="FF000000"/>
            <rFont val="Calibri"/>
            <family val="2"/>
          </rPr>
          <t>airfreight is 55%</t>
        </r>
      </text>
    </comment>
    <comment ref="AH471" authorId="3" shapeId="0" xr:uid="{00000000-0006-0000-0200-000014000000}">
      <text>
        <r>
          <rPr>
            <sz val="10"/>
            <color rgb="FF000000"/>
            <rFont val="Calibri"/>
            <family val="2"/>
          </rPr>
          <t xml:space="preserve">these are up-to-dock values, per kg liveweight
</t>
        </r>
      </text>
    </comment>
    <comment ref="BF471" authorId="3" shapeId="0" xr:uid="{00000000-0006-0000-0200-000015000000}">
      <text>
        <r>
          <rPr>
            <sz val="10"/>
            <color rgb="FF000000"/>
            <rFont val="Calibri"/>
            <family val="2"/>
          </rPr>
          <t xml:space="preserve">these are up-to-dock values, per kg liveweight
</t>
        </r>
      </text>
    </comment>
    <comment ref="AH472" authorId="3" shapeId="0" xr:uid="{00000000-0006-0000-0200-000016000000}">
      <text>
        <r>
          <rPr>
            <sz val="10"/>
            <color rgb="FF000000"/>
            <rFont val="Calibri"/>
            <family val="2"/>
          </rPr>
          <t>these are up-to-dock values, per kg liveweight</t>
        </r>
      </text>
    </comment>
    <comment ref="BF472" authorId="3" shapeId="0" xr:uid="{00000000-0006-0000-0200-000017000000}">
      <text>
        <r>
          <rPr>
            <sz val="10"/>
            <color rgb="FF000000"/>
            <rFont val="Calibri"/>
            <family val="2"/>
          </rPr>
          <t>these are up-to-dock values, per kg liveweight</t>
        </r>
      </text>
    </comment>
    <comment ref="AH473" authorId="3" shapeId="0" xr:uid="{00000000-0006-0000-0200-000018000000}">
      <text>
        <r>
          <rPr>
            <sz val="10"/>
            <color rgb="FF000000"/>
            <rFont val="Calibri"/>
            <family val="2"/>
          </rPr>
          <t>these are up-to-dock values, per kg liveweight</t>
        </r>
      </text>
    </comment>
    <comment ref="BF473" authorId="3" shapeId="0" xr:uid="{00000000-0006-0000-0200-000019000000}">
      <text>
        <r>
          <rPr>
            <sz val="10"/>
            <color rgb="FF000000"/>
            <rFont val="Calibri"/>
            <family val="2"/>
          </rPr>
          <t>these are up-to-dock values, per kg liveweight</t>
        </r>
      </text>
    </comment>
    <comment ref="AH474" authorId="3" shapeId="0" xr:uid="{00000000-0006-0000-0200-00001A000000}">
      <text>
        <r>
          <rPr>
            <sz val="10"/>
            <color rgb="FF000000"/>
            <rFont val="Calibri"/>
            <family val="2"/>
          </rPr>
          <t>these are up-to-dock values, per kg liveweight</t>
        </r>
      </text>
    </comment>
    <comment ref="BF474" authorId="3" shapeId="0" xr:uid="{00000000-0006-0000-0200-00001B000000}">
      <text>
        <r>
          <rPr>
            <sz val="10"/>
            <color rgb="FF000000"/>
            <rFont val="Calibri"/>
            <family val="2"/>
          </rPr>
          <t>these are up-to-dock values, per kg liveweight</t>
        </r>
      </text>
    </comment>
    <comment ref="AH475" authorId="3" shapeId="0" xr:uid="{00000000-0006-0000-0200-00001C000000}">
      <text>
        <r>
          <rPr>
            <sz val="10"/>
            <color rgb="FF000000"/>
            <rFont val="Calibri"/>
            <family val="2"/>
          </rPr>
          <t>these are up-to-dock values, per kg liveweight</t>
        </r>
      </text>
    </comment>
    <comment ref="BF475" authorId="3" shapeId="0" xr:uid="{00000000-0006-0000-0200-00001D000000}">
      <text>
        <r>
          <rPr>
            <sz val="10"/>
            <color rgb="FF000000"/>
            <rFont val="Calibri"/>
            <family val="2"/>
          </rPr>
          <t>these are up-to-dock values, per kg liveweight</t>
        </r>
      </text>
    </comment>
    <comment ref="AH476" authorId="3" shapeId="0" xr:uid="{00000000-0006-0000-0200-00001E000000}">
      <text>
        <r>
          <rPr>
            <sz val="10"/>
            <color rgb="FF000000"/>
            <rFont val="Calibri"/>
            <family val="2"/>
          </rPr>
          <t>these are up-to-dock values, per kg liveweight</t>
        </r>
      </text>
    </comment>
    <comment ref="BF476" authorId="3" shapeId="0" xr:uid="{00000000-0006-0000-0200-00001F000000}">
      <text>
        <r>
          <rPr>
            <sz val="10"/>
            <color rgb="FF000000"/>
            <rFont val="Calibri"/>
            <family val="2"/>
          </rPr>
          <t>these are up-to-dock values, per kg liveweight</t>
        </r>
      </text>
    </comment>
    <comment ref="AH477" authorId="3" shapeId="0" xr:uid="{00000000-0006-0000-0200-000020000000}">
      <text>
        <r>
          <rPr>
            <sz val="10"/>
            <color rgb="FF000000"/>
            <rFont val="Calibri"/>
            <family val="2"/>
          </rPr>
          <t>these are up-to-dock values, per kg liveweight</t>
        </r>
      </text>
    </comment>
    <comment ref="BF477" authorId="3" shapeId="0" xr:uid="{00000000-0006-0000-0200-000021000000}">
      <text>
        <r>
          <rPr>
            <sz val="10"/>
            <color rgb="FF000000"/>
            <rFont val="Calibri"/>
            <family val="2"/>
          </rPr>
          <t>these are up-to-dock values, per kg liveweight</t>
        </r>
      </text>
    </comment>
    <comment ref="AH478" authorId="3" shapeId="0" xr:uid="{00000000-0006-0000-0200-000022000000}">
      <text>
        <r>
          <rPr>
            <sz val="10"/>
            <color rgb="FF000000"/>
            <rFont val="Calibri"/>
            <family val="2"/>
          </rPr>
          <t>these are up-to-dock values, per kg liveweight</t>
        </r>
      </text>
    </comment>
    <comment ref="BF478" authorId="3" shapeId="0" xr:uid="{00000000-0006-0000-0200-000023000000}">
      <text>
        <r>
          <rPr>
            <sz val="10"/>
            <color rgb="FF000000"/>
            <rFont val="Calibri"/>
            <family val="2"/>
          </rPr>
          <t>these are up-to-dock values, per kg liveweight</t>
        </r>
      </text>
    </comment>
    <comment ref="AH479" authorId="3" shapeId="0" xr:uid="{00000000-0006-0000-0200-000024000000}">
      <text>
        <r>
          <rPr>
            <sz val="10"/>
            <color rgb="FF000000"/>
            <rFont val="Calibri"/>
            <family val="2"/>
          </rPr>
          <t>these are up-to-dock values, per kg liveweight</t>
        </r>
      </text>
    </comment>
    <comment ref="BF479" authorId="3" shapeId="0" xr:uid="{00000000-0006-0000-0200-000025000000}">
      <text>
        <r>
          <rPr>
            <sz val="10"/>
            <color rgb="FF000000"/>
            <rFont val="Calibri"/>
            <family val="2"/>
          </rPr>
          <t>these are up-to-dock values, per kg liveweight</t>
        </r>
      </text>
    </comment>
    <comment ref="AH480" authorId="3" shapeId="0" xr:uid="{00000000-0006-0000-0200-000026000000}">
      <text>
        <r>
          <rPr>
            <sz val="10"/>
            <color rgb="FF000000"/>
            <rFont val="Calibri"/>
            <family val="2"/>
          </rPr>
          <t>these are up-to-dock values, per kg liveweight</t>
        </r>
      </text>
    </comment>
    <comment ref="BF480" authorId="3" shapeId="0" xr:uid="{00000000-0006-0000-0200-000027000000}">
      <text>
        <r>
          <rPr>
            <sz val="10"/>
            <color rgb="FF000000"/>
            <rFont val="Calibri"/>
            <family val="2"/>
          </rPr>
          <t>these are up-to-dock values, per kg liveweight</t>
        </r>
      </text>
    </comment>
    <comment ref="AH481" authorId="3" shapeId="0" xr:uid="{00000000-0006-0000-0200-000028000000}">
      <text>
        <r>
          <rPr>
            <sz val="10"/>
            <color rgb="FF000000"/>
            <rFont val="Calibri"/>
            <family val="2"/>
          </rPr>
          <t>these are up-to-dock values, per kg liveweight</t>
        </r>
      </text>
    </comment>
    <comment ref="BF481" authorId="3" shapeId="0" xr:uid="{00000000-0006-0000-0200-000029000000}">
      <text>
        <r>
          <rPr>
            <sz val="10"/>
            <color rgb="FF000000"/>
            <rFont val="Calibri"/>
            <family val="2"/>
          </rPr>
          <t>these are up-to-dock values, per kg liveweight</t>
        </r>
      </text>
    </comment>
    <comment ref="AH482" authorId="3" shapeId="0" xr:uid="{00000000-0006-0000-0200-00002A000000}">
      <text>
        <r>
          <rPr>
            <sz val="10"/>
            <color rgb="FF000000"/>
            <rFont val="Calibri"/>
            <family val="2"/>
          </rPr>
          <t>these are up-to-dock values, per kg liveweight</t>
        </r>
      </text>
    </comment>
    <comment ref="BF482" authorId="3" shapeId="0" xr:uid="{00000000-0006-0000-0200-00002B000000}">
      <text>
        <r>
          <rPr>
            <sz val="10"/>
            <color rgb="FF000000"/>
            <rFont val="Calibri"/>
            <family val="2"/>
          </rPr>
          <t>these are up-to-dock values, per kg liveweight</t>
        </r>
      </text>
    </comment>
    <comment ref="AH483" authorId="3" shapeId="0" xr:uid="{00000000-0006-0000-0200-00002C000000}">
      <text>
        <r>
          <rPr>
            <sz val="10"/>
            <color rgb="FF000000"/>
            <rFont val="Calibri"/>
            <family val="2"/>
          </rPr>
          <t>these are up-to-dock values, per kg liveweight</t>
        </r>
      </text>
    </comment>
    <comment ref="BF483" authorId="3" shapeId="0" xr:uid="{00000000-0006-0000-0200-00002D000000}">
      <text>
        <r>
          <rPr>
            <sz val="10"/>
            <color rgb="FF000000"/>
            <rFont val="Calibri"/>
            <family val="2"/>
          </rPr>
          <t>these are up-to-dock values, per kg liveweight</t>
        </r>
      </text>
    </comment>
    <comment ref="AH484" authorId="3" shapeId="0" xr:uid="{00000000-0006-0000-0200-00002E000000}">
      <text>
        <r>
          <rPr>
            <sz val="10"/>
            <color rgb="FF000000"/>
            <rFont val="Calibri"/>
            <family val="2"/>
          </rPr>
          <t>these are up-to-dock values, per kg liveweight</t>
        </r>
      </text>
    </comment>
    <comment ref="BF484" authorId="3" shapeId="0" xr:uid="{00000000-0006-0000-0200-00002F000000}">
      <text>
        <r>
          <rPr>
            <sz val="10"/>
            <color rgb="FF000000"/>
            <rFont val="Calibri"/>
            <family val="2"/>
          </rPr>
          <t>these are up-to-dock values, per kg liveweight</t>
        </r>
      </text>
    </comment>
    <comment ref="AH485" authorId="3" shapeId="0" xr:uid="{00000000-0006-0000-0200-000030000000}">
      <text>
        <r>
          <rPr>
            <sz val="10"/>
            <color rgb="FF000000"/>
            <rFont val="Calibri"/>
            <family val="2"/>
          </rPr>
          <t>these are up-to-dock values, per kg liveweight</t>
        </r>
      </text>
    </comment>
    <comment ref="BF485" authorId="3" shapeId="0" xr:uid="{00000000-0006-0000-0200-000031000000}">
      <text>
        <r>
          <rPr>
            <sz val="10"/>
            <color rgb="FF000000"/>
            <rFont val="Calibri"/>
            <family val="2"/>
          </rPr>
          <t>these are up-to-dock values, per kg liveweight</t>
        </r>
      </text>
    </comment>
    <comment ref="AH486" authorId="3" shapeId="0" xr:uid="{00000000-0006-0000-0200-000032000000}">
      <text>
        <r>
          <rPr>
            <sz val="10"/>
            <color rgb="FF000000"/>
            <rFont val="Calibri"/>
            <family val="2"/>
          </rPr>
          <t>these are up-to-dock values, per kg liveweight</t>
        </r>
      </text>
    </comment>
    <comment ref="BF486" authorId="3" shapeId="0" xr:uid="{00000000-0006-0000-0200-000033000000}">
      <text>
        <r>
          <rPr>
            <sz val="10"/>
            <color rgb="FF000000"/>
            <rFont val="Calibri"/>
            <family val="2"/>
          </rPr>
          <t>these are up-to-dock values, per kg liveweight</t>
        </r>
      </text>
    </comment>
    <comment ref="AH487" authorId="3" shapeId="0" xr:uid="{00000000-0006-0000-0200-000034000000}">
      <text>
        <r>
          <rPr>
            <sz val="10"/>
            <color rgb="FF000000"/>
            <rFont val="Calibri"/>
            <family val="2"/>
          </rPr>
          <t>these are up-to-dock values, per kg liveweight</t>
        </r>
      </text>
    </comment>
    <comment ref="BF487" authorId="3" shapeId="0" xr:uid="{00000000-0006-0000-0200-000035000000}">
      <text>
        <r>
          <rPr>
            <sz val="10"/>
            <color rgb="FF000000"/>
            <rFont val="Calibri"/>
            <family val="2"/>
          </rPr>
          <t>these are up-to-dock values, per kg liveweight</t>
        </r>
      </text>
    </comment>
    <comment ref="AH488" authorId="3" shapeId="0" xr:uid="{00000000-0006-0000-0200-000036000000}">
      <text>
        <r>
          <rPr>
            <sz val="10"/>
            <color rgb="FF000000"/>
            <rFont val="Calibri"/>
            <family val="2"/>
          </rPr>
          <t>these are up-to-dock values, per kg liveweight</t>
        </r>
      </text>
    </comment>
    <comment ref="BF488" authorId="3" shapeId="0" xr:uid="{00000000-0006-0000-0200-000037000000}">
      <text>
        <r>
          <rPr>
            <sz val="10"/>
            <color rgb="FF000000"/>
            <rFont val="Calibri"/>
            <family val="2"/>
          </rPr>
          <t>these are up-to-dock values, per kg liveweight</t>
        </r>
      </text>
    </comment>
    <comment ref="AH489" authorId="3" shapeId="0" xr:uid="{00000000-0006-0000-0200-000038000000}">
      <text>
        <r>
          <rPr>
            <sz val="10"/>
            <color rgb="FF000000"/>
            <rFont val="Calibri"/>
            <family val="2"/>
          </rPr>
          <t>these are up-to-dock values, per kg liveweight</t>
        </r>
      </text>
    </comment>
    <comment ref="BF489" authorId="3" shapeId="0" xr:uid="{00000000-0006-0000-0200-000039000000}">
      <text>
        <r>
          <rPr>
            <sz val="10"/>
            <color rgb="FF000000"/>
            <rFont val="Calibri"/>
            <family val="2"/>
          </rPr>
          <t>these are up-to-dock values, per kg liveweight</t>
        </r>
      </text>
    </comment>
    <comment ref="AH490" authorId="3" shapeId="0" xr:uid="{00000000-0006-0000-0200-00003A000000}">
      <text>
        <r>
          <rPr>
            <sz val="10"/>
            <color rgb="FF000000"/>
            <rFont val="Calibri"/>
            <family val="2"/>
          </rPr>
          <t>these are up-to-dock values, per kg liveweight</t>
        </r>
      </text>
    </comment>
    <comment ref="BF490" authorId="3" shapeId="0" xr:uid="{00000000-0006-0000-0200-00003B000000}">
      <text>
        <r>
          <rPr>
            <sz val="10"/>
            <color rgb="FF000000"/>
            <rFont val="Calibri"/>
            <family val="2"/>
          </rPr>
          <t>these are up-to-dock values, per kg liveweight</t>
        </r>
      </text>
    </comment>
    <comment ref="AH491" authorId="3" shapeId="0" xr:uid="{00000000-0006-0000-0200-00003C000000}">
      <text>
        <r>
          <rPr>
            <sz val="10"/>
            <color rgb="FF000000"/>
            <rFont val="Calibri"/>
            <family val="2"/>
          </rPr>
          <t>these are up-to-dock values, per kg liveweight</t>
        </r>
      </text>
    </comment>
    <comment ref="BF491" authorId="3" shapeId="0" xr:uid="{00000000-0006-0000-0200-00003D000000}">
      <text>
        <r>
          <rPr>
            <sz val="10"/>
            <color rgb="FF000000"/>
            <rFont val="Calibri"/>
            <family val="2"/>
          </rPr>
          <t>these are up-to-dock values, per kg liveweight</t>
        </r>
      </text>
    </comment>
    <comment ref="AH492" authorId="3" shapeId="0" xr:uid="{00000000-0006-0000-0200-00003E000000}">
      <text>
        <r>
          <rPr>
            <sz val="10"/>
            <color rgb="FF000000"/>
            <rFont val="Calibri"/>
            <family val="2"/>
          </rPr>
          <t xml:space="preserve">these are up-to-dock values, per kg liveweight
</t>
        </r>
      </text>
    </comment>
    <comment ref="BF492" authorId="3" shapeId="0" xr:uid="{00000000-0006-0000-0200-00003F000000}">
      <text>
        <r>
          <rPr>
            <sz val="10"/>
            <color rgb="FF000000"/>
            <rFont val="Calibri"/>
            <family val="2"/>
          </rPr>
          <t xml:space="preserve">these are up-to-dock values, per kg liveweight
</t>
        </r>
      </text>
    </comment>
    <comment ref="AF493" authorId="3" shapeId="0" xr:uid="{00000000-0006-0000-0200-000040000000}">
      <text>
        <r>
          <rPr>
            <sz val="10"/>
            <color rgb="FF000000"/>
            <rFont val="Calibri"/>
            <family val="2"/>
          </rPr>
          <t xml:space="preserve">fishing sub-total
</t>
        </r>
      </text>
    </comment>
    <comment ref="AH493" authorId="3" shapeId="0" xr:uid="{00000000-0006-0000-0200-000041000000}">
      <text>
        <r>
          <rPr>
            <sz val="10"/>
            <color rgb="FF000000"/>
            <rFont val="Calibri"/>
            <family val="2"/>
          </rPr>
          <t xml:space="preserve">fishing sub-total
</t>
        </r>
      </text>
    </comment>
    <comment ref="AJ493" authorId="3" shapeId="0" xr:uid="{00000000-0006-0000-0200-000042000000}">
      <text>
        <r>
          <rPr>
            <sz val="10"/>
            <color rgb="FF000000"/>
            <rFont val="Calibri"/>
            <family val="2"/>
          </rPr>
          <t xml:space="preserve">fishing sub-total
</t>
        </r>
      </text>
    </comment>
    <comment ref="AS493" authorId="3" shapeId="0" xr:uid="{00000000-0006-0000-0200-000043000000}">
      <text>
        <r>
          <rPr>
            <sz val="10"/>
            <color rgb="FF000000"/>
            <rFont val="Calibri"/>
            <family val="2"/>
          </rPr>
          <t xml:space="preserve">fishing sub-total
</t>
        </r>
      </text>
    </comment>
    <comment ref="AW493" authorId="3" shapeId="0" xr:uid="{00000000-0006-0000-0200-000044000000}">
      <text>
        <r>
          <rPr>
            <sz val="10"/>
            <color rgb="FF000000"/>
            <rFont val="Calibri"/>
            <family val="2"/>
          </rPr>
          <t xml:space="preserve">fishing sub-total
</t>
        </r>
      </text>
    </comment>
    <comment ref="BF493" authorId="3" shapeId="0" xr:uid="{00000000-0006-0000-0200-000045000000}">
      <text>
        <r>
          <rPr>
            <sz val="10"/>
            <color rgb="FF000000"/>
            <rFont val="Calibri"/>
            <family val="2"/>
          </rPr>
          <t xml:space="preserve">fishing sub-total
</t>
        </r>
      </text>
    </comment>
    <comment ref="AF494" authorId="3" shapeId="0" xr:uid="{00000000-0006-0000-0200-000046000000}">
      <text>
        <r>
          <rPr>
            <sz val="10"/>
            <color rgb="FF000000"/>
            <rFont val="Calibri"/>
            <family val="2"/>
          </rPr>
          <t>fishing sub-total</t>
        </r>
      </text>
    </comment>
    <comment ref="AG494" authorId="3" shapeId="0" xr:uid="{00000000-0006-0000-0200-000047000000}">
      <text>
        <r>
          <rPr>
            <sz val="10"/>
            <color rgb="FF000000"/>
            <rFont val="Calibri"/>
            <family val="2"/>
          </rPr>
          <t>air transport is 38% of this</t>
        </r>
      </text>
    </comment>
    <comment ref="AH494" authorId="3" shapeId="0" xr:uid="{00000000-0006-0000-0200-000048000000}">
      <text>
        <r>
          <rPr>
            <sz val="10"/>
            <color rgb="FF000000"/>
            <rFont val="Calibri"/>
            <family val="2"/>
          </rPr>
          <t>fishing sub-total</t>
        </r>
      </text>
    </comment>
    <comment ref="AI494" authorId="3" shapeId="0" xr:uid="{00000000-0006-0000-0200-000049000000}">
      <text>
        <r>
          <rPr>
            <sz val="10"/>
            <color rgb="FF000000"/>
            <rFont val="Calibri"/>
            <family val="2"/>
          </rPr>
          <t>air transport is 36%</t>
        </r>
      </text>
    </comment>
    <comment ref="AJ494" authorId="3" shapeId="0" xr:uid="{00000000-0006-0000-0200-00004A000000}">
      <text>
        <r>
          <rPr>
            <sz val="10"/>
            <color rgb="FF000000"/>
            <rFont val="Calibri"/>
            <family val="2"/>
          </rPr>
          <t>fishing sub-total</t>
        </r>
      </text>
    </comment>
    <comment ref="AS494" authorId="3" shapeId="0" xr:uid="{00000000-0006-0000-0200-00004B000000}">
      <text>
        <r>
          <rPr>
            <sz val="10"/>
            <color rgb="FF000000"/>
            <rFont val="Calibri"/>
            <family val="2"/>
          </rPr>
          <t>fishing sub-total</t>
        </r>
      </text>
    </comment>
    <comment ref="AT494" authorId="3" shapeId="0" xr:uid="{00000000-0006-0000-0200-00004C000000}">
      <text>
        <r>
          <rPr>
            <sz val="10"/>
            <color rgb="FF000000"/>
            <rFont val="Calibri"/>
            <family val="2"/>
          </rPr>
          <t>air transport is 38% of this</t>
        </r>
      </text>
    </comment>
    <comment ref="AV494" authorId="3" shapeId="0" xr:uid="{00000000-0006-0000-0200-00004D000000}">
      <text>
        <r>
          <rPr>
            <sz val="10"/>
            <color rgb="FF000000"/>
            <rFont val="Calibri"/>
            <family val="2"/>
          </rPr>
          <t>air transport is 38% of this</t>
        </r>
      </text>
    </comment>
    <comment ref="AW494" authorId="3" shapeId="0" xr:uid="{00000000-0006-0000-0200-00004E000000}">
      <text>
        <r>
          <rPr>
            <sz val="10"/>
            <color rgb="FF000000"/>
            <rFont val="Calibri"/>
            <family val="2"/>
          </rPr>
          <t>fishing sub-total</t>
        </r>
      </text>
    </comment>
    <comment ref="BF494" authorId="3" shapeId="0" xr:uid="{00000000-0006-0000-0200-00004F000000}">
      <text>
        <r>
          <rPr>
            <sz val="10"/>
            <color rgb="FF000000"/>
            <rFont val="Calibri"/>
            <family val="2"/>
          </rPr>
          <t>fishing sub-total</t>
        </r>
      </text>
    </comment>
    <comment ref="BG494" authorId="3" shapeId="0" xr:uid="{00000000-0006-0000-0200-000050000000}">
      <text>
        <r>
          <rPr>
            <sz val="10"/>
            <color rgb="FF000000"/>
            <rFont val="Calibri"/>
            <family val="2"/>
          </rPr>
          <t>air transport is 36%</t>
        </r>
      </text>
    </comment>
    <comment ref="AW495" authorId="3" shapeId="0" xr:uid="{00000000-0006-0000-0200-000051000000}">
      <text>
        <r>
          <rPr>
            <sz val="10"/>
            <color rgb="FF000000"/>
            <rFont val="Calibri"/>
            <family val="2"/>
          </rPr>
          <t>Includes Oil Production
	-Robert Meyer</t>
        </r>
      </text>
    </comment>
    <comment ref="BF495" authorId="3" shapeId="0" xr:uid="{00000000-0006-0000-0200-000052000000}">
      <text>
        <r>
          <rPr>
            <sz val="10"/>
            <color rgb="FF000000"/>
            <rFont val="Calibri"/>
            <family val="2"/>
          </rPr>
          <t>Includes Oil Production
	-Robert Meyer</t>
        </r>
      </text>
    </comment>
    <comment ref="AW496" authorId="3" shapeId="0" xr:uid="{00000000-0006-0000-0200-000053000000}">
      <text>
        <r>
          <rPr>
            <sz val="10"/>
            <color rgb="FF000000"/>
            <rFont val="Calibri"/>
            <family val="2"/>
          </rPr>
          <t>Includes Oil Production
	-Robert Meyer</t>
        </r>
      </text>
    </comment>
    <comment ref="AF510" authorId="3" shapeId="0" xr:uid="{00000000-0006-0000-0200-000054000000}">
      <text>
        <r>
          <rPr>
            <sz val="10"/>
            <color rgb="FF000000"/>
            <rFont val="Calibri"/>
            <family val="2"/>
          </rPr>
          <t xml:space="preserve">production, processing and packaging
</t>
        </r>
      </text>
    </comment>
    <comment ref="AH510" authorId="3" shapeId="0" xr:uid="{00000000-0006-0000-0200-000055000000}">
      <text>
        <r>
          <rPr>
            <sz val="10"/>
            <color rgb="FF000000"/>
            <rFont val="Calibri"/>
            <family val="2"/>
          </rPr>
          <t xml:space="preserve">production, processing and packaging
</t>
        </r>
      </text>
    </comment>
    <comment ref="AL510" authorId="3" shapeId="0" xr:uid="{00000000-0006-0000-0200-000056000000}">
      <text>
        <r>
          <rPr>
            <sz val="10"/>
            <color rgb="FF000000"/>
            <rFont val="Calibri"/>
            <family val="2"/>
          </rPr>
          <t xml:space="preserve">production, processing and packaging
</t>
        </r>
      </text>
    </comment>
    <comment ref="AY510" authorId="3" shapeId="0" xr:uid="{00000000-0006-0000-0200-000057000000}">
      <text>
        <r>
          <rPr>
            <sz val="10"/>
            <color rgb="FF000000"/>
            <rFont val="Calibri"/>
            <family val="2"/>
          </rPr>
          <t xml:space="preserve">production, processing and packaging
</t>
        </r>
      </text>
    </comment>
    <comment ref="AF511" authorId="3" shapeId="0" xr:uid="{00000000-0006-0000-0200-000058000000}">
      <text>
        <r>
          <rPr>
            <sz val="10"/>
            <color rgb="FF000000"/>
            <rFont val="Calibri"/>
            <family val="2"/>
          </rPr>
          <t>production, processing and packaging</t>
        </r>
      </text>
    </comment>
    <comment ref="AH511" authorId="3" shapeId="0" xr:uid="{00000000-0006-0000-0200-000059000000}">
      <text>
        <r>
          <rPr>
            <sz val="10"/>
            <color rgb="FF000000"/>
            <rFont val="Calibri"/>
            <family val="2"/>
          </rPr>
          <t xml:space="preserve">production, processing and packaging
</t>
        </r>
      </text>
    </comment>
    <comment ref="AF519" authorId="3" shapeId="0" xr:uid="{00000000-0006-0000-0200-00005A000000}">
      <text>
        <r>
          <rPr>
            <sz val="10"/>
            <color rgb="FF000000"/>
            <rFont val="Calibri"/>
            <family val="2"/>
          </rPr>
          <t xml:space="preserve">fishing only
</t>
        </r>
      </text>
    </comment>
    <comment ref="AH519" authorId="3" shapeId="0" xr:uid="{00000000-0006-0000-0200-00005B000000}">
      <text>
        <r>
          <rPr>
            <sz val="10"/>
            <color rgb="FF000000"/>
            <rFont val="Calibri"/>
            <family val="2"/>
          </rPr>
          <t xml:space="preserve">fishing only
</t>
        </r>
      </text>
    </comment>
    <comment ref="AJ519" authorId="3" shapeId="0" xr:uid="{00000000-0006-0000-0200-00005C000000}">
      <text>
        <r>
          <rPr>
            <sz val="10"/>
            <color rgb="FF000000"/>
            <rFont val="Calibri"/>
            <family val="2"/>
          </rPr>
          <t xml:space="preserve">fishing only
</t>
        </r>
      </text>
    </comment>
    <comment ref="AS519" authorId="3" shapeId="0" xr:uid="{00000000-0006-0000-0200-00005D000000}">
      <text>
        <r>
          <rPr>
            <sz val="10"/>
            <color rgb="FF000000"/>
            <rFont val="Calibri"/>
            <family val="2"/>
          </rPr>
          <t xml:space="preserve">fishing only
</t>
        </r>
      </text>
    </comment>
    <comment ref="AW519" authorId="3" shapeId="0" xr:uid="{00000000-0006-0000-0200-00005E000000}">
      <text>
        <r>
          <rPr>
            <sz val="10"/>
            <color rgb="FF000000"/>
            <rFont val="Calibri"/>
            <family val="2"/>
          </rPr>
          <t xml:space="preserve">fishing only
</t>
        </r>
      </text>
    </comment>
    <comment ref="BF519" authorId="3" shapeId="0" xr:uid="{00000000-0006-0000-0200-00005F000000}">
      <text>
        <r>
          <rPr>
            <sz val="10"/>
            <color rgb="FF000000"/>
            <rFont val="Calibri"/>
            <family val="2"/>
          </rPr>
          <t xml:space="preserve">fishing only
</t>
        </r>
      </text>
    </comment>
    <comment ref="AF520" authorId="3" shapeId="0" xr:uid="{00000000-0006-0000-0200-000060000000}">
      <text>
        <r>
          <rPr>
            <sz val="10"/>
            <color rgb="FF000000"/>
            <rFont val="Calibri"/>
            <family val="2"/>
          </rPr>
          <t>fishing only</t>
        </r>
      </text>
    </comment>
    <comment ref="AH520" authorId="3" shapeId="0" xr:uid="{00000000-0006-0000-0200-000061000000}">
      <text>
        <r>
          <rPr>
            <sz val="10"/>
            <color rgb="FF000000"/>
            <rFont val="Calibri"/>
            <family val="2"/>
          </rPr>
          <t>fishing only</t>
        </r>
      </text>
    </comment>
    <comment ref="AJ520" authorId="3" shapeId="0" xr:uid="{00000000-0006-0000-0200-000062000000}">
      <text>
        <r>
          <rPr>
            <sz val="10"/>
            <color rgb="FF000000"/>
            <rFont val="Calibri"/>
            <family val="2"/>
          </rPr>
          <t>fishing only</t>
        </r>
      </text>
    </comment>
    <comment ref="AS520" authorId="3" shapeId="0" xr:uid="{00000000-0006-0000-0200-000063000000}">
      <text>
        <r>
          <rPr>
            <sz val="10"/>
            <color rgb="FF000000"/>
            <rFont val="Calibri"/>
            <family val="2"/>
          </rPr>
          <t>fishing only</t>
        </r>
      </text>
    </comment>
    <comment ref="AW520" authorId="3" shapeId="0" xr:uid="{00000000-0006-0000-0200-000064000000}">
      <text>
        <r>
          <rPr>
            <sz val="10"/>
            <color rgb="FF000000"/>
            <rFont val="Calibri"/>
            <family val="2"/>
          </rPr>
          <t>fishing only</t>
        </r>
      </text>
    </comment>
    <comment ref="BF520" authorId="3" shapeId="0" xr:uid="{00000000-0006-0000-0200-000065000000}">
      <text>
        <r>
          <rPr>
            <sz val="10"/>
            <color rgb="FF000000"/>
            <rFont val="Calibri"/>
            <family val="2"/>
          </rPr>
          <t>fishing only</t>
        </r>
      </text>
    </comment>
    <comment ref="AF521" authorId="3" shapeId="0" xr:uid="{00000000-0006-0000-0200-000066000000}">
      <text>
        <r>
          <rPr>
            <sz val="10"/>
            <color rgb="FF000000"/>
            <rFont val="Calibri"/>
            <family val="2"/>
          </rPr>
          <t>fishing only</t>
        </r>
      </text>
    </comment>
    <comment ref="AH521" authorId="3" shapeId="0" xr:uid="{00000000-0006-0000-0200-000067000000}">
      <text>
        <r>
          <rPr>
            <sz val="10"/>
            <color rgb="FF000000"/>
            <rFont val="Calibri"/>
            <family val="2"/>
          </rPr>
          <t>fishing only</t>
        </r>
      </text>
    </comment>
    <comment ref="AJ521" authorId="3" shapeId="0" xr:uid="{00000000-0006-0000-0200-000068000000}">
      <text>
        <r>
          <rPr>
            <sz val="10"/>
            <color rgb="FF000000"/>
            <rFont val="Calibri"/>
            <family val="2"/>
          </rPr>
          <t>fishing only</t>
        </r>
      </text>
    </comment>
    <comment ref="AS521" authorId="3" shapeId="0" xr:uid="{00000000-0006-0000-0200-000069000000}">
      <text>
        <r>
          <rPr>
            <sz val="10"/>
            <color rgb="FF000000"/>
            <rFont val="Calibri"/>
            <family val="2"/>
          </rPr>
          <t>fishing only</t>
        </r>
      </text>
    </comment>
    <comment ref="AW521" authorId="3" shapeId="0" xr:uid="{00000000-0006-0000-0200-00006A000000}">
      <text>
        <r>
          <rPr>
            <sz val="10"/>
            <color rgb="FF000000"/>
            <rFont val="Calibri"/>
            <family val="2"/>
          </rPr>
          <t>fishing only</t>
        </r>
      </text>
    </comment>
    <comment ref="BF521" authorId="3" shapeId="0" xr:uid="{00000000-0006-0000-0200-00006B000000}">
      <text>
        <r>
          <rPr>
            <sz val="10"/>
            <color rgb="FF000000"/>
            <rFont val="Calibri"/>
            <family val="2"/>
          </rPr>
          <t>fishing only</t>
        </r>
      </text>
    </comment>
    <comment ref="AF522" authorId="3" shapeId="0" xr:uid="{00000000-0006-0000-0200-00006C000000}">
      <text>
        <r>
          <rPr>
            <sz val="10"/>
            <color rgb="FF000000"/>
            <rFont val="Calibri"/>
            <family val="2"/>
          </rPr>
          <t>fishing only</t>
        </r>
      </text>
    </comment>
    <comment ref="AH522" authorId="3" shapeId="0" xr:uid="{00000000-0006-0000-0200-00006D000000}">
      <text>
        <r>
          <rPr>
            <sz val="10"/>
            <color rgb="FF000000"/>
            <rFont val="Calibri"/>
            <family val="2"/>
          </rPr>
          <t>fishing only</t>
        </r>
      </text>
    </comment>
    <comment ref="AJ522" authorId="3" shapeId="0" xr:uid="{00000000-0006-0000-0200-00006E000000}">
      <text>
        <r>
          <rPr>
            <sz val="10"/>
            <color rgb="FF000000"/>
            <rFont val="Calibri"/>
            <family val="2"/>
          </rPr>
          <t>fishing only</t>
        </r>
      </text>
    </comment>
    <comment ref="AS522" authorId="3" shapeId="0" xr:uid="{00000000-0006-0000-0200-00006F000000}">
      <text>
        <r>
          <rPr>
            <sz val="10"/>
            <color rgb="FF000000"/>
            <rFont val="Calibri"/>
            <family val="2"/>
          </rPr>
          <t>fishing only</t>
        </r>
      </text>
    </comment>
    <comment ref="AW522" authorId="3" shapeId="0" xr:uid="{00000000-0006-0000-0200-000070000000}">
      <text>
        <r>
          <rPr>
            <sz val="10"/>
            <color rgb="FF000000"/>
            <rFont val="Calibri"/>
            <family val="2"/>
          </rPr>
          <t>fishing only</t>
        </r>
      </text>
    </comment>
    <comment ref="BF522" authorId="3" shapeId="0" xr:uid="{00000000-0006-0000-0200-000071000000}">
      <text>
        <r>
          <rPr>
            <sz val="10"/>
            <color rgb="FF000000"/>
            <rFont val="Calibri"/>
            <family val="2"/>
          </rPr>
          <t>fishing only</t>
        </r>
      </text>
    </comment>
    <comment ref="AF523" authorId="3" shapeId="0" xr:uid="{00000000-0006-0000-0200-000072000000}">
      <text>
        <r>
          <rPr>
            <sz val="10"/>
            <color rgb="FF000000"/>
            <rFont val="Calibri"/>
            <family val="2"/>
          </rPr>
          <t>fishing only</t>
        </r>
      </text>
    </comment>
    <comment ref="AH523" authorId="3" shapeId="0" xr:uid="{00000000-0006-0000-0200-000073000000}">
      <text>
        <r>
          <rPr>
            <sz val="10"/>
            <color rgb="FF000000"/>
            <rFont val="Calibri"/>
            <family val="2"/>
          </rPr>
          <t>fishing only</t>
        </r>
      </text>
    </comment>
    <comment ref="AJ523" authorId="3" shapeId="0" xr:uid="{00000000-0006-0000-0200-000074000000}">
      <text>
        <r>
          <rPr>
            <sz val="10"/>
            <color rgb="FF000000"/>
            <rFont val="Calibri"/>
            <family val="2"/>
          </rPr>
          <t>fishing only</t>
        </r>
      </text>
    </comment>
    <comment ref="AS523" authorId="3" shapeId="0" xr:uid="{00000000-0006-0000-0200-000075000000}">
      <text>
        <r>
          <rPr>
            <sz val="10"/>
            <color rgb="FF000000"/>
            <rFont val="Calibri"/>
            <family val="2"/>
          </rPr>
          <t>fishing only</t>
        </r>
      </text>
    </comment>
    <comment ref="AW523" authorId="3" shapeId="0" xr:uid="{00000000-0006-0000-0200-000076000000}">
      <text>
        <r>
          <rPr>
            <sz val="10"/>
            <color rgb="FF000000"/>
            <rFont val="Calibri"/>
            <family val="2"/>
          </rPr>
          <t>fishing only</t>
        </r>
      </text>
    </comment>
    <comment ref="BF523" authorId="3" shapeId="0" xr:uid="{00000000-0006-0000-0200-000077000000}">
      <text>
        <r>
          <rPr>
            <sz val="10"/>
            <color rgb="FF000000"/>
            <rFont val="Calibri"/>
            <family val="2"/>
          </rPr>
          <t>fishing only</t>
        </r>
      </text>
    </comment>
    <comment ref="AF524" authorId="3" shapeId="0" xr:uid="{00000000-0006-0000-0200-000078000000}">
      <text>
        <r>
          <rPr>
            <sz val="10"/>
            <color rgb="FF000000"/>
            <rFont val="Calibri"/>
            <family val="2"/>
          </rPr>
          <t>fishing only</t>
        </r>
      </text>
    </comment>
    <comment ref="AH524" authorId="3" shapeId="0" xr:uid="{00000000-0006-0000-0200-000079000000}">
      <text>
        <r>
          <rPr>
            <sz val="10"/>
            <color rgb="FF000000"/>
            <rFont val="Calibri"/>
            <family val="2"/>
          </rPr>
          <t>fishing only</t>
        </r>
      </text>
    </comment>
    <comment ref="AJ524" authorId="3" shapeId="0" xr:uid="{00000000-0006-0000-0200-00007A000000}">
      <text>
        <r>
          <rPr>
            <sz val="10"/>
            <color rgb="FF000000"/>
            <rFont val="Calibri"/>
            <family val="2"/>
          </rPr>
          <t>fishing only</t>
        </r>
      </text>
    </comment>
    <comment ref="AS524" authorId="3" shapeId="0" xr:uid="{00000000-0006-0000-0200-00007B000000}">
      <text>
        <r>
          <rPr>
            <sz val="10"/>
            <color rgb="FF000000"/>
            <rFont val="Calibri"/>
            <family val="2"/>
          </rPr>
          <t>fishing only</t>
        </r>
      </text>
    </comment>
    <comment ref="AW524" authorId="3" shapeId="0" xr:uid="{00000000-0006-0000-0200-00007C000000}">
      <text>
        <r>
          <rPr>
            <sz val="10"/>
            <color rgb="FF000000"/>
            <rFont val="Calibri"/>
            <family val="2"/>
          </rPr>
          <t>fishing only</t>
        </r>
      </text>
    </comment>
    <comment ref="BF524" authorId="3" shapeId="0" xr:uid="{00000000-0006-0000-0200-00007D000000}">
      <text>
        <r>
          <rPr>
            <sz val="10"/>
            <color rgb="FF000000"/>
            <rFont val="Calibri"/>
            <family val="2"/>
          </rPr>
          <t>fishing only</t>
        </r>
      </text>
    </comment>
    <comment ref="A608" authorId="3" shapeId="0" xr:uid="{00000000-0006-0000-0200-00007E000000}">
      <text>
        <r>
          <rPr>
            <sz val="10"/>
            <color rgb="FF000000"/>
            <rFont val="Calibri"/>
            <family val="2"/>
          </rPr>
          <t>Functional Unit is hectares, not mass based
	-Robert Meyer</t>
        </r>
      </text>
    </comment>
    <comment ref="AJ608" authorId="3" shapeId="0" xr:uid="{00000000-0006-0000-0200-00007F000000}">
      <text>
        <r>
          <rPr>
            <sz val="10"/>
            <color rgb="FF000000"/>
            <rFont val="Calibri"/>
            <family val="2"/>
          </rPr>
          <t>value is higher here because it does not include the negative contribution of grain displaced by molasses co-product (also does not include transport and milling)</t>
        </r>
      </text>
    </comment>
    <comment ref="AS608" authorId="3" shapeId="0" xr:uid="{00000000-0006-0000-0200-000080000000}">
      <text>
        <r>
          <rPr>
            <sz val="10"/>
            <color rgb="FF000000"/>
            <rFont val="Calibri"/>
            <family val="2"/>
          </rPr>
          <t>value is higher here because it does not include the negative contribution of grain displaced by  molasses co-product (also does not include transport and milling)</t>
        </r>
      </text>
    </comment>
    <comment ref="AI788" authorId="1" shapeId="0" xr:uid="{00000000-0006-0000-0200-000081000000}">
      <text>
        <r>
          <rPr>
            <b/>
            <sz val="10"/>
            <color indexed="81"/>
            <rFont val="Calibri"/>
            <family val="2"/>
          </rPr>
          <t>Martin Heller:</t>
        </r>
        <r>
          <rPr>
            <sz val="10"/>
            <color indexed="81"/>
            <rFont val="Calibri"/>
            <family val="2"/>
          </rPr>
          <t xml:space="preserve">
emissions to factory gate are 1704.3g/6pack = 0.762 kg CO2e/kg
</t>
        </r>
      </text>
    </comment>
    <comment ref="BG788" authorId="0" shapeId="0" xr:uid="{00000000-0006-0000-0200-000082000000}">
      <text>
        <r>
          <rPr>
            <b/>
            <sz val="10"/>
            <color indexed="81"/>
            <rFont val="Calibri"/>
            <family val="2"/>
          </rPr>
          <t>Heller, Martin:</t>
        </r>
        <r>
          <rPr>
            <sz val="10"/>
            <color indexed="81"/>
            <rFont val="Calibri"/>
            <family val="2"/>
          </rPr>
          <t xml:space="preserve">
emissions to factory gate are 1704.3g/6pack = 0.762 kg CO2e/kg</t>
        </r>
      </text>
    </comment>
    <comment ref="AQ1366" authorId="1" shapeId="0" xr:uid="{00000000-0006-0000-0200-000083000000}">
      <text>
        <r>
          <rPr>
            <b/>
            <sz val="10"/>
            <color indexed="81"/>
            <rFont val="Calibri"/>
            <family val="2"/>
          </rPr>
          <t>Martin Heller:</t>
        </r>
        <r>
          <rPr>
            <sz val="10"/>
            <color indexed="81"/>
            <rFont val="Calibri"/>
            <family val="2"/>
          </rPr>
          <t xml:space="preserve">
avoided fertilizer
</t>
        </r>
      </text>
    </comment>
    <comment ref="BD1366" authorId="1" shapeId="0" xr:uid="{00000000-0006-0000-0200-000084000000}">
      <text>
        <r>
          <rPr>
            <b/>
            <sz val="10"/>
            <color indexed="81"/>
            <rFont val="Calibri"/>
            <family val="2"/>
          </rPr>
          <t>Martin Heller:</t>
        </r>
        <r>
          <rPr>
            <sz val="10"/>
            <color indexed="81"/>
            <rFont val="Calibri"/>
            <family val="2"/>
          </rPr>
          <t xml:space="preserve">
avoided fertilizer</t>
        </r>
      </text>
    </comment>
    <comment ref="AY1477" authorId="1" shapeId="0" xr:uid="{00000000-0006-0000-0200-000085000000}">
      <text>
        <r>
          <rPr>
            <b/>
            <sz val="10"/>
            <color indexed="81"/>
            <rFont val="Calibri"/>
            <family val="2"/>
          </rPr>
          <t>Martin Heller:</t>
        </r>
        <r>
          <rPr>
            <sz val="10"/>
            <color indexed="81"/>
            <rFont val="Calibri"/>
            <family val="2"/>
          </rPr>
          <t xml:space="preserve">
post-harvest cooling</t>
        </r>
      </text>
    </comment>
    <comment ref="AY1478" authorId="1" shapeId="0" xr:uid="{00000000-0006-0000-0200-000086000000}">
      <text>
        <r>
          <rPr>
            <b/>
            <sz val="10"/>
            <color indexed="81"/>
            <rFont val="Calibri"/>
            <family val="2"/>
          </rPr>
          <t>Martin Heller:</t>
        </r>
        <r>
          <rPr>
            <sz val="10"/>
            <color indexed="81"/>
            <rFont val="Calibri"/>
            <family val="2"/>
          </rPr>
          <t xml:space="preserve">
post-harvest cooling</t>
        </r>
      </text>
    </comment>
    <comment ref="AY1479" authorId="1" shapeId="0" xr:uid="{00000000-0006-0000-0200-000087000000}">
      <text>
        <r>
          <rPr>
            <b/>
            <sz val="10"/>
            <color indexed="81"/>
            <rFont val="Calibri"/>
            <family val="2"/>
          </rPr>
          <t>Martin Heller:</t>
        </r>
        <r>
          <rPr>
            <sz val="10"/>
            <color indexed="81"/>
            <rFont val="Calibri"/>
            <family val="2"/>
          </rPr>
          <t xml:space="preserve">
post-harvest cooling</t>
        </r>
      </text>
    </comment>
    <comment ref="AY1480" authorId="1" shapeId="0" xr:uid="{00000000-0006-0000-0200-000088000000}">
      <text>
        <r>
          <rPr>
            <b/>
            <sz val="10"/>
            <color indexed="81"/>
            <rFont val="Calibri"/>
            <family val="2"/>
          </rPr>
          <t>Martin Heller:</t>
        </r>
        <r>
          <rPr>
            <sz val="10"/>
            <color indexed="81"/>
            <rFont val="Calibri"/>
            <family val="2"/>
          </rPr>
          <t xml:space="preserve">
post-harvest cooling</t>
        </r>
      </text>
    </comment>
    <comment ref="AL1481" authorId="1" shapeId="0" xr:uid="{00000000-0006-0000-0200-000089000000}">
      <text>
        <r>
          <rPr>
            <b/>
            <sz val="10"/>
            <color indexed="81"/>
            <rFont val="Calibri"/>
            <family val="2"/>
          </rPr>
          <t>Martin Heller:</t>
        </r>
        <r>
          <rPr>
            <sz val="10"/>
            <color indexed="81"/>
            <rFont val="Calibri"/>
            <family val="2"/>
          </rPr>
          <t xml:space="preserve">
excluding contribution from drying because biomass energy (rice hulls) are used.</t>
        </r>
      </text>
    </comment>
  </commentList>
</comments>
</file>

<file path=xl/sharedStrings.xml><?xml version="1.0" encoding="utf-8"?>
<sst xmlns="http://schemas.openxmlformats.org/spreadsheetml/2006/main" count="38018" uniqueCount="4437">
  <si>
    <t>FOOD TYPE</t>
  </si>
  <si>
    <t>SUB TYPE</t>
  </si>
  <si>
    <t>FOOD FORM</t>
  </si>
  <si>
    <t>PRODUCT OR PRODUCTION SPECIFICS</t>
  </si>
  <si>
    <t>COMPARES PRODUCTION STRATEGIES / METHODS?</t>
  </si>
  <si>
    <t>COUNTRY OF ORIGIN</t>
  </si>
  <si>
    <t>CED, LCIA METHOD AND UNIT</t>
  </si>
  <si>
    <t>reported variance</t>
  </si>
  <si>
    <t>GHGE, LCIA METHOD AND UNIT</t>
  </si>
  <si>
    <t>Other (specify)</t>
  </si>
  <si>
    <t>MJ/kg</t>
  </si>
  <si>
    <t>Dairy</t>
  </si>
  <si>
    <t>Fluid Milk, Cow</t>
  </si>
  <si>
    <t>Fresh or Not Specified</t>
  </si>
  <si>
    <t>Liquid Milk</t>
  </si>
  <si>
    <t>No</t>
  </si>
  <si>
    <t>USA</t>
  </si>
  <si>
    <t>Greg Thoma a; Jennie Popp b; Darin Nutter c; David Shonnard d; Richard Ulrich a; Marty Matlock e; Dae Soo Kim a; Zara Neiderman e; Nathan Kemper b; Cashion East a; Felix Adomd d</t>
  </si>
  <si>
    <t>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t>
  </si>
  <si>
    <t>Peer Reviewed Journal</t>
  </si>
  <si>
    <t>Yes</t>
  </si>
  <si>
    <t xml:space="preserve">Cradle-to-farm gate; farm to processor transportation; processing, packaging and distribution; retail channels; consumer transportation and storage; post consumer waste management; supply chain loss/waste; </t>
  </si>
  <si>
    <t>1 kg of milk consumed</t>
  </si>
  <si>
    <t>IPPC (2006)</t>
  </si>
  <si>
    <t>Meat</t>
  </si>
  <si>
    <t>lowland farms</t>
  </si>
  <si>
    <t>England &amp; Wales</t>
  </si>
  <si>
    <t>A.K. Jones, D.L. Jones, P. Cross</t>
  </si>
  <si>
    <t>Bangor University, UK</t>
  </si>
  <si>
    <t>economic allocation among sheep farm outputs</t>
  </si>
  <si>
    <t>1 kg LW</t>
  </si>
  <si>
    <t>dressing yield=50.8%, 65.8% boneless meat</t>
  </si>
  <si>
    <t>CV=33%</t>
  </si>
  <si>
    <t>IPPC, 2007, 100 year</t>
  </si>
  <si>
    <t>highland farms</t>
  </si>
  <si>
    <t>CV=23%</t>
  </si>
  <si>
    <t>hill farms</t>
  </si>
  <si>
    <t>A.K. Jones; D.L. Jones; P. Cross</t>
  </si>
  <si>
    <t>CV=34%</t>
  </si>
  <si>
    <t>Eggs</t>
  </si>
  <si>
    <t>Eggs, Chicken</t>
  </si>
  <si>
    <t>Barn</t>
  </si>
  <si>
    <t>Netherlands</t>
  </si>
  <si>
    <t>S.E.M. Dekker (a); I.J.M. de Boer (b); I. Vermeij (c ); A.J.A. Aarnink (c ); P.W.G. Groot Koerkamp (a,c)</t>
  </si>
  <si>
    <t>(a) Farm Technology Group, Wageningen University, The Netherlands; (b) Animal Production Systems Group, Wageningen University, The Netherlands; (c ) Wageningen UR Livestock Research, The Netherlands</t>
  </si>
  <si>
    <t>1 kg eggs at farm gate</t>
  </si>
  <si>
    <t>2.666 to 2.685</t>
  </si>
  <si>
    <t>IPCC 2006</t>
  </si>
  <si>
    <t>Free range</t>
  </si>
  <si>
    <t>2.74 to 2.754</t>
  </si>
  <si>
    <t>Organic</t>
  </si>
  <si>
    <t>2.533 to 2.547</t>
  </si>
  <si>
    <t>Conventional enriched cage</t>
  </si>
  <si>
    <t>Beef</t>
  </si>
  <si>
    <t>grass finished; delivered to USA</t>
  </si>
  <si>
    <t>Australia</t>
  </si>
  <si>
    <t>Stephen Wiedemann (a); Eugene McGahan (a); Caoilinn Murphy (a); Ming-Jia Yan (a); Beverley Henry (b); Greg Thoma (c); Stewart Ledgard (d)</t>
  </si>
  <si>
    <t>(a) FSA Consulting, Australia; (b) Institute for Future Environments, Queensland University of Technology, Brisbane,Australia; (c) Ralph E. Martin Department of Chemical Engineering, University of Arkansas, Fayetteville, AR; (d) AgResearch Ruakura Research Centre, Hamilton , New Zealand</t>
  </si>
  <si>
    <t>GHG assoc with LU/dLUC included bur reported separately</t>
  </si>
  <si>
    <t>kg boneless beef, retail-ready in US</t>
  </si>
  <si>
    <t>IPPC AR4 (2007), 100 y</t>
  </si>
  <si>
    <t>delivered to USA</t>
  </si>
  <si>
    <t>kg bone-in lamb, retail-ready in US</t>
  </si>
  <si>
    <t>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</si>
  <si>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mid-fed (115 days on grain); delivered to USA</t>
  </si>
  <si>
    <t>long-fed (330 days on grain); delivered to USA</t>
  </si>
  <si>
    <t>Represents national farm demographics for liquid milk production</t>
  </si>
  <si>
    <t>(a);Greg Thoma (a); Jennie Popp (b); David Shonnard (d); Darin Nutter (c); Marty Matlock (e); Richard Ulrich (a); Wayne Kellogg (f); Dae Soo Kim (a); Zara Neiderman (e); Nathan Kemper (b); Felix Adom (d); Cashion East (a)</t>
  </si>
  <si>
    <t>(a)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t>
  </si>
  <si>
    <t>GHG during production including manure management and enteric methane emissions</t>
  </si>
  <si>
    <t>1 kg of fat and protein corrected milk (FPCM; 4% fat, 3.3% protein)</t>
  </si>
  <si>
    <t>IPCC (2006) and IPCC (2007)</t>
  </si>
  <si>
    <t>Conventional milk in Galicia (Spain)</t>
  </si>
  <si>
    <t>Spain</t>
  </si>
  <si>
    <t>A. Hospido; M.T. Moreira; G. Feijoo</t>
  </si>
  <si>
    <t>Department of Chemical Engineering, Institute of Technology, University of Santiago de Compostela, 15782</t>
  </si>
  <si>
    <t>1 L of packaged liquid milk ready to be delivered from dairy to retail</t>
  </si>
  <si>
    <t>1L = .001cubic meters; milk density = 1035 kg/cubic meter</t>
  </si>
  <si>
    <t>BUWAL250 (1996)</t>
  </si>
  <si>
    <t>IPCC (2001)</t>
  </si>
  <si>
    <t>Denmark</t>
  </si>
  <si>
    <t>Nicolaj Ingemann Nielsen a; Malene Jørgensen b; Inger Knude Rasmussen b</t>
  </si>
  <si>
    <t>AgroTech A/S, Institute for Agri Technology and Food Innovation, Agro Food Park 15, 8200 Aarhus N, Denmark; Knowledge Centre for Agriculture, Poultry, Agro Food Park 15, 8200 Aarhus N, Denmark.</t>
  </si>
  <si>
    <t>NGO Report</t>
  </si>
  <si>
    <t>Combination of aloc and conseq approach. manure produced used to offset manure earlier in LC</t>
  </si>
  <si>
    <t>1.34 to 1.86</t>
  </si>
  <si>
    <t>Liquid milk generated at alpine farms in Italy</t>
  </si>
  <si>
    <t>Italy</t>
  </si>
  <si>
    <t>Chiara A. Penati; Alberto Tamburini, Luciana Bava; Maddalena Zucali; Anna Sandrucci</t>
  </si>
  <si>
    <t>Dipartimento di Scienze Agrarie e Ambientali, Università di Milano, Italy</t>
  </si>
  <si>
    <t>Cradle-to-farm gate; processes and transport of feed to farm</t>
  </si>
  <si>
    <t>1 kg of fat protein corrected milk (FPCM, 4.0% of fat content and 3.2% of protein content)</t>
  </si>
  <si>
    <t>N/A</t>
  </si>
  <si>
    <t>IPCC, 2007</t>
  </si>
  <si>
    <t>USA Cheddar Cheese</t>
  </si>
  <si>
    <t>Daesoo Kim; Greg Thoma; Darin Nutter; Franco Milani; Rick Ulrich; Greg Norris</t>
  </si>
  <si>
    <t>Cradle-to-grave: particular emphasis on unit operations under the control of typical cheese-processing plants</t>
  </si>
  <si>
    <t>CV=18.8%</t>
  </si>
  <si>
    <t>USA Mozzarella Cheese</t>
  </si>
  <si>
    <t>CV=17%</t>
  </si>
  <si>
    <t>aggregate eggs - 38% cage, 6% organic, 54% free range</t>
  </si>
  <si>
    <t>Sweden</t>
  </si>
  <si>
    <t>Christel Cederberg; Ulf Sonesson; Maria Henriksson; Veronica Sund; Jennifer Davis</t>
  </si>
  <si>
    <t>The Swedish Institute for Food and Biotechnology</t>
  </si>
  <si>
    <t>Industry Based Report</t>
  </si>
  <si>
    <t>GHG during production - feed and manure</t>
  </si>
  <si>
    <t>1 kg egg at farm gate</t>
  </si>
  <si>
    <t>Free range egg production</t>
  </si>
  <si>
    <t>UK</t>
  </si>
  <si>
    <t>R. C. Taylor (a); H. Omed (b); and G. Edwards-Jones (b)</t>
  </si>
  <si>
    <t>(a) British Trust for Ornithology, The Nunnery, Thetford, Norfolk; (b) School of the Environment, Natural Resources and Geography, Bangor University, Bangor, Wales, UK</t>
  </si>
  <si>
    <t>Including packaging, mixed farming methods</t>
  </si>
  <si>
    <t>I kg egg</t>
  </si>
  <si>
    <t>IPCC, 2006</t>
  </si>
  <si>
    <t>Semi-Cured Gouda Cheese</t>
  </si>
  <si>
    <t>Roline Broekema; Gerard Kramer</t>
  </si>
  <si>
    <t>Blonk Consultants</t>
  </si>
  <si>
    <t>Private Consulting Firm</t>
  </si>
  <si>
    <t>Cradle-to-farm gate; processing, transportation, retail inputs, and incineratino of spoilage/waste</t>
  </si>
  <si>
    <t>1 kg packaged cheese</t>
  </si>
  <si>
    <t>CV=14.3%</t>
  </si>
  <si>
    <t>Semi-Skim Milk</t>
  </si>
  <si>
    <t>yes</t>
  </si>
  <si>
    <t>Cradle-to-farm gate; processing, transportation, retail inputs, and spoilage/waste treatment</t>
  </si>
  <si>
    <t>1 kg packaged semi-skimmed pasteurized milk</t>
  </si>
  <si>
    <t>CV=11.7%</t>
  </si>
  <si>
    <t>IPCC, 2005</t>
  </si>
  <si>
    <t>Semi-Hard Cheese</t>
  </si>
  <si>
    <t>Johanna Berlin</t>
  </si>
  <si>
    <t>Environmental Systems Analysis, Chalmers University of Technology, SE-412 96 Goeteborg, Sweden; SIK AB, The Swedish Institute for Food and Biotechnology, P.O. Box 5401, SE-402 29 Goeteborg, Sweden</t>
  </si>
  <si>
    <t>Cradle-to-grave/waste disposal</t>
  </si>
  <si>
    <t>1 kg of Angsgarden cheese wrapped in plastic</t>
  </si>
  <si>
    <t>IPCC, 1995</t>
  </si>
  <si>
    <t>Pasturized Milk, Used LCA data from seven dairy plants of different capacities processing 36% of raw milk in Serbia</t>
  </si>
  <si>
    <t>Serbia</t>
  </si>
  <si>
    <t>Ilija Djekic (a); Jelena Miocinovic (b); Igor Tomasevic (b); Nada Smigic (a); Nikola Tomic (a)</t>
  </si>
  <si>
    <t>(a) Department of Food Safety and Quality Management, University of Belgrade - Faculty of Agriculture, Belgrade, Republic of Serbia; (b) Department of Animal Origin products Technology, University of Belgrade - Faculty of Agriculture, Belgrade, Republic of Serbia</t>
  </si>
  <si>
    <t>Looked at 3 Subsystems: 1) Dairy Farm, 2) Dairy Plant, 3) Waste Treatment</t>
  </si>
  <si>
    <t>1 kg of final product</t>
  </si>
  <si>
    <t>Ultra High Temperature (UHT) Milk, Used LCA data from seven dairy plants of different capacities processing 36% of raw milk in Serbia</t>
  </si>
  <si>
    <t>Yogurt, Cow</t>
  </si>
  <si>
    <t>Used LCA data from seven dairy plants of different capacities processing 36% of raw milk in Serbia</t>
  </si>
  <si>
    <t>Fluid Milk, Cream</t>
  </si>
  <si>
    <t>Butter</t>
  </si>
  <si>
    <t>Other (Specify)</t>
  </si>
  <si>
    <t>Processed - liquid egg</t>
  </si>
  <si>
    <t>USA (Midwest)</t>
  </si>
  <si>
    <t>Nathan Pelletier (a); Maro Ibarburu (b); Hongwei Xin (b)</t>
  </si>
  <si>
    <t>(a) Global Ecologic Environmental Consulting and Management Services, Canada; (b) Egg Industry Center, Iowa State University, IA, USA</t>
  </si>
  <si>
    <t>transport supply chains talk only about best and worst case observed in their data</t>
  </si>
  <si>
    <t>I tonne egg at facility gate</t>
  </si>
  <si>
    <t>*1/1000</t>
  </si>
  <si>
    <t>7.48 to 4.9</t>
  </si>
  <si>
    <t>ISO 14044, IPCC 2006</t>
  </si>
  <si>
    <t>Shell egg processed</t>
  </si>
  <si>
    <t>6.45 to 4.32</t>
  </si>
  <si>
    <t>Average egg production</t>
  </si>
  <si>
    <t>Nathan Pelletier (a); Maro Ibarburu (b); and Hongwei Xin (b)</t>
  </si>
  <si>
    <t>(a) Global Ecologic Environmental Consulting and Management Services, Canada; (b) Egg Industry Center, Iowa State University, USA</t>
  </si>
  <si>
    <t>Egg 'production' alone - assumed farm gate</t>
  </si>
  <si>
    <t>1 metric ton eggs</t>
  </si>
  <si>
    <t>EcoInvent 2010</t>
  </si>
  <si>
    <t>Vegetables</t>
  </si>
  <si>
    <t>Tomatoes</t>
  </si>
  <si>
    <t>Tomato Sauce - tomatoes processed in France</t>
  </si>
  <si>
    <t>France</t>
  </si>
  <si>
    <t>Giulia Palma (a); Martine Padilla (a); Mounia Saheb (a); Sophie Colvine(b); Yasemin Tatar (a); Ahmet Tugulay(a); Imene Kellou (a)</t>
  </si>
  <si>
    <t>(a) CIHEAM-Institut Agronomique Méditerranéen de Montpellier 3191 route de Mende 34093 Montpellier Cedex 5 France; (b) AMITOM Lotissement les valérianes 84700 Sorgues France</t>
  </si>
  <si>
    <t>Conference Proceedings</t>
  </si>
  <si>
    <t>Disposal of packaging</t>
  </si>
  <si>
    <t>From ag.prod. to packaging disposal</t>
  </si>
  <si>
    <t>I kg packaged processed tomatoes</t>
  </si>
  <si>
    <t>Ecoinvent (V2) database</t>
  </si>
  <si>
    <t>Turkey</t>
  </si>
  <si>
    <t>Tomato puree</t>
  </si>
  <si>
    <t>Michele Manfredi (a); Giuseppe Vignali (a)</t>
  </si>
  <si>
    <t>(a) Department of Industrial Engineering, University of Parma, Viale delle Scienze 181/A, 43124, Parma –Italy</t>
  </si>
  <si>
    <t xml:space="preserve">From ag.prod. to retail, with 5.5% (avg 4-7) of transport attributed to cultivation </t>
  </si>
  <si>
    <t>700g packaged tomatoes</t>
  </si>
  <si>
    <t>/0.7</t>
  </si>
  <si>
    <t>Ecoinvent V2.2</t>
  </si>
  <si>
    <t>(ISO 14040, 2006)</t>
  </si>
  <si>
    <t>Misc. Milk Products in Candad; Cradle to Production Gate Analysis</t>
  </si>
  <si>
    <t>Canada</t>
  </si>
  <si>
    <t>(a) X. P. C. Verge; (b) D. Maxime; (a) J. A. Dyer; (a) R. L. Desjardins; (c) Y. Arcand; (a) A. Vanderzaag</t>
  </si>
  <si>
    <t>(a) Agriculture and Agri-Food Canada, Ottawa ON, K2A 1G6, Canada; (b) Interuniversity Research Cebtre for the Lice Cycle of Products, Processes and Services (CIRAIG), Polytechnique Montreal, Montreal QC, H3C 3A7, Canada; (c) Agrigulture and Agri-Food Canada, Cambridge ON, N3H 3Z9, Canada</t>
  </si>
  <si>
    <t>Cradle to Processing Exit</t>
  </si>
  <si>
    <t>Cottage Cheese</t>
  </si>
  <si>
    <t>Sour Cream</t>
  </si>
  <si>
    <t>Includes packaging in polystyrene tubs (4 x 125 g)</t>
  </si>
  <si>
    <t>Includes packaging in polycoated carton (0.5gal)</t>
  </si>
  <si>
    <t>Fluid Milk, Buttermilk</t>
  </si>
  <si>
    <t>Buttermilk, Misc. Milk Products in Candad; Cradle to Production Gate Analysis</t>
  </si>
  <si>
    <t>Dairy Products, Fozen</t>
  </si>
  <si>
    <t>Dairy Powders</t>
  </si>
  <si>
    <t>Fluid Milk, Concentrate</t>
  </si>
  <si>
    <t>Canned</t>
  </si>
  <si>
    <t>Tomato purée</t>
  </si>
  <si>
    <t>A. Del Borghi (a); M. Gallo (a); C. Strazza (a); M. Del Borghi (a);</t>
  </si>
  <si>
    <t>(a) Department of Civil, Chemical and Environmental Engineering (DICCA), University of Genoa, Via all’Opera Pia 15, 16145 Genova, Italy</t>
  </si>
  <si>
    <t>disposal of packaging</t>
  </si>
  <si>
    <t>Glass bottle with metal lid 700 g</t>
  </si>
  <si>
    <t>1 kg of packaged product</t>
  </si>
  <si>
    <t>International EPD System</t>
  </si>
  <si>
    <t>Glass bottle with metal lid 350 g</t>
  </si>
  <si>
    <t>Carton-based container 200 g</t>
  </si>
  <si>
    <t>Carton-based container with plastic cap 500 g</t>
  </si>
  <si>
    <t>Carton-based container with plastic cap 1000 g</t>
  </si>
  <si>
    <t>Chopped tomato</t>
  </si>
  <si>
    <t>Glass bottle with metal lid 330 g</t>
  </si>
  <si>
    <t>Open top tin-plated steel can and lid 400 g</t>
  </si>
  <si>
    <t>Peeled tomato</t>
  </si>
  <si>
    <t>Open top tin-plated steel can and lid 800 g</t>
  </si>
  <si>
    <t>Paste (local foods)</t>
  </si>
  <si>
    <t>Sonja Brodt (a); Klaas Jan Kramer (b); Alissa Kendall (c); Gail Feenstra (a)</t>
  </si>
  <si>
    <t>(a)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t>
  </si>
  <si>
    <t>Local (within state) transport</t>
  </si>
  <si>
    <t>1 kg canned, consumer ready product</t>
  </si>
  <si>
    <t>Interviews and published data</t>
  </si>
  <si>
    <t>Ecoinvent 2008, IPCC 2006</t>
  </si>
  <si>
    <t>Diced tomato (local foods)</t>
  </si>
  <si>
    <t>Paste (national transport)</t>
  </si>
  <si>
    <t>National (within country) transport</t>
  </si>
  <si>
    <t>Diced tomato (national transport)</t>
  </si>
  <si>
    <t>Conventional Austria Greenhouse grown</t>
  </si>
  <si>
    <t>Austria</t>
  </si>
  <si>
    <t>Michaela Clarissa Theurl(a,b); Helmut Haberl (b) ;Karl-Heinz Erb (b); Thomas Lindenthal (a)</t>
  </si>
  <si>
    <t>(a) Research Institute of Organic Agriculture Austria,
 Seidengasse 33-35/13, 1070 Vienna, Austria; (b) Institute of Social Ecology Vienna (SEC), Alpen-Adria
 Universitaet Klagenfurt, Graz, Wien,
 Schottenfeldgasse 29, 1070 Vienna, Austria</t>
  </si>
  <si>
    <t>Until market</t>
  </si>
  <si>
    <t>1 kg loose tomatoes</t>
  </si>
  <si>
    <t>IPCC 2006, 100 years</t>
  </si>
  <si>
    <t>Organic tunnel Austria grown</t>
  </si>
  <si>
    <t>Conventional Multi tunnel Spain grown</t>
  </si>
  <si>
    <t>Conventional open field Italy grown</t>
  </si>
  <si>
    <t>1 kg packaged tomato</t>
  </si>
  <si>
    <t>1 kg processed and packed tomato</t>
  </si>
  <si>
    <t>Fruit</t>
  </si>
  <si>
    <t>Bananas</t>
  </si>
  <si>
    <t xml:space="preserve">Organic grown </t>
  </si>
  <si>
    <t>Ecuador</t>
  </si>
  <si>
    <t>Laura Roibása (a); Aziz Elbehrib (b); Almudena Hospidoa (a)</t>
  </si>
  <si>
    <t>(a) Department of Chemical Engineering, Institute of Technology, University of Santiago de Compostela, 15782 Santiago de Compostela, Galicia, Spain; (b) Trade and Markets Division (EST), Food and Agriculture Organization of the United Nations,
 Viale delle Terme di Caracalla, 00153 Rome, Italy</t>
  </si>
  <si>
    <t>Waste disposal</t>
  </si>
  <si>
    <t>Cradle to Grave</t>
  </si>
  <si>
    <t>1 kg banana</t>
  </si>
  <si>
    <t>ISO 14067</t>
  </si>
  <si>
    <t>Conventional grown</t>
  </si>
  <si>
    <t>ISO 14068</t>
  </si>
  <si>
    <t>Global</t>
  </si>
  <si>
    <t>Pierre Gerber; Theun Vellinga; Klaas Dietze; Alessandra Falcucci; Guya Gianni; Jerome Mounsey; Luigi Maiorano; Carolyn Opio; Daniela Sironi; Olaf Thieme; Viola Weiler</t>
  </si>
  <si>
    <t>Food and Agriculture Organization of the United Nations, Animal Production and Health Division</t>
  </si>
  <si>
    <t>Cradle to Farm Gate; Processing to Retail</t>
  </si>
  <si>
    <t>1 kg FPCM</t>
  </si>
  <si>
    <t>1.776 to 3.024</t>
  </si>
  <si>
    <t>Margarine</t>
  </si>
  <si>
    <t>Katarina Nilsson; Anna Flysjö; Jennifer Davis; Sarah Sim; Nicole Unger; Simon Bell</t>
  </si>
  <si>
    <t>500 g of packaged product</t>
  </si>
  <si>
    <t>Multiply results by 2</t>
  </si>
  <si>
    <t>Germany</t>
  </si>
  <si>
    <t>Cereals and Grains</t>
  </si>
  <si>
    <t>Bread</t>
  </si>
  <si>
    <t>White bread, medium slices, plastic bag</t>
  </si>
  <si>
    <t>Namy Espinoza-Orias; Heinz Stichnothe; Adisa Azapagic</t>
  </si>
  <si>
    <t>800g loaf of sliced bread</t>
  </si>
  <si>
    <t>Multiply results by 1.25</t>
  </si>
  <si>
    <t>PAS-2050 Compliant, IPCC 2006</t>
  </si>
  <si>
    <t>White bread, thick slices, plastic bag</t>
  </si>
  <si>
    <t>Wholemeal bread, medium slices, plastic bag</t>
  </si>
  <si>
    <t>Wholemeal bread, thick slices, plastic bag</t>
  </si>
  <si>
    <t>Pork</t>
  </si>
  <si>
    <t>backyard production</t>
  </si>
  <si>
    <t>global</t>
  </si>
  <si>
    <t>MacLeod, M., Gerber, P., Mottet, A., Tempio, G., Falcucci, A., Opio, C., Vellinga, T., Henderson, B. &amp; Steinfeld, H</t>
  </si>
  <si>
    <t>UN FAO Animal Production and Health Division</t>
  </si>
  <si>
    <t>Government Report</t>
  </si>
  <si>
    <t>kg carcass weight</t>
  </si>
  <si>
    <t>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</si>
  <si>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intermediate production</t>
  </si>
  <si>
    <t>LUC due to soybeans adds ~0.5 kg CO2e/kg CW here</t>
  </si>
  <si>
    <t>IPPC, 2007, 100 yr</t>
  </si>
  <si>
    <t>industrial production</t>
  </si>
  <si>
    <t>LUC due to soybeans adds ~1.0 kg CO2e/kg CW here</t>
  </si>
  <si>
    <t>North America</t>
  </si>
  <si>
    <t>Chicken</t>
  </si>
  <si>
    <t>LUC due to soybeans ~1.0 kg CO2e/kg CW here</t>
  </si>
  <si>
    <t>N. America</t>
  </si>
  <si>
    <t>LUC due to soybeans ~1.1 kg CO2e/kg CW here</t>
  </si>
  <si>
    <t>kg egg</t>
  </si>
  <si>
    <t>normal operation</t>
  </si>
  <si>
    <t>USA, Northern Great Plains</t>
  </si>
  <si>
    <t>Christopher D. Lupo, David E. Clay, Jennifer L. Benning, and James J. Stone</t>
  </si>
  <si>
    <t>C.D. Lupo, J.L. Benning, and J.J. Stone, Dep. of Civil and Environmental Engineering,South Dakota School of Mines and Technology, Rapid City, SD 57701; D.E. Clay, Dep. of Plant Sciences, South Dakota State Univ., Brookings, SD 57007.</t>
  </si>
  <si>
    <t>no</t>
  </si>
  <si>
    <t>kg standard carcass weight</t>
  </si>
  <si>
    <t>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</si>
  <si>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ReCiPe midpoint</t>
  </si>
  <si>
    <t>early weaning</t>
  </si>
  <si>
    <t>fast-track backgrounding</t>
  </si>
  <si>
    <t>grassfed</t>
  </si>
  <si>
    <t>feedlot finishing</t>
  </si>
  <si>
    <t>USA, Upper Midwest</t>
  </si>
  <si>
    <t>Nathan Pelletier a,*, Rich Pirog b, Rebecca Rasmussen b</t>
  </si>
  <si>
    <t>a School for Resource and Environmental Studies, Dalhousie University, Suite 5010, 6100 University Ave., Halifax, Nova Scotia, Canada B3H 3J5 b Leopold Center for Sustainable Agriculture, 209 Curtis Hall, Iowa State University, Ames, Iowa 50011-1050, United States</t>
  </si>
  <si>
    <t>cradle to farm gate</t>
  </si>
  <si>
    <t>kg live weight</t>
  </si>
  <si>
    <t>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</si>
  <si>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background/feedlot finish</t>
  </si>
  <si>
    <t>pasture finishing</t>
  </si>
  <si>
    <t>feedlot finishing (ave of 2002 &amp; 2004 data)</t>
  </si>
  <si>
    <t>Australia (New South Wales)</t>
  </si>
  <si>
    <t>Peters, Gregory M; Rowley, Hazel V; Wiedemann, Stephen; Tucker, Robyn; Short, Michael D;Schulz, Matthias</t>
  </si>
  <si>
    <t>UNSW Water Research Centre, The University of New South Wales, UNSW Sydney, NSW 2052, and FSA Consulting, Toowoomba, Queensland, Australia</t>
  </si>
  <si>
    <t>processing plant gate</t>
  </si>
  <si>
    <t>kg hot standard carcass weight</t>
  </si>
  <si>
    <t>primary energy</t>
  </si>
  <si>
    <t>organic (ave of 2002 &amp; 2004 data)</t>
  </si>
  <si>
    <t>Australia (Victoria)</t>
  </si>
  <si>
    <t>(ave of 2002 &amp; 2004 data)</t>
  </si>
  <si>
    <t>Australia (Western)</t>
  </si>
  <si>
    <t>Phase 1 study: on-farm data are representative of the U.S. Department of Agriculture’s Roman L. Hruska Meat Animal Research Center (USMARC) located in Clay Center, Nebraska.  Including only 2011 values here</t>
  </si>
  <si>
    <t>n</t>
  </si>
  <si>
    <t>Thomas Battagliese, Juliana Andrade, Isabel Schulze, Bruce Uhlman, Cristian Barcan</t>
  </si>
  <si>
    <t>BASF Corporation, 100 Park Avenue, Florham Park, NJ, 07932</t>
  </si>
  <si>
    <t>1 pound of consumed,boneless, edible beef</t>
  </si>
  <si>
    <t>*0.45359237 to convert to kg</t>
  </si>
  <si>
    <t>Karen A. Beauchemin *, H. Henry Janzen, Shannan M. Little, Tim A. McAllister, Sean M. McGinn</t>
  </si>
  <si>
    <t>Agriculture and Agri-Food Canada, Lethbridge, AB, Canada T1J 4B1</t>
  </si>
  <si>
    <t>considers cow-calf &amp; feedlot operations; to farm gae</t>
  </si>
  <si>
    <t>IPPC, 2001</t>
  </si>
  <si>
    <t>suckler cow-calf beef</t>
  </si>
  <si>
    <t>European Union</t>
  </si>
  <si>
    <t>Thu Lan T. Nguyen*, John E. Hermansen, Lisbeth Mogensen</t>
  </si>
  <si>
    <t>Aarhus University, Faculty of Agricultural Sciences, Department of Agroecology and Environment, Blichers Alle´ 20, Postbox 50, DK-8830 Tjele, Denmark</t>
  </si>
  <si>
    <t>land use is considered separately; not inlcuded here</t>
  </si>
  <si>
    <t>kg meat (slaughter weight)</t>
  </si>
  <si>
    <t>Impact 2002+</t>
  </si>
  <si>
    <t>IPPC, 2007</t>
  </si>
  <si>
    <t>dairy bull calf steers, 24 mo. at slaughter</t>
  </si>
  <si>
    <t>2005 base year</t>
  </si>
  <si>
    <t>Opio, C., Gerber, P., Mottet, A., Falcucci, A., Tempio, G., MacLeod, M., Vellinga, T., Henderson, B.
&amp; Steinfeld, H</t>
  </si>
  <si>
    <t>Food and Agriculture Organization of the United Nations (FAO)</t>
  </si>
  <si>
    <t>soil C not included due to uncertainty</t>
  </si>
  <si>
    <t>N America</t>
  </si>
  <si>
    <t>kg FPCM</t>
  </si>
  <si>
    <t>Fluid Milk, Buffalo</t>
  </si>
  <si>
    <t>Buffalo Milk, 2005 base year</t>
  </si>
  <si>
    <t>Sheep</t>
  </si>
  <si>
    <t>Fluid Milk, Sheep</t>
  </si>
  <si>
    <t>Goat</t>
  </si>
  <si>
    <t>assume same as sheep, above</t>
  </si>
  <si>
    <t>conventional (w hormone growth promotants</t>
  </si>
  <si>
    <t>US</t>
  </si>
  <si>
    <t>J. L. Capper*2 and D. J. Hayes†</t>
  </si>
  <si>
    <t>*Department of Animal Sciences, Washington State University, Pullman 99164; and †Department of Economics, Iowa State University, Ames 50011</t>
  </si>
  <si>
    <t>natural (W/o HGP)</t>
  </si>
  <si>
    <t>grass-fed (no HGP)</t>
  </si>
  <si>
    <t>suckler cow-calf beef with stocker phase</t>
  </si>
  <si>
    <t>US (California)</t>
  </si>
  <si>
    <t>K. R. Stackhouse-Lawson,* C. A. Rotz,† J. W. Oltjen,* and F. M. Mitloehner*2</t>
  </si>
  <si>
    <t>*Department of Animal Science, University of California, Davis 95616; †USDA-ARS, Pasture Systems and Watershed Management Research Unit, University Park, PA 16802</t>
  </si>
  <si>
    <t>modeled using IFSM</t>
  </si>
  <si>
    <t>suckler cow-calf beef without stocker phase</t>
  </si>
  <si>
    <t>dairy beef (holstein)</t>
  </si>
  <si>
    <t>intensive beef breed cow-calf herd</t>
  </si>
  <si>
    <t>L. Mogensen a,n,1, T.Kristensen a, N.I.Nielsen b, P.Spleth b, M.Henriksson c, C. Swensson c, A.Hessle d, M.Vestergaard e</t>
  </si>
  <si>
    <t>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t>
  </si>
  <si>
    <t>land use change and soil C presented separately; not included here</t>
  </si>
  <si>
    <t>extensive beef breed cow-calf herd</t>
  </si>
  <si>
    <t>dairy beef, steer (harvested at 25 mo.)</t>
  </si>
  <si>
    <t>Argentina</t>
  </si>
  <si>
    <t>Marieke Head, Maartje Sevenster, Harry Croezen</t>
  </si>
  <si>
    <t>CE Delft; Delft Netherlands</t>
  </si>
  <si>
    <t>impacts through retail in the Netherlands</t>
  </si>
  <si>
    <t>kg product type (?)</t>
  </si>
  <si>
    <t>ReCiPe (hierarchic endpoint)</t>
  </si>
  <si>
    <t>Brazil</t>
  </si>
  <si>
    <t>Ireland</t>
  </si>
  <si>
    <t>Poland</t>
  </si>
  <si>
    <t>conventional</t>
  </si>
  <si>
    <t>organic</t>
  </si>
  <si>
    <t>nature</t>
  </si>
  <si>
    <t>Beef Cuts, (spent dairy cows)</t>
  </si>
  <si>
    <t>Minced Beef, conventional (spent dairy cows)</t>
  </si>
  <si>
    <t>Minced Beef, organic (spent dairy cows)</t>
  </si>
  <si>
    <t>AH 1 star</t>
  </si>
  <si>
    <t>AH 2 star</t>
  </si>
  <si>
    <t>United Kingdom</t>
  </si>
  <si>
    <t>Jumbo bewust</t>
  </si>
  <si>
    <t>Milieukeur</t>
  </si>
  <si>
    <t>label rouge</t>
  </si>
  <si>
    <t>corn</t>
  </si>
  <si>
    <t>scharrel</t>
  </si>
  <si>
    <t>volwaard</t>
  </si>
  <si>
    <t>Duck</t>
  </si>
  <si>
    <t>Veal</t>
  </si>
  <si>
    <t>rosé, conventional</t>
  </si>
  <si>
    <t>rosé, organic</t>
  </si>
  <si>
    <t>rosé, 1 star (van Drie)</t>
  </si>
  <si>
    <t>Meat Substitutes</t>
  </si>
  <si>
    <t>Falafel, Tivall</t>
  </si>
  <si>
    <t>Vegetable Patty</t>
  </si>
  <si>
    <t>Groentenschijf, Vivera (Veggie Patty)</t>
  </si>
  <si>
    <t>Meatless</t>
  </si>
  <si>
    <t>Meatless made from lupine and wheat</t>
  </si>
  <si>
    <t>Quorn</t>
  </si>
  <si>
    <t>Quorn Mince</t>
  </si>
  <si>
    <t>Tofu</t>
  </si>
  <si>
    <t>certified</t>
  </si>
  <si>
    <t>certified, organic</t>
  </si>
  <si>
    <t>uncertified</t>
  </si>
  <si>
    <t>uncertified, organic</t>
  </si>
  <si>
    <t>Valess</t>
  </si>
  <si>
    <t>Valess, Schnitzel made from milk</t>
  </si>
  <si>
    <t>conventional, whole milk</t>
  </si>
  <si>
    <t>organic, whole milk</t>
  </si>
  <si>
    <t>pasture (weidegang), whole milk</t>
  </si>
  <si>
    <t>conventional, semi-skim</t>
  </si>
  <si>
    <t>organic, semi-skim</t>
  </si>
  <si>
    <t>pasture (weidegang), semi-skim</t>
  </si>
  <si>
    <t>conventional, skim</t>
  </si>
  <si>
    <t>organic, skim</t>
  </si>
  <si>
    <t>pasture (weidegang), skim</t>
  </si>
  <si>
    <t>conventional, buttermilk</t>
  </si>
  <si>
    <t>organic, buttermilk</t>
  </si>
  <si>
    <t>pasture, buttermilk</t>
  </si>
  <si>
    <t>Fluid Milk, Goat</t>
  </si>
  <si>
    <t>Cheese, Cow</t>
  </si>
  <si>
    <t>cow, old, conventional</t>
  </si>
  <si>
    <t>cow, old, organic</t>
  </si>
  <si>
    <t>cow, old, pasture</t>
  </si>
  <si>
    <t>cow, medium, conventional</t>
  </si>
  <si>
    <t>cow, medium, organic</t>
  </si>
  <si>
    <t>cow, medium, pasture</t>
  </si>
  <si>
    <t>cow, young, conventional</t>
  </si>
  <si>
    <t>cow, young, organic</t>
  </si>
  <si>
    <t>cow, young, pasture</t>
  </si>
  <si>
    <t>Cheese, Goat</t>
  </si>
  <si>
    <t>goat, old, conventional</t>
  </si>
  <si>
    <t>goat, old, organic</t>
  </si>
  <si>
    <t>goat, medium, conventional</t>
  </si>
  <si>
    <t>goat, medium, organic</t>
  </si>
  <si>
    <t>goat, young, conventional</t>
  </si>
  <si>
    <t>goat, young, organic</t>
  </si>
  <si>
    <t>Cheese, Buffalo</t>
  </si>
  <si>
    <t>buffalo, mozzarella</t>
  </si>
  <si>
    <t>cow, mozzarella</t>
  </si>
  <si>
    <t>conventional, cow, whole,</t>
  </si>
  <si>
    <t>organic, cow, whole,</t>
  </si>
  <si>
    <t>pasture, cow, whole,</t>
  </si>
  <si>
    <t>conventional, cow, semi-skim,</t>
  </si>
  <si>
    <t>organic, cow, semi-skim,</t>
  </si>
  <si>
    <t>pasture, cow, semi-skim,</t>
  </si>
  <si>
    <t>conventional, cow, skim,</t>
  </si>
  <si>
    <t>organic, cow, skim,</t>
  </si>
  <si>
    <t>pasture, cow, skim,</t>
  </si>
  <si>
    <t>battery</t>
  </si>
  <si>
    <t>enriched cage</t>
  </si>
  <si>
    <t>barn (scharrel)</t>
  </si>
  <si>
    <t>1 star (scharrel +)</t>
  </si>
  <si>
    <t>rondeel</t>
  </si>
  <si>
    <t>free range</t>
  </si>
  <si>
    <t>grass</t>
  </si>
  <si>
    <t>omega-3</t>
  </si>
  <si>
    <t>60% corn</t>
  </si>
  <si>
    <t>fresh bananas</t>
  </si>
  <si>
    <t>Anthony J. Craig(a); Yossi Sheffi (a); Edgar E. Blanco (c)</t>
  </si>
  <si>
    <t>(a) Engineering Systems Division Massachusetts Institute of Technology; (b) Center for Transportation &amp; Logistics
 Massachusetts Institute of Technology</t>
  </si>
  <si>
    <t>Tracked fro 1 box banana, yet 1 kg impact also reported</t>
  </si>
  <si>
    <t>1 box banana</t>
  </si>
  <si>
    <t>/18.14 (one box = 18.14 kg)</t>
  </si>
  <si>
    <t>2007 IPCC 100 year</t>
  </si>
  <si>
    <t>Costa Rica</t>
  </si>
  <si>
    <t>Erik Svanes  (a); Anna K. S. Aronsson (b)</t>
  </si>
  <si>
    <t>(a) Department of Food and Packaging, Ostfold Research,
 Gamle Bedding vei 2b,
 1671 Fredrikstad, Norway; (b) Swedish Institute for Food and Biotechnology, P.O. Box 5401,
 40229 Gothenburg, Sweden</t>
  </si>
  <si>
    <t>Cradle to grave</t>
  </si>
  <si>
    <t>Nataša Sikirica</t>
  </si>
  <si>
    <t>Soil &amp; More International Hoofdstraat 24 3972 LA Driebergen The Netherlands</t>
  </si>
  <si>
    <t>Private consulting firm report</t>
  </si>
  <si>
    <t>Only production and washing</t>
  </si>
  <si>
    <t>Honduras</t>
  </si>
  <si>
    <t>Pineapple</t>
  </si>
  <si>
    <t>1 kg pineapple</t>
  </si>
  <si>
    <t>Boki Luske</t>
  </si>
  <si>
    <t>Cradle to shelf</t>
  </si>
  <si>
    <t>1 ton banana</t>
  </si>
  <si>
    <t>/1000</t>
  </si>
  <si>
    <t>White Loaf Bread - Industrial Production</t>
  </si>
  <si>
    <t>Michael Bimpeh; Ernest Djokoto; Henry Doe; Roberto Jequier</t>
  </si>
  <si>
    <t>KTH, Life Cycle Assessment Course (1N1800)</t>
  </si>
  <si>
    <t xml:space="preserve"> kg bread ready for consumption</t>
  </si>
  <si>
    <t>White Loaf Bread - Home Production</t>
  </si>
  <si>
    <t>Conventional Rye Bread</t>
  </si>
  <si>
    <t>Finland</t>
  </si>
  <si>
    <t>(a) Juha Gronroos; (a) Jyri Seppala; (b) Pasi Voutilainen; (c) Pentti Seuri; (d) Kauko Koikkalainen</t>
  </si>
  <si>
    <t xml:space="preserve">(a)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t>
  </si>
  <si>
    <t>Cradle to Transport to Retail</t>
  </si>
  <si>
    <t>1000kg bread transported to retailer</t>
  </si>
  <si>
    <t>Divide quantities by 1000</t>
  </si>
  <si>
    <t>Organic Rye Bread</t>
  </si>
  <si>
    <t>Conventional Milk</t>
  </si>
  <si>
    <t>1000L of milk transported to retailer</t>
  </si>
  <si>
    <t>Convert to m3 (1L = .001 m3) then multiply by milk density (1035 kg/m3)</t>
  </si>
  <si>
    <t>Organic Milk</t>
  </si>
  <si>
    <t>Potatoes</t>
  </si>
  <si>
    <t>Non organic</t>
  </si>
  <si>
    <t>Williams, A.G. (a) Audsley, E (a); and Sandars, D.L. (a);</t>
  </si>
  <si>
    <t>(a) Natural Resource Management Institute, Cranfield University. Silsoe Research Institute.</t>
  </si>
  <si>
    <t>Farm gate values reported</t>
  </si>
  <si>
    <t>1 ton potato</t>
  </si>
  <si>
    <t>reported value/1000</t>
  </si>
  <si>
    <t>Wheat Bread, non organic</t>
  </si>
  <si>
    <t>1 ton of bread wheat</t>
  </si>
  <si>
    <t>Wheat Bread, organic</t>
  </si>
  <si>
    <t>Rapeseed</t>
  </si>
  <si>
    <t>non organic</t>
  </si>
  <si>
    <t>1 ton rapeseed</t>
  </si>
  <si>
    <t>1 ton Dead weight</t>
  </si>
  <si>
    <t>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</si>
  <si>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ha</t>
  </si>
  <si>
    <t>100% suckler</t>
  </si>
  <si>
    <t>Lowland</t>
  </si>
  <si>
    <t>Hill &amp; Upland</t>
  </si>
  <si>
    <t>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</si>
  <si>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Heavier finishing</t>
  </si>
  <si>
    <t>Indoor breeding</t>
  </si>
  <si>
    <t>Outdoor breeding</t>
  </si>
  <si>
    <t>Free range non organic</t>
  </si>
  <si>
    <t>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</si>
  <si>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1 ton eggs</t>
  </si>
  <si>
    <t>100% cage non organic</t>
  </si>
  <si>
    <t>100% free range non organic</t>
  </si>
  <si>
    <t>10000 litre milk</t>
  </si>
  <si>
    <t>reported value/10300</t>
  </si>
  <si>
    <t>20% autumn calving herd</t>
  </si>
  <si>
    <t>1 ton tomatoes</t>
  </si>
  <si>
    <t>Nutrient Film Technique</t>
  </si>
  <si>
    <t>Rockwool base</t>
  </si>
  <si>
    <t>Rye Bread on Industrial Scale</t>
  </si>
  <si>
    <t>Jan Stentoft Arlbjørn; Jesper Kronborg Jensen</t>
  </si>
  <si>
    <t>University of Southern Denmark, Department of Entrepreneurship and Relationship Management</t>
  </si>
  <si>
    <t>1 kg rye bread</t>
  </si>
  <si>
    <t>IPCC (2007)</t>
  </si>
  <si>
    <t>Oils and Fats</t>
  </si>
  <si>
    <t>Palm Oil</t>
  </si>
  <si>
    <t>Ivan Muñoz; Jannick Hoejrup Schmidt; Randi Dalgaard</t>
  </si>
  <si>
    <t>LCA consultants, Skibbrogade 5, 1, 9000, Aalborg, Denmark</t>
  </si>
  <si>
    <t>Cradle to Refinery Gate</t>
  </si>
  <si>
    <t>1 ton refined veg oil at refinery gate</t>
  </si>
  <si>
    <t>reported value / 1000</t>
  </si>
  <si>
    <t>Incl. LUC, IPCC (2006)</t>
  </si>
  <si>
    <t>Soybean Oil</t>
  </si>
  <si>
    <t>Rapeseed Oil</t>
  </si>
  <si>
    <t>Sunflower Oil</t>
  </si>
  <si>
    <t>Peanut Oil</t>
  </si>
  <si>
    <t>Olive Oil</t>
  </si>
  <si>
    <t>Cyprus</t>
  </si>
  <si>
    <t>M. Avraamides; D. Fatta</t>
  </si>
  <si>
    <t>Department of Civil and Environmental Engineering, University of Cyprus, 75 Kallipoleos Street, 1678 Nicosia, Cyprus</t>
  </si>
  <si>
    <t>1 Liter EVOO extracted</t>
  </si>
  <si>
    <t>reported value / .001 m3 / density of EVOO (920 kg/m3)</t>
  </si>
  <si>
    <t>(a) Benedetta Nucci; (a) Monica Puccini; (b) Luigi Pelagagge; (a) Sandra Vitolo; (a) Cristiano Nicolella</t>
  </si>
  <si>
    <t>(a) Department of Civil and Industrial Engineering, University of Pisa, Largo Lucio Lazzarino 1, 56122 Pisa, Italy; (b) SALOV e Società Alimentare Lucchese Oli e Vini S.p.A., Via Montramito 1600, 55040 Massarosa, Italy</t>
  </si>
  <si>
    <t>1 L of sunflower oil refined and packaged</t>
  </si>
  <si>
    <t>reported value / .001 m3 / density of Sun Oil (920 kg/m3)</t>
  </si>
  <si>
    <t>Olive oil</t>
  </si>
  <si>
    <t>Olive Oil, Scenario 1A</t>
  </si>
  <si>
    <t>Sicily</t>
  </si>
  <si>
    <t>Roberta Salomone; Giuseppe Ioppolo</t>
  </si>
  <si>
    <t>Department SEA, University of Messina, Piazza S. Pugliatti, 1, 98122 Messina, Italy</t>
  </si>
  <si>
    <t>1000 kg of olives</t>
  </si>
  <si>
    <t>4000kg olives makes 760 liters of oil: reported value*(4000kg/760L)/.001m3/density (920kg/m3)</t>
  </si>
  <si>
    <t>kg CO2 / kg olive oil, CML 2 baseline 2000</t>
  </si>
  <si>
    <t>Olive Oil, Scenario 4B</t>
  </si>
  <si>
    <t>4000kg olives makes 800 liters of oil: reported value*(4000kg/800L)/.001m3/density (920kg/m3)</t>
  </si>
  <si>
    <t>kg CO2 / kg olive oil, CML 2 baseline 2003</t>
  </si>
  <si>
    <t>Olive Oil, Scenario 5C</t>
  </si>
  <si>
    <t>kg CO2 / kg olive oil, CML 2 baseline 2004</t>
  </si>
  <si>
    <t>Olive Oil, Scenario 8D</t>
  </si>
  <si>
    <t>2000kg olives makes 400 liters of oil: reported value*(2000kg/400L)/.001m3/density (920kg/m3)</t>
  </si>
  <si>
    <t>kg CO2 / kg olive oil, CML 2 baseline 2007</t>
  </si>
  <si>
    <t>National Pork production, Swedish industry 2005</t>
  </si>
  <si>
    <t>1 kg carcass weight</t>
  </si>
  <si>
    <t>edible boneless weight = 0.667*carcass weight</t>
  </si>
  <si>
    <t>National Beef production, Swedish industry 2005</t>
  </si>
  <si>
    <t>Energy Corrected Milk, Sweden 2005</t>
  </si>
  <si>
    <t>1 kg milk</t>
  </si>
  <si>
    <t>National Chicken production, Swedish industry 2005</t>
  </si>
  <si>
    <t>Sweeteners</t>
  </si>
  <si>
    <t>Honey</t>
  </si>
  <si>
    <t>Honey Production in the US</t>
  </si>
  <si>
    <t>(a) Alissa Kendall; (b) Juhong Yuan; (c) Sonja B. Brodt</t>
  </si>
  <si>
    <t xml:space="preserve">(a)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t>
  </si>
  <si>
    <t>Starts at hive management (not construction) through processing</t>
  </si>
  <si>
    <t>1 kg of processed honey</t>
  </si>
  <si>
    <t>None</t>
  </si>
  <si>
    <t>Range 0.39 - 1.39</t>
  </si>
  <si>
    <t>Beverages</t>
  </si>
  <si>
    <t>Grapes, Wine</t>
  </si>
  <si>
    <t>Wine Grapes in Napa California</t>
  </si>
  <si>
    <t>USA, Napa CA</t>
  </si>
  <si>
    <t>(a) Kerri L. Steenwerth; (b) Emma B. Strong; (a) Rachel F. Greenhut; (c) Larry Williams; (b) Alissa Kendall</t>
  </si>
  <si>
    <t>(a) USDA/ARS Crops Pathology and Genetics Research Unit,
 Davis, CA 95616, USA; (b) Civil and Environmental Engineering Department, U. C. Davis,
 Davis, CA 95616, USA; (c) Viticulture and Enology Department, U. C. Davis, Davis, CA 95616,
 USA</t>
  </si>
  <si>
    <t>Cradle to Farm-gate</t>
  </si>
  <si>
    <t>1 tonne wine grapes</t>
  </si>
  <si>
    <t>Reported Value / 1000</t>
  </si>
  <si>
    <t>Wine Grapes in Lodi California</t>
  </si>
  <si>
    <t>USA, Lodi CA</t>
  </si>
  <si>
    <t>Organic Potatoes</t>
  </si>
  <si>
    <t>Czech Republic</t>
  </si>
  <si>
    <t>Jan Moudrý Jr; Zuzana Jelínková; Martina Jarešová; Radek Plch; Jan Moudrý; Petr Konvalina;</t>
  </si>
  <si>
    <t>The Department of Applied Plant Biotechnology, Faculty of Agriculture, University of South Bohemia, Studentská 13, 37005 Cveské Budevjovice, Czech Republic.</t>
  </si>
  <si>
    <t>Cradle to food preparation facility</t>
  </si>
  <si>
    <t>1 kg potato</t>
  </si>
  <si>
    <t>Conventional Potatoes</t>
  </si>
  <si>
    <t>Peeled organic potatoes</t>
  </si>
  <si>
    <t>1 kg peeled potato</t>
  </si>
  <si>
    <t>Peeled conventional potatoes</t>
  </si>
  <si>
    <t>Mashed organic potatoes</t>
  </si>
  <si>
    <t>1 kg mashed potato</t>
  </si>
  <si>
    <t>Mashed conventional potatoes</t>
  </si>
  <si>
    <t>Potato chips - organic</t>
  </si>
  <si>
    <t>1 kg potato chips</t>
  </si>
  <si>
    <t>Potato chips - conventional</t>
  </si>
  <si>
    <t>King Edward table potatoes, Ostergotland</t>
  </si>
  <si>
    <t>Elin Röös; Cecilia Sundberg; Per-Anders Hansson</t>
  </si>
  <si>
    <t>Department of Energy and Technology, Swedish University of Agricultural Sciences, P.O. Box 7032, 750 07 Uppsala, Sweden</t>
  </si>
  <si>
    <t>Cradle to Retail</t>
  </si>
  <si>
    <t>1 kg table potatoes in 2 kg bag</t>
  </si>
  <si>
    <t>none</t>
  </si>
  <si>
    <t>0.1-0.16</t>
  </si>
  <si>
    <t>IPCC 2006, Ecoinvent 2007</t>
  </si>
  <si>
    <t>Lettuce</t>
  </si>
  <si>
    <t>Organic Lettuce</t>
  </si>
  <si>
    <t>Greece</t>
  </si>
  <si>
    <t>Spyros Foteinis (a); Efthalia Chatzisymeon (b);</t>
  </si>
  <si>
    <t>(a) School of Environmental Engineering, Technical University of Crete, Polytechneioupolis, GR-73100 Chania, Greece; (b) Institute for Infrastructure and Environment, School of Engineering, The University of Edinburgh, Edinburgh EH9 3JL, United Kingdom</t>
  </si>
  <si>
    <t>Until farm gate</t>
  </si>
  <si>
    <t>I ton Lettuce</t>
  </si>
  <si>
    <t>IPCC 2013</t>
  </si>
  <si>
    <t>Conventional Lettuce</t>
  </si>
  <si>
    <t>/1001</t>
  </si>
  <si>
    <t>Barley</t>
  </si>
  <si>
    <t>Open Field Barley</t>
  </si>
  <si>
    <t>G. Bartzas (a); D. Zaharaki (b); K. Komnitsas (b);</t>
  </si>
  <si>
    <t>(a) 6 National Technical University of Athens, School of Mining and Metallurgical Engineering, 15780 Athens, Greece; (b) 7 Technical University of Crete, School of Mineral Resources Engineering, 73100 Chania, Greece</t>
  </si>
  <si>
    <t>Cradle to farm gate</t>
  </si>
  <si>
    <t>1 kg barley</t>
  </si>
  <si>
    <t>IPCC 2006, Eccoinvent v3.1, Hischier et. al., Ga Bi software</t>
  </si>
  <si>
    <t>Standard Greenhouse</t>
  </si>
  <si>
    <t>1 kg lettuce</t>
  </si>
  <si>
    <t>Open Field Lettuce</t>
  </si>
  <si>
    <t>Open Field</t>
  </si>
  <si>
    <t>Mercedes Romero-Gámeza (a); Eric Audsley (b); Elisa M. Suárez-Reya (a)</t>
  </si>
  <si>
    <t>(a) IFAPA (Instituto de Investigación y Formación Agraria y Pesquera), Camino de Purchil S/N, 18004 Granada, Spain (b) Centre for Environmental Risks and Futures, Cranfield University, Cranfield, Bedford MK43 0AL, UK</t>
  </si>
  <si>
    <t>Until farm gate (impacts of 6 levels of N use were reported in study, the "optimum" declared value is reported here)</t>
  </si>
  <si>
    <t>1 tonne lettuce</t>
  </si>
  <si>
    <t>Plastic mulch</t>
  </si>
  <si>
    <t>Plastic mulch combined with fleece</t>
  </si>
  <si>
    <t>greenhouse grown</t>
  </si>
  <si>
    <t>Escarole</t>
  </si>
  <si>
    <t>1 tonne escarole</t>
  </si>
  <si>
    <t>Greenhouse</t>
  </si>
  <si>
    <t>Romaine/cos</t>
  </si>
  <si>
    <t>Maria G.A. Gunady (a); Wahidul Biswas (b); Vicky A. Solah (a); Anthony P. James (a)</t>
  </si>
  <si>
    <t>(a) School of Public Health, Curtin Health Innovation Research Institute, Curtin University, GPO Box U1987, Perth 6845, Western Australia, Australia; (b) Centre for Excellence in Cleaner Production, Curtin University, GPO Box U1987, Perth 6845, Western Australia, Australia</t>
  </si>
  <si>
    <t>No processing has been mentioned here, only packaging</t>
  </si>
  <si>
    <t>1 kJ of energy</t>
  </si>
  <si>
    <t>CO2 emitted in g/1.38g lettuce per kJ</t>
  </si>
  <si>
    <t>Button mushroom</t>
  </si>
  <si>
    <t>CO2 emitted in g/1.09 g mushrooms per kJ</t>
  </si>
  <si>
    <t>Strawberries</t>
  </si>
  <si>
    <t>Generic Strawberries</t>
  </si>
  <si>
    <t>CO2 emitted in g/0.746 g strawberries per kJ</t>
  </si>
  <si>
    <t>Geneviève Doublet 
(a); Niels Jungbluth (a); Matthias Stucki (a); Salome Schori</t>
  </si>
  <si>
    <t>(a) ESU-services Ltd.</t>
  </si>
  <si>
    <t>Farm to finished product, transport to retail and downstream not included</t>
  </si>
  <si>
    <t>1 litre orange juice</t>
  </si>
  <si>
    <t>*1.048 kg/l</t>
  </si>
  <si>
    <t>Bern Model – IPCC 2007</t>
  </si>
  <si>
    <t>NFC, without resetting trees</t>
  </si>
  <si>
    <t>USA, Florida</t>
  </si>
  <si>
    <t>Puneet Dwivedi (a); Thomas Spreen (b); Renée Goodrich-Schneider (c)</t>
  </si>
  <si>
    <t>(a) School of Forestry &amp; Environmental Studies, Yale University, New Haven, CT, USA
; (b) Food and Resource Economics Department, University of Florida, Gainesville, FL, USA; (c) Food Science and Human Nutrition, University of Florida, Gainesville, FL, USA</t>
  </si>
  <si>
    <t>Until point of sale.</t>
  </si>
  <si>
    <t>1.893 L carton</t>
  </si>
  <si>
    <t>*(1.048 kg/l)/1.893L</t>
  </si>
  <si>
    <t>ISO 14040</t>
  </si>
  <si>
    <t>NFC, with resetting of trees</t>
  </si>
  <si>
    <t>Apples</t>
  </si>
  <si>
    <t>Swedish IP certified</t>
  </si>
  <si>
    <t>Davida Johansson (a); Helena Karlén (a); Lars Mogren (a);</t>
  </si>
  <si>
    <t>(a) Swedish University of Agricultural Sciences,
 Department of Biosystems and Technology</t>
  </si>
  <si>
    <t>Master's Thesis</t>
  </si>
  <si>
    <t>No processing, instead sorting has been accounted for</t>
  </si>
  <si>
    <t>1 kg apples</t>
  </si>
  <si>
    <t>Swedish organic certified</t>
  </si>
  <si>
    <t>Only production</t>
  </si>
  <si>
    <t>Italian IP certified</t>
  </si>
  <si>
    <t>EcoInvent 2015</t>
  </si>
  <si>
    <t>Hawkes Bay region</t>
  </si>
  <si>
    <t>New Zealand</t>
  </si>
  <si>
    <t>L. Mila` i Canals (a); G.M. Burnip (b); S.J. Cowell (c)</t>
  </si>
  <si>
    <t xml:space="preserve">(a)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t>
  </si>
  <si>
    <t>Reported values from farm alone - the paper also had "reference" values from industry standard procedure</t>
  </si>
  <si>
    <t>1 tonne apples</t>
  </si>
  <si>
    <t>ISO 2000a</t>
  </si>
  <si>
    <t>Central Otago region</t>
  </si>
  <si>
    <t>Fresh Fruit</t>
  </si>
  <si>
    <t>Switzerland</t>
  </si>
  <si>
    <t>Patrik Mouron (a); Thomas Nemecek (b)
; Roland W. Scholz (a); Olaf Weber (a)</t>
  </si>
  <si>
    <t>(a) Swiss Federal Institute of Technology, Department of Environmental Sciences, Institute for Human-Environment Systems, ETH Zentrum, CHN J76.1, CH-8092 Zurich, Switzerland (b) Agroscope FAL Reckenholz, Swiss Federal Research Station of Agroecology and Agriculture, CH-8046 Zurich, Switzerland</t>
  </si>
  <si>
    <t>Only average values reported in paper are transferred here. Compares management practices on different farms, but has more of a manager/people focus than process focus.</t>
  </si>
  <si>
    <t>1 ha tilled</t>
  </si>
  <si>
    <t>Avg yield = 31.4 t/ha. Conversion = /31400 (assumed metric ton)</t>
  </si>
  <si>
    <t>SALCA database Version 031a</t>
  </si>
  <si>
    <t>0.051 to 0.121</t>
  </si>
  <si>
    <t>Conventional production</t>
  </si>
  <si>
    <t>Sarah Keyes;</t>
  </si>
  <si>
    <t>Dalhousie University, Halifax, Nova Scotia</t>
  </si>
  <si>
    <t>Cradle to retail</t>
  </si>
  <si>
    <t>1 ton apples</t>
  </si>
  <si>
    <t>Recipe H</t>
  </si>
  <si>
    <t>Organic production</t>
  </si>
  <si>
    <t>Table potatoes</t>
  </si>
  <si>
    <t>Tommie Ponsioen (a); Hans Blonk (a)</t>
  </si>
  <si>
    <t>1 ton of potatoes</t>
  </si>
  <si>
    <t>Potato Chips</t>
  </si>
  <si>
    <t>1 ton of frozen chips</t>
  </si>
  <si>
    <t>Winter wheat - small holdings</t>
  </si>
  <si>
    <t>Alina Syp (a); Antoni Faber (a); Magdalena Borzęcka-Walker (a); Dariusz Osuch (b)</t>
  </si>
  <si>
    <t>(a)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t>
  </si>
  <si>
    <t>DEA study instead of LCA - appears to talk only about ag production</t>
  </si>
  <si>
    <t>1 kg wheat</t>
  </si>
  <si>
    <t>IPCC 2007</t>
  </si>
  <si>
    <t>Winter wheat - medium holdings</t>
  </si>
  <si>
    <t>Winter wheat - large holdings</t>
  </si>
  <si>
    <t>Mushroom</t>
  </si>
  <si>
    <t>F.J. Leivaa(a); J.C. Saenz-Díez (b); E. Martínez (a); E. Jiménez (b); J. Blancoa (a);</t>
  </si>
  <si>
    <t>(a) Department of Mechanical Engineering, University of la Rioja, Edificio Departamental—C/Luis de Ulloa, 20, 26004 Logro ̃no, La Rioja, Spain (b) Department of Electrical Engineering, University of la Rioja, Edificio Departamental—C/Luis de Ulloa, 20, 26004 Logro ̃no, La Rioja, Spain</t>
  </si>
  <si>
    <t>Assumed all produce is distributed as soon as it is grown. Cradle to farm gate to consumer</t>
  </si>
  <si>
    <t>1 kg mushroom</t>
  </si>
  <si>
    <t>CML Leiden 2000</t>
  </si>
  <si>
    <t>Seasonal - May supply</t>
  </si>
  <si>
    <t>Spain, UK</t>
  </si>
  <si>
    <t>Chris Foster (a); Catarina Guében (a); Mark Holmes (b); Jeremy Wiltshire (b); Sarah Wynn (b);</t>
  </si>
  <si>
    <t>(a) EuGeos Limited, UK; (b) ADAS, UK;</t>
  </si>
  <si>
    <t>Until retail</t>
  </si>
  <si>
    <t>1 kg raspberry</t>
  </si>
  <si>
    <t>IPCC 2006, PAS 2050:2008.</t>
  </si>
  <si>
    <t>Seasonal - July supply</t>
  </si>
  <si>
    <t>Seasonal - November supply</t>
  </si>
  <si>
    <t>Citrus Fruits</t>
  </si>
  <si>
    <t>Conventional - Average of mandarins and oranges</t>
  </si>
  <si>
    <t xml:space="preserve">Eduardo Aguilera (a); Gloria Guzmán (a); Antonio Alonso(a); </t>
  </si>
  <si>
    <t>(a) Agro-ecosystems History Laboratory, Universidad Pablo de Olavide, Carretera de Utrera, km. 1, 41013 Seville, Spain</t>
  </si>
  <si>
    <t>1 kg product</t>
  </si>
  <si>
    <t>Fruits</t>
  </si>
  <si>
    <t>Conventional - Average of apples, pears, plums, table grapes, peach, apricot, figs</t>
  </si>
  <si>
    <t>Fruits, Subtropical</t>
  </si>
  <si>
    <t>Conventional - Average of Avocado, mango, banana</t>
  </si>
  <si>
    <t>Legumes and Nuts</t>
  </si>
  <si>
    <t>Treenuts</t>
  </si>
  <si>
    <t>Conventional - Average of Almond,hazelnut, carob tree</t>
  </si>
  <si>
    <t>Conventional - wine grapes</t>
  </si>
  <si>
    <t>Conventional - olives</t>
  </si>
  <si>
    <t>organic - Average of mandarins and oranges</t>
  </si>
  <si>
    <t>Organic - Average of apples, pears, plums, table grapes, peach, apricot, figs</t>
  </si>
  <si>
    <t>Organic - Average of Avocado, mango, banana</t>
  </si>
  <si>
    <t>organic - Average of Almond,hazelnut, carob tree</t>
  </si>
  <si>
    <t>Organic - wine grapes</t>
  </si>
  <si>
    <t>Organic - olives</t>
  </si>
  <si>
    <t>Broccoli</t>
  </si>
  <si>
    <t>UK grown broccoli sold in UK</t>
  </si>
  <si>
    <t>Llorenç Milà i Canals (a); Ivan Muñoz (a); Almudena Hospido (a); Katharina Plassmann (b); Sarah McLaren (a);</t>
  </si>
  <si>
    <t>(a) Centre for Environmental Strategy, University of Surrey (UK) (b) Bangor University, (UK)</t>
  </si>
  <si>
    <t>Capital goods - Machinery included but not buildings. Land Use reported in sq. m. includes cropping, retail, transport, waste disposal, etc.</t>
  </si>
  <si>
    <t>1 kg broccoli on plate</t>
  </si>
  <si>
    <t>CML 2001 method</t>
  </si>
  <si>
    <t>Frozen</t>
  </si>
  <si>
    <t>waste disposal</t>
  </si>
  <si>
    <t>Spanish grown broccoli sold in UK</t>
  </si>
  <si>
    <t>UK outdoor grown lettuce, sold in UK</t>
  </si>
  <si>
    <t>1 kg lettuce at market</t>
  </si>
  <si>
    <t>UK indoor grown lettuce, sold in UK</t>
  </si>
  <si>
    <t>1 kg lettuce on plate</t>
  </si>
  <si>
    <t>lettuce</t>
  </si>
  <si>
    <t>Spanish grown lettuce sold in UK</t>
  </si>
  <si>
    <t>Ugandan lettuce sold in UK</t>
  </si>
  <si>
    <t>Uganda</t>
  </si>
  <si>
    <t>UK grown beans soldin UK</t>
  </si>
  <si>
    <t>1 kg green beans on plate</t>
  </si>
  <si>
    <t>Ugandan beans sold in UK</t>
  </si>
  <si>
    <t>Kenyan beans sold in UK</t>
  </si>
  <si>
    <t>Kenya</t>
  </si>
  <si>
    <t>Vincenzo Girgenti (a); Cristiana Peano (a); Michele Bounous (a); Claudio Baudino (b);</t>
  </si>
  <si>
    <t>(a) Dipartimento di Scienze Agrarie, Forestali e Alimentari, Università degli Studi di Torino, Via Leonardo da Vinci 44, 10095 Grugliasco, TO, Italy; (b) AgrifruttaSoc. Coop. Agr., Via Beinette 6, 12016 Peveragno, CN, Italy</t>
  </si>
  <si>
    <t>waste disposal - packaging</t>
  </si>
  <si>
    <t>Cradle to grave, without use phase, but with packaging disposal</t>
  </si>
  <si>
    <t>125 g box</t>
  </si>
  <si>
    <t>values/0.125</t>
  </si>
  <si>
    <t>ISO 14040 (2006)</t>
  </si>
  <si>
    <t>Conventional - highbush</t>
  </si>
  <si>
    <t>Kumar Venkat;</t>
  </si>
  <si>
    <t>CleanMetrics Corp, Portland, USA</t>
  </si>
  <si>
    <t>Until Farm gate</t>
  </si>
  <si>
    <t>Organic - highbush</t>
  </si>
  <si>
    <t>Until Farm gate, land use change assumed from conventional to organic hence increase in soil carbon</t>
  </si>
  <si>
    <t>Conventional - Fuji</t>
  </si>
  <si>
    <t>Organic - McIntosh, Golden Delicious</t>
  </si>
  <si>
    <t>Conventional - Granny Smith</t>
  </si>
  <si>
    <t>Organic - Granny Smith, Golden delicious</t>
  </si>
  <si>
    <t>Conventional - Chardonnay</t>
  </si>
  <si>
    <t>Organic - Chardonnay</t>
  </si>
  <si>
    <t>Organic - Cabarnet sauvignon</t>
  </si>
  <si>
    <t>Conventional - Thompson Seedless</t>
  </si>
  <si>
    <t>Organic - Thompson seedless</t>
  </si>
  <si>
    <t>Conventional</t>
  </si>
  <si>
    <t>Almonds</t>
  </si>
  <si>
    <t>Walnuts</t>
  </si>
  <si>
    <t>Conventional - Chandler</t>
  </si>
  <si>
    <t>Organic - Terminal bearing</t>
  </si>
  <si>
    <t>Conventional - Iceberg</t>
  </si>
  <si>
    <t>Organic - Leaf</t>
  </si>
  <si>
    <t>Wesley W. Ingwersen;</t>
  </si>
  <si>
    <t>US Environmental Protection Agency, National Risk Management Research Laboratory, Sustainable Technology Division;</t>
  </si>
  <si>
    <t>1 serving of fruit</t>
  </si>
  <si>
    <t>reported value/0.165 (1 serving pineapple = 165 g)</t>
  </si>
  <si>
    <t>Asparagus</t>
  </si>
  <si>
    <t>asparagus</t>
  </si>
  <si>
    <t>Franziska Stoessel (a); Ronnie Juraske (a); Stephan Pfister (a); Stefanie Hellweg (a);</t>
  </si>
  <si>
    <t>(a) Institute of Environmental Engineering, ETH Zurich, CH-8093 Zürich</t>
  </si>
  <si>
    <t>Until point of sale. Machinery on farm considered but only fuel use - not manufacture/buildings</t>
  </si>
  <si>
    <t xml:space="preserve">1 kg of product </t>
  </si>
  <si>
    <t>0.75to 13.49</t>
  </si>
  <si>
    <t>SimaPro 7 &amp; Ecoinvent v2.0.1</t>
  </si>
  <si>
    <t>0.32to 4.37</t>
  </si>
  <si>
    <t>banana</t>
  </si>
  <si>
    <t>1 kg of product</t>
  </si>
  <si>
    <t>0.37to 0.47</t>
  </si>
  <si>
    <t>tomato</t>
  </si>
  <si>
    <t>0.31to 1.07</t>
  </si>
  <si>
    <t>pear</t>
  </si>
  <si>
    <t>0.25to 0.62</t>
  </si>
  <si>
    <t>Fruits, Citrus</t>
  </si>
  <si>
    <t>0.25to 0.61</t>
  </si>
  <si>
    <t>Cucumber</t>
  </si>
  <si>
    <t>cucumber</t>
  </si>
  <si>
    <t>0.31to 2.13</t>
  </si>
  <si>
    <t>apple</t>
  </si>
  <si>
    <t>0.22to 0.65</t>
  </si>
  <si>
    <t>vine tomato</t>
  </si>
  <si>
    <t>0.31to 1.03</t>
  </si>
  <si>
    <t>Grapes</t>
  </si>
  <si>
    <t>grapes</t>
  </si>
  <si>
    <t>0.23to 0.49</t>
  </si>
  <si>
    <t>bell pepper</t>
  </si>
  <si>
    <t>0.57to 1.67</t>
  </si>
  <si>
    <t>potato</t>
  </si>
  <si>
    <t>0.13to 0.47</t>
  </si>
  <si>
    <t>Avocado</t>
  </si>
  <si>
    <t>avocado</t>
  </si>
  <si>
    <t>0.65to 1.56</t>
  </si>
  <si>
    <t>melon</t>
  </si>
  <si>
    <t>0.19to 0.45</t>
  </si>
  <si>
    <t>kiwi</t>
  </si>
  <si>
    <t>0.46to 0.77</t>
  </si>
  <si>
    <t>strawberry</t>
  </si>
  <si>
    <t>0.16to 0.36</t>
  </si>
  <si>
    <t>Leek</t>
  </si>
  <si>
    <t>leek</t>
  </si>
  <si>
    <t>0.43to 0.48</t>
  </si>
  <si>
    <t>Onions</t>
  </si>
  <si>
    <t>onion</t>
  </si>
  <si>
    <t>Carrots</t>
  </si>
  <si>
    <t>carrot</t>
  </si>
  <si>
    <t>Cauliflower</t>
  </si>
  <si>
    <t>cauliflower</t>
  </si>
  <si>
    <t>0.33to 0.47</t>
  </si>
  <si>
    <t>pineapple</t>
  </si>
  <si>
    <t>0.29to 0.45</t>
  </si>
  <si>
    <t>fennel</t>
  </si>
  <si>
    <t>0.37to 0.56</t>
  </si>
  <si>
    <t>broccoli</t>
  </si>
  <si>
    <t>0.38to 0.51</t>
  </si>
  <si>
    <t>Eggplant</t>
  </si>
  <si>
    <t>eggplant</t>
  </si>
  <si>
    <t>0.64to 2.92</t>
  </si>
  <si>
    <t>Fennel, Cauliflower, Broccoli</t>
  </si>
  <si>
    <t>fennel, cauliflower, broccoli</t>
  </si>
  <si>
    <t>0.37to 0.53</t>
  </si>
  <si>
    <t>zucchini</t>
  </si>
  <si>
    <t>0.19to 0.34</t>
  </si>
  <si>
    <t>Spinach</t>
  </si>
  <si>
    <t>spinach</t>
  </si>
  <si>
    <t>0.11to 0.27</t>
  </si>
  <si>
    <t>scan level, average US</t>
  </si>
  <si>
    <t>Thoma, Greg; Nutter, Darin; Ulrich, Rick; Maxwell, Charles; Frank, Jason; East, Cashion</t>
  </si>
  <si>
    <t>University of Arkansas</t>
  </si>
  <si>
    <t>cradle to grave, although farm gate reported explicitly</t>
  </si>
  <si>
    <t>4 oz boneless serving</t>
  </si>
  <si>
    <t>4 oz = 0.113 kg</t>
  </si>
  <si>
    <t>95% CI: 8.84 - 11.65</t>
  </si>
  <si>
    <t>100yr IPCC 2007</t>
  </si>
  <si>
    <t>Northern Germany, 2010/2011</t>
  </si>
  <si>
    <t>K, Reckmann; I. Traulsen; J. Krieter</t>
  </si>
  <si>
    <t>Institute of Animal Breeding and Husbandry, Christian-Albrechts-University, Olshausenstraße 40, D-24098 Kiel, Germany</t>
  </si>
  <si>
    <t>1 kg slaughter weight pork</t>
  </si>
  <si>
    <t>CML 2 Baseline 200 (IPCC 2006)</t>
  </si>
  <si>
    <t>Flanders</t>
  </si>
  <si>
    <t>Belgium</t>
  </si>
  <si>
    <t>Graham A. McAuliffe a,b,⁎, Deborah V. Chapman b, Colin L. Sage a</t>
  </si>
  <si>
    <t>a Department of Geography, University College Cork, O'Donovan's Road, Cork, Ireland; b School of Biological, Earth and Environmental Sciences, University College Cork, Distillery Fields, North Mall, Cork, Ireland</t>
  </si>
  <si>
    <t>crop production to delivery of pork to Antwerp in Belgium</t>
  </si>
  <si>
    <t>1 kg carcass weight pig meat</t>
  </si>
  <si>
    <t>organic; indoor fattening</t>
  </si>
  <si>
    <t>Niels Halberg1*, John E. Hermansen2, Ib Sillebak Kristensen2, Jørgen Eriksen2, Niels Tvedegaard3,Bjørn Molt Petersen2</t>
  </si>
  <si>
    <t>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t>
  </si>
  <si>
    <t>pig production only</t>
  </si>
  <si>
    <t>dressing yield=72.4%, boneless = 0.729*carcass  from Weights, Measures, and Conversion Factors for Agricultural Commodities and Their Products.</t>
  </si>
  <si>
    <t>EDIP 97</t>
  </si>
  <si>
    <t>organic; free range</t>
  </si>
  <si>
    <t>organic; tent system</t>
  </si>
  <si>
    <t>commodity production, high profitability</t>
  </si>
  <si>
    <t>Upper Midwest US</t>
  </si>
  <si>
    <t>N. Pelletier, P. Lammers, D. Stender, R. Pirog</t>
  </si>
  <si>
    <t>a School for Resource and Environmental Studies, Dalhousie University, Canada; b Department of Animal Science, Iowa State University, United States; c Iowa State University Extension, United States; d Leopold Center for Sustainable Agriculture, Iowa State University, United States</t>
  </si>
  <si>
    <t>commodity production, low profitability</t>
  </si>
  <si>
    <t>deep bedded niche production, high profitability</t>
  </si>
  <si>
    <t>deep bedded niche production, low profitability</t>
  </si>
  <si>
    <t>southern Australia (deep litter housing)</t>
  </si>
  <si>
    <t>Austalia</t>
  </si>
  <si>
    <t>Stephen Wiedemann, Eugene McGahan, Shelly Grist and Tim Grant</t>
  </si>
  <si>
    <t>Australian Government Rural Industries Research and Development Corp.</t>
  </si>
  <si>
    <t>cradle to slaughterhouse gate</t>
  </si>
  <si>
    <t>northern Australia (conventional housing)</t>
  </si>
  <si>
    <t>ave of 27 farms</t>
  </si>
  <si>
    <t>M.A. Dolman a,b,n, H.C.J.Vrolijk a, I.J.M.deBoer b</t>
  </si>
  <si>
    <t>a Agricultural EconomicsResearchInstitute,WageningenUniversityandResearchCentre,POBox29703,NL-2502LS,TheNetherlands
b Animal ProductionSystemsGroup,WageningenUniversity,TheNetherlands</t>
  </si>
  <si>
    <t>100 kg slaughter weight</t>
  </si>
  <si>
    <t>/100/.729</t>
  </si>
  <si>
    <t>EU</t>
  </si>
  <si>
    <t>Department of Agroecology, Aarhus University, Tjele, Denmark</t>
  </si>
  <si>
    <t>Dourmad, J. Y.; Ryschawy, J.; Trousson, T.; Bonneau, M.; Gonzàlez, J.; Houwers, H. W. J.;Hviid, M.; Zimmer, C.; Nguyen, T. L. T.; Morgensen, L.</t>
  </si>
  <si>
    <t>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t>
  </si>
  <si>
    <t>1 kg live weight</t>
  </si>
  <si>
    <t>SD=.085</t>
  </si>
  <si>
    <t>100 yr IPCC 2006</t>
  </si>
  <si>
    <t>adapted conventional</t>
  </si>
  <si>
    <t>SD=0.602</t>
  </si>
  <si>
    <t>SD=0.228</t>
  </si>
  <si>
    <t>traditional</t>
  </si>
  <si>
    <t>SD=1.086</t>
  </si>
  <si>
    <t>comparison farm</t>
  </si>
  <si>
    <t>Dr Craig Jones, Dr Jean-Yves Cherruault</t>
  </si>
  <si>
    <t>Sustain Ltd</t>
  </si>
  <si>
    <t>eco-designed farm</t>
  </si>
  <si>
    <t>IPCC 2008</t>
  </si>
  <si>
    <t>N. Pelletier</t>
  </si>
  <si>
    <t>School for Resource and Environmental Studies, Dalhousie University, Kenneth C. Rowe Management Building, 6100 University Avenue, Suite 5010, Halifax,Nova Scotia, Canada, B3H 3J5</t>
  </si>
  <si>
    <t>1 tonne live weight broiler poultry</t>
  </si>
  <si>
    <t>/1000/.56  (paper estimates 56% of live weight is edible)</t>
  </si>
  <si>
    <t>CED v 1.03</t>
  </si>
  <si>
    <t>CML 2 Baseline 2000</t>
  </si>
  <si>
    <t>national average, 2006</t>
  </si>
  <si>
    <t>X. P. C. Vergé ,* J. A. Dyer ,†1 R. L. Desjardins ,*2 and D. Worth *</t>
  </si>
  <si>
    <t>* Agriculture and Agri-Food Canada, K. W. Neatby Building, 960 Carling Avenue,Ottawa, Ontario, Canada, K1A 0C6; and † 122A Hexam Street,Cambridge, Ontario, Canada, N3H 3Z9</t>
  </si>
  <si>
    <t>/0.56 (borrowing estimate of edible fraction of live from Pelletier, 2008)</t>
  </si>
  <si>
    <t>turkey</t>
  </si>
  <si>
    <t>standard indoor</t>
  </si>
  <si>
    <t>I. Leinonen ,*1 A. G. Williams ,† J. Wiseman ,‡ J. Guy ,* and I. Kyriazakis *</t>
  </si>
  <si>
    <t>*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t>
  </si>
  <si>
    <t>1000 kg edible carcass weight</t>
  </si>
  <si>
    <t>SD=.44</t>
  </si>
  <si>
    <t>SD=.52</t>
  </si>
  <si>
    <t>SD=.62</t>
  </si>
  <si>
    <t>Fish and Seafood</t>
  </si>
  <si>
    <t>weighted ave of Atlantic, Indian &amp; Pacific ocean captures</t>
  </si>
  <si>
    <t>A. Hospido; P. Tyedmers</t>
  </si>
  <si>
    <t xml:space="preserve">a Chemical Engineering Department, Institute of Technology, University of Santiago de Compostela,15782Santia go de Compostela, Spain b School for Resource and Environmental Studies (SRES), Faculty of Management, Dalhousie University, Halifax, NS, Canada </t>
  </si>
  <si>
    <t>delivered to Galician port</t>
  </si>
  <si>
    <t>1 tonne frozen unprocessed tuna</t>
  </si>
  <si>
    <t>france</t>
  </si>
  <si>
    <t>Emmanuelle Roque d’Orbcastel a, Jean-Paul Blancheton a,*, Joe¨ l Aubin b</t>
  </si>
  <si>
    <t>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t>
  </si>
  <si>
    <t>assumed at farm gate</t>
  </si>
  <si>
    <t>1 ton fish</t>
  </si>
  <si>
    <t>fresh mussels</t>
  </si>
  <si>
    <t>Diego Iribarren*, Maria Teresa Moreira, Gumersindo Feijoo</t>
  </si>
  <si>
    <t>Department of Chemical Engineering, School of Engineering, University of Santiago de Compostela, Ru´a Lope Go´mez de Marzoa s/n, 15782 Santiago de Compostela, Spain</t>
  </si>
  <si>
    <t>1 kg dry edible mussel flesh</t>
  </si>
  <si>
    <t>CML 2001</t>
  </si>
  <si>
    <t>canned mussels</t>
  </si>
  <si>
    <t>frozen boiled mussels</t>
  </si>
  <si>
    <t>Ian Vázquez-Rowe∗, Ma Teresa Moreira, Gumersindo Feijoo</t>
  </si>
  <si>
    <t>Department of Chemical Engineering, School of Engineering, University of Santiago de Compostela, 15782 Santiago de Compostela, Spain</t>
  </si>
  <si>
    <t>delivered to port; using mass allocation</t>
  </si>
  <si>
    <t>1 ton of landed round Atlantic horse mackerel</t>
  </si>
  <si>
    <t>CML 2000</t>
  </si>
  <si>
    <t>Spain (Galicia)</t>
  </si>
  <si>
    <t>cradle to grave</t>
  </si>
  <si>
    <t>500 g of raw gutted fresh hake fillet</t>
  </si>
  <si>
    <t>*2</t>
  </si>
  <si>
    <t>Biodynamic Method</t>
  </si>
  <si>
    <t>Spain (NW, Ribeiro)</t>
  </si>
  <si>
    <t>Pedro Villanueva-Rey (1); Ian Vázquez-Rowe (2); Ma Teresa Moreira (1); Gumersindo Feijoo (1)</t>
  </si>
  <si>
    <t xml:space="preserve">(1)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t>
  </si>
  <si>
    <t>Only agricultural stage researched</t>
  </si>
  <si>
    <t>1.1 kg of collected grape</t>
  </si>
  <si>
    <t>reported value x (10/11)</t>
  </si>
  <si>
    <t>IPCC 2006b.</t>
  </si>
  <si>
    <t>Intermediate Biodynamic-Conventional Method</t>
  </si>
  <si>
    <t>Conventional Method</t>
  </si>
  <si>
    <t>Spray Dried Soluble Coffee</t>
  </si>
  <si>
    <t>Sebastien Humbert; Yves Loerincik; Vincent Rossi; Manuele Margni; Olivier Jolliet</t>
  </si>
  <si>
    <t>All except retail</t>
  </si>
  <si>
    <t>1 dl cup of coffee ready to be drunk, at the consumer’s home</t>
  </si>
  <si>
    <t>reported value / density (1g/ml) --&gt; (RV x 1000g)/(100ml x 1 g/ml)</t>
  </si>
  <si>
    <t>Drip Filter Coffee (no waste)</t>
  </si>
  <si>
    <t>Capsule Espresso Coffee</t>
  </si>
  <si>
    <t>Espresso</t>
  </si>
  <si>
    <t>Sybille Büsser; Niels Jungbluth</t>
  </si>
  <si>
    <t>ESU-services Ltd. – fair consulting in sustainability, Margrit-Rainer-Str. 11c, 8050 Zürich,</t>
  </si>
  <si>
    <t>Consulting Group</t>
  </si>
  <si>
    <t>Production, packaging, transport (roastery to house), cooking/brewing</t>
  </si>
  <si>
    <t>1 cup of coffee</t>
  </si>
  <si>
    <t>reported value / density (1g/ml) --&gt; (RV x 1000g)/(236.588ml/cup x 1 g/ml)</t>
  </si>
  <si>
    <t>Black Coffee</t>
  </si>
  <si>
    <t>Black Instant Coffee</t>
  </si>
  <si>
    <t>Tea</t>
  </si>
  <si>
    <t>Kenyan Tea, Large Scale Production</t>
  </si>
  <si>
    <t>Adisa Azapagic (1);  John Bore (2); Beatrice Cheserek (2); Samson Kamunya (2); Aziz Elbehri (3)</t>
  </si>
  <si>
    <t>(1)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t>
  </si>
  <si>
    <t>1 kg of dry tea</t>
  </si>
  <si>
    <t>Kenyan Tea, Small Scale Production</t>
  </si>
  <si>
    <t>India</t>
  </si>
  <si>
    <t>Geneviève Doublet; Niels Jungbluth</t>
  </si>
  <si>
    <t>ESU-services Ltd. – fair consulting in sustainability, Kanzleistr. 4, CH-8610 Uster</t>
  </si>
  <si>
    <t>250ml of tea ready for consumption (reference flow = 1.75g dry tea leaves)</t>
  </si>
  <si>
    <t>reported value / density (250.44g/250ml) --&gt; (RV x 1000g/kg)/(250.44g/250ml)</t>
  </si>
  <si>
    <t>Darjeeling Tea, organic teabag</t>
  </si>
  <si>
    <t>Darjeeling Tea, conventional loose</t>
  </si>
  <si>
    <t>Darjeeling Tea, conventional tea bag</t>
  </si>
  <si>
    <t>Darjeeling Tea, organic loose w/o distribution</t>
  </si>
  <si>
    <t>Carbonated Drinks</t>
  </si>
  <si>
    <t>Carbonated Beverages, Glass Packaging</t>
  </si>
  <si>
    <t>David Amienyo; Haruna Gujba; Heinz Stichnothe; Adisa Azapagic</t>
  </si>
  <si>
    <t>1 L of carbonated drink</t>
  </si>
  <si>
    <t>reported value / density of soda (1.042 kg/L)</t>
  </si>
  <si>
    <t>Carbonated Beverages, Aluminum Packaging</t>
  </si>
  <si>
    <t>Carbonated Beverages, PET 0.5 L Packaging</t>
  </si>
  <si>
    <t>Carbonated Beverages, PET 2 L Packaging</t>
  </si>
  <si>
    <t>Common Octopus, delivered to import ports; average of 3 reported</t>
  </si>
  <si>
    <t>Mauritania (Spanish fleet)</t>
  </si>
  <si>
    <t>Ian Va´zquez-Rowe n, Marı´a TeresaMoreira,GumersindoFeijoo</t>
  </si>
  <si>
    <t>Department ofChemicalEngineering,SchoolofEngineering,UniversityofSantiagodeCompostela.15782–SantiagodeCompostela,Spain</t>
  </si>
  <si>
    <t>delivered to port</t>
  </si>
  <si>
    <t>24 kg frozen octopus</t>
  </si>
  <si>
    <t>Tasmania</t>
  </si>
  <si>
    <t>Anna Farmery a,*, Caleb Gardner a,1, Bridget S. Green a,2, Sarah Jennings b,3</t>
  </si>
  <si>
    <t>a Institute for Marine and Antarctic Studies, University of Tasmania, Hobart, Tasmania 7001, Australia; b School of Economics and Finance, University of Tasmania, Hobart, Tasmania 7001, Australia</t>
  </si>
  <si>
    <t>delivered to Beijing, China</t>
  </si>
  <si>
    <t>1 kg of live lobster at the point of arrival in the main export market of Beijing, China</t>
  </si>
  <si>
    <t>CML Baseline 2000</t>
  </si>
  <si>
    <t>Fresh (Raw)</t>
  </si>
  <si>
    <t>Norway</t>
  </si>
  <si>
    <t>Friederike Ziegler, Ulf Winther, Erik Skontorp Hognes, Andreas Emanuelsson, Veronica Sund,and Harald Ellingsen</t>
  </si>
  <si>
    <t>SIK, PO Box 5401, SE-402 29 G¨oteborg, Sweden</t>
  </si>
  <si>
    <t>1 kg edible seafood at wholesaler</t>
  </si>
  <si>
    <t>frozen</t>
  </si>
  <si>
    <t>Fresh (Live)</t>
  </si>
  <si>
    <t>Saltfish</t>
  </si>
  <si>
    <t>wild, fillet, Truck to Berlin</t>
  </si>
  <si>
    <t>wild, round, bulk freight/train to Moscow</t>
  </si>
  <si>
    <t>wild, deskinned fillet, truck to Moscow</t>
  </si>
  <si>
    <t>Maine, US</t>
  </si>
  <si>
    <t>John Driscoll ∗, Catherine Boyd, Peter Tyedmers</t>
  </si>
  <si>
    <t>School for Resource and Environmental Studies, Dalhousie University, 6100 University Ave, Suite 5010, Halifax, Nova Scotia B3H 4R2, Canada</t>
  </si>
  <si>
    <t>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t>
  </si>
  <si>
    <t>one metric ton of live lobster, caught in calendar year 2006, delivered to a live storage facility in Boston, Massachusetts, and stored for 72 h.</t>
  </si>
  <si>
    <t>Nova Scotia, Canada</t>
  </si>
  <si>
    <t>one metric ton of live lobster caught in the 2005–2006 fishing season and delivered to Las Vegas,Nevada</t>
  </si>
  <si>
    <t xml:space="preserve">canned </t>
  </si>
  <si>
    <t>Benedikt Buschspies; Sunnie J. Tolle; Niels Jungbluth</t>
  </si>
  <si>
    <t>ESU services consulting, Switzerland</t>
  </si>
  <si>
    <t>landed in Denmark, processed &amp; packaged, trucked to Switzerland</t>
  </si>
  <si>
    <t>1 kg fish fillet sold in Swiss supermarket</t>
  </si>
  <si>
    <t>2 kg fish fillet sold in Swiss supermarket</t>
  </si>
  <si>
    <t>3 kg fish fillet sold in Swiss supermarket</t>
  </si>
  <si>
    <t>Cured or Pickled</t>
  </si>
  <si>
    <t>farmed in Norway, processed &amp; packaged, transported by truck to Switzerland</t>
  </si>
  <si>
    <t>4 kg fish fillet sold in Swiss supermarket</t>
  </si>
  <si>
    <t>J. Aubin a,*, E. Papatryphon b, H.M.G. van der Werf a, S. Chatzifotis c</t>
  </si>
  <si>
    <t xml:space="preserve">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t>
  </si>
  <si>
    <t>to farm gate</t>
  </si>
  <si>
    <t>1 tonne live fish</t>
  </si>
  <si>
    <t>Salmon, Farmed</t>
  </si>
  <si>
    <t>Pelletier, Nathan; Tyedmers, Peter; Sonesson, Ulf; Scholz, Astrid; Ziegler, Friederike; Flysjo, Anna; Kruse, Sarah; Cancino, Beatriz; Silverman, Howard</t>
  </si>
  <si>
    <t>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t>
  </si>
  <si>
    <t>1 tonne live weight</t>
  </si>
  <si>
    <t>Chile</t>
  </si>
  <si>
    <t>British Columbia, Canada</t>
  </si>
  <si>
    <t>Nathan W. Ayer a,*, Peter H. Tyedmers b</t>
  </si>
  <si>
    <t>a Jacques Whitford, 3 Spectacle Lake Drive, Dartmouth, Nova Scotia B3B 1W8, Canada b School for Resource and Environmental Studies, Dalhousie University, Kenneth C. Rowe Management Building, 6100 University Avenue, Suite 5010, Halifax, Nova Scotia B3H 3J5, Canada</t>
  </si>
  <si>
    <t>1 tonne live weight fish</t>
  </si>
  <si>
    <t>Indonesia</t>
  </si>
  <si>
    <t>Nathan Pelletier and Peter Tyedmers</t>
  </si>
  <si>
    <t>School for Resource and Environmental Studies Suite 5010, 6100 University Ave. Dalhousie University Nova Scotia, Canada B3H 3J5</t>
  </si>
  <si>
    <t>cradle to market port</t>
  </si>
  <si>
    <t>1 tonne of frozen, packaged, lake-cultured Indonesian tilapia fillets to container ports in Chicago</t>
  </si>
  <si>
    <t>1 tonne of frozen, packaged, lake-cultured Indonesian tilapia fillets to container ports in Rotterdam</t>
  </si>
  <si>
    <t>Other</t>
  </si>
  <si>
    <t>Svenska Lantchips Potato Chips ("Crisps")</t>
  </si>
  <si>
    <t>Katarina Nilsson; Veronica Sund; Britta Florén</t>
  </si>
  <si>
    <t>TemaNord, Nordic Council of Ministers, Copenhagen 2011</t>
  </si>
  <si>
    <t>Cradle to Retailer</t>
  </si>
  <si>
    <t>200g package of crisps at retailer</t>
  </si>
  <si>
    <t>Reported Value x 5</t>
  </si>
  <si>
    <t>Candy</t>
  </si>
  <si>
    <t>Foam Sweet Candy, Ahlgren’s Cars Candy</t>
  </si>
  <si>
    <t>125g of packaged sweets at retailer</t>
  </si>
  <si>
    <t>Reported Value x 8</t>
  </si>
  <si>
    <t>Foam Sweet Candy, Stora Zoo jelly sweet candy</t>
  </si>
  <si>
    <t>Cradle to Factory Gate</t>
  </si>
  <si>
    <t>2kg of jelly sweets ready for transport to retailer</t>
  </si>
  <si>
    <t>Reported Value / 2</t>
  </si>
  <si>
    <t>Nygårda cola soft drink</t>
  </si>
  <si>
    <t>33cl bottle of cola transported to local retailer</t>
  </si>
  <si>
    <t>Convert to mL, divide by density ((RV x 1000g/kg) / (1.042g/mL x 10ml/cl))</t>
  </si>
  <si>
    <t>Cocoa Beans, Cocoa Monoculture</t>
  </si>
  <si>
    <t>Budi Utomo (1)(2); Shabbir H. Gheewala (1)(2); Adi A. Prawoto (3); Sebastien Bonnet  (1)(2); Athikom Bangviwat (1)(2)</t>
  </si>
  <si>
    <t>(1) The Joint Graduate School of Energy and Environment, King Mongkut's University of Technology Thonburi, Bangkok, Thailand  (2) Centre for Energy Technology and Environment, Ministry of Education, Bangkok, Thailand  (3) Indonesian Coffee and Cocoa Research Institute (ICCRI), Indonesia</t>
  </si>
  <si>
    <t>Cradle to Farm Gate</t>
  </si>
  <si>
    <t>1 metric ton of cocoa pod</t>
  </si>
  <si>
    <t>Cocoa Beans, Cocoa-Rubber Agroforestry</t>
  </si>
  <si>
    <t>Cocoa Beans, Cocoa-Coconut Agroforestry</t>
  </si>
  <si>
    <t>Iceland</t>
  </si>
  <si>
    <t>Fulton, Sarah</t>
  </si>
  <si>
    <t>cradle to port in UK (Grimsby)</t>
  </si>
  <si>
    <t>1 kg frozen fillet</t>
  </si>
  <si>
    <t>Ecoinvent CED</t>
  </si>
  <si>
    <t>Alaska, US</t>
  </si>
  <si>
    <t>China (Hainan Province)</t>
  </si>
  <si>
    <t>Ling Cao,*,† James S. Diana,† Gregory A. Keoleian,† and Qiuming Lai‡</t>
  </si>
  <si>
    <t>†School of Natural Resources and Environment, University of Michigan, Ann Arbor, Michigan 48109, United States ‡Ocean College, Hainan University, Haikou, China</t>
  </si>
  <si>
    <t>cardle to farm gate (note that paper considers impact to export destination, but specific values are not reported)</t>
  </si>
  <si>
    <t>1 metric ton live weight shrimp</t>
  </si>
  <si>
    <t>Erik Svanes &amp; Mie Vold &amp; Ole Jørgen Hanssen</t>
  </si>
  <si>
    <t>Ostfold Research, Gamle Bedding vei 2b, 1671 Kraakeroey, Norway</t>
  </si>
  <si>
    <t>mass allocation, cradle to retailer in Sweden</t>
  </si>
  <si>
    <t>1 kg wetpack cod</t>
  </si>
  <si>
    <t>CML 2 baseline 2000</t>
  </si>
  <si>
    <t>mass allocation, cradle to institutional user in Sweden</t>
  </si>
  <si>
    <t>1 kg cod fishburger</t>
  </si>
  <si>
    <t>mass allocation, cradle to distribution center in UK</t>
  </si>
  <si>
    <t>1 kg processed cod loin</t>
  </si>
  <si>
    <t>Tunisia</t>
  </si>
  <si>
    <t>M.A. Jerbi a,∗, J. Aubinb, K. Garnaouic, L. Achoura, A. Kacema</t>
  </si>
  <si>
    <t>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t>
  </si>
  <si>
    <t>1 tonne live fish weight</t>
  </si>
  <si>
    <t>Peanuts</t>
  </si>
  <si>
    <t>Small farms &lt;0.5 ha</t>
  </si>
  <si>
    <t>Iran</t>
  </si>
  <si>
    <t>Amin Nikkhah (a); Surur Khorramdel (b); Mehdi Khojastehpour (a); Bagher Emadi (a); Alireza Taheri-Rad (a)</t>
  </si>
  <si>
    <t>(a) Department of Biosystems Engineering, Ferdowsi University of Mashhad, Mashhad, Iran; (b) Department of Agronomy, Faculty of Agriculture, Ferdowsi University of Mashhad, Mashhad, Iran</t>
  </si>
  <si>
    <t>Only production is considered.</t>
  </si>
  <si>
    <t>1 tonne peanut (including husk)</t>
  </si>
  <si>
    <t>Medium farms 0.5-1 ha</t>
  </si>
  <si>
    <t>Large farms &gt;1 ha</t>
  </si>
  <si>
    <t>High input production</t>
  </si>
  <si>
    <t>Maria Clea Brito de Figueiredo (a); Marlos Alves Bezerra (a); Thomas Nemecek (d); Jose Potting (b); Viviane da Silva Barros (c); Luiz Augusto Lopes Serrano (a)
; Rubens Sonsol Gondim (a)</t>
  </si>
  <si>
    <t>(a) Embrapa Tropical Agroindustry, Ceara, Brazil; (b) KTH Royal Institute of Technology, Stockholm, Sweden; (c) Semi-arid Federal University, Rio Grande do Norte, Brazil; (d) Agroscope, Institute for Sustainability Sciences, Zurich, Switzerland;</t>
  </si>
  <si>
    <t>Cradle to farm exit gate</t>
  </si>
  <si>
    <t>Recipe midpoint approach</t>
  </si>
  <si>
    <t>low input Multi Cropping</t>
  </si>
  <si>
    <t>Cashew Apples, High input production</t>
  </si>
  <si>
    <t>Cashew Apples, low input Multi Cropping</t>
  </si>
  <si>
    <t>USA (california)</t>
  </si>
  <si>
    <t>Alissa Kendall (a); Elias Marvinney (a); Sonja Brodt (a); and Weiyuan Zhu (a);</t>
  </si>
  <si>
    <t>(a) Department of Civil and Environmental Engineering, University of California–Davis, One Shields Avenue, Davis, CA 95618;</t>
  </si>
  <si>
    <t>Use of co-products for animal feed/biomass fuel/mulching</t>
  </si>
  <si>
    <t>Economic allocation values. Hulling and Shelling included in farm procesing</t>
  </si>
  <si>
    <t>1 kg almond kernel</t>
  </si>
  <si>
    <t>Milk Chocolate Packed in Aluminium Foil Based Packaging</t>
  </si>
  <si>
    <t>ESU-services Ltd., Uster, Switzerland</t>
  </si>
  <si>
    <t>1 kg chocolate wrapped in 100g bars and aluminium foil based packaging</t>
  </si>
  <si>
    <t>Dark Chocolate Packed in Aluminium Foil Based Packaging</t>
  </si>
  <si>
    <t>White Chocolate Packed in Aluminium Foil Based Packaging</t>
  </si>
  <si>
    <t>Chocolate with Saltunas Packed in Aluminium Foil Based Packaging</t>
  </si>
  <si>
    <t>Corn, Chips</t>
  </si>
  <si>
    <t>Corn Chips</t>
  </si>
  <si>
    <t>Tim Grant (1) (2); Tom Beer (2)</t>
  </si>
  <si>
    <t>(1) RMIT Centre for Design; (2) CSIRO Marine and Atmospheric Research</t>
  </si>
  <si>
    <t>400g packet of corn chips</t>
  </si>
  <si>
    <t>Reported Value x 2.5</t>
  </si>
  <si>
    <t>Cacao</t>
  </si>
  <si>
    <t>Traditional Cacao</t>
  </si>
  <si>
    <t>David Pérez Neira</t>
  </si>
  <si>
    <t>(1) Department of Economics and Statistics, Universidad de León, León (Spain); (2) Prometeo Researcher, Secretaria de Educación Superior, Ciencia Tecnología e Innovación de la República del Ecuador, Universidad Estatal de Milagro, Milagro (Ecuador).</t>
  </si>
  <si>
    <t>1kg chocolate</t>
  </si>
  <si>
    <t>Technified Cacao</t>
  </si>
  <si>
    <t>Cereal</t>
  </si>
  <si>
    <t>Breakfast Cereal (minus consumption)</t>
  </si>
  <si>
    <t>(1) Harish Kumar Jeswania; (2) Richard Burkinshawb; (1) Adisa Azapagica</t>
  </si>
  <si>
    <t>(1) School of Chemical Engineering and Analytical Science, The Mill, Sackville Street, The University of Manchester, Manchester M13 9PL, United Kingdom; (2) Kellogg Management Services (Europe) Limited, The Kellogg Building, Talbot Road, Manchester, M16 0PU, United Kingdom</t>
  </si>
  <si>
    <t>1kg cereal</t>
  </si>
  <si>
    <t>CML 2001, Updated April 2013</t>
  </si>
  <si>
    <t>Breakfast Cereal (includes consumption with milk)</t>
  </si>
  <si>
    <t>Sidharta Sahirman Ardiansyah</t>
  </si>
  <si>
    <t>Universitas Jenderal Soedirman, Purwokerto, Indonesia</t>
  </si>
  <si>
    <t>Cradle to Processing Gate</t>
  </si>
  <si>
    <t>1kg tofu</t>
  </si>
  <si>
    <t>Soy Burger</t>
  </si>
  <si>
    <t>A. Ertug Ercina (1); Maite M. Aldayab (2); Arjen Y. Hoekstraa (1)</t>
  </si>
  <si>
    <t>(1) Twente Water Centre, University of Twente, P.O. Box 217, 7500 AE Enschede, The Netherlands; (2) United Nations Environment Programme, Division of Technology, Industry and Economics, Sustainable Consumption and Production Branch, 15, rue de Milan F-75441, Paris, France</t>
  </si>
  <si>
    <t>150g soy burger</t>
  </si>
  <si>
    <t>Reported Value x (20/3)</t>
  </si>
  <si>
    <t>Soy Milk</t>
  </si>
  <si>
    <t>1 liter soy milk</t>
  </si>
  <si>
    <t>Reported value / density of soy milk (1.08 kg/L)</t>
  </si>
  <si>
    <t>Crop Rotation, Wheat after Wheat</t>
  </si>
  <si>
    <t>New South Whales (NW)</t>
  </si>
  <si>
    <t>Aaron Simmons (1); Sally Muir (2); Pip Brock (3); David Herridge (4)</t>
  </si>
  <si>
    <t>(1)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t>
  </si>
  <si>
    <t>1 tonne of wheat</t>
  </si>
  <si>
    <t>Crop Rotation, Wheat after Canola</t>
  </si>
  <si>
    <t>Crop Rotation, Wheat after Chickpea</t>
  </si>
  <si>
    <t>New South Whales (SW)</t>
  </si>
  <si>
    <t>Crop Rotation, Wheat after Field Peas</t>
  </si>
  <si>
    <t>Rice</t>
  </si>
  <si>
    <t>Rice - Using measured field emissions and GWP_100</t>
  </si>
  <si>
    <t>California</t>
  </si>
  <si>
    <t>Sonja Brodt (1); Alissa Kendall (2); Yaser Mohammadi (1)(3) Aslihan Arslan (1); Juhong Yuan (2); In-Sung Lee (2); Bruce Linquist (3)</t>
  </si>
  <si>
    <t>(1)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t>
  </si>
  <si>
    <t>Cradle to Processing</t>
  </si>
  <si>
    <t>1 kg rice</t>
  </si>
  <si>
    <t>Seungdo Kim and Bruce E. Dale</t>
  </si>
  <si>
    <t>Department of Chemical Engineering &amp; Materials Science, Room 2527, Engineering Building, Michigan State University, East Lansing, MI</t>
  </si>
  <si>
    <t>derived from system expansion approach to assigning net energy to corn ethanol</t>
  </si>
  <si>
    <t>kg corn oil</t>
  </si>
  <si>
    <t>MJ (net energy)</t>
  </si>
  <si>
    <t>kg corn gluten meal</t>
  </si>
  <si>
    <t>average across US ; accounts for regional variation</t>
  </si>
  <si>
    <t>Seungdo Kim &amp; Bruce E. Dale</t>
  </si>
  <si>
    <t>direct land use change included in the form of changes in soil organic carbon</t>
  </si>
  <si>
    <t>kg soybean oil</t>
  </si>
  <si>
    <t>+/-0.5</t>
  </si>
  <si>
    <t>canned</t>
  </si>
  <si>
    <t>Portugal</t>
  </si>
  <si>
    <t>Cheila Almeida, Sofia Vaz, and Friederike Ziegler</t>
  </si>
  <si>
    <t>SIK–The Swedish Institute for Food and Biotechnology, Sustainable Food Production, P.O. Box 5401, SE-402 29 G¨oteborg, Sweden</t>
  </si>
  <si>
    <t>transported to grocery in Lisbon, Portugal</t>
  </si>
  <si>
    <t>1 kg edible</t>
  </si>
  <si>
    <t>100 y, CML-IA baseline</t>
  </si>
  <si>
    <t>Nathan Ayer a,*, Shelly Martin b, Robert L. Dwyer c, Langley Gace c, Lise Laurin a</t>
  </si>
  <si>
    <t>a EarthShift Global LLC, 31 Leach Rd. Kittery, ME 03904 USA b EarthShift, 830 Taft Road Huntington, VT 05462 USA c International Copper Association, USA</t>
  </si>
  <si>
    <t>1 metric ton mature live weight fish</t>
  </si>
  <si>
    <t>100y, ReCiPe</t>
  </si>
  <si>
    <t>Ingrid E. van Putten, Anna K. Farmery, Bridget S. Green, Alistair J. Hobday, Lilly Lim-Camacho, Ana Norman-L´opez, and Robert W. Parker</t>
  </si>
  <si>
    <t>Commonwealth Scientific and Industrial Research Organization, Oceans and Atmosphere, in Hobart, Tasmania, Australia.</t>
  </si>
  <si>
    <t>cradle to import market port in US</t>
  </si>
  <si>
    <t>1 kg frozen lobster tail</t>
  </si>
  <si>
    <t>100y, CML</t>
  </si>
  <si>
    <t>Majid Dekamin a, *, Hadi Veisi b, Edwin Safari c, Houman Liaghati b, Korus Khoshbakht b, Mohammad G. Dekamin d</t>
  </si>
  <si>
    <t>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t>
  </si>
  <si>
    <t>1 tonne live rainbow trout</t>
  </si>
  <si>
    <t>100y, CML 2 Baseline 2000</t>
  </si>
  <si>
    <t>Dried</t>
  </si>
  <si>
    <t>average US wheat production</t>
  </si>
  <si>
    <t>Gerhard Piringer and Laura J. Steinberg</t>
  </si>
  <si>
    <t>Department of Civil and Environmental Engineering Tulane University New Orleans, LA 70118</t>
  </si>
  <si>
    <t>1 kg wheat grain</t>
  </si>
  <si>
    <t>Canola</t>
  </si>
  <si>
    <t>N. Pelletier,  N. Arsenault, P. Tyedmers</t>
  </si>
  <si>
    <t>School for Resource and Environmental Studies, Dalhousie University, Kenneth C. Rowe Management Building, 6100 University Avenue, Suite 5010, Halifax, NS, Canada</t>
  </si>
  <si>
    <t>1kg at farm gate</t>
  </si>
  <si>
    <t>CED v. 1.03</t>
  </si>
  <si>
    <t>100y CML 2 Baseline 2000</t>
  </si>
  <si>
    <t>Kyle Meisterling a,*, Constantine Samaras a,b, Vanessa Schweizer a</t>
  </si>
  <si>
    <t>a Department of Engineering and Public Policy, Carnegie Mellon University, 5000 Forbes Avenue, Pittsburgh, PA b Department of Civil and Environmental Engineering, Carnegie Mellon University, 5000 Forbes Avenue, Pittsburgh, PA 15213, USA15213, USA</t>
  </si>
  <si>
    <t>0.67 kg whole-wheat flour</t>
  </si>
  <si>
    <t>/.67</t>
  </si>
  <si>
    <t>100y, IPCC 2001</t>
  </si>
  <si>
    <t>Cooked</t>
  </si>
  <si>
    <t>10% milled</t>
  </si>
  <si>
    <t>Japan</t>
  </si>
  <si>
    <t>Poritosh Roy a,*, Tsutomu Ijiri b, Daisuke Nei a, Takahiro Orikasa a, Hiroshi Okadome a, Nobutaka Nakamura a, Takeo Shiina a,*</t>
  </si>
  <si>
    <t>a Distribution Engineering Laboratory, National Food Research Institute, Kannondai 2-1-12, Tsukuba-shi, Ibaraki 305-8642, Japan b Forage Rice Research Team (Kanto Region), National Agricultural Research Center, Kannondai 3-1-1, Tsukuba-shi, Ibaraki 305-8666, Japan</t>
  </si>
  <si>
    <t>cradle to cooked rice, including waste, in Japanese households; assuming paper bag</t>
  </si>
  <si>
    <t>1 kg cooked rice</t>
  </si>
  <si>
    <t>2% milled</t>
  </si>
  <si>
    <t>5% milled</t>
  </si>
  <si>
    <t>brown rice</t>
  </si>
  <si>
    <t>parboiled rice</t>
  </si>
  <si>
    <t>germinated brown rice</t>
  </si>
  <si>
    <t>Fluid Milk and its coproducts</t>
  </si>
  <si>
    <t>yes - allocation method includes 100% emissions from dairy</t>
  </si>
  <si>
    <t>Anna Flysjö; Christel Cederberg; Maria Henriksson; Stewart Ledgard</t>
  </si>
  <si>
    <t>1 kg Energy-Corrected Milk (ECM)</t>
  </si>
  <si>
    <t>yes - allocation models uses system expansion replacing beef only</t>
  </si>
  <si>
    <t>yes - allocation models uses system expansion replacing mix of meat</t>
  </si>
  <si>
    <t>yes - allocation model using physical causality allocation</t>
  </si>
  <si>
    <t>yes - allocation model using economic allocation</t>
  </si>
  <si>
    <t>yes - allocation model using protein allocation</t>
  </si>
  <si>
    <t>yes - allocation model using mass allocation</t>
  </si>
  <si>
    <t>Florence Van Stappen a*, Astrid Loriers b*, Michaël Mathot b, Viviane Planchon b, Didier Stilmant b, Frédéric Debode c</t>
  </si>
  <si>
    <t>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t>
  </si>
  <si>
    <t>1 kg fresh matter (15% moisture)</t>
  </si>
  <si>
    <t>ecoinvent</t>
  </si>
  <si>
    <t>IPCC, 2013</t>
  </si>
  <si>
    <t>dried</t>
  </si>
  <si>
    <t>white milled, delivered to local supermarket</t>
  </si>
  <si>
    <t>Italy, Vercelli district</t>
  </si>
  <si>
    <t>Gian Andrea Blengini*, Mirko Busto</t>
  </si>
  <si>
    <t>DITAG – Land, Environment and Geo-Engineering Department, Politecnico di Torino, Corso Duca degli Abruzzi 24, 10129 Turin, Italy</t>
  </si>
  <si>
    <t>cradle to supermarket</t>
  </si>
  <si>
    <t>1kg delivered to Italian supermarket</t>
  </si>
  <si>
    <t>non-renewable energy</t>
  </si>
  <si>
    <t>Processed</t>
  </si>
  <si>
    <t>Peanut butter</t>
  </si>
  <si>
    <t xml:space="preserve">USA  </t>
  </si>
  <si>
    <t>James McCarty (a, b); Heather Sandefur (a, b); Marty Matlock (a, b); Greg Thoma (c); Dae Soo Kim(c)</t>
  </si>
  <si>
    <t>(a) Department of Agricultural and Biological Engineering, University of Arkansas, Fayetteville, AR
; (b) Center for Agricultural and Rural Sustainability, University of Arkansas, Fayetteville, AR
;
 (c) Ralph E. Martin Department of Chemical Engineering, University of Arkansas, Fayetteville, AR;</t>
  </si>
  <si>
    <t>Waste disposal (packaging to landfill, etc)</t>
  </si>
  <si>
    <t>Cradle to grave, including waste disposal to landfill etc.</t>
  </si>
  <si>
    <t>1 kg peanut butter</t>
  </si>
  <si>
    <t>1.24 to 6.71, std.dev = 1.61</t>
  </si>
  <si>
    <t>IPCC 2007 GWP</t>
  </si>
  <si>
    <t>Yes - Conv and Org</t>
  </si>
  <si>
    <t>M.A. Thomassen (1); K.J. van Calker (2); M.C.J. Smits (3); G.L. Iepema (4); I.J.M. de Boer  (1)</t>
  </si>
  <si>
    <t>(1)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t>
  </si>
  <si>
    <t>1 kg of Fat and Protein Corrected Milk leaving the Farm Gate</t>
  </si>
  <si>
    <t>n/a</t>
  </si>
  <si>
    <t>0.1, std. dev.</t>
  </si>
  <si>
    <t>0.3, std. dev.</t>
  </si>
  <si>
    <t>raw canesugar; reporting  "state average" values here</t>
  </si>
  <si>
    <t>M.A. RENOUF1,3, M.K. WEGENER2,3</t>
  </si>
  <si>
    <t>1 School of Geography, Planning and Architecture, 2 School of Natural and Rural Systems Management, The University of Queensland, St. Lucia, Qld  3Cooperative Research Centre for Sugar Industry Innovation through Biotechnology</t>
  </si>
  <si>
    <t>through to raw sugar</t>
  </si>
  <si>
    <t>1 tonne raw sugar</t>
  </si>
  <si>
    <t>honey</t>
  </si>
  <si>
    <t>national average</t>
  </si>
  <si>
    <t>María Mujica, Gabriel Blanco, Estela Santalla</t>
  </si>
  <si>
    <t>Facultad de Ingeniería. INTELYMEC. Universidad Nacional del Centro de la Provincia
de Buenos Aires UNCPBA</t>
  </si>
  <si>
    <t>delivered to Buenos Aires seaport</t>
  </si>
  <si>
    <t>kg honey</t>
  </si>
  <si>
    <t>+/-0.17</t>
  </si>
  <si>
    <t>100 y, IPCC 2007</t>
  </si>
  <si>
    <t>Cocoa Liquor</t>
  </si>
  <si>
    <t>Ghana</t>
  </si>
  <si>
    <t>Augustine Ntiamoah a, George Afrane b</t>
  </si>
  <si>
    <t>a Chemical Engineering Department, Kwame Nkrumah University of Science &amp; Technology, Kumasi, Ghana b Koforidua Polytechnic, Koforidua, Ghana</t>
  </si>
  <si>
    <t>processing of 1 kg cocoa bean</t>
  </si>
  <si>
    <t>1 kg cocoa beans processed</t>
  </si>
  <si>
    <t>/0.31948  ; reported inventory gives wt of products from processing of 1 kg cocoa beans; assuming mass allocation</t>
  </si>
  <si>
    <t>100y, CML 2001</t>
  </si>
  <si>
    <t>/0.23125  ; reported inventory gives wt of products from processing of 1 kg cocoa beans; assuming mass allocation</t>
  </si>
  <si>
    <t>Cocoa Cake</t>
  </si>
  <si>
    <t>/0.26875  ; reported inventory gives wt of products from processing of 1 kg cocoa beans; assuming mass allocation</t>
  </si>
  <si>
    <t>/0.075  ; reported inventory gives wt of products from processing of 1 kg cocoa beans; assuming mass allocation</t>
  </si>
  <si>
    <t xml:space="preserve">China </t>
  </si>
  <si>
    <t>Yuexian Liu (a,b); Vibeke Langer (a); Henning Høgh-Jensen (c); Henrik Egelyng (d)</t>
  </si>
  <si>
    <t>(a) Department of Agriculture and Ecology, Faculty of Life Sciences, University of Copenhagen, Højbakkegaard Alle 9, DK-2630 Taastrup, Denmark
; (b) Information Institute, Beijing Academy of Agriculture and Forestry, Beijing 100094, P.R. China; (c) Department of Policy Analysis, National Environmental Research Institute, Aarhus University, Frederiksborgvej 399, DK-4000 Roskilde, Denmark
; (d) Danish Institute for International Studies, Strandgade 56, DK-1401 Copenhagen, Denmark</t>
  </si>
  <si>
    <t>Farm to retail point; average of one beijing farm and one liaoning farm taken for hilly land representation</t>
  </si>
  <si>
    <t>1 tonne of pears</t>
  </si>
  <si>
    <t>Conventional grown pears - hilly land (Liaoning)</t>
  </si>
  <si>
    <t>Farm to retail point</t>
  </si>
  <si>
    <t>Organic Pear grown in lowlands (Beijing)</t>
  </si>
  <si>
    <t>Conventional grown pears - lowlands (Beijing)</t>
  </si>
  <si>
    <t>Central Portugal, mixed orchard</t>
  </si>
  <si>
    <t>Filipa Figueiredo (a); António Peres (b); Érica G. Castanheira (a); Filipe Maia (e); Manuel Feliciano (b); António Ramos (c,d); João Carneiro (c,d); Fausto Freire (a); M. Ângelo Rodrigues (b); Vlad C. Coroama (a);</t>
  </si>
  <si>
    <t>(a)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t>
  </si>
  <si>
    <t>Cold storage included</t>
  </si>
  <si>
    <t>Farm to retail</t>
  </si>
  <si>
    <t>1 kg fruit</t>
  </si>
  <si>
    <t>North Portugal, dedicated orchard</t>
  </si>
  <si>
    <t>Malawian tea</t>
  </si>
  <si>
    <t>J.L. Taulo; A.B. Sebitosi</t>
  </si>
  <si>
    <t>Department of Mechanical &amp; Mechatronic Engineering, Stellenbosch University, P/Bag X1, Matieland 7602, South Africa</t>
  </si>
  <si>
    <t>Processing Only (withering, rolling, oxidation, drying, sorting)</t>
  </si>
  <si>
    <t>1 kg dried tea leaves</t>
  </si>
  <si>
    <t>CML 2000, 100 yr</t>
  </si>
  <si>
    <t>Elena Tamburini *, Paola Pedrini †, Maria Gabriella Marchetti †, Elisa Anna Fano † and Giuseppe Castaldelli</t>
  </si>
  <si>
    <t>Department of Life Science and Biotechnology, University of Ferrara, Via L. Borsari, 46, 44100 Ferrara, Italy</t>
  </si>
  <si>
    <t>1 kg fresh crops</t>
  </si>
  <si>
    <t>CML baseline 2 2002</t>
  </si>
  <si>
    <t>traditional intensive farming</t>
  </si>
  <si>
    <t>Chicory Lettuce, traditional intensive farming</t>
  </si>
  <si>
    <t>grass-based system</t>
  </si>
  <si>
    <t>Fabienne Rabiera, *, Rocco Lioyb, Christian Paulc, Florence Van Stappena, Didier Stilmanta, Michaël Mathota</t>
  </si>
  <si>
    <t>aWalloon Agricultural Research Centre, 146, Chaussée de Namur, 5030 Gembloux, BelgiumbConvis s.c. Zone artisanale et commerciale 4, 9004 Ettelbruck, Luxembourg , c SPIGVA, Rue du Carmel, 1 6900 Marloie, Belgium</t>
  </si>
  <si>
    <t>kg Live weight</t>
  </si>
  <si>
    <t>grass-corn based system</t>
  </si>
  <si>
    <t>study considers co-product diest; recording only control diet here.</t>
  </si>
  <si>
    <t>Canada (Ontario and Quebec)</t>
  </si>
  <si>
    <t>S. G. Mackenzie*1, I. Leinonen1, N. Ferguson2 and I. Kyriazakis1</t>
  </si>
  <si>
    <t>School of Agriculture, Food and Rural Development, Newcastle University, Newcastle upon Tyne, NE1 7RU, UK  
2 Trouw Nutrition Canada, 150 Research Ln, Guelph, ON N1G 4T2, Canada</t>
  </si>
  <si>
    <t>IMPACT 2002+</t>
  </si>
  <si>
    <t>Thomas Winklera, Kerstin Schopfa, Ralf Aschemanna,*, Wilfried Winiwarterb</t>
  </si>
  <si>
    <t>a) University of Graz, Institute of Systems Sciences, Innovation and Sustainability Research, Merangasse 18, 8010 Graz, Austria b) International Institute for Applied Systems Analysis, Schlossplatz 1, 2361 Laxenburg, Austria</t>
  </si>
  <si>
    <t>farm to fork</t>
  </si>
  <si>
    <t>production methods in Chinese region known for particular fruit production</t>
  </si>
  <si>
    <t>China</t>
  </si>
  <si>
    <t>Ming Yan1 &amp; Kun Cheng1 &amp; Qian Yue1 &amp; Yu Yan1 &amp; Robert M. Rees3 &amp; Genxing Pan1,2,3</t>
  </si>
  <si>
    <t>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t>
  </si>
  <si>
    <t>Oranges</t>
  </si>
  <si>
    <t>Hard Maize</t>
  </si>
  <si>
    <t>Peru</t>
  </si>
  <si>
    <t>Karin Bartl,*,† Francesca Verones,‡ and Stefanie Hellweg‡</t>
  </si>
  <si>
    <t>†Institute of Agricultural Sciences−Animal Nutrition, ETH Zurich, 8092 Zurich, Switzerland ‡Institute of Environmental Engineering, ETH Zurich, 8093 Zurich, Switzerland</t>
  </si>
  <si>
    <t>no delivery to market included</t>
  </si>
  <si>
    <t>1 kg</t>
  </si>
  <si>
    <t>ReCiPe</t>
  </si>
  <si>
    <t>Mandarins</t>
  </si>
  <si>
    <t>Oatmeal</t>
  </si>
  <si>
    <t>Kirsi Usva, Merja Saarinen, Juha-Matti Katajajuuri and Sirpa Kurppa</t>
  </si>
  <si>
    <t>MTT Agrifood Research Finland, Biotechnology and Food Research, FI-31600 Jokioinen, Finland</t>
  </si>
  <si>
    <t>no?</t>
  </si>
  <si>
    <t>IPCC, 2001</t>
  </si>
  <si>
    <t>Beer</t>
  </si>
  <si>
    <t>Medium Strength</t>
  </si>
  <si>
    <t>greenhouse production</t>
  </si>
  <si>
    <t>Annachiara Forte a,⁎, Amalia Zucaro a, Gionata De Vico a, Angelo Fierro a,b</t>
  </si>
  <si>
    <t>a Dipartimento di Biologia, Università di Napoli Federico II, Italy
b Laboratorio di Urbanistica e di Pianificazione del Territorio (LUPT), Università di Napoli Federico II, Italy</t>
  </si>
  <si>
    <t>1 kg edible snail meat</t>
  </si>
  <si>
    <t>Fabio Gresta,1 Anna I. De Luca,1 Alfio Strano,1 Giacomo Falcone,1 Carmelo Santonoceto,1 Umberto Anastasi,2 Giovanni Gulisano1</t>
  </si>
  <si>
    <t>1Department of Agriculture (AGRARIA), Mediterranean University of Reggio Calabria;2Department of Agricultural and Food Science (DISPA), University of Catania, Italy</t>
  </si>
  <si>
    <t>cradle to gate</t>
  </si>
  <si>
    <t>used reported yield to convert to 1 kg guar seed</t>
  </si>
  <si>
    <t>IPCC GWP 100a</t>
  </si>
  <si>
    <t>Mexico</t>
  </si>
  <si>
    <t>Marta Astiera,∗, Yair Merlín-Uribeb, Laura Villamil-Echeverric, Alfredo Garciarreald,
Mayra E. Gavitob, Omar R. Maserab</t>
  </si>
  <si>
    <t>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t>
  </si>
  <si>
    <t>energy &amp; GHGE balances around farm production</t>
  </si>
  <si>
    <t>reported per ha; converted to per kg with reported yield</t>
  </si>
  <si>
    <t>Cassava Starch</t>
  </si>
  <si>
    <t>ave. of three farms</t>
  </si>
  <si>
    <t>Thailand</t>
  </si>
  <si>
    <t>Phairat Usubharatana and Harnpon Phungrassami</t>
  </si>
  <si>
    <t>Chemical Engineering Dept, Thammasat Univ, Pathumthani, Thailand</t>
  </si>
  <si>
    <t>cradle to processor gate</t>
  </si>
  <si>
    <t>1000 kg dry native starch</t>
  </si>
  <si>
    <t>Indonesia/Malaysia</t>
  </si>
  <si>
    <t>Jannick H. Schmidt</t>
  </si>
  <si>
    <t>2.-0 LCA consultants, Skibbrogade 5, 1, 9000 Aalborg, Denmark</t>
  </si>
  <si>
    <t>consequential LCA; results presented here exclude indirect land use changes and biogenic carbon uptake</t>
  </si>
  <si>
    <t>tonne refined oil</t>
  </si>
  <si>
    <t>Europe</t>
  </si>
  <si>
    <t>Ukraine</t>
  </si>
  <si>
    <t>Mustafa Özilgena, Esra Sorgüvenb</t>
  </si>
  <si>
    <t>a Department of Food Engineering, Faculty of Engineering, Yeditepe University, 34755 Kayisdagi Istanbul, Turkey b Department of Mechanical Engineering, Faculty of Engineering, Yeditepe University, Atas¸ ehir 34755, Kayisdagi Istanbul, Turkey</t>
  </si>
  <si>
    <t>only accounts CO2 emissions, therfore not logging GHGE</t>
  </si>
  <si>
    <t>ton packaged oil</t>
  </si>
  <si>
    <t>Hazelnut in Bag</t>
  </si>
  <si>
    <t>Roberto Volpe (1
); Simona Messineo (2); Maurizio Volpe (1); Antonio Messineo (1)</t>
  </si>
  <si>
    <t>(1) Facoltà di Ingegneria e Architettura, Università degli Studi di Enna “Kore”, Cittadella Universitaria, Enna 94100, Italy; E-Mails: roberto.volpe@unikore.it (R.V.); maurizio.volpe@unikore.it (M.V.); (2) Siciliacque S.p.A., Via Gioacchino di Marzo, Palermo 90144, Italy</t>
  </si>
  <si>
    <t>cradle to packaging gate (includes transpo after packaging to retail)</t>
  </si>
  <si>
    <t>kg packaged product</t>
  </si>
  <si>
    <t>Peanut in Bag</t>
  </si>
  <si>
    <t>Italy / Argentina</t>
  </si>
  <si>
    <t>Hazelnut paste in US</t>
  </si>
  <si>
    <t>Peanut paste in US</t>
  </si>
  <si>
    <t>Hazelnut paste in EU Market</t>
  </si>
  <si>
    <t>Peanut paste in EU Market</t>
  </si>
  <si>
    <t>Pistachio</t>
  </si>
  <si>
    <t>Pistachio in Bag</t>
  </si>
  <si>
    <t>Almond in Bag</t>
  </si>
  <si>
    <t>Hazelnut, Spread</t>
  </si>
  <si>
    <t>Hazelnut spread cream in jar US</t>
  </si>
  <si>
    <t>Hazelnut spread cream in jar EU</t>
  </si>
  <si>
    <t>Almond paste, US Market</t>
  </si>
  <si>
    <t>Almond paste, EU market</t>
  </si>
  <si>
    <t>Hazelnut, Chocolate covered</t>
  </si>
  <si>
    <t>Chocolate covered hazelnut</t>
  </si>
  <si>
    <t>Chocolate covered almond</t>
  </si>
  <si>
    <t>small scale mechanized roast method factories, Ghana to US</t>
  </si>
  <si>
    <t>West Africa</t>
  </si>
  <si>
    <t>Martin Agyemang (1); Qinghua Zhu (2); Yihui Tian (3)</t>
  </si>
  <si>
    <t>(1)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t>
  </si>
  <si>
    <t>cradle to retail gate</t>
  </si>
  <si>
    <t>1000kg of cashew kernels</t>
  </si>
  <si>
    <t>large scale mechanied roast method factories, Ghana to US</t>
  </si>
  <si>
    <t>large scale thermal steam method factories, Ghana to US</t>
  </si>
  <si>
    <t>small scale thermal steam method factories, Ghana to US</t>
  </si>
  <si>
    <t>large scale electric steam method factories, Ghana to US</t>
  </si>
  <si>
    <t>small scale electric steam method factories, Ghana to US</t>
  </si>
  <si>
    <t>small scale mechanized roast method factories, Ghana (Raw) to Vietnam (Packaging) to US (Retail)</t>
  </si>
  <si>
    <t>large scale mechanied roast method factories, Ghana (Raw) to Vietnam (Packaging) to US (Retail)</t>
  </si>
  <si>
    <t>Essential Oil, orange</t>
  </si>
  <si>
    <t>Marco Beccali a, Maurizio Cellura a,*, Maria Iudicello a, Marina Mistretta b</t>
  </si>
  <si>
    <t>a Dipartimento di Ricerche Energetiche e Ambientali (D.R.E.AM.), Università di Palermo, Viale delle Scienze, 90128 Palermo, Italy b Dipartimento di Arte, Scienza e Tecnica del Costruire (D.A.S.TE.C.), Università Mediterranea di Reggio Calabria, Salita Melissari, 89124 Reggio Calabria, Italy</t>
  </si>
  <si>
    <t>cradle to distribution firms in Italy, USA &amp; Japan</t>
  </si>
  <si>
    <t>Essential Oil, Lemon</t>
  </si>
  <si>
    <t>Natural Orange Juice</t>
  </si>
  <si>
    <t>Natural Lemon Juice</t>
  </si>
  <si>
    <t>Orange Juice Concentrate</t>
  </si>
  <si>
    <t>Lemon Juice Concentrate</t>
  </si>
  <si>
    <t>Spanish-style green table, packed in tins, ave. of 3 tin sizes</t>
  </si>
  <si>
    <t>G.M. CAPPELLETTI*, G.M. NICOLETTI1 and C. RUSSO1</t>
  </si>
  <si>
    <t>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t>
  </si>
  <si>
    <t>cradle to factory gate</t>
  </si>
  <si>
    <t>100 kg of drained packaged olives, including pit</t>
  </si>
  <si>
    <t>/100</t>
  </si>
  <si>
    <t>Spanish-style green table, packed in glass jars, ave. of 6 jar sizes</t>
  </si>
  <si>
    <t>Cristiana Peano (a); Claudio Baudino (a, b); Nadia Tecco (a); Vincenzo Girgenti (a);</t>
  </si>
  <si>
    <t>(a) Department of Agricultural, Forestry and Food Sciences, University of Turin, Turin, Italy
; (b) Ortofruit Italia, Saluzzo, Italy;</t>
  </si>
  <si>
    <t>packaging waste disposal</t>
  </si>
  <si>
    <t>/0.25</t>
  </si>
  <si>
    <t>NRE e Impact 2002 þ v. 2.04:</t>
  </si>
  <si>
    <t>IPCC GWP 100a:</t>
  </si>
  <si>
    <t>Blue berries</t>
  </si>
  <si>
    <t>0.125g</t>
  </si>
  <si>
    <t>/0.125</t>
  </si>
  <si>
    <t>Small farms &lt;1 ha</t>
  </si>
  <si>
    <t>Alireza Sabzevari (a); Hamed Kouchaki-Penchah (b); Ashkan Nabavi-Pelesaraei (c)</t>
  </si>
  <si>
    <t>(a)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
 Islamic Azad University, Langroud, IRAN;</t>
  </si>
  <si>
    <t>production only</t>
  </si>
  <si>
    <t>1 tonne of Hazelnut</t>
  </si>
  <si>
    <t>CML method;</t>
  </si>
  <si>
    <t>Medium farms 1&lt;ha&lt;3</t>
  </si>
  <si>
    <t>Large farms &gt;3 ha</t>
  </si>
  <si>
    <t>large scale organic orange juice</t>
  </si>
  <si>
    <t>Marie Trydeman Knudsen (a); Gustavo Fonseca de Almeida (b); Vibeke Langer (a); Lucimar Santiago de Abreu (c) Niels Halberg (d)</t>
  </si>
  <si>
    <t>(a) Department of Agriculture and Ecology, Faculty of Life Sciences, University of Copenhagen, Taastrup, Denmark; (b) Centre of Agricultural Sciences, Federal University of São Carlos, 330, Araras, São Paulo, Brazil; (c) Embrapa Environment,
 P.O. Box 69, Jaguariúna, São Paulo, Brazil; (d) International Centre for Research in Organic Food Systems
 (ICROFS);</t>
  </si>
  <si>
    <t>Cradle to retail, residue use included</t>
  </si>
  <si>
    <t>1 tonne oranges at farm gate</t>
  </si>
  <si>
    <t>EDIP97, IPCC 2007</t>
  </si>
  <si>
    <t>Small scale organic orange orchard</t>
  </si>
  <si>
    <t>Cradle to farm gate only</t>
  </si>
  <si>
    <t>1 tonne oranges at farm gate and 1 litre of OJ sold to denmark</t>
  </si>
  <si>
    <t>/1000 until farm gate, then (*1.048)kg/L</t>
  </si>
  <si>
    <t>Small scale conventional orange orchards</t>
  </si>
  <si>
    <t>Growth</t>
  </si>
  <si>
    <t>Elisabet Vinyes (a); Carles M. Gasol (a, b); Luis Asin (c); Simo Alegre (c)
, Pere Munoz (a, d);</t>
  </si>
  <si>
    <t>(a) Sostenipra Research Group, Universitat Autonoma de Barcelona, 08193 Bellaterra, Barcelona, Spain; (b) Inedit Innovacio s.l. Research Park of UAB, UAB Campus, 08193 Bellaterra, Spain ; (c) Institute for Research and Technology in Food and Agriculture (IRTA), 25198 Lleida, Spain
; (d) Institute for Research and Technology in Food and Agriculture (IRTA), 08348 Cabrils, Barcelona, Spain</t>
  </si>
  <si>
    <t>Production alone</t>
  </si>
  <si>
    <t>1 kg peaches</t>
  </si>
  <si>
    <t>Low yield</t>
  </si>
  <si>
    <t>Moderate</t>
  </si>
  <si>
    <t>High yield</t>
  </si>
  <si>
    <t>Blackberry, Andean</t>
  </si>
  <si>
    <t>Andean Blackberry</t>
  </si>
  <si>
    <t>Columbia</t>
  </si>
  <si>
    <t>Sophie Graefe (a,b); Jeimar Tapasco (a); Alonso Gonzalez (a)</t>
  </si>
  <si>
    <t>(a) Int. Cent. Trop. Agric. ZCIAT), Recta Cali-Palmira km 17, Cali, Colombia; (b) Georg-August-Univ. Göttingen, Trop. Silvic. For. Ecol., Büsgenweg 1, 37077 Göttingen, Germ., sgraefe@gwdg.de</t>
  </si>
  <si>
    <t>1 tonne fruit</t>
  </si>
  <si>
    <t>RV / 1000</t>
  </si>
  <si>
    <t>Lulo</t>
  </si>
  <si>
    <t>Passion Fruit</t>
  </si>
  <si>
    <t>Tree Tomato</t>
  </si>
  <si>
    <t>Golden Berry</t>
  </si>
  <si>
    <t>Avacado</t>
  </si>
  <si>
    <t>Mango</t>
  </si>
  <si>
    <t>Apples, grown and consumed in UK</t>
  </si>
  <si>
    <t>Marian Michalsky; Peter S. Hooda</t>
  </si>
  <si>
    <t>School of Geography, Geology and the Environment, Kingston University London, Kingston upon Thames, Surrey KT1
 2EE, United Kingdom</t>
  </si>
  <si>
    <t>Cradle to Retail Gate</t>
  </si>
  <si>
    <t>kg fruit/veg</t>
  </si>
  <si>
    <t>DEFRA 2013</t>
  </si>
  <si>
    <t>Cherries, grown and consumed in UK</t>
  </si>
  <si>
    <t>Strawberries, grown and used in UK</t>
  </si>
  <si>
    <t>Garlic, grown and used in UK</t>
  </si>
  <si>
    <t>Peas, grown and used in UK</t>
  </si>
  <si>
    <t>Apples, grown in Europe and used in UK</t>
  </si>
  <si>
    <t>Cherries, grown in Europe and used in UK</t>
  </si>
  <si>
    <t>Strawberries, grown in Europe and used in UK</t>
  </si>
  <si>
    <t>Garlic, grown in Europe and used in UK</t>
  </si>
  <si>
    <t>Peas, grown in Europe and used in UK</t>
  </si>
  <si>
    <t>Apples, NOT grown in Europe and used in UK</t>
  </si>
  <si>
    <t>Cherries, NOT grown in Europe and used in UK</t>
  </si>
  <si>
    <t>Strawberries, NOT grown in Europe and used in UK</t>
  </si>
  <si>
    <t>Garlic, NOT grown in Europe and used in UK</t>
  </si>
  <si>
    <t>Peas, NOT grown in Europe and used in UK</t>
  </si>
  <si>
    <t>Gold Kiwi</t>
  </si>
  <si>
    <t>Karin
 Muller (a); Allister Holmes (b); Markus Deurer (c); Brent E. Clothier (c)</t>
  </si>
  <si>
    <t>(a)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t>
  </si>
  <si>
    <t>kg fruit produced</t>
  </si>
  <si>
    <t>0.058, std err</t>
  </si>
  <si>
    <t>Green Kiwi</t>
  </si>
  <si>
    <t>0.013, std err</t>
  </si>
  <si>
    <t>Green Kiwi, Integrated Cultivar</t>
  </si>
  <si>
    <t>0.017, std err</t>
  </si>
  <si>
    <t>Green Kiwi, Organic Cultivar</t>
  </si>
  <si>
    <t>0.055, std err</t>
  </si>
  <si>
    <t>Caged Hens</t>
  </si>
  <si>
    <t>I. Leinonen (a); A. G. Williams (b); J. Wiseman (c); J. Guy (a); I. Kyriazakis (a)</t>
  </si>
  <si>
    <t>(a)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t>
  </si>
  <si>
    <t>1000kg eggs</t>
  </si>
  <si>
    <t>0.21, std. dev.</t>
  </si>
  <si>
    <t>Barned Hens</t>
  </si>
  <si>
    <t>0.26, std. dev.</t>
  </si>
  <si>
    <t>Free Range Hens</t>
  </si>
  <si>
    <t>0.27, std. dev.</t>
  </si>
  <si>
    <t>Organic Hens</t>
  </si>
  <si>
    <t>0.34, std. dev.</t>
  </si>
  <si>
    <t>Whole Tomatoes</t>
  </si>
  <si>
    <t>Ahmet Karakaya (a
); Mustafa Özilgen (a,b)</t>
  </si>
  <si>
    <t>(a) Department of Chemical Engineering, Yeditepe University, Kayisdagi, 34755 Istanbul, Turkey; (b) Department of Food Engineering, Yeditepe University, Kayisdagi, 34755 Istanbul, Turkey</t>
  </si>
  <si>
    <t>Cradle to Retail and Waste Disposal/Recycling</t>
  </si>
  <si>
    <t>1 tonne tomatoes</t>
  </si>
  <si>
    <t>Tomato Paste</t>
  </si>
  <si>
    <t>Whole Peeled Tomatoes</t>
  </si>
  <si>
    <t>Diced Tomatoes</t>
  </si>
  <si>
    <t>Tomato Juice</t>
  </si>
  <si>
    <t>cultivation in open-field with compost plus mineral
 fertilizers</t>
  </si>
  <si>
    <t>Julia Martínez-Blanco (a); Pere Muñoz (b); Assumpció Antón (b,c); Joan Rieradevall (a,d)</t>
  </si>
  <si>
    <t>(a)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t>
  </si>
  <si>
    <t>1 tonne of tomatoes</t>
  </si>
  <si>
    <t>ISO 2006</t>
  </si>
  <si>
    <t>cultivation in open-field with mineral fertilizers</t>
  </si>
  <si>
    <t>cultivation under greenhouse with compost plus
 mineral fertilizers</t>
  </si>
  <si>
    <t>cultivation under greenhouse with mineral
 fertilizers</t>
  </si>
  <si>
    <t>Winter Lettuce cultivated in a hoop house in Michigan and consumed in Michigan</t>
  </si>
  <si>
    <t>Rachel Plawecki (1); Rich Pirog (1,2); Adam Montri (3); Michael W. Hamm(1,2,4,5)</t>
  </si>
  <si>
    <t>(1)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t>
  </si>
  <si>
    <t>GHG Protocol and Eco-Indicator 99</t>
  </si>
  <si>
    <t>Winter Lettuce cultivated outdoors in CA then transported to Michigan</t>
  </si>
  <si>
    <t>peaches</t>
  </si>
  <si>
    <t>Carlo Ingrao (a, b); Donald Huisingh (c); Agata Matarazzo (b
); Caterina Tricase (a); Maria Teresa Clasadonte (b);</t>
  </si>
  <si>
    <t>(a) Department of Economics, University of Foggia, Via Romolo Caggese, 1, 71121 Foggia Italy
; (b) Department of Economics and Business, University of Catania, Corso Italia, 55, 95129 Catania Italy
; (c) University of Tennessee, Institute for a Secure and Sustainable Environment, 311 Conference Centre Building, Knoxville, TN 37996-4134, USA</t>
  </si>
  <si>
    <t>waste disposal - plastic boxes for fertiliser transport</t>
  </si>
  <si>
    <t>Production only</t>
  </si>
  <si>
    <t>1 ha of peach orchard</t>
  </si>
  <si>
    <t>Conversion = 31500kg/ha.yr (mentioned in paper)</t>
  </si>
  <si>
    <t>Orange fruit</t>
  </si>
  <si>
    <t>Leda Coltro (a); Anna Lúcia Mourad (a); Rojane M. Kletecke (a); Taíssa A. Mendonça (a); Sílvia P. M. Germer (a);</t>
  </si>
  <si>
    <t>(a) CETEA—Packaging Technology Center,
 ITAL—Institute of Food Technology,
 P.O. Box 139, 13070-178 Campinas, SP, Brazil</t>
  </si>
  <si>
    <t>Cradle to gate</t>
  </si>
  <si>
    <t>1000 kg of orange</t>
  </si>
  <si>
    <t>Greenhouse strawberries</t>
  </si>
  <si>
    <t>Benyamin Khoshnevisan (a); Shahin Rafiee (a); Hossein Mousazadeh (a);</t>
  </si>
  <si>
    <t>(a) Department of Agricultural Machinery Engineering, Faculty of Agricultural Engineering and Technology, University of Tehran, Karaj, Iran</t>
  </si>
  <si>
    <t>Agricultural production</t>
  </si>
  <si>
    <t>1 ton of strawberries</t>
  </si>
  <si>
    <t>CML method</t>
  </si>
  <si>
    <t>Open field strawberries</t>
  </si>
  <si>
    <t>Organic Carrots</t>
  </si>
  <si>
    <t>Raghu KC (a)</t>
  </si>
  <si>
    <t>(a) Lappeenranta University of Technology;</t>
  </si>
  <si>
    <t>1 kg carrots</t>
  </si>
  <si>
    <t>CML2001</t>
  </si>
  <si>
    <t>Integrated production</t>
  </si>
  <si>
    <t>A. Lo Giudice (a); C. Mbohwa (a); M.T. Clasadonte (b); C. Ingrao (c);</t>
  </si>
  <si>
    <t>(a) Department of Quality and Operations Management Faculty of Engineering and the Built Environment, University of Johannesburg South Africa Doornfontein 2028, Johannesburg, South Africa; (b)Department of Economics and Business, University of Catania, Corso Italia 55, 95129, Catania, Italy</t>
  </si>
  <si>
    <t>1 ton oranges</t>
  </si>
  <si>
    <t>Waste volatisation - heating of greenhouse</t>
  </si>
  <si>
    <t>Joana Almeida (a); Wouter M.J. Achten (a); Bruno Verbist (a); Reindert F. Heuts (a); Eddie Schrevens (a); and Bart Muys (a);</t>
  </si>
  <si>
    <t>(a) KU Leuven–University of Leuven, Division Forest, Nature and Landscape, Celestijnenlaan 200 E box 2411, BE-3001 Leuven, Belgium.</t>
  </si>
  <si>
    <t>1 kg tomato</t>
  </si>
  <si>
    <t>Natural gas heating of greenhouse</t>
  </si>
  <si>
    <t>Cogeneration heating of greenhouse</t>
  </si>
  <si>
    <t>Sajor-Caju Mushrooms, Small Farm (&lt; 20,000 kg per year)</t>
  </si>
  <si>
    <t>S. Ueawiwatsakul (a); T. Mungcharoen (b); R. Tongpool (c)</t>
  </si>
  <si>
    <t>(a) Thailand Advanced Institute of science and
 Technology and Tokyo Institute of Technology (TAIST-Tokyo Tech), Faculty of Engineering, Kesetsart University, Bangkok 10900, Thailand; (b) Faculty of Engineering, Kasetsart University,
 Bangkok 10900, Thailand;(c) National Metal and Materials Technology Center,
 Pathumthani, 12120, Thailand</t>
  </si>
  <si>
    <t>1 kg of sajor-caju</t>
  </si>
  <si>
    <t>Sajor-Caju Mushrooms, Medium Farm (20,000-40,000 kg per year)</t>
  </si>
  <si>
    <t>Sajor-Caju Mushrooms, Large Farm (&gt; 40,000 kg per year)</t>
  </si>
  <si>
    <t>Cucumber, grown in greenhouse</t>
  </si>
  <si>
    <t>Benyamin Khoshnevisan (a); Sean Clark (b); Shahin Rafiee (a); Mahmoud Omid (a); Hossein Mousazadeh (a)</t>
  </si>
  <si>
    <t>tonne of crop</t>
  </si>
  <si>
    <t>Tomato, grown in greenhouse</t>
  </si>
  <si>
    <t>Fluid Milk</t>
  </si>
  <si>
    <t>É.G. Castanheira (a); A.C. Dias (b); L. Arroja (b); R. Amaro (c)</t>
  </si>
  <si>
    <t>(a) ADAI, Department of Mechanical Engineering – University of Coimbra, 3030-788 Coimbra, Portugal; (b) CESAM, Department of Environment and Planning – University of Aveiro, 3810-193 Aveiro, Portugal; (c) CERNAS, Escola Superior Agrária, Instituto Politécnico de Coimbra, 3040-316 Coimbra, Portugal</t>
  </si>
  <si>
    <t>1 tonne raw milk delivered to farm gate</t>
  </si>
  <si>
    <t>DairyCo</t>
  </si>
  <si>
    <t>Agriculture and Horticulture
 Development Board, UK</t>
  </si>
  <si>
    <t>1 liter of FCMP</t>
  </si>
  <si>
    <t>RV x (1000L/1m^3) x (1m^3/1035kg)</t>
  </si>
  <si>
    <t>0.266, std. dev.</t>
  </si>
  <si>
    <t>European consumption in country of production</t>
  </si>
  <si>
    <t>Llorenç Milà i Canals1*, Sarah J. Cowell1,2, Sarah Sim1 and Lauren Basson1</t>
  </si>
  <si>
    <t>1 Centre for Environmental Strategy, University of Surrey (D3), GU2 7XH Guildford (Surrey), UK, 2 Sustainability and Society, Landcare Research, PO Box 40, Lincoln 7640, New Zealand</t>
  </si>
  <si>
    <t>cradle to retail; reporting average of 4 seasons</t>
  </si>
  <si>
    <t>yes, during storage</t>
  </si>
  <si>
    <t>1 kg apples at European retail outlet</t>
  </si>
  <si>
    <t>European consumption, European production, not consumed in country of production</t>
  </si>
  <si>
    <t>European consumption, New Zealand production</t>
  </si>
  <si>
    <t>European consumption, other southern hemisphere country production</t>
  </si>
  <si>
    <t>Southern Hemisphere, not new zealand</t>
  </si>
  <si>
    <t>Publication Year</t>
  </si>
  <si>
    <t>Publication Authors</t>
  </si>
  <si>
    <t>Publication Author Affiliations</t>
  </si>
  <si>
    <t>Publication Source Type</t>
  </si>
  <si>
    <t>LC Stage: Ag Production</t>
  </si>
  <si>
    <t>LC Stage: LU/LUC</t>
  </si>
  <si>
    <t>LC Stage: Transport Farm to Processing</t>
  </si>
  <si>
    <t>LC Stage: Processing</t>
  </si>
  <si>
    <t>LC Stage: Packaging</t>
  </si>
  <si>
    <t>LC Stage: Transport Processing to Retail</t>
  </si>
  <si>
    <t>LC Stage: Retail</t>
  </si>
  <si>
    <t>LC Stage: Transport Retail to Consumer</t>
  </si>
  <si>
    <t>LC Stage: Household Storge</t>
  </si>
  <si>
    <t>LC Stage: Prep and Cooking</t>
  </si>
  <si>
    <t>LC Stage: Dishwashing</t>
  </si>
  <si>
    <t>LC Stage: Capital Goods</t>
  </si>
  <si>
    <t>LC Stage: Other</t>
  </si>
  <si>
    <t>LC Stage: Notes</t>
  </si>
  <si>
    <t>Inclusion of Food Waste?</t>
  </si>
  <si>
    <t>Results at Intermediary Stages?</t>
  </si>
  <si>
    <t>Reported Functional Unit</t>
  </si>
  <si>
    <t>Adjustment of FU for KG Edible Food</t>
  </si>
  <si>
    <t>CED, FARM GATE (MJ/kg)</t>
  </si>
  <si>
    <t>CED, TOTAL LC (MJ/kg)</t>
  </si>
  <si>
    <t>GHGE, FARM GATE (kg CO2e/kg)</t>
  </si>
  <si>
    <t>GHGE, TOTAL LC (kg CO2e/kg)</t>
  </si>
  <si>
    <t>Values</t>
  </si>
  <si>
    <t>StdDev of CED, TOTAL LC (MJ/kg)</t>
  </si>
  <si>
    <t>Max of CED, TOTAL LC (MJ/kg)</t>
  </si>
  <si>
    <t>Min of CED, TOTAL LC (MJ/kg)</t>
  </si>
  <si>
    <t>Average of CED, TOTAL LC (MJ/kg)</t>
  </si>
  <si>
    <t>Count of Studies CED, TOTAL LC (MJ/kg)</t>
  </si>
  <si>
    <t>Grand Total</t>
  </si>
  <si>
    <t>Count of GHGE, TOTAL LC (kg CO2e/kg)</t>
  </si>
  <si>
    <t>Max of GHGE, TOTAL LC (kg CO2e/kg)</t>
  </si>
  <si>
    <t>Average of GHGE, TOTAL LC (kg CO2e/kg)</t>
  </si>
  <si>
    <t>Min of GHGE, TOTAL LC (kg CO2e/kg)</t>
  </si>
  <si>
    <t>StdDev of GHGE, TOTAL LC (kg CO2e/kg)</t>
  </si>
  <si>
    <t>ENERGY USE MJ/kg</t>
  </si>
  <si>
    <t>GHG Emissions (kg CO2eq/kg)</t>
  </si>
  <si>
    <t>FCID_Code</t>
  </si>
  <si>
    <t>FCID_Desc</t>
  </si>
  <si>
    <t>Comments_0308</t>
  </si>
  <si>
    <t>N_Cases</t>
  </si>
  <si>
    <t>N-average</t>
  </si>
  <si>
    <t>Std. Dev</t>
  </si>
  <si>
    <t>Alfalfa, seed</t>
  </si>
  <si>
    <t>weight of dry seed</t>
  </si>
  <si>
    <t>Alfalfa sprouts are the human food item.</t>
  </si>
  <si>
    <t>Almond</t>
  </si>
  <si>
    <t>weight of nutmeat</t>
  </si>
  <si>
    <t>Almond, oil</t>
  </si>
  <si>
    <t>weight of oil</t>
  </si>
  <si>
    <t>Amaranth, grain</t>
  </si>
  <si>
    <t>dry weight of grain; include Amaranth flour</t>
  </si>
  <si>
    <t>Amaranth, leafy</t>
  </si>
  <si>
    <t>weight of leaf</t>
  </si>
  <si>
    <t>Includes Tampala, Chinese spinach, lambsquarter, and pokeweed (pokeberry).</t>
  </si>
  <si>
    <t>Apple, dried</t>
  </si>
  <si>
    <t>dry weight; excluding peel, core, stem</t>
  </si>
  <si>
    <t>Apple, fruit with peel</t>
  </si>
  <si>
    <t>weight of apple; including peel, excluding core and stem</t>
  </si>
  <si>
    <t>Apple, juice</t>
  </si>
  <si>
    <t>weight of juice at single strength (or standard dilution)</t>
  </si>
  <si>
    <t>Apple, peeled fruit</t>
  </si>
  <si>
    <t>weight of apple; excluding peel, core and stem</t>
  </si>
  <si>
    <t>Apple, sauce</t>
  </si>
  <si>
    <t>weight of applesauce</t>
  </si>
  <si>
    <t>Apricot</t>
  </si>
  <si>
    <t>weight of pulp, with or without peel; excluding pit</t>
  </si>
  <si>
    <t>Includes Japanese apricot.</t>
  </si>
  <si>
    <t>Apricot, dried</t>
  </si>
  <si>
    <t>dry weight of pulp, with or without peel; excluding pit</t>
  </si>
  <si>
    <t>Apricot, juice</t>
  </si>
  <si>
    <t>Arrowroot, flour</t>
  </si>
  <si>
    <t>dry weight of flour</t>
  </si>
  <si>
    <t>Artichoke, globe</t>
  </si>
  <si>
    <t>edible portion of flowerhead</t>
  </si>
  <si>
    <t>Artichoke, Jerusalem</t>
  </si>
  <si>
    <t>edible portion of tuber</t>
  </si>
  <si>
    <t>Arugula</t>
  </si>
  <si>
    <t>weight of leaves</t>
  </si>
  <si>
    <t>weight of edible portion of spears/stems</t>
  </si>
  <si>
    <t>weight of pulp; excluding skin and pit</t>
  </si>
  <si>
    <t>Balsam pear</t>
  </si>
  <si>
    <t>weight of whole fruit</t>
  </si>
  <si>
    <t>Includes Balsam apple, Chinese cucumber, and Bittermelon.</t>
  </si>
  <si>
    <t>Bamboo, shoots</t>
  </si>
  <si>
    <t>weight of shoots</t>
  </si>
  <si>
    <t>Bamboo shoots are the human food item.</t>
  </si>
  <si>
    <t>Banana</t>
  </si>
  <si>
    <t>weight of pulp; excluding peel; juice</t>
  </si>
  <si>
    <t>Banana, dried</t>
  </si>
  <si>
    <t>dry weight of dried pulp; excluding peel (include weight of fruit from chips)</t>
  </si>
  <si>
    <t>Barley, bran</t>
  </si>
  <si>
    <t>dry weight of bran</t>
  </si>
  <si>
    <t>Barley, flour</t>
  </si>
  <si>
    <t>Includes malt and whole barley.</t>
  </si>
  <si>
    <t>Barley, pearled barley</t>
  </si>
  <si>
    <t>dry weight of barley</t>
  </si>
  <si>
    <t>Basil, dried leaves</t>
  </si>
  <si>
    <t>dry weight of leaves and stems</t>
  </si>
  <si>
    <t>Basil, fresh leaves</t>
  </si>
  <si>
    <t>weight of leaves and stems</t>
  </si>
  <si>
    <t>Bean,  great northern, seed</t>
  </si>
  <si>
    <t>dry weight of bean</t>
  </si>
  <si>
    <t>Bean, black, seed</t>
  </si>
  <si>
    <t>Includes black turtle bean, Bayo, and brown bean.</t>
  </si>
  <si>
    <t>Bean, broad, seed</t>
  </si>
  <si>
    <t>Also called fava bean.</t>
  </si>
  <si>
    <t>Bean, broad, succulent</t>
  </si>
  <si>
    <t>weight of bean and pod</t>
  </si>
  <si>
    <t>Bean, cowpea, seed</t>
  </si>
  <si>
    <t>Includes cowpea, crowder pea, blackeye pea, and southern pea.</t>
  </si>
  <si>
    <t>Bean, cowpea, succulent</t>
  </si>
  <si>
    <t>weight of bean; excluding pod</t>
  </si>
  <si>
    <t>Bean, kidney, seed</t>
  </si>
  <si>
    <t>Bean, lima, seed</t>
  </si>
  <si>
    <t>Bean, lima, succulent</t>
  </si>
  <si>
    <t>Bean, mung, seed</t>
  </si>
  <si>
    <t>Bean sprouts are the human food item.</t>
  </si>
  <si>
    <t>Bean, navy, seed</t>
  </si>
  <si>
    <t>Includes pea bean.</t>
  </si>
  <si>
    <t>Bean, pink, seed</t>
  </si>
  <si>
    <t>Bean, pinto, seed</t>
  </si>
  <si>
    <t>Include calico and red Mexican bean.</t>
  </si>
  <si>
    <t>Bean, snap, succulent</t>
  </si>
  <si>
    <t>Includes green bean, string bean, runner bean, and wax bean.</t>
  </si>
  <si>
    <t>Bee pollen</t>
  </si>
  <si>
    <t>N/A - Does not exist in "commodity vocabulary" weight basis file in current or previous release</t>
  </si>
  <si>
    <t>#N/A</t>
  </si>
  <si>
    <t>Beef, fat</t>
  </si>
  <si>
    <t>weight of nutrient fat only; includes  nutrient fat from beef meat</t>
  </si>
  <si>
    <t>Beef, liver</t>
  </si>
  <si>
    <t>weight of organ including nutrient fat</t>
  </si>
  <si>
    <t>Beef, meat</t>
  </si>
  <si>
    <t>weight of meat; excluding the weight of bone, and all nutrient fat</t>
  </si>
  <si>
    <t>Consider veal as equivalent to beef. Include bison and buffalo.</t>
  </si>
  <si>
    <t>Beef, meat byproducts</t>
  </si>
  <si>
    <t>weight of meat; excluding bone; may contain some fat</t>
  </si>
  <si>
    <t>Includes brain, heart, lung, sweetbread, tail, tripe, tongue, and head.</t>
  </si>
  <si>
    <t>Beef, meat, dried</t>
  </si>
  <si>
    <t>weight of dried meat; excluding bones, and trimmable fat</t>
  </si>
  <si>
    <t>Beet, garden, roots</t>
  </si>
  <si>
    <t>weight of roots; juice</t>
  </si>
  <si>
    <t>Beet, garden, tops</t>
  </si>
  <si>
    <t>Include pumpkin leaves.</t>
  </si>
  <si>
    <t>Beet, sugar</t>
  </si>
  <si>
    <t>dry weight of sugar (sucrose)</t>
  </si>
  <si>
    <t>Sucrose is a disaccharide obtained from sugar cane and sugar beet.</t>
  </si>
  <si>
    <t>Beet, sugar, molasses</t>
  </si>
  <si>
    <t>weight of molasses</t>
  </si>
  <si>
    <t>Belgium endive</t>
  </si>
  <si>
    <t>Also called Witloof chicory.</t>
  </si>
  <si>
    <t>Blackberry</t>
  </si>
  <si>
    <t>weight of berry</t>
  </si>
  <si>
    <t>Includes Andean blackberry, Arctic blackberry, bingleberry, black satin berry, boysenberry, brombeere, California blackberry, Cherokee blackberry, chesterberry, Cheyenne blackberry, common blackberry, coryberry, darrowberry, dewberry, dirksen thornless be</t>
  </si>
  <si>
    <t>Blackberry, juice</t>
  </si>
  <si>
    <t>Blueberry</t>
  </si>
  <si>
    <t>Includes highbush blueberry and lowbush blueberry.</t>
  </si>
  <si>
    <t>Boysenberry</t>
  </si>
  <si>
    <t>Brazil nut</t>
  </si>
  <si>
    <t>Breadfruit</t>
  </si>
  <si>
    <t>weight of pulp; excluding peel</t>
  </si>
  <si>
    <t>weight of flower heads and adjoining stems</t>
  </si>
  <si>
    <t>Broccoli, Chinese</t>
  </si>
  <si>
    <t>weight of flower buds, adjoining stems and leaves</t>
  </si>
  <si>
    <t>Brussels sprouts</t>
  </si>
  <si>
    <t>weight of leaf sprouts</t>
  </si>
  <si>
    <t>Buckwheat</t>
  </si>
  <si>
    <t>dry weight of groats; whole groat flour</t>
  </si>
  <si>
    <t>Burdock</t>
  </si>
  <si>
    <t>weight of roots</t>
  </si>
  <si>
    <t>Butternut</t>
  </si>
  <si>
    <t>Cabbage</t>
  </si>
  <si>
    <t>Cabbage, Chinese, bok choy</t>
  </si>
  <si>
    <t>Cabbage, Chinese, mustard</t>
  </si>
  <si>
    <t>Cabbage, Chinese, napa</t>
  </si>
  <si>
    <t>Cactus</t>
  </si>
  <si>
    <t>Includes Prickly pear, Cactus pads and flowers, Nopales, and Aloe vera.</t>
  </si>
  <si>
    <t>Cantaloupe</t>
  </si>
  <si>
    <t>weight of pulp; excluding seeds and outer rind</t>
  </si>
  <si>
    <t>Includes casaba, muskmelon, and wintermelon.</t>
  </si>
  <si>
    <t>Carob</t>
  </si>
  <si>
    <t>dry weight of bean; flour</t>
  </si>
  <si>
    <t>Carrot</t>
  </si>
  <si>
    <t>weight of roots, with or without peel, excluding tops</t>
  </si>
  <si>
    <t>Carrot, juice</t>
  </si>
  <si>
    <t>Cashew</t>
  </si>
  <si>
    <t>Cassava</t>
  </si>
  <si>
    <t>weight of root; dry tapioca</t>
  </si>
  <si>
    <t>Includes tapioca.</t>
  </si>
  <si>
    <t>Includes Broccoflower and green cauliflower.</t>
  </si>
  <si>
    <t>Celery</t>
  </si>
  <si>
    <t>weight of leaf stalk</t>
  </si>
  <si>
    <t>Celery, juice</t>
  </si>
  <si>
    <t>weight of juice as single strength (or standard dilution)</t>
  </si>
  <si>
    <t>Chayote, fruit</t>
  </si>
  <si>
    <t>weight of fruit</t>
  </si>
  <si>
    <t>Also called Christophine, and Mirliton.</t>
  </si>
  <si>
    <t>Cherry</t>
  </si>
  <si>
    <t>weight of fruit; including skin; excluding pit and stem</t>
  </si>
  <si>
    <t>Includes sweet cherry and sour or tart cherry.</t>
  </si>
  <si>
    <t>Cherry, juice</t>
  </si>
  <si>
    <t>Chestnut</t>
  </si>
  <si>
    <t>weight of  nutmeat</t>
  </si>
  <si>
    <t>Chicken, fat</t>
  </si>
  <si>
    <t>weight of nutrient fat only; includes weight of nutrient fat from chicken meat and skin</t>
  </si>
  <si>
    <t>Chicken, liver</t>
  </si>
  <si>
    <t>weight of organ;  including nutrient fat</t>
  </si>
  <si>
    <t>Chicken, meat</t>
  </si>
  <si>
    <t>weight of flesh; excluding the weight of bone, total nutrient fat, and skin</t>
  </si>
  <si>
    <t>Chicken, meat byproducts</t>
  </si>
  <si>
    <t>weight of meat; excluding bone; may include some trimmable fat and/or skin</t>
  </si>
  <si>
    <t>Includes giblets (heart), necks, gizzard, feet, and tail.</t>
  </si>
  <si>
    <t>Chicken, skin</t>
  </si>
  <si>
    <t>weight of skin only (0 grams nutrient fat)</t>
  </si>
  <si>
    <t>Chickpea, seed</t>
  </si>
  <si>
    <t>Also called garbanzo bean.</t>
  </si>
  <si>
    <t>Chicory, roots</t>
  </si>
  <si>
    <t>Chicory, tops</t>
  </si>
  <si>
    <t>Chinese waxgourd</t>
  </si>
  <si>
    <t>weight of flesh; including or excluding peel</t>
  </si>
  <si>
    <t>Includes Togan and wintermelon.</t>
  </si>
  <si>
    <t>Chive, fresh leaves</t>
  </si>
  <si>
    <t>weight of fresh leaves</t>
  </si>
  <si>
    <t>Includes Chinese chives.</t>
  </si>
  <si>
    <t>Cilantro, leaves</t>
  </si>
  <si>
    <t>Includes Chinese parsley and coriander leaves.</t>
  </si>
  <si>
    <t>Cinnamon</t>
  </si>
  <si>
    <t>dry weight of spice: stick or ground powder</t>
  </si>
  <si>
    <t>Citron</t>
  </si>
  <si>
    <t>Citrus hybrids</t>
  </si>
  <si>
    <t>weight of pulp; excluding seeds and peel</t>
  </si>
  <si>
    <t>Includes tangelo, Tangor, Chironja, and Calamondin.</t>
  </si>
  <si>
    <t>Cocoa bean, chocolate</t>
  </si>
  <si>
    <t>weight of chocolate; cocoa butter</t>
  </si>
  <si>
    <t>Cocoa bean, powder</t>
  </si>
  <si>
    <t>weight of powder</t>
  </si>
  <si>
    <t>Coconut, dried</t>
  </si>
  <si>
    <t>dry weight of meat; excluding milk and shell</t>
  </si>
  <si>
    <t>Coconut, meat</t>
  </si>
  <si>
    <t>weight of meat; excluding milk and shell</t>
  </si>
  <si>
    <t>includes coconut, water</t>
  </si>
  <si>
    <t>Coconut, milk</t>
  </si>
  <si>
    <t>weight of milk only; excluding meat and shell</t>
  </si>
  <si>
    <t>Coconut, oil</t>
  </si>
  <si>
    <t>Coffee, instant</t>
  </si>
  <si>
    <t>dry weight of powder or granules</t>
  </si>
  <si>
    <t>Coffee, roasted bean</t>
  </si>
  <si>
    <t>Collards</t>
  </si>
  <si>
    <t>Coriander, seed</t>
  </si>
  <si>
    <t>weight of seed</t>
  </si>
  <si>
    <t>Includes Chinese parsley and cilantro seed.</t>
  </si>
  <si>
    <t>Corn, field, bran</t>
  </si>
  <si>
    <t>Corn, field, flour</t>
  </si>
  <si>
    <t>dry weight of whole grain flour; masa harina</t>
  </si>
  <si>
    <t>Corn, field, meal</t>
  </si>
  <si>
    <t>dry weight of whole grain or degermed meal; dry weight of corn ingredient from corn or cornmeal based chips or snacks; dry weight of hominy</t>
  </si>
  <si>
    <t>Includes hominy.</t>
  </si>
  <si>
    <t>Corn, field, oil</t>
  </si>
  <si>
    <t>Corn, field, starch</t>
  </si>
  <si>
    <t>dry weight of corn starch</t>
  </si>
  <si>
    <t>Corn, field, syrup</t>
  </si>
  <si>
    <t>weight of syrup</t>
  </si>
  <si>
    <t>Corn, pop</t>
  </si>
  <si>
    <t>weight of kernels; excluding cob and husk</t>
  </si>
  <si>
    <t>Corn, sweet</t>
  </si>
  <si>
    <t>Cottonseed, oil</t>
  </si>
  <si>
    <t>Cranberry</t>
  </si>
  <si>
    <t>Cranberry, dried</t>
  </si>
  <si>
    <t>dry weight of berry</t>
  </si>
  <si>
    <t>Cranberry, juice</t>
  </si>
  <si>
    <t>Cress, garden</t>
  </si>
  <si>
    <t>weight of flesh and seeds; including or excluding peel</t>
  </si>
  <si>
    <t>Currant, dried</t>
  </si>
  <si>
    <t>Includes red and black currants.</t>
  </si>
  <si>
    <t>Dandelion, leaves</t>
  </si>
  <si>
    <t>Dasheen, corm</t>
  </si>
  <si>
    <t>weight of the corm</t>
  </si>
  <si>
    <t>Includes taro.</t>
  </si>
  <si>
    <t>Dasheen, leaves</t>
  </si>
  <si>
    <t>weight of the leaves</t>
  </si>
  <si>
    <t>Date</t>
  </si>
  <si>
    <t>weight of fruit, excluding pit</t>
  </si>
  <si>
    <t>Dill, seed</t>
  </si>
  <si>
    <t>dry weight of seed</t>
  </si>
  <si>
    <t>Dillweed</t>
  </si>
  <si>
    <t>Egg, white</t>
  </si>
  <si>
    <t>weight of egg white</t>
  </si>
  <si>
    <t>Egg, whole</t>
  </si>
  <si>
    <t>weight of white and yolk; excluding shell</t>
  </si>
  <si>
    <t>Egg, yolk</t>
  </si>
  <si>
    <t>weight of egg yolk</t>
  </si>
  <si>
    <t>weight of whole vegetable; including seeds, with or without peel</t>
  </si>
  <si>
    <t>Endive</t>
  </si>
  <si>
    <t>Includes escarole.</t>
  </si>
  <si>
    <t>Fennel, Florence</t>
  </si>
  <si>
    <t>Includes Italian and sweet fennel.</t>
  </si>
  <si>
    <t>Fig</t>
  </si>
  <si>
    <t>Fig, dried</t>
  </si>
  <si>
    <t>dry weight of fruit</t>
  </si>
  <si>
    <t>Fish-freshwater finfish</t>
  </si>
  <si>
    <t>weight of edible portion; excluding head, tail, scales, fins, viscera, inedible bones and skin</t>
  </si>
  <si>
    <t>See Appendix A (”The Fish List”) for categorization of various fish species into appropriate FC, ie, for species that are specifically fresh water fish, salt water fish, crustacean-shellfish, and mollusc-shellfish.</t>
  </si>
  <si>
    <t>Fish-freshwater finfish, farm raised</t>
  </si>
  <si>
    <t>See Appendix A.</t>
  </si>
  <si>
    <t>Fish-saltwater finfish, other</t>
  </si>
  <si>
    <t>Fish-shellfish, crustacean</t>
  </si>
  <si>
    <t>weight of edible portion; excluding shell, gills, and viscera</t>
  </si>
  <si>
    <t>Fish-shellfish, mollusc</t>
  </si>
  <si>
    <t>weight of edible portion; excluding shells</t>
  </si>
  <si>
    <t>Flax seed, oil</t>
  </si>
  <si>
    <t>weight of oil; nutrient fat from flax seeds</t>
  </si>
  <si>
    <t>Also called Solin.</t>
  </si>
  <si>
    <t>Flax, seed</t>
  </si>
  <si>
    <t>Garlic, bulb</t>
  </si>
  <si>
    <t>dry weight of bulb; excluding skin (outer scales)</t>
  </si>
  <si>
    <t>same as Garlic, bulb includes great headed garlic, serpent garlic, and elephant garlic.</t>
  </si>
  <si>
    <t>Ginger</t>
  </si>
  <si>
    <t>weight of roots; excluding peel</t>
  </si>
  <si>
    <t>Ginger, dried</t>
  </si>
  <si>
    <t>dry weight of roots; excluding peel</t>
  </si>
  <si>
    <t>Ginseng, dried</t>
  </si>
  <si>
    <t>dry weight of roots</t>
  </si>
  <si>
    <t>Goat, fat</t>
  </si>
  <si>
    <t>weight of nutrient fat only; include nutrient fat from goat meat</t>
  </si>
  <si>
    <t>Goat, meat</t>
  </si>
  <si>
    <t>weight of meat; excluding weight of bone, and all nutrient fat and skin</t>
  </si>
  <si>
    <t>Goat, meat byproducts</t>
  </si>
  <si>
    <t>Includes brain, heart, and head.</t>
  </si>
  <si>
    <t>Gooseberry</t>
  </si>
  <si>
    <t>Grape</t>
  </si>
  <si>
    <t>weight of grape, with skin, and with or without seeds</t>
  </si>
  <si>
    <t>Includes Muscadine.</t>
  </si>
  <si>
    <t>Grape, juice</t>
  </si>
  <si>
    <t>Includes hardy kiwifruit</t>
  </si>
  <si>
    <t>Grape, leaves</t>
  </si>
  <si>
    <t>Grape, raisin</t>
  </si>
  <si>
    <t>dry weight of raisin</t>
  </si>
  <si>
    <t>Includes Zante currant.</t>
  </si>
  <si>
    <t>Grape, wine and sherry</t>
  </si>
  <si>
    <t>weight of wine or sherry</t>
  </si>
  <si>
    <t>Grapefruit</t>
  </si>
  <si>
    <t>weight of pulp; excluding seeds and rind</t>
  </si>
  <si>
    <t>Includes Uniq fruit</t>
  </si>
  <si>
    <t>Grapefruit, juice</t>
  </si>
  <si>
    <t>Guar, seed</t>
  </si>
  <si>
    <t>weight of bean</t>
  </si>
  <si>
    <t>Guava</t>
  </si>
  <si>
    <t>Hazelnut</t>
  </si>
  <si>
    <t>Also called filbert.</t>
  </si>
  <si>
    <t>Herbs, other</t>
  </si>
  <si>
    <t>See Appendix B (“The Herb List”).  Note that some herbs are not included in this list as they are unique FCs and are cited in this vocabulary separately.  These latter include: basil, chive, coriander (cilantro), leaf, dill (dillweed), fennel, Florence (I</t>
  </si>
  <si>
    <t>weight of honey</t>
  </si>
  <si>
    <t>Honeydew melon</t>
  </si>
  <si>
    <t>Hop</t>
  </si>
  <si>
    <t>weight of dried hops</t>
  </si>
  <si>
    <t>Horseradish</t>
  </si>
  <si>
    <t>weight of root, ground</t>
  </si>
  <si>
    <t>Huckleberry</t>
  </si>
  <si>
    <t>Kale</t>
  </si>
  <si>
    <t>Includes mizuna.</t>
  </si>
  <si>
    <t>Kiwifruit, fuzzy</t>
  </si>
  <si>
    <t>weight of pulp and peel.</t>
  </si>
  <si>
    <t>Kohlrabi</t>
  </si>
  <si>
    <t>Kumquat</t>
  </si>
  <si>
    <t>weight of fruit; including peel; excluding seeds</t>
  </si>
  <si>
    <t>weight of whole plant; including leaves and bulb</t>
  </si>
  <si>
    <t>Includes lady leek and wild leek</t>
  </si>
  <si>
    <t>Lemon</t>
  </si>
  <si>
    <t>Lemon, juice</t>
  </si>
  <si>
    <t>Lemon, peel</t>
  </si>
  <si>
    <t>weight of peel only</t>
  </si>
  <si>
    <t>Lentil, seed</t>
  </si>
  <si>
    <t>dry weight of edible seed</t>
  </si>
  <si>
    <t>Lettuce, head</t>
  </si>
  <si>
    <t>weight of leaves; juice</t>
  </si>
  <si>
    <t>Lettuce, leaf</t>
  </si>
  <si>
    <t>Includes romaine.</t>
  </si>
  <si>
    <t>Lime</t>
  </si>
  <si>
    <t>Australian desert lime, Australian finger lime, Australian round lime, Brown River finger lime, Mount White lime, New Guinea wild lime, Russell River lime, Sweet lime, Tahiti Lime.</t>
  </si>
  <si>
    <t>Lime, juice</t>
  </si>
  <si>
    <t>Australian desert lime, Australian finger lime, Australian round lime, Brown River finger lime, Kumquat, Lemon, Lime, Mount White lime, New Guinea wild lime, Russell River lime, Sweet lime, Tahiti Lime</t>
  </si>
  <si>
    <t>Lychee</t>
  </si>
  <si>
    <t>Macadamia nut</t>
  </si>
  <si>
    <t>Mango, dried</t>
  </si>
  <si>
    <t>weight of dried pulp</t>
  </si>
  <si>
    <t>Mango, juice</t>
  </si>
  <si>
    <t>Maple syrup</t>
  </si>
  <si>
    <t>Maple, sugar</t>
  </si>
  <si>
    <t>dry weight of sugar</t>
  </si>
  <si>
    <t>Marjoram</t>
  </si>
  <si>
    <t>Includes oregano.</t>
  </si>
  <si>
    <t>Meat, game</t>
  </si>
  <si>
    <t>weight of meat; excluding bone, trimmable fat and skin</t>
  </si>
  <si>
    <t>Includes armadillo, bear, beaver, caribou, deer, elk, frog, groundhog, moose, snake, opossum, raccoon, squirrel, turtle.</t>
  </si>
  <si>
    <t>Milk, fat</t>
  </si>
  <si>
    <t>weight of nutrient fat only</t>
  </si>
  <si>
    <t>Milk, nonfat solids</t>
  </si>
  <si>
    <t>Remaining weight of milk after subtracting milk fat and moisture content of milk</t>
  </si>
  <si>
    <t>Includes casein; also, includes lactose added to items that are neither commercial baby foods nor infant formulas.</t>
  </si>
  <si>
    <t>Milk, water</t>
  </si>
  <si>
    <t>Moisture content of milk</t>
  </si>
  <si>
    <t>Millet, grain</t>
  </si>
  <si>
    <t>dry weight of grain</t>
  </si>
  <si>
    <t>Mulberry</t>
  </si>
  <si>
    <t>Includes Juneberry.</t>
  </si>
  <si>
    <t>weight of caps or caps and stems</t>
  </si>
  <si>
    <t xml:space="preserve">Includes oyster, shiitake, and  button mushroom.                                                                                                                                          </t>
  </si>
  <si>
    <t>Mustard greens</t>
  </si>
  <si>
    <t>Nectarine</t>
  </si>
  <si>
    <t>weight of pulp; including peel; excluding pit and stem</t>
  </si>
  <si>
    <t>Oat, bran</t>
  </si>
  <si>
    <t>Oat, flour</t>
  </si>
  <si>
    <t>Oat, groats/rolled oats</t>
  </si>
  <si>
    <t>dry weight</t>
  </si>
  <si>
    <t>Okra</t>
  </si>
  <si>
    <t>weight of pods; including seeds</t>
  </si>
  <si>
    <t>Olive</t>
  </si>
  <si>
    <t>weight of fruit; excluding pit</t>
  </si>
  <si>
    <t>Olive, oil</t>
  </si>
  <si>
    <t>Onion, bulb</t>
  </si>
  <si>
    <t>weight of bulb; excluding outer skin</t>
  </si>
  <si>
    <t>Includes Daylily; Fritillaria, bulb; Lily; Chinese onion, bulb.</t>
  </si>
  <si>
    <t>Onion, bulb, dried</t>
  </si>
  <si>
    <t>dry weight of bulb; excluding outer skin</t>
  </si>
  <si>
    <t>Onion, green</t>
  </si>
  <si>
    <t>weight of bulb or bulb and leaves</t>
  </si>
  <si>
    <t>Includes Elegans hosta; Fritillaria, leaves, Kurrat; Beltsville bunching onion; Macrostem onion, pearl onion, potato onion, tree onion, and, Welsh onion</t>
  </si>
  <si>
    <t>Orange</t>
  </si>
  <si>
    <t>Orange, juice</t>
  </si>
  <si>
    <t>Orange, peel</t>
  </si>
  <si>
    <t>Palm heart, leaves</t>
  </si>
  <si>
    <t>weight of stem and leaves</t>
  </si>
  <si>
    <t>Palm, oil</t>
  </si>
  <si>
    <t>Papaya</t>
  </si>
  <si>
    <t>weight of pulp; excluding peel and seeds</t>
  </si>
  <si>
    <t>Papaya, dried</t>
  </si>
  <si>
    <t>Papaya, juice</t>
  </si>
  <si>
    <t>Parsley, dried leaves</t>
  </si>
  <si>
    <t>dried weight of leaves and stems</t>
  </si>
  <si>
    <t>Parsley, leaves</t>
  </si>
  <si>
    <t>Parsnip</t>
  </si>
  <si>
    <t>weight of roots with or without peel</t>
  </si>
  <si>
    <t>Passionfruit</t>
  </si>
  <si>
    <t>Passionfruit, juice</t>
  </si>
  <si>
    <t>Pea, dry</t>
  </si>
  <si>
    <t>dry weight of pea</t>
  </si>
  <si>
    <t>Pea, edible podded, succulent</t>
  </si>
  <si>
    <t>weight of pea and pod</t>
  </si>
  <si>
    <t>Pea, pigeon, seed</t>
  </si>
  <si>
    <t>Pea, pigeon, succulent</t>
  </si>
  <si>
    <t>weight of pea</t>
  </si>
  <si>
    <t>In U.S. presently, usually found as canned pigeon peas.</t>
  </si>
  <si>
    <t>Pea, succulent</t>
  </si>
  <si>
    <t>weight of peas</t>
  </si>
  <si>
    <t>Peach</t>
  </si>
  <si>
    <t>Peach, dried</t>
  </si>
  <si>
    <t>weight of dried pulp, with or without peel; excluding pit</t>
  </si>
  <si>
    <t>Peach, juice</t>
  </si>
  <si>
    <t>Peanut</t>
  </si>
  <si>
    <t>weight of nutmeat; excluding shell</t>
  </si>
  <si>
    <t>Peanut, butter</t>
  </si>
  <si>
    <t>weight of ground peanuts; excluding shell</t>
  </si>
  <si>
    <t>Peanut, oil</t>
  </si>
  <si>
    <t>Pear</t>
  </si>
  <si>
    <t>weight of pulp, with or without peel; excluding core and stem</t>
  </si>
  <si>
    <t>Include Asian (Oriental) pear.</t>
  </si>
  <si>
    <t>Pear, dried</t>
  </si>
  <si>
    <t>weight of dried pulp, with or without peel</t>
  </si>
  <si>
    <t>Pear, juice</t>
  </si>
  <si>
    <t>Pecan</t>
  </si>
  <si>
    <t>Pepper, bell</t>
  </si>
  <si>
    <t>weight of flesh; excluding seeds and stem</t>
  </si>
  <si>
    <t>Includes sweet pepper, cooking pepper, pimento, and banana pepper.</t>
  </si>
  <si>
    <t>Pepper, bell, dried</t>
  </si>
  <si>
    <t>dry weight of flesh only</t>
  </si>
  <si>
    <t>Pepper, black and white</t>
  </si>
  <si>
    <t>dry weight of pepper</t>
  </si>
  <si>
    <t>Pepper, nonbell</t>
  </si>
  <si>
    <t>weight of flesh, with or without seeds; excluding stem</t>
  </si>
  <si>
    <t>Pepper, nonbell, dried</t>
  </si>
  <si>
    <t>dry weight of flesh or flesh and seeds</t>
  </si>
  <si>
    <t>Peppermint</t>
  </si>
  <si>
    <t>Includes other mints (Mentha spp.) except spearmint.</t>
  </si>
  <si>
    <t>Peppermint, oil</t>
  </si>
  <si>
    <t>Persimmon</t>
  </si>
  <si>
    <t>weight of entire fruit, pulp and peel</t>
  </si>
  <si>
    <t>Pine nut</t>
  </si>
  <si>
    <t>Also called pignolia.</t>
  </si>
  <si>
    <t>weight of pulp; excluding leaves and outer peel</t>
  </si>
  <si>
    <t>Pineapple, dried</t>
  </si>
  <si>
    <t>weight of dried pulp only</t>
  </si>
  <si>
    <t>Pineapple, juice</t>
  </si>
  <si>
    <t>Plantain</t>
  </si>
  <si>
    <t>weight of pulp; excluding skin</t>
  </si>
  <si>
    <t>Plantain, dried</t>
  </si>
  <si>
    <t>Plum</t>
  </si>
  <si>
    <t>weight of pulp with peel; excluding pit</t>
  </si>
  <si>
    <t>Includes American plum; Klamath plum; Beach plum; Canada plum; Cherry plum; Chickasaw plum; Damson plum; Japanese plum; Plumcot; and Sloe.</t>
  </si>
  <si>
    <t>Plum, prune, dried</t>
  </si>
  <si>
    <t>weight of dried flesh, with or without peel; excluding pit</t>
  </si>
  <si>
    <t>Plum, prune, fresh</t>
  </si>
  <si>
    <t>weight of plum, with peel; excluding pit</t>
  </si>
  <si>
    <t>Plum, prune, juice</t>
  </si>
  <si>
    <t>Pomegranate</t>
  </si>
  <si>
    <t>Seeds are usually not consumed.</t>
  </si>
  <si>
    <t>Pomegranate, juice</t>
  </si>
  <si>
    <t>Pork, fat</t>
  </si>
  <si>
    <t>weight of nutrient  fat only; includes weight of nutrient fat from meat</t>
  </si>
  <si>
    <t>Pork, liver</t>
  </si>
  <si>
    <t>Pork, meat</t>
  </si>
  <si>
    <t>Pork, meat byproducts</t>
  </si>
  <si>
    <t>weight of meat; excluding bone; may include some trimmable fat and skin</t>
  </si>
  <si>
    <t>Includes ears, jowl, chitterlings, stomach (maw), fatback, and feet.</t>
  </si>
  <si>
    <t>Pork, skin</t>
  </si>
  <si>
    <t>dry weight of skin including nutrient fat</t>
  </si>
  <si>
    <t>e.g., pork rind snacks.</t>
  </si>
  <si>
    <t>Potato, chips</t>
  </si>
  <si>
    <t>weight of potato from chip or stick, with or without peel</t>
  </si>
  <si>
    <t>Potato, dry (granules/ flakes)</t>
  </si>
  <si>
    <t>dry weight of granules or flakes</t>
  </si>
  <si>
    <t>Potato, flour</t>
  </si>
  <si>
    <t>dry weight of flour or potato starch</t>
  </si>
  <si>
    <t>Potato, tuber, w/o peel</t>
  </si>
  <si>
    <t>weight of tuber;  excluding peel</t>
  </si>
  <si>
    <t>Potato, tuber, w/peel</t>
  </si>
  <si>
    <t>weight of tuber;  including peel</t>
  </si>
  <si>
    <t>Poultry, other, fat</t>
  </si>
  <si>
    <t>weight of nutrient  fat only; includes weight of nutrient fat from meat and skin</t>
  </si>
  <si>
    <t>Includes dove, duck, emu, goose, guinea hen, ostrich, partridge, pheasant, pigeon, quail, squab, wild duck.</t>
  </si>
  <si>
    <t>Poultry, other, liver</t>
  </si>
  <si>
    <t>weight of organ, including nutrient fat</t>
  </si>
  <si>
    <t>Poultry, other, meat</t>
  </si>
  <si>
    <t>weight of meat; excluding weight of bone, and all nutrient fat, and skin</t>
  </si>
  <si>
    <t>Poultry, other, meat byproducts</t>
  </si>
  <si>
    <t>weight of meat; excluding bone; may contain some trimmable fat and/or skin</t>
  </si>
  <si>
    <t>Includes dove, duck, emu, goose, guinea hen, ostrich, partridge, pheasant, pigeon, quail, squab, wild duck. Byproducts include (as for chicken) giblets, gizzard, neck, feet, and tail, as applicable to species of poultry.</t>
  </si>
  <si>
    <t>Poultry, other, skin</t>
  </si>
  <si>
    <t>Psyllium, seed</t>
  </si>
  <si>
    <t>dry weight of psyllium husks</t>
  </si>
  <si>
    <t>Pumpkin</t>
  </si>
  <si>
    <t>Pumpkin, seed</t>
  </si>
  <si>
    <t>weight of dried seed only</t>
  </si>
  <si>
    <t>Rabbit, meat</t>
  </si>
  <si>
    <t>Radicchio</t>
  </si>
  <si>
    <t>Radish, Oriental, roots</t>
  </si>
  <si>
    <t>Radish, roots</t>
  </si>
  <si>
    <t>Rapeseed, oil</t>
  </si>
  <si>
    <t>Includes canola oil.</t>
  </si>
  <si>
    <t>Raspberry</t>
  </si>
  <si>
    <t>Includes black raspberry, red raspberry, bababerry, blackcap, framboise, frambueso, himbeere, keriberry, mayberry, thimbleberry, tulameen, yellow raspberry.</t>
  </si>
  <si>
    <t>Raspberry, juice</t>
  </si>
  <si>
    <t>Rhubarb</t>
  </si>
  <si>
    <t>weight of stalks; excluding leaves</t>
  </si>
  <si>
    <t>Rice, bran</t>
  </si>
  <si>
    <t>Rice, brown</t>
  </si>
  <si>
    <t>dry weight of grain or brown rice flour</t>
  </si>
  <si>
    <t>Rice, flour</t>
  </si>
  <si>
    <t>Rice, white</t>
  </si>
  <si>
    <t>Rutabaga</t>
  </si>
  <si>
    <t>weight of roots; excluding tops</t>
  </si>
  <si>
    <t>Rye, flour</t>
  </si>
  <si>
    <t>Rye, grain</t>
  </si>
  <si>
    <t>dry weight of grain; weight of whole grain flour</t>
  </si>
  <si>
    <t>Safflower, oil</t>
  </si>
  <si>
    <t>Savory</t>
  </si>
  <si>
    <t>weight of leaves and flower buds</t>
  </si>
  <si>
    <t>Includes summer and winter savory.</t>
  </si>
  <si>
    <t>Seaweed</t>
  </si>
  <si>
    <t>weight of vegetation (wet and dry)</t>
  </si>
  <si>
    <t>Includes algae, Irish moss, kelp, spirulina, agar, laver, and wakame.</t>
  </si>
  <si>
    <t>Sesame, oil</t>
  </si>
  <si>
    <t>Sesame, seed</t>
  </si>
  <si>
    <t>Shallot, bulb</t>
  </si>
  <si>
    <t>weight of bulb; excluding skin</t>
  </si>
  <si>
    <t>Sheep, fat</t>
  </si>
  <si>
    <t>weight of nutrient fat only; includes nutrient fat from meat</t>
  </si>
  <si>
    <t>Sheep, liver</t>
  </si>
  <si>
    <t>Sheep, meat</t>
  </si>
  <si>
    <t>weight of meat; excluding weight of bone, total nutrient fat and skin</t>
  </si>
  <si>
    <t>Sheep, meat byproducts</t>
  </si>
  <si>
    <t>weight of meat; excluding bones; may include some trimmable fat and/or skin</t>
  </si>
  <si>
    <t>Includes brain and tongue.</t>
  </si>
  <si>
    <t>Sorghum, syrup</t>
  </si>
  <si>
    <t>Soursop</t>
  </si>
  <si>
    <t>Soybean, flour</t>
  </si>
  <si>
    <t>dry weight of flour, soy meal, soy protein concentrate and isolate</t>
  </si>
  <si>
    <t>Soybean, oil</t>
  </si>
  <si>
    <t>Includes lecithin.</t>
  </si>
  <si>
    <t>Soybean, seed</t>
  </si>
  <si>
    <t>dry weight of seed or bean</t>
  </si>
  <si>
    <t>Soybean, soy milk</t>
  </si>
  <si>
    <t>total weight of milk</t>
  </si>
  <si>
    <t>Spices, other</t>
  </si>
  <si>
    <t>See Appendix C (“The Spice List”).  Note that this list does not include some spices that are unique FCs and are listed separately in this Commodity Vocabulary.  These latter spices include: cinnamon, dill (seed), coriander (cilantro)-seed, and  black and</t>
  </si>
  <si>
    <t>Squash, summer</t>
  </si>
  <si>
    <t>weight of flesh, seeds and peel</t>
  </si>
  <si>
    <t>Includes crookneck squash, kampyo,  scallop squash, straightneck squash, vegetable marrow, and zucchini.</t>
  </si>
  <si>
    <t>Squash, winter</t>
  </si>
  <si>
    <t>weight of flesh; excluding seeds and peel</t>
  </si>
  <si>
    <t>Includes butternut squash, hubbard squash, calabaza, acorn squash, and spaghetti squash.</t>
  </si>
  <si>
    <t>Strawberry</t>
  </si>
  <si>
    <t>weight of berry; excluding leaf cap</t>
  </si>
  <si>
    <t>Strawberry, juice</t>
  </si>
  <si>
    <t>Sugarcane, molasses</t>
  </si>
  <si>
    <t>Includes blackstrap molasses.</t>
  </si>
  <si>
    <t>Sugarcane, sugar</t>
  </si>
  <si>
    <t>dry weight of cane sugar (sucrose)</t>
  </si>
  <si>
    <t>Sunflower, oil</t>
  </si>
  <si>
    <t>Sunflower, seed</t>
  </si>
  <si>
    <t>dry weight of seeds</t>
  </si>
  <si>
    <t>Sweet potato</t>
  </si>
  <si>
    <t>weight of roots, with or without peel; juice</t>
  </si>
  <si>
    <t>Swiss chard</t>
  </si>
  <si>
    <t>weight of leaves and stalks</t>
  </si>
  <si>
    <t>Tamarind</t>
  </si>
  <si>
    <t>weight of pulp, including seeds; excluding peel; juice</t>
  </si>
  <si>
    <t>Tangerine</t>
  </si>
  <si>
    <t>Include clementine and mandarin.</t>
  </si>
  <si>
    <t>Tangerine, juice</t>
  </si>
  <si>
    <t>Include+G148 clementine and mandarin.</t>
  </si>
  <si>
    <t>Tanier, corm</t>
  </si>
  <si>
    <t>weight of corm</t>
  </si>
  <si>
    <t>Also called Cocoyam.</t>
  </si>
  <si>
    <t>Tea, dried</t>
  </si>
  <si>
    <t>dry weight of tea leaves</t>
  </si>
  <si>
    <t>Tea, instant</t>
  </si>
  <si>
    <t>dry weight of powder</t>
  </si>
  <si>
    <t>Tomatillo</t>
  </si>
  <si>
    <t>weight of fruit; excluding outer husks</t>
  </si>
  <si>
    <t>Tomato</t>
  </si>
  <si>
    <t>weight of pulp, seeds and skin; tomatoes without skin but with seed (example canned whole tomatoes)</t>
  </si>
  <si>
    <t>Tomato, dried</t>
  </si>
  <si>
    <t>weight of dried tomato (may include skin and/or seeds)</t>
  </si>
  <si>
    <t>Tomato, juice</t>
  </si>
  <si>
    <t>Tomato, paste</t>
  </si>
  <si>
    <t>weight of concentrated tomato pulp from food described as paste; excluding seeds and skin</t>
  </si>
  <si>
    <t>Tomato, puree</t>
  </si>
  <si>
    <t>weight of concentrated tomato pulp (from food described as puree or sauce); excluding seeds and skin</t>
  </si>
  <si>
    <t>Triticale, flour</t>
  </si>
  <si>
    <t>Turkey, fat</t>
  </si>
  <si>
    <t>weight of nutrient  fat only; includes nutrient fat from meat and skin</t>
  </si>
  <si>
    <t>Turkey, liver</t>
  </si>
  <si>
    <t>Turkey, meat</t>
  </si>
  <si>
    <t>weight of meat; excluding bone, all nutrient fat, and skin</t>
  </si>
  <si>
    <t>Turkey, meat byproducts</t>
  </si>
  <si>
    <t>weight of meat; excluding bone (may contain some fat and/or skin)</t>
  </si>
  <si>
    <t>Includes gizzard, heart, neck, and tail.</t>
  </si>
  <si>
    <t>Turkey, skin</t>
  </si>
  <si>
    <t>Turmeric</t>
  </si>
  <si>
    <t>Turnip, greens</t>
  </si>
  <si>
    <t>Turnip, roots</t>
  </si>
  <si>
    <t>Vinegar</t>
  </si>
  <si>
    <t>Weight of vinegar made from apple, grape or rice juice in recipe</t>
  </si>
  <si>
    <t>Walnut</t>
  </si>
  <si>
    <t>Water chestnut</t>
  </si>
  <si>
    <t>weight of tuber</t>
  </si>
  <si>
    <t>Water, direct, bottled</t>
  </si>
  <si>
    <t>Water, direct, tap</t>
  </si>
  <si>
    <t>Water, indirect, all sources</t>
  </si>
  <si>
    <t>Watercress</t>
  </si>
  <si>
    <t>weight of leaves and stems; juice</t>
  </si>
  <si>
    <t>Watermelon</t>
  </si>
  <si>
    <t>weight of pulp and rind; excluding seeds</t>
  </si>
  <si>
    <t>To include weight of pickled watermelon rind.</t>
  </si>
  <si>
    <t>Watermelon, juice</t>
  </si>
  <si>
    <t>Wheat, bran</t>
  </si>
  <si>
    <t>Wheat, flour</t>
  </si>
  <si>
    <t>Wheat, germ</t>
  </si>
  <si>
    <t>dry weight of germ</t>
  </si>
  <si>
    <t>Wheat, grain</t>
  </si>
  <si>
    <t>Include whole kernel, cracked wheat, whole grain flour, bulgur, couscous.</t>
  </si>
  <si>
    <t>Wild rice</t>
  </si>
  <si>
    <t>Yam bean</t>
  </si>
  <si>
    <t>Also called jicama.</t>
  </si>
  <si>
    <t>Yam, true</t>
  </si>
  <si>
    <t>MJ / kg</t>
  </si>
  <si>
    <t>Convenetional - Cabarnet sauvignon</t>
  </si>
  <si>
    <t>Squash, Summer</t>
  </si>
  <si>
    <t>Farmed trout, flow through system farm</t>
  </si>
  <si>
    <t>Farmed Trout, recirculation system farm</t>
  </si>
  <si>
    <t>Horse Mackerel, captured by purse seiners</t>
  </si>
  <si>
    <t>Horse Mackerel, captured by bottom trawlers</t>
  </si>
  <si>
    <t>Hake Fillets, captured by offshore long lining fleet</t>
  </si>
  <si>
    <t>Hake Fillets, captured by offshore trawling fleet</t>
  </si>
  <si>
    <t>fresh Tasmanian Southern Rock lobster airfreighted; recording basecase here</t>
  </si>
  <si>
    <t>Salmon, farmed, gutted, head on, trucked to Paris</t>
  </si>
  <si>
    <t>Salmon, farmed, gutted, head on, trucked to Oslo</t>
  </si>
  <si>
    <t>Salmon, farmed, gutted, head on, trucked to Moscow</t>
  </si>
  <si>
    <t>Salmon, farmed, gutted, head on, air to Tokyo</t>
  </si>
  <si>
    <t>Salmon, farmed, container freight to Shanghai</t>
  </si>
  <si>
    <t>Salmon, farmed, fillet, truck to Paris</t>
  </si>
  <si>
    <t>Mussels, farmed, truck to paris</t>
  </si>
  <si>
    <t>Atlantic Cod, wild caught, gutted, head on, truck to paris</t>
  </si>
  <si>
    <t>Atlantic Cod, wild caught, fillet, truck to Oslo</t>
  </si>
  <si>
    <t>Atlantic Cod, wild, fillet, truck to Paris</t>
  </si>
  <si>
    <t>Atlantic Cod, wild, fillet, truck/container to Paris via processing in China</t>
  </si>
  <si>
    <t>Atlantic Cod, wild, truck to Lisbon</t>
  </si>
  <si>
    <t>Haddock, wild, gutted, head on, Truck/RoRo vessel to London</t>
  </si>
  <si>
    <t>Haddock, wild, gutted, head on, Truck/bulk freight to London</t>
  </si>
  <si>
    <t>Mackerel, wild, round, container freighter to Tokyo</t>
  </si>
  <si>
    <t>Mackerel, wild, round, bulk freight/train to Moscow</t>
  </si>
  <si>
    <t>American Lobster, caught in Maine, delivered live to Boston, MA, stored live for 72 hrs</t>
  </si>
  <si>
    <t>American Lobster, caught in Lobster Fishing Area 34, delivered to Las Vegas, NV</t>
  </si>
  <si>
    <t>Atlantic Cod</t>
  </si>
  <si>
    <t>Salmon, filleted, brined &amp; smoked</t>
  </si>
  <si>
    <t>Farmed Trout, flow-through system</t>
  </si>
  <si>
    <t>Farmed Sea Bass, marine-based cages</t>
  </si>
  <si>
    <t>Farmed Turbot, land-based re-circulating system</t>
  </si>
  <si>
    <t>Salmon, Farmed, conventional marine net-pen system</t>
  </si>
  <si>
    <t>Salmon, Farmed, marine floating bag system</t>
  </si>
  <si>
    <t>Salmon, Farmed, land-based saltwater flow-through system</t>
  </si>
  <si>
    <t>Farm Raised Arctic Char, land-based freshwater recirculating system</t>
  </si>
  <si>
    <t>Tilapia, lake-cultured in Indonesia, delivered to Rotterdam</t>
  </si>
  <si>
    <t>Tilapia, lake-cultured in Indonesia, delivered to Chicago</t>
  </si>
  <si>
    <t>Atlantic Cod, fillet, delivered to Grimsby, UK</t>
  </si>
  <si>
    <t>Atlantic Cod, fillet, delivered by air to Grimsby, UK</t>
  </si>
  <si>
    <t>Alaskan Pollock, fillet, trawler/mothership system, processing in china</t>
  </si>
  <si>
    <t>Alaskan Pollock, fillet, catcher/processor system</t>
  </si>
  <si>
    <t>Alaskan Salmon, fillet, processed in Alaska</t>
  </si>
  <si>
    <t>Alaskan Salmon, fillet, processed in China</t>
  </si>
  <si>
    <t>Farmed shrimp, intensive farming</t>
  </si>
  <si>
    <t>Farmed shrimp, semi-intensive farming</t>
  </si>
  <si>
    <t>Atlantic Cod, Wetpack - autoline fisheries, delivered to Sweden</t>
  </si>
  <si>
    <t>Atlantic Cod, Fishburgers - autoline fisheries, delivered to Sweden</t>
  </si>
  <si>
    <t>Atlantic Cod, Loin - autoline fisheries, delivered to UK</t>
  </si>
  <si>
    <t xml:space="preserve">Farmed Sea Bass, traditional rearing raceways </t>
  </si>
  <si>
    <t>Farmed Sea Bass, cascade rearing raceways</t>
  </si>
  <si>
    <t>Canned Sardines, purse seine fishery, includes olive oil &amp; salt</t>
  </si>
  <si>
    <t>Fresh Sardines, purse seine fishery</t>
  </si>
  <si>
    <t>Frozen Sardines, purse seine fishery</t>
  </si>
  <si>
    <t>Atlantic Salmon, copper alloy mesh net pens</t>
  </si>
  <si>
    <t>Atlantic Salmon, nylon net pens</t>
  </si>
  <si>
    <t>Tropical Rock Lobster, frozen tail shipped from N. Australia to US</t>
  </si>
  <si>
    <t>Farmed Rainbow Trout, flow-through production system</t>
  </si>
  <si>
    <t>Farmed Rainbow Trout, semi-closed recirc. system</t>
  </si>
  <si>
    <t>Farmed Rainbow Trout, recirculating system</t>
  </si>
  <si>
    <t>Snails, semi-intensive rearing system in Southern Italy</t>
  </si>
  <si>
    <t>Zea Maize, conventional</t>
  </si>
  <si>
    <t>Zea Maize, organic</t>
  </si>
  <si>
    <r>
      <t>CO</t>
    </r>
    <r>
      <rPr>
        <b/>
        <vertAlign val="subscript"/>
        <sz val="12"/>
        <color rgb="FF000000"/>
        <rFont val="Calibri"/>
        <family val="2"/>
      </rPr>
      <t xml:space="preserve">2 </t>
    </r>
    <r>
      <rPr>
        <b/>
        <sz val="12"/>
        <color rgb="FF000000"/>
        <rFont val="Calibri"/>
        <family val="2"/>
      </rPr>
      <t>eq / kg</t>
    </r>
  </si>
  <si>
    <t>Apple juice</t>
  </si>
  <si>
    <t>Grape juice</t>
  </si>
  <si>
    <t>Pineapple juice</t>
  </si>
  <si>
    <t>Prune juice</t>
  </si>
  <si>
    <t>Lamb</t>
  </si>
  <si>
    <t>Pecans</t>
  </si>
  <si>
    <t xml:space="preserve">CED </t>
  </si>
  <si>
    <t xml:space="preserve">GHG </t>
  </si>
  <si>
    <t>Corn, field</t>
  </si>
  <si>
    <t>Hazelnuts, paste</t>
  </si>
  <si>
    <t>snail</t>
  </si>
  <si>
    <t>Tomato juice</t>
  </si>
  <si>
    <t>Tomato paste</t>
  </si>
  <si>
    <t>/1000/.72  filet yield (72%) from Table 4.5 of http://brage.bibsys.no/xmlui/bitstream/handle/11250/186065/deependra%20acharya.pdf?sequence=1</t>
  </si>
  <si>
    <t>/1000/.52  from http://www.fao.org/docrep/003/t0219e/T0219E01.htm#ch1</t>
  </si>
  <si>
    <t>/1000/.58 from http://www.fao.org/docrep/003/t0219e/T0219E01.htm#ch1</t>
  </si>
  <si>
    <t>/1000/.57 from http://www.fao.org/docrep/003/t0219e/T0219E01.htm#ch1</t>
  </si>
  <si>
    <t>/1000/.65 assuming 65% fillet yield, ave of high and low FY from http://onlinelibrary.wiley.com/doi/10.1111/j.1745-4573.2010.00214.x/abstract</t>
  </si>
  <si>
    <t>/1000/.44 68% round to headed&amp;gutted, 65% headed&amp;gutted to skinless fillet, from http://www.chefs-resources.com/seafood/seafood-yields/</t>
  </si>
  <si>
    <t>/1000/.48  from http://www.brownetrading.com/species-spotlight/farm-raised-turbot-from-spain/</t>
  </si>
  <si>
    <t>/1000/.31  ~31% meat yield, from DOI:10.1021/jf900237g</t>
  </si>
  <si>
    <t>/24/.79  79% meats from http://www.fao.org/docrep/003/t0219e/T0219E01.htm#ch1</t>
  </si>
  <si>
    <t>date</t>
  </si>
  <si>
    <t>/1000/.72  fillet yield (72%) from Table 4.5 of http://brage.bibsys.no/xmlui/bitstream/handle/11250/186065/deependra%20acharya.pdf?sequence=1</t>
  </si>
  <si>
    <t>0.250kg</t>
  </si>
  <si>
    <t>onion, bulb</t>
  </si>
  <si>
    <t>chicken</t>
  </si>
  <si>
    <t>almond</t>
  </si>
  <si>
    <t>lentil, seed</t>
  </si>
  <si>
    <t>Fish-saltwater finfish</t>
  </si>
  <si>
    <t>tropical fruit</t>
  </si>
  <si>
    <t>berry</t>
  </si>
  <si>
    <t>brassica greens</t>
  </si>
  <si>
    <t>roots</t>
  </si>
  <si>
    <t>tree fruit</t>
  </si>
  <si>
    <t>greens</t>
  </si>
  <si>
    <t>citrus</t>
  </si>
  <si>
    <t>brassica roots</t>
  </si>
  <si>
    <t>kale</t>
  </si>
  <si>
    <t>dried herbs</t>
  </si>
  <si>
    <t>fresh herbs</t>
  </si>
  <si>
    <t>nut</t>
  </si>
  <si>
    <t>brassica</t>
  </si>
  <si>
    <t>spices</t>
  </si>
  <si>
    <t>Apricot, dried, uncooked</t>
  </si>
  <si>
    <t>Commodity_base</t>
  </si>
  <si>
    <t>StoneFruits</t>
  </si>
  <si>
    <t>Apricot, raw</t>
  </si>
  <si>
    <t>Apricot nectar</t>
  </si>
  <si>
    <t>TotalCaloricSweeteners</t>
  </si>
  <si>
    <t>Almonds, unroasted</t>
  </si>
  <si>
    <t>TreeNuts</t>
  </si>
  <si>
    <t>Almond oil</t>
  </si>
  <si>
    <t>OtherOils</t>
  </si>
  <si>
    <t>Apple, dried, uncooked</t>
  </si>
  <si>
    <t>Apple, raw</t>
  </si>
  <si>
    <t>ApplesFromJuice</t>
  </si>
  <si>
    <t>Applesauce, stewed apples, unsweetened</t>
  </si>
  <si>
    <t>Artichoke, Jerusalem, raw</t>
  </si>
  <si>
    <t>TotalVegetables</t>
  </si>
  <si>
    <t>Artichoke, globe (French), cooked, from fresh, fat not added in cooking</t>
  </si>
  <si>
    <t>Lettuce, arugula, raw</t>
  </si>
  <si>
    <t>Asparagus, raw</t>
  </si>
  <si>
    <t>Avocado, raw</t>
  </si>
  <si>
    <t>Pear, raw</t>
  </si>
  <si>
    <t>TotalFruit</t>
  </si>
  <si>
    <t>Pear, dried, uncooked</t>
  </si>
  <si>
    <t>Pear nectar</t>
  </si>
  <si>
    <t>Banana, raw</t>
  </si>
  <si>
    <t>LegumesDried</t>
  </si>
  <si>
    <t>Peas, cowpeas, field peas, or blackeye peas (not dried), cooked, from fresh, fat not added in cooking</t>
  </si>
  <si>
    <t>Cowpeas, dry, cooked, fat not added in cooking</t>
  </si>
  <si>
    <t>Red kidney beans, dry, cooked, fat not added in cooking</t>
  </si>
  <si>
    <t>Beans, lima, raw</t>
  </si>
  <si>
    <t>Beans, lima, immature, cooked, from fresh, fat not added in cooking</t>
  </si>
  <si>
    <t>Mung beans, fat not added in cooking</t>
  </si>
  <si>
    <t>Pink beans, dry, cooked, fat not added in cooking</t>
  </si>
  <si>
    <t>Beet greens, raw</t>
  </si>
  <si>
    <t>TotalLeafyVeg</t>
  </si>
  <si>
    <t>Beets, raw</t>
  </si>
  <si>
    <t>TotalRootsAndTubers</t>
  </si>
  <si>
    <t>Sugar, raw</t>
  </si>
  <si>
    <t>Molasses</t>
  </si>
  <si>
    <t>Endive, chicory, escarole, or romaine lettuce, raw</t>
  </si>
  <si>
    <t>Blackberries, raw</t>
  </si>
  <si>
    <t>Berries</t>
  </si>
  <si>
    <t>Blackberry juice</t>
  </si>
  <si>
    <t>Blueberries, raw</t>
  </si>
  <si>
    <t>Boysenberries, raw</t>
  </si>
  <si>
    <t>Brazil nuts</t>
  </si>
  <si>
    <t>Broccoli, raw</t>
  </si>
  <si>
    <t>BroccoliAndCauliflower</t>
  </si>
  <si>
    <t>Brussels sprouts, raw</t>
  </si>
  <si>
    <t>TotalBrassica</t>
  </si>
  <si>
    <t>Buckwheat groats, cooked, fat not added in cooking</t>
  </si>
  <si>
    <t>TotalGrain</t>
  </si>
  <si>
    <t>Burdock, cooked, fat not added in cooking</t>
  </si>
  <si>
    <t>Cabbage, green, raw</t>
  </si>
  <si>
    <t>Cabbage, Chinese, raw</t>
  </si>
  <si>
    <t>Mustard greens, raw</t>
  </si>
  <si>
    <t>Cactus, raw</t>
  </si>
  <si>
    <t>Cantaloupe (muskmelon), raw</t>
  </si>
  <si>
    <t>Melons</t>
  </si>
  <si>
    <t>Carob powder or flour</t>
  </si>
  <si>
    <t>Carrot juice</t>
  </si>
  <si>
    <t>Carrots, raw</t>
  </si>
  <si>
    <t>Cashew nuts, dry roasted</t>
  </si>
  <si>
    <t>Cassava (yuca blanca), cooked, fat not added in cooking</t>
  </si>
  <si>
    <t>Cauliflower, raw</t>
  </si>
  <si>
    <t>Celery, raw</t>
  </si>
  <si>
    <t>Celery juice</t>
  </si>
  <si>
    <t>Cherries, sweet, raw (Queen Anne, Bing)</t>
  </si>
  <si>
    <t>Chestnuts, roasted</t>
  </si>
  <si>
    <t>Chicken skin</t>
  </si>
  <si>
    <t>Chicory</t>
  </si>
  <si>
    <t>Chives, raw</t>
  </si>
  <si>
    <t>Cilantro, raw</t>
  </si>
  <si>
    <t>Cocoa powder, not reconstituted (no dry milk)</t>
  </si>
  <si>
    <t>Coconut oil</t>
  </si>
  <si>
    <t>Coconut meat, fresh</t>
  </si>
  <si>
    <t>Coconut milk (liquid expressed from grated coconut meat, water added)</t>
  </si>
  <si>
    <t>Coconut meat, dried, sweetened</t>
  </si>
  <si>
    <t>Coffee, made from powdered instant, regular</t>
  </si>
  <si>
    <t>Coffee, made from ground, regular</t>
  </si>
  <si>
    <t>Collards, raw</t>
  </si>
  <si>
    <t>Corn oil</t>
  </si>
  <si>
    <t>SaladCookingOils</t>
  </si>
  <si>
    <t>Corn syrup, light or dark</t>
  </si>
  <si>
    <t>Corn, raw</t>
  </si>
  <si>
    <t>SweetCorn</t>
  </si>
  <si>
    <t>Popcorn, air-popped (no butter or no oil added)</t>
  </si>
  <si>
    <t>Cottonseed oil</t>
  </si>
  <si>
    <t>Cranberries, raw</t>
  </si>
  <si>
    <t>Cranberries, dried</t>
  </si>
  <si>
    <t>Cranberry juice, 100%, not a blend</t>
  </si>
  <si>
    <t>Cress, raw</t>
  </si>
  <si>
    <t>Cucumber, raw</t>
  </si>
  <si>
    <t>Cucumbers</t>
  </si>
  <si>
    <t>Currants, dried</t>
  </si>
  <si>
    <t>Dasheen, boiled</t>
  </si>
  <si>
    <t>Egg, white only, raw</t>
  </si>
  <si>
    <t>Egg, whole, raw</t>
  </si>
  <si>
    <t>Egg, yolk only, raw</t>
  </si>
  <si>
    <t>EggsNoShell</t>
  </si>
  <si>
    <t>Eggplant, raw</t>
  </si>
  <si>
    <t>Fennel bulb, raw</t>
  </si>
  <si>
    <t>Fig, raw</t>
  </si>
  <si>
    <t>Fig, dried, uncooked</t>
  </si>
  <si>
    <t>Flaxseed oil</t>
  </si>
  <si>
    <t>Flax seeds</t>
  </si>
  <si>
    <t>Garlic, raw</t>
  </si>
  <si>
    <t>Grapes, raw, NS as to type</t>
  </si>
  <si>
    <t>Grapefruit, raw</t>
  </si>
  <si>
    <t>Grapefruit juice, freshly squeezed</t>
  </si>
  <si>
    <t>OtherCitrusFruits</t>
  </si>
  <si>
    <t>Guava, raw</t>
  </si>
  <si>
    <t>TropicalFruits</t>
  </si>
  <si>
    <t>Filberts, hazelnuts</t>
  </si>
  <si>
    <t>Honeydew melon, raw</t>
  </si>
  <si>
    <t>Huckleberries, raw</t>
  </si>
  <si>
    <t>Kale, cooked, from fresh, fat not added in cooking</t>
  </si>
  <si>
    <t>Kiwi fruit, raw</t>
  </si>
  <si>
    <t>Kohlrabi, raw</t>
  </si>
  <si>
    <t>Kumquat, raw</t>
  </si>
  <si>
    <t>Leek, raw</t>
  </si>
  <si>
    <t>Lemon, raw</t>
  </si>
  <si>
    <t>Lemon juice, freshly squeezed</t>
  </si>
  <si>
    <t>Lentils, dry, cooked, fat not added in cooking</t>
  </si>
  <si>
    <t>Lime, raw</t>
  </si>
  <si>
    <t>Lime juice, freshly squeezed</t>
  </si>
  <si>
    <t>Lychee, raw</t>
  </si>
  <si>
    <t>Macadamia nuts, unroasted</t>
  </si>
  <si>
    <t>Mango, raw</t>
  </si>
  <si>
    <t>Mango nectar</t>
  </si>
  <si>
    <t>Maple syrup (100% maple)</t>
  </si>
  <si>
    <t>Sugar, maple</t>
  </si>
  <si>
    <t>Millet, cooked, fat not added in cooking</t>
  </si>
  <si>
    <t>Mulberries, raw</t>
  </si>
  <si>
    <t>Mushrooms, raw</t>
  </si>
  <si>
    <t>Nectarine, raw</t>
  </si>
  <si>
    <t>Oat bran, uncooked</t>
  </si>
  <si>
    <t>OatFlour</t>
  </si>
  <si>
    <t>Oats, raw</t>
  </si>
  <si>
    <t>Olives, NFS</t>
  </si>
  <si>
    <t>Onion, dehydrated</t>
  </si>
  <si>
    <t>Onions, mature, raw</t>
  </si>
  <si>
    <t>Onions, young green, raw</t>
  </si>
  <si>
    <t>Orange, raw</t>
  </si>
  <si>
    <t>Orange juice, freshly squeezed</t>
  </si>
  <si>
    <t>Orange peel</t>
  </si>
  <si>
    <t>OrangesFromJuice</t>
  </si>
  <si>
    <t>Palm hearts, cooked (assume fat not added in cooking)</t>
  </si>
  <si>
    <t>Papaya, raw</t>
  </si>
  <si>
    <t>Papaya juice</t>
  </si>
  <si>
    <t>Parsley, raw</t>
  </si>
  <si>
    <t>Parsnips, cooked, fat not added in cooking</t>
  </si>
  <si>
    <t>Passion fruit, raw</t>
  </si>
  <si>
    <t>Passion fruit juice</t>
  </si>
  <si>
    <t>Peas, green, raw</t>
  </si>
  <si>
    <t>GreenPeas</t>
  </si>
  <si>
    <t>Pigeon peas, cooked, from fresh, fat not added in cooking</t>
  </si>
  <si>
    <t>Peach, raw</t>
  </si>
  <si>
    <t>Peach, dried, uncooked</t>
  </si>
  <si>
    <t>Peach nectar</t>
  </si>
  <si>
    <t>Peanut oil</t>
  </si>
  <si>
    <t>Pepper, raw, NFS</t>
  </si>
  <si>
    <t>Peppers</t>
  </si>
  <si>
    <t>Persimmon, raw</t>
  </si>
  <si>
    <t>Pine nuts (Pignolias)</t>
  </si>
  <si>
    <t>Pineapple, raw</t>
  </si>
  <si>
    <t>Pistachio nuts</t>
  </si>
  <si>
    <t>Ripe plantain, raw</t>
  </si>
  <si>
    <t>Plantain chips</t>
  </si>
  <si>
    <t>Plum, raw</t>
  </si>
  <si>
    <t>Prune, dried, uncooked</t>
  </si>
  <si>
    <t>Pomegranate, raw</t>
  </si>
  <si>
    <t>Pomegranate juice</t>
  </si>
  <si>
    <t>White potato, chips</t>
  </si>
  <si>
    <t>White potato, raw, with or without peel (assume peel not eaten)</t>
  </si>
  <si>
    <t>Psyllium seed, husks</t>
  </si>
  <si>
    <t>Pumpkin and/or squash seeds, hulled, unroasted</t>
  </si>
  <si>
    <t>Rabbit, NS as to domestic or wild, cooked</t>
  </si>
  <si>
    <t>TotalMeat</t>
  </si>
  <si>
    <t>Radicchio, raw</t>
  </si>
  <si>
    <t>Rapeseed oil</t>
  </si>
  <si>
    <t>Raspberries, black, raw</t>
  </si>
  <si>
    <t>Rhubarb, raw</t>
  </si>
  <si>
    <t>Rice, brown, cooked, regular, fat not added in cooking</t>
  </si>
  <si>
    <t>RiceDried</t>
  </si>
  <si>
    <t>Rice, white, cooked, regular, fat not added in cooking</t>
  </si>
  <si>
    <t>Rutabaga, raw</t>
  </si>
  <si>
    <t>Safflower oil</t>
  </si>
  <si>
    <t>Seaweed, raw</t>
  </si>
  <si>
    <t>Sesame oil</t>
  </si>
  <si>
    <t>Sesame seeds, whole seed</t>
  </si>
  <si>
    <t>Sorghum syrup</t>
  </si>
  <si>
    <t>Soybean oil</t>
  </si>
  <si>
    <t>Milk, soy, ready-to-drink, not baby's</t>
  </si>
  <si>
    <t>Spinach, raw</t>
  </si>
  <si>
    <t>Squash, summer, yellow, raw</t>
  </si>
  <si>
    <t>Squash, winter type, raw</t>
  </si>
  <si>
    <t>Strawberries, raw</t>
  </si>
  <si>
    <t>Strawberry juice</t>
  </si>
  <si>
    <t>Sunflower oil</t>
  </si>
  <si>
    <t>Sunflower seeds, hulled, unroasted</t>
  </si>
  <si>
    <t>Chard, raw</t>
  </si>
  <si>
    <t>Tamarind, raw</t>
  </si>
  <si>
    <t>Tangerine, raw</t>
  </si>
  <si>
    <t>Tangerine juice, NFS</t>
  </si>
  <si>
    <t>Tannier, cooked</t>
  </si>
  <si>
    <t>Tea, powdered instant, unsweetened, dry</t>
  </si>
  <si>
    <t>Tea, leaf, unsweetened</t>
  </si>
  <si>
    <t>Tomatoes, raw</t>
  </si>
  <si>
    <t>Tomatoes, red, dried</t>
  </si>
  <si>
    <t>Turnip greens, cooked, from fresh, fat not added in cooking</t>
  </si>
  <si>
    <t>Turnip, raw</t>
  </si>
  <si>
    <t>Water, bottled, unsweetened</t>
  </si>
  <si>
    <t>Water, tap</t>
  </si>
  <si>
    <t>Watercress, raw</t>
  </si>
  <si>
    <t>Watermelon, raw</t>
  </si>
  <si>
    <t>Watermelon juice</t>
  </si>
  <si>
    <t>Wheat bran, unprocessed</t>
  </si>
  <si>
    <t>WheatFlour</t>
  </si>
  <si>
    <t>Wheat germ, plain</t>
  </si>
  <si>
    <t>Whole wheat, cracked</t>
  </si>
  <si>
    <t>Rice, wild, 100%, cooked, fat not added in cooking</t>
  </si>
  <si>
    <t>Jicama, raw</t>
  </si>
  <si>
    <t>x</t>
  </si>
  <si>
    <t>FCID_Code basis</t>
  </si>
  <si>
    <t>weight basis</t>
  </si>
  <si>
    <t>NHANES_Code</t>
  </si>
  <si>
    <t>NHANES_Desc</t>
  </si>
  <si>
    <t>Bananas, dehydrated</t>
  </si>
  <si>
    <t>FICRCD p45</t>
  </si>
  <si>
    <t>FICRCD p46</t>
  </si>
  <si>
    <t>FICRCD p47</t>
  </si>
  <si>
    <t>Soursop, with refuse</t>
  </si>
  <si>
    <t>FICRCD p48</t>
  </si>
  <si>
    <t>Barley, pearled, uncooked</t>
  </si>
  <si>
    <t>Grains</t>
  </si>
  <si>
    <t>grains</t>
  </si>
  <si>
    <t>Oats, regular and quick and instant, uncooked</t>
  </si>
  <si>
    <t>FICRCD p50</t>
  </si>
  <si>
    <t>Peanuts, raw, without shell</t>
  </si>
  <si>
    <t>FICRCD p51</t>
  </si>
  <si>
    <t>Balsam-pear (bitter gourd), pods, with refuse</t>
  </si>
  <si>
    <t>Bamboo shoots, with refuse</t>
  </si>
  <si>
    <t>Beans, snap, green, with refuse</t>
  </si>
  <si>
    <t>Black beans, uncooked</t>
  </si>
  <si>
    <t>Breadfruit, with refuse</t>
  </si>
  <si>
    <t>Broadbeans (fava beans), uncooked</t>
  </si>
  <si>
    <t>Broccoli, with refuse</t>
  </si>
  <si>
    <t>FICRCD p52</t>
  </si>
  <si>
    <t>Chickpeas (garbanzo beans, bengal gram), uncooked</t>
  </si>
  <si>
    <t>Dandelion greens, with refuse</t>
  </si>
  <si>
    <t>Endive, with refuse</t>
  </si>
  <si>
    <t>FICRCD p53</t>
  </si>
  <si>
    <t>Okra, with refuse</t>
  </si>
  <si>
    <t>Peas, edible-podded, with refuse</t>
  </si>
  <si>
    <t>Pinto beans, uncooked</t>
  </si>
  <si>
    <t>FICRCD p54</t>
  </si>
  <si>
    <t>Potatoes, with refuse</t>
  </si>
  <si>
    <t>FICRCD</t>
  </si>
  <si>
    <t>Pumpkin, with refuse</t>
  </si>
  <si>
    <t>Radishes, with refuse</t>
  </si>
  <si>
    <t>Soy flour</t>
  </si>
  <si>
    <t>Sweetpotato, with refuse</t>
  </si>
  <si>
    <t>FICRCD p55</t>
  </si>
  <si>
    <t>Yam, with refuse</t>
  </si>
  <si>
    <t>Waxgourd, (chinese preserving melon), with refuse</t>
  </si>
  <si>
    <t>MCF</t>
  </si>
  <si>
    <t>Source</t>
  </si>
  <si>
    <t>ENVI</t>
  </si>
  <si>
    <t>LAFA</t>
  </si>
  <si>
    <t>AgHB</t>
  </si>
  <si>
    <t>NNDSR28</t>
  </si>
  <si>
    <t>Beef, dried, chipped, uncooked</t>
  </si>
  <si>
    <t>Raisins, golden seedless</t>
  </si>
  <si>
    <t>Waterchestnuts, chinese (matai), with refuse</t>
  </si>
  <si>
    <t>Lettuce, iceberg, with refuse</t>
  </si>
  <si>
    <t>Lettuce, green leaf with refuse</t>
  </si>
  <si>
    <t>averaged banana (1.22), poblano (1.22), serrano (1.03), hot chili (1.56)</t>
  </si>
  <si>
    <t>cassava</t>
  </si>
  <si>
    <t>beef</t>
  </si>
  <si>
    <t>pumpkin</t>
  </si>
  <si>
    <t>rice, brown</t>
  </si>
  <si>
    <t>celery</t>
  </si>
  <si>
    <t>cherry</t>
  </si>
  <si>
    <t>plum, juice</t>
  </si>
  <si>
    <t>grapefruit</t>
  </si>
  <si>
    <t>tangelo</t>
  </si>
  <si>
    <t>average of romaine, green leaf and red leaf</t>
  </si>
  <si>
    <t>apple, juice</t>
  </si>
  <si>
    <t>maple syrup = 32.39% H2O, maple sugar = 8% h2o</t>
  </si>
  <si>
    <t>pit = 14%</t>
  </si>
  <si>
    <t>LCA data refer directly to shelled peas</t>
  </si>
  <si>
    <t>LCA data refers directly to shelled nuts</t>
  </si>
  <si>
    <t>assuming LCA data refers directly to shelled nuts.</t>
  </si>
  <si>
    <t>Coffee, brewed</t>
  </si>
  <si>
    <t>extracting impact per kg roasted bean. 6.5g roasted bean/cup. Capturing impacts only through roasting and grinding</t>
  </si>
  <si>
    <t>extracting impact per kg roasted bean.  7g coffee/cup.</t>
  </si>
  <si>
    <t>extracting impact per kg instant coffee.  2 g powder/cup</t>
  </si>
  <si>
    <t>Darjeeling Tea, organic production</t>
  </si>
  <si>
    <t>Darjeeling Tea, conventional production</t>
  </si>
  <si>
    <t>extracting impact per kg dry tea leaves. 1.75g tea/cup.  Cultivation &amp; processing only</t>
  </si>
  <si>
    <t>conversion factor source</t>
  </si>
  <si>
    <t>blackberry, juice</t>
  </si>
  <si>
    <t>orange</t>
  </si>
  <si>
    <t>papaya</t>
  </si>
  <si>
    <t>peach</t>
  </si>
  <si>
    <t>Carbonated drinks</t>
  </si>
  <si>
    <t>bottled</t>
  </si>
  <si>
    <t>Coca-Cola, 330 mL aluminum can</t>
  </si>
  <si>
    <t>Coca-Cola, 330 mL glass bottle</t>
  </si>
  <si>
    <t>Coca-Cola, 2 L plastic bottle</t>
  </si>
  <si>
    <t>Diet Coke, 330 mL aluminum can</t>
  </si>
  <si>
    <t>Diet Coke, 330 mL glass bottle</t>
  </si>
  <si>
    <t>Diet Coke, 2 L plastic bottle</t>
  </si>
  <si>
    <t>Coke Zero, 330 mL aluminum can</t>
  </si>
  <si>
    <t>Coke Zero, 330 mL glass bottle</t>
  </si>
  <si>
    <t>Coke Zero, 2 L plastic bottle</t>
  </si>
  <si>
    <t>Oasis, 375 mL glass bottle</t>
  </si>
  <si>
    <t>Coca-Cola Great Britian</t>
  </si>
  <si>
    <t>beer</t>
  </si>
  <si>
    <t>draft</t>
  </si>
  <si>
    <t>glass bottle</t>
  </si>
  <si>
    <t>Henrik Saxe</t>
  </si>
  <si>
    <t>Institute of Food and Resource Economics, Copenhagen</t>
  </si>
  <si>
    <t>g per litre beer</t>
  </si>
  <si>
    <t>/1000/1.05 (assumed density of beer in kg/L)</t>
  </si>
  <si>
    <t>ave bottles &amp; cans</t>
  </si>
  <si>
    <t>includes refrigeration in use phase</t>
  </si>
  <si>
    <t>New Belgium Fat Tire in 6 pack bottles</t>
  </si>
  <si>
    <t>g per 6 pack</t>
  </si>
  <si>
    <t>/1000/72 oz.(=2.129 L)/1.05</t>
  </si>
  <si>
    <t>The Climate Conservancy</t>
  </si>
  <si>
    <t>bottles</t>
  </si>
  <si>
    <t>European format, 33cL bottle</t>
  </si>
  <si>
    <t>North American format, 255mL can</t>
  </si>
  <si>
    <t>Beverage Industry Environmental Roundtable</t>
  </si>
  <si>
    <t>g per L</t>
  </si>
  <si>
    <t>0.33 L glass bottle</t>
  </si>
  <si>
    <t>0.44 L aluminum can</t>
  </si>
  <si>
    <t>0.44 L steel can</t>
  </si>
  <si>
    <t>David Amienyo1 &amp; Adisa Azapagic1</t>
  </si>
  <si>
    <t>School of Chemical Engineering and Analytical Science, The University of Manchester, Room C16, The Mill, Sackville Street, M13 9PL Manchester, UK</t>
  </si>
  <si>
    <t>liquor</t>
  </si>
  <si>
    <t>column distillation, high proof North American whiskey</t>
  </si>
  <si>
    <t>g/750mL bottle</t>
  </si>
  <si>
    <t>/1000/.750/0.94 (assumed density, kg/L)</t>
  </si>
  <si>
    <t>/1000/1.01 (assumed density of beer in kg/L)</t>
  </si>
  <si>
    <t>pot distillation, high proof North American whiskey</t>
  </si>
  <si>
    <t>Scotch whisky</t>
  </si>
  <si>
    <t>Scotland</t>
  </si>
  <si>
    <t>g/L</t>
  </si>
  <si>
    <t>Loijos, A.</t>
  </si>
  <si>
    <t>Cradle to Refinery</t>
  </si>
  <si>
    <t>serving size (14 g oil)</t>
  </si>
  <si>
    <t>reported value / 14</t>
  </si>
  <si>
    <t>World</t>
  </si>
  <si>
    <t>Schmidt, J. H.</t>
  </si>
  <si>
    <t>Dalgaard, R., J. Schmidt, N. Halberg, P.Christensen, M. Thrane, W. A. Pengue.</t>
  </si>
  <si>
    <t>1 tonne oil</t>
  </si>
  <si>
    <t>kg soybean meal</t>
  </si>
  <si>
    <t>paper converts to kg oil, no adjustment necessary</t>
  </si>
  <si>
    <t>(From Barilla Data)</t>
  </si>
  <si>
    <t>IPCC 2007 (From Barilla Data)</t>
  </si>
  <si>
    <t>EDIP 97, (From Barilla Data), is the average of economic and mass based allocation methods</t>
  </si>
  <si>
    <t>Beverages Total</t>
  </si>
  <si>
    <t>Cereals and Grains Total</t>
  </si>
  <si>
    <t>Dairy Total</t>
  </si>
  <si>
    <t>Eggs Total</t>
  </si>
  <si>
    <t>Fish and Seafood Total</t>
  </si>
  <si>
    <t>Fruit Total</t>
  </si>
  <si>
    <t>Legumes and Nuts Total</t>
  </si>
  <si>
    <t>Meat Total</t>
  </si>
  <si>
    <t>Meat Substitutes Total</t>
  </si>
  <si>
    <t>Oils and Fats Total</t>
  </si>
  <si>
    <t>Other Total</t>
  </si>
  <si>
    <t>Sweeteners Total</t>
  </si>
  <si>
    <t>Vegetables Total</t>
  </si>
  <si>
    <t>NFC Orange juic</t>
  </si>
  <si>
    <t>Fluid Milk, cow</t>
  </si>
  <si>
    <t>Potatoes, mashed</t>
  </si>
  <si>
    <t>65% moisture</t>
  </si>
  <si>
    <t>59.8% moisture</t>
  </si>
  <si>
    <t>63.1% moisture</t>
  </si>
  <si>
    <t>64.1% moisture</t>
  </si>
  <si>
    <t>70.8% moisture</t>
  </si>
  <si>
    <t>1 kJ of nutritional energy</t>
  </si>
  <si>
    <t>edible boneless weight = 0.729*carcass weight</t>
  </si>
  <si>
    <t>1 kg deboned pig meat</t>
  </si>
  <si>
    <t>boneless = 77%*carcass (Sonesson, 2010)</t>
  </si>
  <si>
    <t>reported value/1000 boneless = 77%*carcass (Sonesson, 2010)</t>
  </si>
  <si>
    <t>/.31 ~31% meat yield, from DOI:10.1021/jf900237g</t>
  </si>
  <si>
    <t>Soymilk</t>
  </si>
  <si>
    <t>CED,Ag Production (MJ/kg)</t>
  </si>
  <si>
    <t>GHGE, Ag Production (kg CO2e/kg)</t>
  </si>
  <si>
    <t>Energy (MJ)</t>
  </si>
  <si>
    <t>GHG (kgCO2eq)</t>
  </si>
  <si>
    <t>Hops</t>
  </si>
  <si>
    <t>(blank)</t>
  </si>
  <si>
    <t>(blank) Total</t>
  </si>
  <si>
    <t>PROXY?</t>
  </si>
  <si>
    <t>Audsley, E.; Brander, M.; Chatterton, J.; Murphy-Bokern, D.; Webster, C.; Williams, A.</t>
  </si>
  <si>
    <t>Cranfield University, UK</t>
  </si>
  <si>
    <t>2010</t>
  </si>
  <si>
    <t>RoE</t>
  </si>
  <si>
    <t>RoW</t>
  </si>
  <si>
    <t>assignment stage</t>
  </si>
  <si>
    <t>at oil refinery gate</t>
  </si>
  <si>
    <t>Ecoinvent 3 process: (Cottonseed oil, refined {US}| cottonseed oil refinery operation | Alloc Def, U)</t>
  </si>
  <si>
    <t>AU</t>
  </si>
  <si>
    <t>CZ</t>
  </si>
  <si>
    <t>DE</t>
  </si>
  <si>
    <t>ES</t>
  </si>
  <si>
    <t>FR</t>
  </si>
  <si>
    <t>IT</t>
  </si>
  <si>
    <t>RO</t>
  </si>
  <si>
    <t>SE</t>
  </si>
  <si>
    <t>AR</t>
  </si>
  <si>
    <t>BG</t>
  </si>
  <si>
    <t>CN</t>
  </si>
  <si>
    <t>GR</t>
  </si>
  <si>
    <t>HU</t>
  </si>
  <si>
    <t>UA</t>
  </si>
  <si>
    <t>Agrifootprint processes: Pea, at farm/XX Mass</t>
  </si>
  <si>
    <t>Agrifootprint processes: Sunflower seed, at farm/XX Mass</t>
  </si>
  <si>
    <t>ID</t>
  </si>
  <si>
    <t>PH</t>
  </si>
  <si>
    <t>TH</t>
  </si>
  <si>
    <t>Agrifootprint process: Coconut, at farm/XX Mass, assuming meat is 48% of whole coconut weight</t>
  </si>
  <si>
    <t>Agrifootprint process: White rice, from dry milling, at plant/CN Mass</t>
  </si>
  <si>
    <t>Rice, White</t>
  </si>
  <si>
    <t>at milling plant</t>
  </si>
  <si>
    <t>Agrifootprint process: Maize flour, from dry milling, at plant/US Mass</t>
  </si>
  <si>
    <t>Agrifootprint process: Spinach, at farm/BE Mass</t>
  </si>
  <si>
    <t>Agrifootprint process: Spinach, at farm/NL Mass</t>
  </si>
  <si>
    <t>BE</t>
  </si>
  <si>
    <t>NL</t>
  </si>
  <si>
    <t>Agrifootprint process: Oat grain peeled, from dry milling, at plant/BE Mass + average(difference between 3 fry flour and rye grain processes)</t>
  </si>
  <si>
    <t>Agrifootprint process: Oat grain peeled, from dry milling, at plant/NL Mass + average(difference between 3 fry flour and rye grain processes)</t>
  </si>
  <si>
    <t>clover, seed</t>
  </si>
  <si>
    <t>from LCA FOOD DK dataset (used as proxy for alfalfa seed)</t>
  </si>
  <si>
    <t>DK</t>
  </si>
  <si>
    <t>Ecoinvent 3 process: Melon {GLO}| production | Alloc Def, S</t>
  </si>
  <si>
    <t>Agrifootprint process: Broad bean, at farm/FR Mass</t>
  </si>
  <si>
    <t>Agrifootprint process: Broad bean, at farm/AU Mass</t>
  </si>
  <si>
    <r>
      <t>Alejandro D. González</t>
    </r>
    <r>
      <rPr>
        <sz val="12"/>
        <color rgb="FF000000"/>
        <rFont val="Calibri"/>
        <family val="2"/>
      </rPr>
      <t>, Björn Frostell, Annika Carlsson-Kanyama</t>
    </r>
  </si>
  <si>
    <t>Ecoinvent 3 process: Kiwi {GLO}| production | Alloc Def, S</t>
  </si>
  <si>
    <t>"overseas"</t>
  </si>
  <si>
    <t>Annika Carlsson-Kanyam, Marianne Pipping Ekstrom, Helena Shanahan</t>
  </si>
  <si>
    <t>Ecoinvent 3 process: Green asparagus {GLO}| production | Alloc Def, S</t>
  </si>
  <si>
    <t>Ecoinvent 3 process: White asparagus {CN}| white asparagus production | Alloc Def, S</t>
  </si>
  <si>
    <t>Ecoinvent 3 process: White asparagus {FR}| white asparagus production | Alloc Def, S</t>
  </si>
  <si>
    <t>Ecoinvent 3 process: White asparagus {PE}| white asparagus production | Alloc Def, S</t>
  </si>
  <si>
    <t>PE</t>
  </si>
  <si>
    <t>Agrifootprint process: Groundnuts, with shell, at farm/US Mass</t>
  </si>
  <si>
    <t>Agrifootprint process: Broccoli, at farm/FR Mass</t>
  </si>
  <si>
    <t>Agrifootprint process: Broccoli, at farm/NL Mass</t>
  </si>
  <si>
    <t>Agrifootprint process: Cauliflower, at farm/ES Mass</t>
  </si>
  <si>
    <t>Agrifootprint process: Cauliflower, at farm/NL Mass</t>
  </si>
  <si>
    <t>Agrifootprint process: Curly kale, at farm/ES Mass</t>
  </si>
  <si>
    <t>Agrifootprint process: Curly kale, at farm/NL Mass</t>
  </si>
  <si>
    <t>Agrifootprint process: Refined rapeseed oil, from crushing (solvent), at plant/US Mass</t>
  </si>
  <si>
    <t>Ecoinvent 3 process: Zucchini {GLO}| production | Alloc Def, S</t>
  </si>
  <si>
    <t>Agrifootprint process: Oat grain peeled, from dry milling, at plant/BE Mass</t>
  </si>
  <si>
    <t>Agrifootprint process: Oat grain peeled, from dry milling, at plant/NL Mass</t>
  </si>
  <si>
    <t>Uruguay</t>
  </si>
  <si>
    <t>pork</t>
  </si>
  <si>
    <t>1 kg dry beans</t>
  </si>
  <si>
    <t>meat</t>
  </si>
  <si>
    <t>1 kg dry grain</t>
  </si>
  <si>
    <t>squash, winter</t>
  </si>
  <si>
    <t>Holland</t>
  </si>
  <si>
    <t>Eocinvent 2 process: Banana {CR}| banana production | Alloc Def, S</t>
  </si>
  <si>
    <t>Eocinvent 2 process: Banana {EC}| banana production | Alloc Def, S</t>
  </si>
  <si>
    <t>Eocinvent 2 process: Banana {IN}| banana production | Alloc Def, S</t>
  </si>
  <si>
    <t>Eocinvent 2 process: Banana {RoW}| banana production | Alloc Def, S</t>
  </si>
  <si>
    <t>CR</t>
  </si>
  <si>
    <t>EC</t>
  </si>
  <si>
    <t>IN</t>
  </si>
  <si>
    <t>potato, flour</t>
  </si>
  <si>
    <t>Agrifootprint process: Potato starch dried, from wet milling, at plant/DE Mass</t>
  </si>
  <si>
    <t>Agrifootprint process: Potato starch dried, from wet milling, at plant/NL Mass</t>
  </si>
  <si>
    <t>Ecoinvent 3 process: Celery {GLO}| 675 production | Alloc Def, S</t>
  </si>
  <si>
    <t>Ecoinvent 3 process: Iceberg lettuce {GLO}| production | Alloc Def, S</t>
  </si>
  <si>
    <t>lettuce, head</t>
  </si>
  <si>
    <t>Ecoinvent 3: Soybean beverage {CA-QC}| production | Alloc Def, S</t>
  </si>
  <si>
    <t>CA-QC</t>
  </si>
  <si>
    <t>Ecoinvent 3: Soybean beverage {RoW}| production | Alloc Def, S</t>
  </si>
  <si>
    <t>The Climate Conservancy. 2008. The Carbon Footprint of Fat Tire® Amber Ale. http://www.newbelgium.com/files/shared/tinkerer/the-carbon-footprint-of-fat-tire-amber-ale-2008-public-dist-rfs.pdf.</t>
  </si>
  <si>
    <t>hops</t>
  </si>
  <si>
    <t>beet, sugar</t>
  </si>
  <si>
    <t>Thomas Nemecek, Karin Weiler, Katharina Plassmann, Julian Schnetzer</t>
  </si>
  <si>
    <t>reporting weighted mean values</t>
  </si>
  <si>
    <t>without deforestation impacts</t>
  </si>
  <si>
    <t>hazelnut</t>
  </si>
  <si>
    <t>Argifootprint process: Lentil, at farm/CA Mass</t>
  </si>
  <si>
    <t>CA</t>
  </si>
  <si>
    <t>Argifootprint process: Lentil, at farm/AU Mass</t>
  </si>
  <si>
    <t>Agrifootprint process: Beans, dry, at farm/US Mass</t>
  </si>
  <si>
    <t>Agrifootprint process: Chickpea, at farm/US Mass</t>
  </si>
  <si>
    <t>Agrifootprint process: Soybean, at farm/US Mass</t>
  </si>
  <si>
    <t>Agrifootprint process: Sugar, from sugar cane, from sugar production, at plant/US Mass</t>
  </si>
  <si>
    <t>Agrifootprint process:Sugar cane molasses, from sugar production, at plant/US Mass</t>
  </si>
  <si>
    <t>Agrifootprint process: Refined soybean oil, from crushing (solvent), at plant/US Mass</t>
  </si>
  <si>
    <t>soybean, oil</t>
  </si>
  <si>
    <t>soybean, meal</t>
  </si>
  <si>
    <t>Ecoinvent 3 process: Soybean meal {US}| soybean meal and crude oil production | Alloc Def, S</t>
  </si>
  <si>
    <t>Ecoinvent 3 process: Sweet corn {US}| sweet corn production | Alloc Def, S</t>
  </si>
  <si>
    <t>Ecoinvent 3 process: Sweet corn {HU}| sweet corn production | Alloc Def, S</t>
  </si>
  <si>
    <t>Ecoinvent 3 process: Sweet corn {RoW}| sweet corn production | Alloc Def, S</t>
  </si>
  <si>
    <t>Ecoinvent 3 process: Sweet corn {TH}| sweet corn production | Alloc Def, S</t>
  </si>
  <si>
    <t>World Food LCA Database: Peanut oil, at oil mill (WFLDB 3.1)/GLO U</t>
  </si>
  <si>
    <t>Ecoinvent 3 (WFLDB) process: Onion {IN}| onion production | Alloc Def, S</t>
  </si>
  <si>
    <t>Ecoinvent 3 (WFLDB) process: Onion {NL}| onion production | Alloc Def, S</t>
  </si>
  <si>
    <t>Ecoinvent 3 (WFLDB) process: Onion {NZ}| onion production | Alloc Def, S</t>
  </si>
  <si>
    <t>Ecoinvent 3 (WFLDB) process: Onion {RoW}| onion production | Alloc Def, S</t>
  </si>
  <si>
    <t>beet, sugar, molasses</t>
  </si>
  <si>
    <t>Agrifootprint process: Sugar, from sugar beet, from sugar production, at Suiker Unie plants/NL Mass</t>
  </si>
  <si>
    <t>Agrifootprint process: Sugar, from sugar beet, from sugar production, at plant/PL Mass</t>
  </si>
  <si>
    <t>Agrifootprint process: Sugar, from sugar beet, from sugar production, at plant/FR Mass</t>
  </si>
  <si>
    <t>Agrifootprint process: Sugar, from sugar beet, from sugar production, at plant/DE Mass</t>
  </si>
  <si>
    <t>Agrifootprint process: Sugar beet molasses, from sugar production, at Suiker Unie plants/NL Mass</t>
  </si>
  <si>
    <t>Agrifootprint process: Sugar beet molasses, from sugar production, at plant/PL Mass</t>
  </si>
  <si>
    <t>Agrifootprint process: Sugar beet molasses, from sugar production, at plant/FR Mass</t>
  </si>
  <si>
    <t>Agrifootprint process: Sugar beet molasses, from sugar production, at plant/DE Mass</t>
  </si>
  <si>
    <t>Agrifootprint process: Cassava, at farm/TH Mass</t>
  </si>
  <si>
    <t>chicory, roots</t>
  </si>
  <si>
    <t>Agrifootprint process: Chicory root, at farm/BE Mass</t>
  </si>
  <si>
    <t>Agrifootprint process: Chicory root, at farm/NL Mass</t>
  </si>
  <si>
    <t>Agrifootprint process: Refined coconut oil, at plant/ID Mass</t>
  </si>
  <si>
    <t>Agrifootprint process: Refined coconut oil, at plant/IN Mass</t>
  </si>
  <si>
    <t>Agrifootprint process: Refined coconut oil, at plant/PH Mass</t>
  </si>
  <si>
    <t>Ecoinvent 3 (WFLDB) process: Onion {CN}| onion production | Alloc Def, S</t>
  </si>
  <si>
    <t>NZ</t>
  </si>
  <si>
    <t>PL</t>
  </si>
  <si>
    <t>Agrifootprint process: Refined maize germ oil, (pressing), at plant/US Mass</t>
  </si>
  <si>
    <t>Agrifootprint process: Refined maize germ oil, (solvent), at plant/US Mass</t>
  </si>
  <si>
    <t>Agrifootprint process: Refined palm kernel oil, at plant/ID Mass</t>
  </si>
  <si>
    <t>Agrifootprint process: Refined palm kernel oil, at plant/MY Mass</t>
  </si>
  <si>
    <t>Agrifootprint process: Refined palm oil, at plant/NL Mass</t>
  </si>
  <si>
    <t>Agrifootprint process: Pigeon pea, at farm/IN Mass</t>
  </si>
  <si>
    <t>Agrifootprint process: Rice bran, from dry milling, raw, at plant/CN Mass</t>
  </si>
  <si>
    <t>Agrifootprint process: Rye flour, from dry milling, at plant/BE Mass</t>
  </si>
  <si>
    <t>Agrifootprint process: Rye flour, from dry milling, at plant/DE Mass</t>
  </si>
  <si>
    <t>Agrifootprint process: Rye flour, from dry milling, at plant/NL Mass</t>
  </si>
  <si>
    <t>Agrifootprint process: Rye grain, dried, at farm/AT Mass</t>
  </si>
  <si>
    <t>Agrifootprint process: Rye grain, dried, at farm/BE Mass</t>
  </si>
  <si>
    <t>Agrifootprint process: Rye grain, dried, at farm/BG Mass</t>
  </si>
  <si>
    <t>Agrifootprint process: Rye grain, dried, at farm/CZ Mass</t>
  </si>
  <si>
    <t>Agrifootprint process: Rye grain, dried, at farm/DE Mass</t>
  </si>
  <si>
    <t>Agrifootprint process: Rye grain, dried, at farm/DK Mass</t>
  </si>
  <si>
    <t>Agrifootprint process: Rye grain, dried, at farm/EE Mass</t>
  </si>
  <si>
    <t>Agrifootprint process: Rye grain, dried, at farm/ES Mass</t>
  </si>
  <si>
    <t>Agrifootprint process: Rye grain, dried, at farm/FI Mass</t>
  </si>
  <si>
    <t>Agrifootprint process: Rye grain, dried, at farm/FR Mass</t>
  </si>
  <si>
    <t>Agrifootprint process: Rye grain, dried, at farm/GR Mass</t>
  </si>
  <si>
    <t>Agrifootprint process: Rye grain, dried, at farm/HU Mass</t>
  </si>
  <si>
    <t>Agrifootprint process: Rye grain, dried, at farm/IT Mass</t>
  </si>
  <si>
    <t>Agrifootprint process: Rye grain, dried, at farm/LT Mass</t>
  </si>
  <si>
    <t>Agrifootprint process: Rye grain, dried, at farm/LV Mass</t>
  </si>
  <si>
    <t>Agrifootprint process: Rye grain, dried, at farm/NO Mass</t>
  </si>
  <si>
    <t>Agrifootprint process: Rye grain, dried, at farm/PL Mass</t>
  </si>
  <si>
    <t>Agrifootprint process: Rye grain, dried, at farm/PT Mass</t>
  </si>
  <si>
    <t>Agrifootprint process: Rye grain, dried, at farm/SE Mass</t>
  </si>
  <si>
    <t>Agrifootprint process: Rye grain, dried, at farm/SK Mass</t>
  </si>
  <si>
    <t>Agrifootprint process: Wheat flour, from dry milling, at plant/BE Mass</t>
  </si>
  <si>
    <t>Agrifootprint process: Wheat flour, from dry milling, at plant/DE Mass</t>
  </si>
  <si>
    <t>Agrifootprint process: Wheat flour, from dry milling, at plant/NL Mass</t>
  </si>
  <si>
    <t>MY</t>
  </si>
  <si>
    <t>AT</t>
  </si>
  <si>
    <t>EE</t>
  </si>
  <si>
    <t>FI</t>
  </si>
  <si>
    <t>LT</t>
  </si>
  <si>
    <t>LV</t>
  </si>
  <si>
    <t>NO</t>
  </si>
  <si>
    <t>PT</t>
  </si>
  <si>
    <t>SK</t>
  </si>
  <si>
    <t>Ecoinvent process: Papaya {GLO}| production | Alloc Def, S</t>
  </si>
  <si>
    <t>Ecoinvent process: Cocoa bean {CI}| cocoa bean production, sun-dried | Alloc Def, S</t>
  </si>
  <si>
    <t>Ecoinvent process: Cocoa bean {GH}| cocoa bean production, sun-dried | Alloc Def, S</t>
  </si>
  <si>
    <t>Ecoinvent process: Cocoa bean {ID}| cocoa bean production, sun-dried | Alloc Def, S</t>
  </si>
  <si>
    <t>Ecoinvent process: Cocoa bean {RoW}| cocoa bean production, sun-dried | Alloc Def, S</t>
  </si>
  <si>
    <t>WFLDB: Cocoa powder, at plant (WFLDB 3.1)/RAS U</t>
  </si>
  <si>
    <t>WFLDB: Cocoa powder, at plant (WFLDB 3.1)/RER U</t>
  </si>
  <si>
    <t>WFLDB: Cocoa powder, at plant (WFLDB 3.1)/RNA U</t>
  </si>
  <si>
    <t>Cocoa bean, Powder</t>
  </si>
  <si>
    <t>Cocoa Bean, Chocolate</t>
  </si>
  <si>
    <t>Coffee, Instant</t>
  </si>
  <si>
    <t>corn, field, starch</t>
  </si>
  <si>
    <t>Agrifootprint process: Maize starch, from wet milling (starch drying), at plant/US Mass</t>
  </si>
  <si>
    <t>Fish-Freshwater Finfish</t>
  </si>
  <si>
    <t>Fish-Freshwater Finfish, Farm Raised</t>
  </si>
  <si>
    <t>Fish-Saltwater Finfish, Other</t>
  </si>
  <si>
    <t>Fish-Saltwater Finfish, Tuna</t>
  </si>
  <si>
    <t>Fish-Shellfish, Crustacean</t>
  </si>
  <si>
    <t>Fish-Shellfish, Mollusc</t>
  </si>
  <si>
    <t>Potato, Flour</t>
  </si>
  <si>
    <t>Grape, Raisin</t>
  </si>
  <si>
    <t>Guar, Seed</t>
  </si>
  <si>
    <t>Orange, Juice</t>
  </si>
  <si>
    <t>Lemon, Juice, concentrate</t>
  </si>
  <si>
    <t>Orange, Juice,  concentrate</t>
  </si>
  <si>
    <t>Peanut, Oil</t>
  </si>
  <si>
    <t>rice, white</t>
  </si>
  <si>
    <t>Saithe, frozen</t>
  </si>
  <si>
    <t>herring, frozen</t>
  </si>
  <si>
    <t xml:space="preserve">herring, canned </t>
  </si>
  <si>
    <t>soybean, seed</t>
  </si>
  <si>
    <t>Tomato, chopped</t>
  </si>
  <si>
    <t>Tomato, peeled</t>
  </si>
  <si>
    <t>CI</t>
  </si>
  <si>
    <t>GH</t>
  </si>
  <si>
    <t>RAS</t>
  </si>
  <si>
    <t>RER</t>
  </si>
  <si>
    <t>RNA</t>
  </si>
  <si>
    <t>CED,Transport Farm to Processing (MJ/kg)</t>
  </si>
  <si>
    <t>CED,Processing (MJ/kg)</t>
  </si>
  <si>
    <t>CED,Packaging (MJ/kg)</t>
  </si>
  <si>
    <t>CED, Distibribution (MJ/kg)</t>
  </si>
  <si>
    <t>CED, Retail Stages (MJ/kg)</t>
  </si>
  <si>
    <t>CED,Consumer Stages (MJ/kg)</t>
  </si>
  <si>
    <t>CED, End of Life (MJ/kg)</t>
  </si>
  <si>
    <t>CED,Capital Goods (MJ/kg)</t>
  </si>
  <si>
    <t>GHGE, Transport Farm to Processing (kg CO2e/kg)</t>
  </si>
  <si>
    <t>GHGE, Processing (kg CO2e/kg)</t>
  </si>
  <si>
    <t>GHGE, Packaging (kg CO2e/kg)</t>
  </si>
  <si>
    <t>GHGE, Distribution (kg CO2e/kg)</t>
  </si>
  <si>
    <t>GHGE, Retail Stages (kg CO2e/kg)</t>
  </si>
  <si>
    <t>GHGE, Consumer Stages (kg CO2e/kg)</t>
  </si>
  <si>
    <t>GHGE, End of Life (kg CO2e/kg)</t>
  </si>
  <si>
    <t>GHGE, Capital Goods (kg CO2e/kg)</t>
  </si>
  <si>
    <t>NOTES</t>
  </si>
  <si>
    <t>Only Ag Prod and Capital Goods Reported, not Full LC</t>
  </si>
  <si>
    <t>No Ag Prod Data in Report</t>
  </si>
  <si>
    <t>Only Ag Prod and Packaging included in Report</t>
  </si>
  <si>
    <t>GHG Values not reported</t>
  </si>
  <si>
    <t>Joachim Boissy, Joël Aubin ⁎, Abdeljalil Drissi, Hayo M.G. van der Werf, Gordon J. Bell, Sadasivam J. Kaushik</t>
  </si>
  <si>
    <t>rainbow trout, standard feed diet</t>
  </si>
  <si>
    <t>INRA UMR SAS</t>
  </si>
  <si>
    <t>rainbow trout,flow through system, low fishery diet</t>
  </si>
  <si>
    <t>/0.65</t>
  </si>
  <si>
    <t>farm gate</t>
  </si>
  <si>
    <r>
      <t>B. Samuel-Fitwi</t>
    </r>
    <r>
      <rPr>
        <sz val="12"/>
        <color rgb="FF000000"/>
        <rFont val="Calibri"/>
        <family val="2"/>
      </rPr>
      <t>, F. Nagela, S. Meyera, J.P. Schroedera, C. Schulz</t>
    </r>
  </si>
  <si>
    <t>Gesellschaft für Marine Aquakultur (GMA) mbH, 25761 Büsum, Germany; Christian Albrecht Universitaet zu Kiel, 24098 Kiel, Germany</t>
  </si>
  <si>
    <t>rainbow trout, extensive flow through system</t>
  </si>
  <si>
    <t>rainbow trout, intensive flow through system</t>
  </si>
  <si>
    <t>common carp, tench, roach, perch, sander &amp; pike; extensive pond</t>
  </si>
  <si>
    <t>common carp, tench, roach, perch, sander &amp; pike; semi-extensive pond</t>
  </si>
  <si>
    <t>atlantic salmon, recirculating system</t>
  </si>
  <si>
    <t>Aurélie Wilfart, Jehane Prudhomme, Jean-Paul Blancheton, Joël Aubin</t>
  </si>
  <si>
    <t>INRA, UMR1069, Sol Agro et hydrosystème Spatialisation, 65 rue de Saint Brieuc, CS 84215, F-35042 Rennes, France</t>
  </si>
  <si>
    <t>/.72</t>
  </si>
  <si>
    <t>/.54</t>
  </si>
  <si>
    <t>tilapia, semi-intensive pond system</t>
  </si>
  <si>
    <t>tilapia, intensive pond system</t>
  </si>
  <si>
    <t>Egypt</t>
  </si>
  <si>
    <t>Dalia M. M. Yacout, Naglaa F. Soliman, M. M. Yacout</t>
  </si>
  <si>
    <t>Alexandria University, Alexandria, Egypt</t>
  </si>
  <si>
    <t>/.37</t>
  </si>
  <si>
    <t>turbot, recirculating system</t>
  </si>
  <si>
    <r>
      <t>J. Aubin</t>
    </r>
    <r>
      <rPr>
        <sz val="12"/>
        <color rgb="FF000000"/>
        <rFont val="Calibri"/>
        <family val="2"/>
      </rPr>
      <t>, E. Papatryphon, H.M.G. Van der Werf, J. Petit, Y.M. Morvan</t>
    </r>
  </si>
  <si>
    <t>UMR INRA</t>
  </si>
  <si>
    <t>/.48</t>
  </si>
  <si>
    <t>rainbow trout,recirculating system</t>
  </si>
  <si>
    <t>African catfish, recirculating system</t>
  </si>
  <si>
    <t>Animal Breeding and Genomics Centre, Wageningen University, P.O. Box 338, 6700 AH Wageningen, The Netherlands</t>
  </si>
  <si>
    <t>M. Besson, J. Aubin, H. Komen, M. Poelman, E. Quillet, M. Vandeputte, J.A.M. van Arendonk, I.J.M. de Boer</t>
  </si>
  <si>
    <t>/.65</t>
  </si>
  <si>
    <t>lager, re-used glass</t>
  </si>
  <si>
    <t>al. can</t>
  </si>
  <si>
    <t>keg</t>
  </si>
  <si>
    <t>single use glass</t>
  </si>
  <si>
    <t>Barley lager, al. can</t>
  </si>
  <si>
    <t>Barley lager, keg</t>
  </si>
  <si>
    <t>Barley lager, re-used glass</t>
  </si>
  <si>
    <t>Barley&amp;rice lager, al, can</t>
  </si>
  <si>
    <t>Barley&amp;rice lager,keg</t>
  </si>
  <si>
    <t>Barley&amp;rice lager,re-used glass</t>
  </si>
  <si>
    <t>/1.01 (kg/L)</t>
  </si>
  <si>
    <t>C. Koroneos, G. Roumbas, Z. Gabari, E. Papagiannidou, N. Moussiopoulos</t>
  </si>
  <si>
    <t>Laboratory of Heat Transfer and Environmental Engineering, P.O. Box 483, Aristotle University Thessaloniki, 54124 Thessaloniki, Greece</t>
  </si>
  <si>
    <t>Adrian G. Williams, Seyoum Mekonen</t>
  </si>
  <si>
    <t>School of Applied Sciences, Cranfield University, Bedford, MK43 0AL, UK</t>
  </si>
  <si>
    <t>Alessio Cimini, Mauro Moresi</t>
  </si>
  <si>
    <t>Department for Innovation in Biological, Agro-Food, and Forest Systems, University of Tuscia, Via S. C. de Lellis, 01100 Viterbo, Italy</t>
  </si>
  <si>
    <t xml:space="preserve">Eden Sipperly, Karlton Edinger, Nathan Ziegler, Emily Roberts  </t>
  </si>
  <si>
    <t>King Mongkut’s University of Technology Thonburi 126 Pracha Uthit Rd, Bangkok, Thung</t>
  </si>
  <si>
    <t>Celia Kingston, Jonna Meyhoff Fry and Simon Aumonier</t>
  </si>
  <si>
    <t>Environmental Resources Management Limited (ERM)</t>
  </si>
  <si>
    <t>slaughter gate</t>
  </si>
  <si>
    <t>/0.75</t>
  </si>
  <si>
    <t>EU average</t>
  </si>
  <si>
    <t>Netherlands, conv</t>
  </si>
  <si>
    <t>Netherlands, org</t>
  </si>
  <si>
    <t>England, conv</t>
  </si>
  <si>
    <t>England, org</t>
  </si>
  <si>
    <t>Germany, conv</t>
  </si>
  <si>
    <t>Germany, org</t>
  </si>
  <si>
    <t>Denmark, conv</t>
  </si>
  <si>
    <t>Denmark, org</t>
  </si>
  <si>
    <t>Flemish</t>
  </si>
  <si>
    <t>Western cape</t>
  </si>
  <si>
    <t>L. Devers, T.E. Kleynhans and E. Mathijs</t>
  </si>
  <si>
    <t>Tropical Natural Resources Management of the Katholieke Universiteit, Leuven, Belgium</t>
  </si>
  <si>
    <t>Thomas Winkler, Kerstin Schopf, Ralf Aschemann, Wilfried Winiwarter</t>
  </si>
  <si>
    <t>University of Graz, Institute of Systems Sciences, Innovation and Sustainability Research, Merangasse 18, 8010 Graz, Austria</t>
  </si>
  <si>
    <t>Kool, A.; Blonk, H.; Ponsioen, T.; Sukkel, W.; Vermeer, H.; de Vries, J.; Hoste, R</t>
  </si>
  <si>
    <t xml:space="preserve">Blonk Milieu Advies </t>
  </si>
  <si>
    <t>Lesschen, J.; Van den Berg, M.; Westhoek, H.; Witzke, H.; Oenema, O.</t>
  </si>
  <si>
    <t>Alterra, Wageningen University and Research Centre, P.O. Box 47, 6700 AA, Wageningen, The Netherlands</t>
  </si>
  <si>
    <t>Fresh Vine tomatoes</t>
  </si>
  <si>
    <t>Fresh Bulk tomatoes</t>
  </si>
  <si>
    <t>Fresh tomatoes, protected</t>
  </si>
  <si>
    <t>open field</t>
  </si>
  <si>
    <t>protected</t>
  </si>
  <si>
    <r>
      <t>Curtis D. Jones</t>
    </r>
    <r>
      <rPr>
        <sz val="12"/>
        <color rgb="FF000000"/>
        <rFont val="Calibri"/>
        <family val="2"/>
      </rPr>
      <t>, Clyde W. Fraisse, Monica Ozores-Hampton</t>
    </r>
  </si>
  <si>
    <t>Department of Agricultural and Biological Engineering, University of Florida, P.O. Box 110570, Gainesville, FL 32611, USA</t>
  </si>
  <si>
    <t>Page, G.; Ridoutt, B.; Bellotti, B.,</t>
  </si>
  <si>
    <t>University of Western Sydney, School of Science and Health, Locked Bag 1797, Penrith, NSW 2751, Australia</t>
  </si>
  <si>
    <t>Webb, J.; Williams, A. G.; Hope, E.; Evans, D.; Moorhouse, E</t>
  </si>
  <si>
    <t>Torrellas, M.; Antón, A.; López, J. C.; Baeza, E. J.; Parra, J. P.; Muñoz, P.; Montero, J. I</t>
  </si>
  <si>
    <t>IRTA (Research and Technology Food and Agriculture), Ctra. de Cabrils, km 2, 08348 Cabrils Barcelona, Spain</t>
  </si>
  <si>
    <t>Payen, S.; Basset-Mens, C.; Perret, S.,</t>
  </si>
  <si>
    <t>ADEME, (Agence de l'Environnement et de la Maîtrise de l'Energie), 20 avenue du Gr_x0001_esill_x0001_e e BP 90406, 49004 Angers, France</t>
  </si>
  <si>
    <t>Morocco</t>
  </si>
  <si>
    <t>Boulard, T.; Raeppel, C.; Brun, R.; Lecompte, F.; Hayer, F.; Carmassi, G.; Gaillard, G</t>
  </si>
  <si>
    <t>, France</t>
  </si>
  <si>
    <t/>
  </si>
  <si>
    <t>Aranda et al. (2005)</t>
  </si>
  <si>
    <t>Ardente et al. (2006)</t>
  </si>
  <si>
    <t>Barry (2011)</t>
  </si>
  <si>
    <t>Benedetto (2010)</t>
  </si>
  <si>
    <t>Bosco et al. (2011)</t>
  </si>
  <si>
    <t xml:space="preserve">Carta (2009), in: Vázquez-Rowe et al. (2013) </t>
  </si>
  <si>
    <t>Carta (2009), in: Vázquez-Rowe et al. (2013)</t>
  </si>
  <si>
    <t>CIV (2008)</t>
  </si>
  <si>
    <t>Colman and Päster (2009)</t>
  </si>
  <si>
    <t>Gazulla et al. (2010)</t>
  </si>
  <si>
    <t>Gonzalez et al. (2006)</t>
  </si>
  <si>
    <t>Greenhaigh et al. (2011)</t>
  </si>
  <si>
    <t>Kavargiris et al. (2009)</t>
  </si>
  <si>
    <t>Neto et al. (2013)</t>
  </si>
  <si>
    <t>Pattara et al. (2012)</t>
  </si>
  <si>
    <t>Petti et al. (2006)</t>
  </si>
  <si>
    <t>Pizzigallo et al. (2008)</t>
  </si>
  <si>
    <t>Point et al. (2012)</t>
  </si>
  <si>
    <t>Rugani et al. (2009)</t>
  </si>
  <si>
    <t>SAWIA (2004)</t>
  </si>
  <si>
    <t>Soja et al. (2010)</t>
  </si>
  <si>
    <t>Vázquez-Rowe et al. (2012b) †</t>
  </si>
  <si>
    <t>Vázquez-Rowe et al. (2013)</t>
  </si>
  <si>
    <t>Venkat (2012)</t>
  </si>
  <si>
    <t>WRAP (2007)</t>
  </si>
  <si>
    <t>Zabalza et al. (2003)</t>
  </si>
  <si>
    <t>reported in review by Rugani</t>
  </si>
  <si>
    <t>Benedetto, G.,</t>
  </si>
  <si>
    <t>Amienyo, D.; Camilleri, C.; Azapagic, A</t>
  </si>
  <si>
    <t xml:space="preserve">usi, A.; Guidetti, R.; Benedetto, G., </t>
  </si>
  <si>
    <t>Bonamente, E.; Scrucca, F.; Rinaldi, S.; Merico, M. C.; Asdrubali, F.; Lamastra, L.,</t>
  </si>
  <si>
    <t>BIER European format</t>
  </si>
  <si>
    <t>BIER N. American format</t>
  </si>
  <si>
    <t>Villanueva-Rey, P.; Vázquez-Rowe, I.; Moreira, M. T.; Feijoo, G.</t>
  </si>
  <si>
    <t>Study doesn’t give specific LC values for organic and conventional, only provides average of both organic and conventional.  It does provide differences in Farm Gate values, though.</t>
  </si>
  <si>
    <t>LC sum value is only 1.2% off from Total Value reported in column BS</t>
  </si>
  <si>
    <t>LC sum value is only 0.6% off from Total Value reported in column BS</t>
  </si>
  <si>
    <t>LC sum value is only 0.5% off from Total Value reported in column BS</t>
  </si>
  <si>
    <t>herring, no oil</t>
  </si>
  <si>
    <t>mackerel, no oil</t>
  </si>
  <si>
    <t>Organic Pear grown in hilly land (Liaoning)</t>
  </si>
  <si>
    <t>No Total GHG Values Reported (missing FG data)</t>
  </si>
  <si>
    <t>Less than 1.5% difference</t>
  </si>
  <si>
    <t>Less than 0.3% difference</t>
  </si>
  <si>
    <t>Notes (CED)</t>
  </si>
  <si>
    <t>No Data except tranport and processing</t>
  </si>
  <si>
    <t>CED, processor gate (MJ/kg)</t>
  </si>
  <si>
    <t>GHGE, processor gate (kg CO2e/kg)</t>
  </si>
  <si>
    <t>ACTIVE     CED, FARM GATE (MJ/kg)</t>
  </si>
  <si>
    <t>ACTIVE     GHGE, FARM GATE (kg CO2e/kg)</t>
  </si>
  <si>
    <t>Count of ACTIVE     GHGE, FARM GATE (kg CO2e/kg)</t>
  </si>
  <si>
    <t>Count of GHGE, processor gate (kg CO2e/kg)</t>
  </si>
  <si>
    <t>Count of ACTIVE     CED, FARM GATE (MJ/kg)</t>
  </si>
  <si>
    <t>Count of CED, processor gate (MJ/kg)</t>
  </si>
  <si>
    <t>StdDev of CED, processor gate (MJ/kg)</t>
  </si>
  <si>
    <t>Average of ACTIVE     CED, FARM GATE (MJ/kg)</t>
  </si>
  <si>
    <t>Min of ACTIVE     CED, FARM GATE (MJ/kg)</t>
  </si>
  <si>
    <t>Max of ACTIVE     CED, FARM GATE (MJ/kg)</t>
  </si>
  <si>
    <t>FARM GATE</t>
  </si>
  <si>
    <t>PROCESSOR GATE</t>
  </si>
  <si>
    <t>TOTAL LIFE CYCLE</t>
  </si>
  <si>
    <t>StdDev of ACTIVE     CED, FARM GATE (MJ/kg)</t>
  </si>
  <si>
    <t>Average of CED, processor gate (MJ/kg)</t>
  </si>
  <si>
    <t>Min of CED, processor gate (MJ/kg)</t>
  </si>
  <si>
    <t>Max of CED, processor gate (MJ/kg)</t>
  </si>
  <si>
    <t>Average of ACTIVE     GHGE, FARM GATE (kg CO2e/kg)</t>
  </si>
  <si>
    <t>Min of ACTIVE     GHGE, FARM GATE (kg CO2e/kg)</t>
  </si>
  <si>
    <t>Max of ACTIVE     GHGE, FARM GATE (kg CO2e/kg)</t>
  </si>
  <si>
    <t>StdDev of ACTIVE     GHGE, FARM GATE (kg CO2e/kg)</t>
  </si>
  <si>
    <t>Average of GHGE, processor gate (kg CO2e/kg)</t>
  </si>
  <si>
    <t>Min of GHGE, processor gate (kg CO2e/kg)</t>
  </si>
  <si>
    <t>Max of GHGE, processor gate (kg CO2e/kg)</t>
  </si>
  <si>
    <t>StdDev of GHGE, processor gate (kg CO2e/kg)</t>
  </si>
  <si>
    <t>PROXY DEFINITION</t>
  </si>
  <si>
    <t>brassica_greens</t>
  </si>
  <si>
    <t>tree_fruit</t>
  </si>
  <si>
    <t>tropical_fruit</t>
  </si>
  <si>
    <t>bean_dry</t>
  </si>
  <si>
    <t>onion_bulb</t>
  </si>
  <si>
    <t>Bean_snap_succulent</t>
  </si>
  <si>
    <t>Pea_pigeon_seed</t>
  </si>
  <si>
    <t>lentil_seed</t>
  </si>
  <si>
    <t>nightshades</t>
  </si>
  <si>
    <t>pepper_bell</t>
  </si>
  <si>
    <t>squash</t>
  </si>
  <si>
    <t>grape_raisin</t>
  </si>
  <si>
    <t>coconut_meat</t>
  </si>
  <si>
    <t>clover_seed</t>
  </si>
  <si>
    <t>rice</t>
  </si>
  <si>
    <t>rice_bran</t>
  </si>
  <si>
    <t>wheat_flour</t>
  </si>
  <si>
    <t>saltwater_finfish</t>
  </si>
  <si>
    <t>all_fish</t>
  </si>
  <si>
    <t>soybean_meal</t>
  </si>
  <si>
    <t>corn_starch</t>
  </si>
  <si>
    <t>oat_flour</t>
  </si>
  <si>
    <t>corn_flour</t>
  </si>
  <si>
    <t>sugarcane_molasses</t>
  </si>
  <si>
    <t>oilseed_oil</t>
  </si>
  <si>
    <t>Bean, dry</t>
  </si>
  <si>
    <t>Cocoa Butter</t>
  </si>
  <si>
    <t>x_Strawberries</t>
  </si>
  <si>
    <t>x_Olives</t>
  </si>
  <si>
    <t>x_Rapeseed, Oil</t>
  </si>
  <si>
    <t>x_Lettuce</t>
  </si>
  <si>
    <t>grape proxy * mass conv. Factor from FICRCD</t>
  </si>
  <si>
    <t>Ecoinvent 3 process: Grape {GLO}| production | Alloc Def, S</t>
  </si>
  <si>
    <t>estimated from processing calculations (see processed foods methods)</t>
  </si>
  <si>
    <t>Maple_syrup</t>
  </si>
  <si>
    <t>assumed as average of ONLY processing stage for beef entries</t>
  </si>
  <si>
    <t>coconut_oil</t>
  </si>
  <si>
    <t>Ecoinvent process: Palm date, conditioned and dried, organic {GLO}| palm date production, conditioned and dried, organic | Alloc Def, S</t>
  </si>
  <si>
    <t>Ecoinvent process: Palm date, conditioned and dried {GLO}| palm date production, conditioned and dried | Alloc Def, S</t>
  </si>
  <si>
    <t>extracting impact per kg of instant coffee powder; 2 g powder per cup coffee</t>
  </si>
  <si>
    <t xml:space="preserve">extracting impact per kg roasted bean. 13.5g roasted bean/cup. </t>
  </si>
  <si>
    <t>only including non-renewable energy use</t>
  </si>
  <si>
    <t>tea</t>
  </si>
  <si>
    <t>proxy diff between tea and instant tea, from coffee</t>
  </si>
  <si>
    <t>Malawi</t>
  </si>
  <si>
    <t>PET ref R1</t>
  </si>
  <si>
    <t>PET ref R2</t>
  </si>
  <si>
    <t>PET ref R3</t>
  </si>
  <si>
    <t>PET 1 liter</t>
  </si>
  <si>
    <t>PET 8oz</t>
  </si>
  <si>
    <t>PET light</t>
  </si>
  <si>
    <t>PET light, low mold</t>
  </si>
  <si>
    <t>25% rPET R1</t>
  </si>
  <si>
    <t>25% rPET R2</t>
  </si>
  <si>
    <t>25% rPET R3</t>
  </si>
  <si>
    <t>PLA 0 decomp</t>
  </si>
  <si>
    <t>PLA 100 decomp</t>
  </si>
  <si>
    <t>PLA compost</t>
  </si>
  <si>
    <t>PET nat</t>
  </si>
  <si>
    <t>PET Maine nat</t>
  </si>
  <si>
    <t>PET Fiji nat</t>
  </si>
  <si>
    <t>PET Fiji free sea</t>
  </si>
  <si>
    <t>PET 500 mi empty</t>
  </si>
  <si>
    <t>PET 100% store trip</t>
  </si>
  <si>
    <t>PET refrig</t>
  </si>
  <si>
    <t>PET 37%R</t>
  </si>
  <si>
    <t>PET best</t>
  </si>
  <si>
    <t>PET worst</t>
  </si>
  <si>
    <t>PLA best</t>
  </si>
  <si>
    <t>Franklin Associates</t>
  </si>
  <si>
    <t>Tap Al ref
26</t>
  </si>
  <si>
    <t>Tap PET
27</t>
  </si>
  <si>
    <t>Tap steel
28</t>
  </si>
  <si>
    <t>Tap glass
29</t>
  </si>
  <si>
    <t>Tap Al 5 yr
30</t>
  </si>
  <si>
    <t>100%R
31</t>
  </si>
  <si>
    <t>fill
32</t>
  </si>
  <si>
    <t>wash
33</t>
  </si>
  <si>
    <t>wash
34</t>
  </si>
  <si>
    <t>wash
35</t>
  </si>
  <si>
    <t>Tap Al ice
36</t>
  </si>
  <si>
    <t>Tap best
37</t>
  </si>
  <si>
    <r>
      <t># of</t>
    </r>
    <r>
      <rPr>
        <b/>
        <sz val="12"/>
        <color rgb="FF000000"/>
        <rFont val="Calibri"/>
        <family val="2"/>
      </rPr>
      <t xml:space="preserve"> datapoints</t>
    </r>
  </si>
  <si>
    <t>Energy Use (MJ/kg)</t>
  </si>
  <si>
    <t>basis</t>
  </si>
  <si>
    <t>GHGE</t>
  </si>
  <si>
    <t>all_brassica</t>
  </si>
  <si>
    <t>oils</t>
  </si>
  <si>
    <t>legume_seed</t>
  </si>
  <si>
    <t>processed_tomato</t>
  </si>
  <si>
    <t>tropical_citrus</t>
  </si>
  <si>
    <t>flours</t>
  </si>
  <si>
    <t>ruminant_meat</t>
  </si>
  <si>
    <t>nonruminant_meat</t>
  </si>
  <si>
    <t>vegetables</t>
  </si>
  <si>
    <t>(no roots)</t>
  </si>
  <si>
    <t>(no processed)</t>
  </si>
  <si>
    <t>sweeteners</t>
  </si>
  <si>
    <t>choc_coffee_tea</t>
  </si>
  <si>
    <t>VARIANCE CALCULATIONS</t>
  </si>
  <si>
    <t>no var</t>
  </si>
  <si>
    <t>Fluid Milk_Cow</t>
  </si>
  <si>
    <t>Fluid_Milk_Cow</t>
  </si>
  <si>
    <t>cucurbits</t>
  </si>
  <si>
    <t>Dutch beef from dairy cows</t>
  </si>
  <si>
    <t>Hans Blonk; Anton Kool; Boki Luske; Sytske de Waart</t>
  </si>
  <si>
    <t>Cradle to Packaging</t>
  </si>
  <si>
    <t>kg meat at supermarket</t>
  </si>
  <si>
    <t>Dutch Beef</t>
  </si>
  <si>
    <t>Irish Beef</t>
  </si>
  <si>
    <t>Brazilian Beef</t>
  </si>
  <si>
    <t>kg food at supermarket</t>
  </si>
  <si>
    <t>Brazilian Chicken</t>
  </si>
  <si>
    <t>Dutch Chicken</t>
  </si>
  <si>
    <t xml:space="preserve">Pork </t>
  </si>
  <si>
    <t>Tempeh</t>
  </si>
  <si>
    <t>Egg</t>
  </si>
  <si>
    <t>Cheese</t>
  </si>
  <si>
    <t>Milk</t>
  </si>
  <si>
    <t>Mackerel</t>
  </si>
  <si>
    <t>Herring</t>
  </si>
  <si>
    <t>Pollock</t>
  </si>
  <si>
    <t>Mussel</t>
  </si>
  <si>
    <t>Salmon (Aquaculture)</t>
  </si>
  <si>
    <t>Cod</t>
  </si>
  <si>
    <t>Prawn</t>
  </si>
  <si>
    <t>Shrimp</t>
  </si>
  <si>
    <t>Gigantes (conventional)</t>
  </si>
  <si>
    <t>Abeliotis, Konstadinos; Detsis, Vassilis; Pappia, Christina</t>
  </si>
  <si>
    <t>Department of Home Economics and Ecology, Harokopio University, Athens, Greece</t>
  </si>
  <si>
    <t>kg beans</t>
  </si>
  <si>
    <t>Gigantes (integrated)</t>
  </si>
  <si>
    <t>Gigantes (organic)</t>
  </si>
  <si>
    <t>Plake (Conventional) -large, white greek bean</t>
  </si>
  <si>
    <t>Plake (integrated) -large, white greek bean</t>
  </si>
  <si>
    <t>Plake (organic) - -large, white greek bean</t>
  </si>
  <si>
    <t>Elefantes (integrated)</t>
  </si>
  <si>
    <t>Roast Chicken (Conventional)</t>
  </si>
  <si>
    <t>Bengtsson, Jonas (a); Seddon, Julia (b)</t>
  </si>
  <si>
    <t>(a) aDirector Edge Environment Pty Ltd, 501/39 East Esplanade, Manly, NSW 2095, Australia; (b) Group Environment Manager, Inghams Enterprises Pty Ltd, Australia</t>
  </si>
  <si>
    <t>kg CO2/tonne</t>
  </si>
  <si>
    <t>Roast Chicken (Free Range)</t>
  </si>
  <si>
    <t>Breast Fillet (Conventional)</t>
  </si>
  <si>
    <t>Breast Fillet (Free Range)</t>
  </si>
  <si>
    <t>Wine</t>
  </si>
  <si>
    <t>M. Berners-Lee (a); C. Hoolohan (a); H. Cammack (a); C.N. Hewitt (b)</t>
  </si>
  <si>
    <t>(a) Small World Consulting, Ltd., Lancaster Environment Centre, Lancaster University, Lancaster LA1 4YQ, UK; (b) Lancaster Environment Centre, Lancaster University, Lancaster LA1 4YQ, UK</t>
  </si>
  <si>
    <t>kg CO2/kg product</t>
  </si>
  <si>
    <t>Beer and Cider</t>
  </si>
  <si>
    <t>Liquor</t>
  </si>
  <si>
    <t>Spirits and Liqueurs</t>
  </si>
  <si>
    <t>Yogurt</t>
  </si>
  <si>
    <t>Herbs and Spices</t>
  </si>
  <si>
    <t>Cheddar Cheese - U.S. Total</t>
  </si>
  <si>
    <t>United States</t>
  </si>
  <si>
    <t xml:space="preserve">Aguirre-Villegas, H., S. Kraatz, F. Milani, A. Newenhouse, T. Passos-Fonseca and D. Reinemann </t>
  </si>
  <si>
    <t>University of Wisconsin</t>
  </si>
  <si>
    <t>kg CO2 / kg FPCM</t>
  </si>
  <si>
    <t>Milk, Highlands of Peru</t>
  </si>
  <si>
    <t xml:space="preserve">Bartl, Karin (a); Gomez, Carlos A (b); Nemecek, Thomas (c) </t>
  </si>
  <si>
    <t>(a)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t>
  </si>
  <si>
    <t>kg CO2 / kg ECM</t>
  </si>
  <si>
    <t>Milk, Coastal Peru</t>
  </si>
  <si>
    <t>Milk, New Zealand Average</t>
  </si>
  <si>
    <t>Basset-Mens, Claudine; Ledgard, Stewart; Boyes, Mark</t>
  </si>
  <si>
    <t>AgResearch Limited, Ruakura Research Centre, East Street, Private Bag 3123, Hamilton, New Zealand</t>
  </si>
  <si>
    <t>kg CO2 / kg Milk</t>
  </si>
  <si>
    <t>Milk, Low Inputs</t>
  </si>
  <si>
    <t>Milk, Nitrogen fertilizer</t>
  </si>
  <si>
    <t>Milk, N fertilizer plus maize silage</t>
  </si>
  <si>
    <t>Fish-saltwater finfish, tuna</t>
  </si>
  <si>
    <t>integrated production</t>
  </si>
  <si>
    <t>Blanke, Michael; Schaefer, Florian</t>
  </si>
  <si>
    <t>INRES - University of Bonn, Auf dem Hügel 6, D-53121 Bonn, Germany</t>
  </si>
  <si>
    <t>g co2 eq/kg</t>
  </si>
  <si>
    <t>organi DEMETER</t>
  </si>
  <si>
    <t>large farm business</t>
  </si>
  <si>
    <t>Argentinian organic</t>
  </si>
  <si>
    <t>germany</t>
  </si>
  <si>
    <t>Spain produced, imported to UK</t>
  </si>
  <si>
    <t>per tonne</t>
  </si>
  <si>
    <t>imported to UK</t>
  </si>
  <si>
    <t>Israel</t>
  </si>
  <si>
    <t>fruit</t>
  </si>
  <si>
    <t>sheep</t>
  </si>
  <si>
    <t>per tonne at regional distribution center (assuming boneless weight)</t>
  </si>
  <si>
    <t>Lo Giudice, A., Mbohwa, C, Clasadonte, M.T and Ingrao, C</t>
  </si>
  <si>
    <t>per ha, @12.5 tonnes/ha</t>
  </si>
  <si>
    <t>conventional production</t>
  </si>
  <si>
    <t>Eline de Backer, Joris Aertsens, Sofie Vergucht and Walter Steurbaut</t>
  </si>
  <si>
    <t>/kg leek</t>
  </si>
  <si>
    <t>organic production</t>
  </si>
  <si>
    <t>open field 2008</t>
  </si>
  <si>
    <t>M. Romero-Gámez, E.M. Suárez-Rey, A. Antón, N. Castilla, T. Soriano</t>
  </si>
  <si>
    <t>/kg green beans</t>
  </si>
  <si>
    <t>open field 2009</t>
  </si>
  <si>
    <t>screenhouse 2008</t>
  </si>
  <si>
    <t>screenhouse 2009</t>
  </si>
  <si>
    <t>screenhouse w mist 2008</t>
  </si>
  <si>
    <t>screenhouse w mist 2009</t>
  </si>
  <si>
    <t>Kelly Twomey Sanders, Michael E Webber</t>
  </si>
  <si>
    <t>+-0.13</t>
  </si>
  <si>
    <t>carcass weight, includes bones</t>
  </si>
  <si>
    <t>+-11.1</t>
  </si>
  <si>
    <t>chestnut</t>
  </si>
  <si>
    <t>fresh</t>
  </si>
  <si>
    <t>Diana Rosa, Filipa Figueiredo, Érica G. Castanheira, Manuel Feliciano, Filipe Maia, José Santos, Ana Paula Silva, Henrique Trindade, and Fausto Freire</t>
  </si>
  <si>
    <t>per kg harvested chestnut</t>
  </si>
  <si>
    <t>production is average of 3 cultivation systems</t>
  </si>
  <si>
    <t>groundwater, gravity, tillage</t>
  </si>
  <si>
    <t>Sanjuán, N; Ubeda, L; Clemente, G; Mulet, A; Girona, F</t>
  </si>
  <si>
    <t>groundwater, drip, tillage</t>
  </si>
  <si>
    <t>surface, gravity, tillage</t>
  </si>
  <si>
    <t>surface, drip, tillage</t>
  </si>
  <si>
    <t>groundwater, gravity, no tillage</t>
  </si>
  <si>
    <t>groundwater, drip, no tillage</t>
  </si>
  <si>
    <t>surface, gravity,no  tillage</t>
  </si>
  <si>
    <t>surface, drip, no tillage</t>
  </si>
  <si>
    <t>based on conceptual model, MITERRA-Europe</t>
  </si>
  <si>
    <t>per kg edible meat</t>
  </si>
  <si>
    <t>per kg eggs in shell</t>
  </si>
  <si>
    <t>per kg whole fresh cows milk</t>
  </si>
  <si>
    <t>based on 8 Dutch organic dairy farms, year 2000</t>
  </si>
  <si>
    <t>Thomassen, M. A.
de Boer, I. J. M.</t>
  </si>
  <si>
    <t>Wageningen Inst.</t>
  </si>
  <si>
    <t>SD=0.91; CV=37%</t>
  </si>
  <si>
    <t>SD=0.86; CV=48%</t>
  </si>
  <si>
    <t>typical Irish beef-suckler system, supplement 1</t>
  </si>
  <si>
    <t>Casey, J. W.
Holden, N. M.</t>
  </si>
  <si>
    <t>University College Dublin</t>
  </si>
  <si>
    <t>per kg live weight</t>
  </si>
  <si>
    <t>typical Irish beef-suckler system, supplement 2</t>
  </si>
  <si>
    <t>typical Irish beef-suckler system, supplement 3</t>
  </si>
  <si>
    <t>shorter life scenario, harvesting younger animals</t>
  </si>
  <si>
    <t>non-castrated males in intensive indoor feedlot</t>
  </si>
  <si>
    <t>same management as scenario 1 but using dairy-bred beef, spplement 1</t>
  </si>
  <si>
    <t>same management as scenario 1 but using dairy-bred beef, spplement 2</t>
  </si>
  <si>
    <t>same management as scenario 1 but using dairy-bred beef, spplement 3</t>
  </si>
  <si>
    <t>same as scenario 2, with dairy-bred animals</t>
  </si>
  <si>
    <t>same as scenario 3, but using dairy-bred animals</t>
  </si>
  <si>
    <t>Lagerberg Fogelberg, C
Carlsson-Kanyama, A</t>
  </si>
  <si>
    <t>FOI</t>
  </si>
  <si>
    <t>at wholesaler</t>
  </si>
  <si>
    <t>per kg</t>
  </si>
  <si>
    <t>carrot, frozen</t>
  </si>
  <si>
    <t>frozen, cut carrots at wholesaler</t>
  </si>
  <si>
    <t>tomato, greenhouse</t>
  </si>
  <si>
    <t>possible Sweish production</t>
  </si>
  <si>
    <t>FU=1.1kg bc assuming frozen is 10% less nutritious</t>
  </si>
  <si>
    <t>/1.1</t>
  </si>
  <si>
    <t>South Europe case 1</t>
  </si>
  <si>
    <t>S. Europe</t>
  </si>
  <si>
    <t>South Europe case 2</t>
  </si>
  <si>
    <t>S and C American case 1</t>
  </si>
  <si>
    <t>S&amp;C America</t>
  </si>
  <si>
    <t>S and C American case 2</t>
  </si>
  <si>
    <t>possible Swedish production</t>
  </si>
  <si>
    <t>South Europe case 1, fresh</t>
  </si>
  <si>
    <t>South Europe case 2, fresh</t>
  </si>
  <si>
    <t>note that this source also has results for legumes, but insufficient information is provided to accurately represent the functional unit in this database</t>
  </si>
  <si>
    <t>Fish-saltwater finfish, Tuna</t>
  </si>
  <si>
    <t>albacore tuna in Atlantic via purse seiners</t>
  </si>
  <si>
    <t>Atlantic</t>
  </si>
  <si>
    <t>Parker, Robert W. R.
Vázquez-Rowe, Ian
Tyedmers, Peter H.</t>
  </si>
  <si>
    <t>fuel use (L/tonne landed fish)</t>
  </si>
  <si>
    <t>assuming 46.448 MJ/L diesel; 3.1 kg CO2eq/L; 1:0.58 live to boneless weight</t>
  </si>
  <si>
    <t>only includes fuel consumption</t>
  </si>
  <si>
    <t>bigeye  tuna in Atlantic via purse seiners</t>
  </si>
  <si>
    <t>skipjack  tuna in Atlantic via purse seiners</t>
  </si>
  <si>
    <t>yellowfin tuna in Atlantic via purse seiners</t>
  </si>
  <si>
    <t>albacore tuna in Indian Ocean via purse seiners</t>
  </si>
  <si>
    <t>Indian Ocean</t>
  </si>
  <si>
    <t>bigeye  tuna in Indian Ocean via purse seiners</t>
  </si>
  <si>
    <t>skipjack  tuna in Indian Ocean via purse seiners</t>
  </si>
  <si>
    <t>yellowfin tuna in Indian Ocean via purse seiners</t>
  </si>
  <si>
    <t>albacore tuna in Pacific Ocean via purse seiners</t>
  </si>
  <si>
    <t>Pacific Ocean</t>
  </si>
  <si>
    <t>bigeye  tuna in Pacific Ocean via purse seiners</t>
  </si>
  <si>
    <t>skipjack  tuna in Pacific Ocean via purse seiners</t>
  </si>
  <si>
    <t>yellowfin tuna inPacific Ocean via purse seiners</t>
  </si>
  <si>
    <t>mangrove shrimp farms, organic</t>
  </si>
  <si>
    <t>Vietnam</t>
  </si>
  <si>
    <t>Jonell, Malin
Henriksson, Patrik John Gustav</t>
  </si>
  <si>
    <t>1000 kg live weight shrimp at farm</t>
  </si>
  <si>
    <t>live:boneless ratio 1:0.57</t>
  </si>
  <si>
    <t>mangrove shrimp farms, non-organic</t>
  </si>
  <si>
    <t>wild-caught banana prawn from Northern Prawn Fishery</t>
  </si>
  <si>
    <t>Farmery, A.
Gardner, C.
Green, B. S.
Jennings, S.
Watson, R.</t>
  </si>
  <si>
    <t>1 kg of frozen prawn at the processor gate</t>
  </si>
  <si>
    <t>paper reports = to 550 g prawn meat;   /.550</t>
  </si>
  <si>
    <t>wild-caught Tiger prawn from Northern Prawn Fishery</t>
  </si>
  <si>
    <t>Cherubini, Edivan
Zanghelini, Guilherme Marcelo
Alvarenga, Rodrigo Augusto Freitas
Franco, Davide
Soares, Sebastião Roberto</t>
  </si>
  <si>
    <t>1000 kg carcass weight</t>
  </si>
  <si>
    <t>paper looks at coproduction of milk and energy via AD; only including base case without energy here</t>
  </si>
  <si>
    <t>USA (Wisconcin)</t>
  </si>
  <si>
    <t>Aguirre-Villegas, Horacio A
Passos-Fonseca, Thaís H
Reinemann, Douglas J
Armentano, Louis E
Wattiaux, Michel A
Cabrera, Victor E
Norman, John M
Larson, R</t>
  </si>
  <si>
    <t>rain-fed paddy rice</t>
  </si>
  <si>
    <t>Thanawong, Kwansirinapa
Perret, SR
Basset-Mens, Claudine</t>
  </si>
  <si>
    <t>kg paddy rice</t>
  </si>
  <si>
    <t>2.84-3.45</t>
  </si>
  <si>
    <t>wet-season irrigated rice</t>
  </si>
  <si>
    <t>4.51-5.12</t>
  </si>
  <si>
    <t>dry-season irrigated rice</t>
  </si>
  <si>
    <t>5.06-6.20</t>
  </si>
  <si>
    <t>standard French production</t>
  </si>
  <si>
    <t>Da Silva, Vamilson Prudêncio
van der Werf, Hayo MG
Soares, Sebastião Roberto
Corson, Michael S</t>
  </si>
  <si>
    <t>cooled &amp; packaged chicken at slaughterhouse gate</t>
  </si>
  <si>
    <t>1 tonne cooled &amp; packaged chicken at slaughterhouse</t>
  </si>
  <si>
    <t>/1000/.77</t>
  </si>
  <si>
    <t>Label Rouge, France (Southwest</t>
  </si>
  <si>
    <t>Center-West Brazil</t>
  </si>
  <si>
    <t>South Brazil</t>
  </si>
  <si>
    <t>quinoa</t>
  </si>
  <si>
    <t>bulk quinoa from AlterEco 2012 emissions report</t>
  </si>
  <si>
    <t>Bolivia</t>
  </si>
  <si>
    <t>ALTER ECO</t>
  </si>
  <si>
    <t>does not provide details on methods</t>
  </si>
  <si>
    <t>kg bulk quinoa</t>
  </si>
  <si>
    <t>fluid milk, buffalo</t>
  </si>
  <si>
    <t>average of 6 Italian buffalo farms</t>
  </si>
  <si>
    <t>Prilo</t>
  </si>
  <si>
    <t>Pirlo, G
Terzano, G
Pacelli, C
Abeni, F
Care, S</t>
  </si>
  <si>
    <t>dairy</t>
  </si>
  <si>
    <t>Irish pasture based dairy</t>
  </si>
  <si>
    <t>O’Brien, D
Capper, JL
Garnsworthy, PC
Grainger, C
Shalloo, L</t>
  </si>
  <si>
    <t>using values that exclude on-farm carbon sequestration</t>
  </si>
  <si>
    <t>kg ECM</t>
  </si>
  <si>
    <t>UK confinement dairy</t>
  </si>
  <si>
    <t>US confinement dairy</t>
  </si>
  <si>
    <t>premium quality export bananas, 2009 season</t>
  </si>
  <si>
    <t>Iriarte, Alfredo
Almeida, Maria Gabriela
Villalobos, Pablo</t>
  </si>
  <si>
    <t>cradle to delivery at port in Hamburg</t>
  </si>
  <si>
    <t>kg export quality premium banana</t>
  </si>
  <si>
    <t>distribution represents best case scenario: worst case scenario is 0.71</t>
  </si>
  <si>
    <t>premium quality export bananas, 2010 season</t>
  </si>
  <si>
    <t>distribution represents best case scenario: worst case scenario is 0.70</t>
  </si>
  <si>
    <t>premium quality export bananas, 2011 season</t>
  </si>
  <si>
    <t>culled cows from milk production</t>
  </si>
  <si>
    <t>Hallström, E.
Röös, E.
Börjesson, P.</t>
  </si>
  <si>
    <t>kg bone-free meat</t>
  </si>
  <si>
    <t>bulls from milk production</t>
  </si>
  <si>
    <t>steers from milk production</t>
  </si>
  <si>
    <t>heifers from milk production</t>
  </si>
  <si>
    <t>suckler production (cows and off-spring)</t>
  </si>
  <si>
    <t>Germany, Poland and Denmark</t>
  </si>
  <si>
    <t>Extensive suckler production</t>
  </si>
  <si>
    <t>calves from milk production, extensive</t>
  </si>
  <si>
    <t>other imported</t>
  </si>
  <si>
    <t>intensive indoor production</t>
  </si>
  <si>
    <t>Imported</t>
  </si>
  <si>
    <t>González-García, Sara
Gomez-Fernández, Zaira
Dias, Ana Cláudia
Feijoo, Gumersindo
Moreira, Mª Teresa
Arroja, Luis</t>
  </si>
  <si>
    <t>1.2 kg broilder chicken meat ready to be distributed</t>
  </si>
  <si>
    <t>/1.2</t>
  </si>
  <si>
    <t>Gollnow, Sebastian
Lundie, Sven
Moore, Andrew D.
McLaren, Jake
van Buuren, Neil
Stahle, Peter
Christie, Karen
Thylmann, Daniel
Rehl, Torsten</t>
  </si>
  <si>
    <t>East Canada</t>
  </si>
  <si>
    <t>Dyer, James A
Vergé, Xavier PC
Desjardins, Raymond L
Worth, Devon E</t>
  </si>
  <si>
    <t>per kg LW</t>
  </si>
  <si>
    <t>West Canada</t>
  </si>
  <si>
    <t>fish sticks</t>
  </si>
  <si>
    <t>based on Patagonian grenadier fishery</t>
  </si>
  <si>
    <t>Vázquez-Rowe, Ian
Villanueva-Rey, Pedro
Mallo, Juan
De la Cerda, Juan José
Moreira, Ma Teresa
Feijoo, Gumersindo</t>
  </si>
  <si>
    <t>1 package - 320g  edible product</t>
  </si>
  <si>
    <t>/.32</t>
  </si>
  <si>
    <t>Reunion Island (Indian Ocean)</t>
  </si>
  <si>
    <t>Thévenot, Alexandre
Aubin, Joël
Tillard, Emmanuel
Vayssières, Jonathan</t>
  </si>
  <si>
    <t>1 tonne bone-in chicken ready for retail</t>
  </si>
  <si>
    <t>Fluid milk, cow</t>
  </si>
  <si>
    <t>Central region</t>
  </si>
  <si>
    <t>Roer, Anne-Grete
Johansen, Astrid
Bakken, Anne Kjersti
Daugstad, Kristin
Fystro, Gustav
Strømman, Anders Hammer</t>
  </si>
  <si>
    <t>1 kg ECM</t>
  </si>
  <si>
    <t>Central southeast region</t>
  </si>
  <si>
    <t>Southwest region</t>
  </si>
  <si>
    <t>beef from dairy</t>
  </si>
  <si>
    <t>1 kg carcass (live weight*.5)</t>
  </si>
  <si>
    <t>/.667</t>
  </si>
  <si>
    <t>pasture based</t>
  </si>
  <si>
    <t>Ripoll-Bosch, R.
de Boer, I. J. M.
Bernués, A.
Vellinga, T. V.</t>
  </si>
  <si>
    <t>1 kg live weight, but also reports per kg lamb meat</t>
  </si>
  <si>
    <t>contributions: 7.9% CO2, 61.4% CH4, 30.5% N20</t>
  </si>
  <si>
    <t>mixed pasture &amp; concentrated feed</t>
  </si>
  <si>
    <t>contributions: 21% CO2, 57.6% CH4, 21.4% N21</t>
  </si>
  <si>
    <t>zero grazing (all concentrated feed)</t>
  </si>
  <si>
    <t>contributions: 29.1% CO2, 59.4% CH4, 11.5% N22</t>
  </si>
  <si>
    <t>Japanese ox-grassfed steers (Scone)</t>
  </si>
  <si>
    <t>Ridoutt, Bradley G
Page, Girija
Opie, Kimberley
Huang, Jing
Bellotti, William</t>
  </si>
  <si>
    <t>/0.667/0.602</t>
  </si>
  <si>
    <t>EU Cattle (Parkes)</t>
  </si>
  <si>
    <t>Inland weaners, grass fattened and feedlot finished (Walgett, Gunnedah, Quirindi)</t>
  </si>
  <si>
    <t>North coast weanters, grass fattened and feedlot finished (Casino, Glen Innes, Rangers Valley)</t>
  </si>
  <si>
    <t>Yearling (Gundagai)</t>
  </si>
  <si>
    <t>Yearling (Bathurst)</t>
  </si>
  <si>
    <t>olive</t>
  </si>
  <si>
    <t>conventional system</t>
  </si>
  <si>
    <t>Pergola, Maria
Favia, Mariafara
Palese, Assunta Maria
Perretti, Biagio
Xiloyannis, Cristos
Celano, Giuseppe</t>
  </si>
  <si>
    <t>kg olives</t>
  </si>
  <si>
    <t>sustainable system</t>
  </si>
  <si>
    <t>lemon</t>
  </si>
  <si>
    <t>Pergola, M
D'Amico, M
Celano, G
Palese, AM
Scuderi, A
Di Vita, G
Pappalardo, G
Inglese, P</t>
  </si>
  <si>
    <t>kg lemons</t>
  </si>
  <si>
    <t>kg oranges</t>
  </si>
  <si>
    <t>grass fed Normande cows</t>
  </si>
  <si>
    <t>Nguyen, T. T. H.
Doreau, M.
Corson, M. S.
Eugène, M.
Delaby, L.
Chesneau, G.
Gallard, Y.
van der Werf, H. M. G.</t>
  </si>
  <si>
    <t>considers LUC, but not included here; using biophysical allocation</t>
  </si>
  <si>
    <t>Grass fed Holstein cows</t>
  </si>
  <si>
    <t>grass with low proportion of corn silage, Holstein cows</t>
  </si>
  <si>
    <t>grass with high proportion of corn silage, Holstein cows</t>
  </si>
  <si>
    <t>grass with low proportion of corn silage, ration enriched with omega 3 fatty acids, Holstein cows</t>
  </si>
  <si>
    <t>grass with high proportion of corn silage, ration enriched with omega 3 fatty acids, Holstein cows</t>
  </si>
  <si>
    <t>carp and tilapia, feed 2, practice 1 (large farms, high fish stocking density,
generally appropriate feeding practice or water quality)</t>
  </si>
  <si>
    <t>West Java, Indonesia</t>
  </si>
  <si>
    <t>Mungkung, Rattanawan
Aubin, Joël
Prihadi, Tri Heru
Slembrouck, Jacques
van der Werf, Hayo MG
Legendre, Marc</t>
  </si>
  <si>
    <t>per tonne harvested fish</t>
  </si>
  <si>
    <t>/1000/.37 (FAO Yield and nutritional value of the commercially more important fish species…)</t>
  </si>
  <si>
    <t>carp and tilapia, feed 2, practice 2 (small farms and relatively lower fish stocking density, feeding efficiency or water quality than for practice 1)</t>
  </si>
  <si>
    <t>carp and tilapia, feed 3, practice 1 (large farms, high fish stocking density,
generally appropriate feeding practice or water quality)</t>
  </si>
  <si>
    <t>carp and tilapia, feed 4, practice 1 (large farms, high fish stocking density,
generally appropriate feeding practice or water quality)</t>
  </si>
  <si>
    <t>pedigree milk production index &lt;100kg, 338 kg concentrate feed per head per year</t>
  </si>
  <si>
    <t>Lovett, DK
Shalloo, L
Dillon, P
O’Mara, FP</t>
  </si>
  <si>
    <t>modelling approach to farm gate GHGE</t>
  </si>
  <si>
    <t>kg milk</t>
  </si>
  <si>
    <t>pedigree milk production index &lt;100kg, 736 kg concentrate feed per head per year</t>
  </si>
  <si>
    <t>pedigree milk production index &lt;100kg, 1403 kg concentrate feed per head per year</t>
  </si>
  <si>
    <t>pedigree milk production index 100kg-200kg, 338 kg concentrate feed per head per year</t>
  </si>
  <si>
    <t>pedigree milk production index 100kg-200kg, 736 kg concentrate feed per head per year</t>
  </si>
  <si>
    <t>pedigree milk production index 100kg-200kg, 1403 kg concentrate feed per head per year</t>
  </si>
  <si>
    <t>pedigree milk production index 200-300kg, 338 kg concentrate feed per head per year</t>
  </si>
  <si>
    <t>pedigree milk production index 200-300kg, 736 kg concentrate feed per head per year</t>
  </si>
  <si>
    <t>pedigree milk production index 200-300kg, 1403 kg concentrate feed per head per year</t>
  </si>
  <si>
    <t>braeburn apples, Hawke's Bay site #1</t>
  </si>
  <si>
    <t>Milà i Canals, L.
Burnip, G. M.
Cowell, S. J.</t>
  </si>
  <si>
    <t>1 tonne
harvested Grade 1 or 2 Braeburn apples at a central location
on the orchard ready for cool storage and/or packing</t>
  </si>
  <si>
    <t>braeburn apples, Hawke's Bay site #2</t>
  </si>
  <si>
    <t>braeburn apples, Hawke's Bay site #Ref</t>
  </si>
  <si>
    <t>/1002</t>
  </si>
  <si>
    <t>braeburn apples,Central Otago site #1</t>
  </si>
  <si>
    <t>/1003</t>
  </si>
  <si>
    <t>braeburn apples,Central Otago site #Ref</t>
  </si>
  <si>
    <t>/1004</t>
  </si>
  <si>
    <t>flatfish filet</t>
  </si>
  <si>
    <t>Thrane, Mikkel</t>
  </si>
  <si>
    <t>1 kg consumed frozen flatfish filet</t>
  </si>
  <si>
    <t>Dalgaard, Randi</t>
  </si>
  <si>
    <t>/0.729</t>
  </si>
  <si>
    <t>Japanese Wagyu beef</t>
  </si>
  <si>
    <t>Ogino, Akifumi
Orito, Hideki
Shimada, Kazuhiro
Hirooka, Hiroyuki</t>
  </si>
  <si>
    <t>study focuses on cow-calf stage but extrapolates to finished beef</t>
  </si>
  <si>
    <t>presents a value per kg retail beef; assuming this refers to boneless</t>
  </si>
  <si>
    <t>Berlin, Johanna
Sonesson, Ulf
Tillman, Anne‐Marie</t>
  </si>
  <si>
    <t>farmed salmon, filleted, frozen and delivered to consumer in Paris</t>
  </si>
  <si>
    <t>Ellingsen, H
Olaussen, JO
Utne, IB</t>
  </si>
  <si>
    <t>1 kg salmon fillet</t>
  </si>
  <si>
    <t>low temperature distribution</t>
  </si>
  <si>
    <t>Roy, Poritosh
Nei, Daisuke
Okadome, Hiroshi
Nakamura, Nobutaka
Orikasa, Takahiro
Shiina, Takeo</t>
  </si>
  <si>
    <t>value recorded in processing stage for low temp distribution is for cooling</t>
  </si>
  <si>
    <t>1000 kg</t>
  </si>
  <si>
    <t>modified atmosphere packaging distribution</t>
  </si>
  <si>
    <t>mass allocation</t>
  </si>
  <si>
    <t>Thomassen, Marlies A
Dalgaard, Randi
Heijungs, Reinout
De Boer, Imke</t>
  </si>
  <si>
    <t>cradle to farm gate (not logging consequestial results)</t>
  </si>
  <si>
    <t>economic allocation</t>
  </si>
  <si>
    <t>eastern Canada</t>
  </si>
  <si>
    <t>Vergé, X. P. C.
Dyer, J. A.
Desjardins, R. L.
Worth, D.</t>
  </si>
  <si>
    <t>farm gate.  Reporting values from 2001</t>
  </si>
  <si>
    <t>Western Canada</t>
  </si>
  <si>
    <t>Canada wide</t>
  </si>
  <si>
    <t>Norway Lobster, trawled</t>
  </si>
  <si>
    <t>Ziegler, Friederike
Valentinsson, Daniel</t>
  </si>
  <si>
    <t>.3 g edible meat (Norway Lobster tails) corresponding to 1 kg whole boiled lobster</t>
  </si>
  <si>
    <t>/.3</t>
  </si>
  <si>
    <t>Norway Lobster, creeled</t>
  </si>
  <si>
    <t>Edwards-Jones, G.
Plassmann, K.
Harris, I. M.</t>
  </si>
  <si>
    <t>/kg dead weight</t>
  </si>
  <si>
    <t>/0.658</t>
  </si>
  <si>
    <t>conventional, extensive</t>
  </si>
  <si>
    <t>/kg live weight</t>
  </si>
  <si>
    <t>extensive</t>
  </si>
  <si>
    <t>cod, processed, long liner fishing</t>
  </si>
  <si>
    <t>Guttormsdóttir, Aðalbjörg Birna</t>
  </si>
  <si>
    <t>1 kg of frozen light salted cod fillets caught in Icelandic sea</t>
  </si>
  <si>
    <t>cod, processed, bottom trawler fishing</t>
  </si>
  <si>
    <t>Hokazono, S
Hayashi, K
Sato, M</t>
  </si>
  <si>
    <t>1 kg brown rice</t>
  </si>
  <si>
    <t>sustainable</t>
  </si>
  <si>
    <t>british farms (outdoors)</t>
  </si>
  <si>
    <t>Hospido, Almudena
i Canals, Llorenç Milà
McLaren, Sarah
Truninger, Monica
Edwards-Jones, Gareth
Clift, Roland</t>
  </si>
  <si>
    <t>1 kg of lettuce delivered to a UK RDC</t>
  </si>
  <si>
    <t>Spanish farms (imported to UK)</t>
  </si>
  <si>
    <t>Lettuce, greenhouse</t>
  </si>
  <si>
    <t>British farms (with heating)</t>
  </si>
  <si>
    <t>british farms (without heating)</t>
  </si>
  <si>
    <t>Kasmaprapruet, Sakaorat
Paengjuntuek, Woranee
Saikhwan, Phanida
Phungrassami, Harnpon</t>
  </si>
  <si>
    <t>note that rice hulls are used as energy source for drying; this contribution is not included in the CED data</t>
  </si>
  <si>
    <t>1 kg milled rice at mill gate</t>
  </si>
  <si>
    <t>based on analysis of 119 Dutch dairy farms; economic allocation</t>
  </si>
  <si>
    <t>Thomassen, MA
Dolman, MA
Van Calker, KJ
De Boer, IJM</t>
  </si>
  <si>
    <t>SD=.3</t>
  </si>
  <si>
    <t>UK1 (~100 cow farm)</t>
  </si>
  <si>
    <t>Schroeder, Roberto
Aguiar, Luís Kluwe
Baines, Richard</t>
  </si>
  <si>
    <t>1 kg bone-free meat</t>
  </si>
  <si>
    <t>UK2 (~50 cow farm)</t>
  </si>
  <si>
    <t>Brazil (~300 cow farm)</t>
  </si>
  <si>
    <t>van der Werf, Hayo MG
Kanyarushoki, Claver
Corson, Michael S</t>
  </si>
  <si>
    <t>1000 kg FPCM</t>
  </si>
  <si>
    <t>CV=34%, n=6</t>
  </si>
  <si>
    <t>CV=12%, n=6</t>
  </si>
  <si>
    <t>CV=16%, n=41</t>
  </si>
  <si>
    <t>CV=14%, n=41</t>
  </si>
  <si>
    <t>aquaculture, salmon, fresh gutted to Paris</t>
  </si>
  <si>
    <t>Winther, Ulf
Ziegler, Friederike
Hognes, Erik Skontorp
Emanuelsson, Andreas
Sund, Veronica
Ellingsen, Harald</t>
  </si>
  <si>
    <t>1 kg edible product</t>
  </si>
  <si>
    <t>aquaculture, salmon, fresh gutted to Oslo</t>
  </si>
  <si>
    <t>aquaculture, salmon, fresh gutted to Moscow</t>
  </si>
  <si>
    <t>aquaculture, salmon, fresh gutted to Tokyo (by air)</t>
  </si>
  <si>
    <t>aquaculture, salmon, frozen gutted to Shanghai (by boat)</t>
  </si>
  <si>
    <t>aquaculture, salmon, fresh fillet to Paris</t>
  </si>
  <si>
    <t>aquaculture, salmon, frozen fillet to Paris</t>
  </si>
  <si>
    <t>aquaculture, blue mussels, Fresh to Paris</t>
  </si>
  <si>
    <t>wild capture, cod, fresh gutted to Paris</t>
  </si>
  <si>
    <t>wild capture, cod, fresh fillet to Oslo</t>
  </si>
  <si>
    <t>wild capture, cod, fresh fillet to Paris</t>
  </si>
  <si>
    <t>wild capture, cod, frozen fillet to Paris</t>
  </si>
  <si>
    <t>wild capture, cod, frozen fillet to Paris, via China</t>
  </si>
  <si>
    <t>wild capture, cod, saltfish to Lisbon</t>
  </si>
  <si>
    <t>wild capture, cod, clipfish to Lisbon</t>
  </si>
  <si>
    <t>wild capture, saithe, frozen fillets to Berlin</t>
  </si>
  <si>
    <t>wild capture, haddock, frozen gutted to London</t>
  </si>
  <si>
    <t>wild capture, haddock, fresh gutted to London</t>
  </si>
  <si>
    <t>wild capture, herring, round frozen to Moscow</t>
  </si>
  <si>
    <t>wild capture, herring, frozen fillet to Moscow</t>
  </si>
  <si>
    <t>wild capture, round frozen mackerel Tokyo</t>
  </si>
  <si>
    <t>wild capture, round frozen mackerel Moscow</t>
  </si>
  <si>
    <t>sub-clover</t>
  </si>
  <si>
    <t>Biswas, Wahidul K
Graham, John
Kelly, Kevin
John, Michele B</t>
  </si>
  <si>
    <t>/0.658/0.508</t>
  </si>
  <si>
    <t>mixed pasture</t>
  </si>
  <si>
    <t>combined purse seiner and pelagic trawler in NE Atlantic</t>
  </si>
  <si>
    <t xml:space="preserve"> Fet, Annik Magerholm
Schau, Erwin M
Haskins, Cecilia</t>
  </si>
  <si>
    <t>1 kg frozen fish fillet, delivered to Paris</t>
  </si>
  <si>
    <t>typical New Zealand production</t>
  </si>
  <si>
    <t>Ledgard, SF
Lieffering, M
McDevitt, J
Boyes, M
Kemp, R</t>
  </si>
  <si>
    <t>NZ lamb to UK</t>
  </si>
  <si>
    <t>100g portion of raw purchased meat</t>
  </si>
  <si>
    <t>assumed this is bone-free. X10</t>
  </si>
  <si>
    <t>Maraseni, Tek N
Cockfield, Geoff
Maroulis, Jerry
Chen, Guangnan</t>
  </si>
  <si>
    <t>t CO2e/t=kg co2e/kg</t>
  </si>
  <si>
    <t>beet, garden, roots</t>
  </si>
  <si>
    <t>cabbage</t>
  </si>
  <si>
    <t>pepper, bell</t>
  </si>
  <si>
    <t>pepper, nonbell</t>
  </si>
  <si>
    <t>pea, succulent</t>
  </si>
  <si>
    <t>fresh pod</t>
  </si>
  <si>
    <t>shelled</t>
  </si>
  <si>
    <t>cantaloupe</t>
  </si>
  <si>
    <t>watermelon</t>
  </si>
  <si>
    <t>mushroom</t>
  </si>
  <si>
    <t>sweet corn</t>
  </si>
  <si>
    <t>squash, summer</t>
  </si>
  <si>
    <t>specialized beef in grassland area, calf-to-weanling and fattend females</t>
  </si>
  <si>
    <t>Veysset, P
Lherm, M
Bébin, D</t>
  </si>
  <si>
    <t>/ton LW</t>
  </si>
  <si>
    <t>/1000/0.667/0.602</t>
  </si>
  <si>
    <t>specialized beef in grassland area, calf-to-weanling, 100% grassland farm</t>
  </si>
  <si>
    <t>specialized beef in grassland area, calf-to-beef, beef steer production</t>
  </si>
  <si>
    <t>mixed crop-livestock, calf-to-beef intensive baby beef production</t>
  </si>
  <si>
    <t>mixed crop-livestock, calf-to-weanling and cereals production</t>
  </si>
  <si>
    <t>wheat, grain</t>
  </si>
  <si>
    <t>non-organic; assessed via modelling/simulation</t>
  </si>
  <si>
    <t>Williams, Adrian G
Audsley, Eric
Sandars, Daniel L</t>
  </si>
  <si>
    <t>rapeseed</t>
  </si>
  <si>
    <t>organic; assessed via modelling/simulation</t>
  </si>
  <si>
    <t>striped catfish (Pangasianodon hypophthalmus), Mekong Delta</t>
  </si>
  <si>
    <t>Bosma, Roel
Anh, Pham Thi
Potting, José</t>
  </si>
  <si>
    <t>1 tonne fresh fish at farm gate</t>
  </si>
  <si>
    <t>Browne, Natalie A
Eckard, Richard J
Behrendt, Ralph
Kingwell, Ross S</t>
  </si>
  <si>
    <t>kg LW</t>
  </si>
  <si>
    <t>pasture</t>
  </si>
  <si>
    <t>pasture/supplement</t>
  </si>
  <si>
    <t xml:space="preserve">kg </t>
  </si>
  <si>
    <t>canola</t>
  </si>
  <si>
    <t>kg</t>
  </si>
  <si>
    <t>average of 60 Tasmanian dairy farms, estimated by GHGE calculator</t>
  </si>
  <si>
    <t>Australia (Tasmania)</t>
  </si>
  <si>
    <t>Christie, KM
Rawnsley, RP
Eckard, RJ</t>
  </si>
  <si>
    <t>.83-1.39, SD=.13, n=60</t>
  </si>
  <si>
    <t>National Farm Survey</t>
  </si>
  <si>
    <t>Foley, P. A.
Crosson, P.
Lovett, D. K.
Boland, T. M.
O’Mara, F. P.
Kenny, D. A.</t>
  </si>
  <si>
    <t>modeled production</t>
  </si>
  <si>
    <t>kg beef carcass</t>
  </si>
  <si>
    <t>/0.667</t>
  </si>
  <si>
    <t>Steer, moderate</t>
  </si>
  <si>
    <t>steer, intensive</t>
  </si>
  <si>
    <t>bull, moderate</t>
  </si>
  <si>
    <t>bull, intensive</t>
  </si>
  <si>
    <t>average of 45 model farms in 38 countries</t>
  </si>
  <si>
    <t>world</t>
  </si>
  <si>
    <t>Hagemann, Martin
Hemme, Torsten
Ndambi, Asaah
Alqaisi, Othman
Sultana, Mst Nadira</t>
  </si>
  <si>
    <t>SD=.49, n=45</t>
  </si>
  <si>
    <t>Aurora Organic Dairy (vertically integrated organic dairy)</t>
  </si>
  <si>
    <t>Heller, M. C.
Keoleian, G. A.</t>
  </si>
  <si>
    <t>reporting average of 2 years</t>
  </si>
  <si>
    <t>1 L packaged fluid milk</t>
  </si>
  <si>
    <t>1.035kg/L</t>
  </si>
  <si>
    <t xml:space="preserve">average of 41 intensive dairy farms in the Po valley </t>
  </si>
  <si>
    <t>Guerci, Matteo
Bava, Luciana
Zucali, Maddalena
Sandrucci, Anna
Penati, Chiara
Tamburini, Alberto</t>
  </si>
  <si>
    <t>Intensive dairy farms in Italy</t>
  </si>
  <si>
    <t>sd= 1.32; on-farm and off-farm values</t>
  </si>
  <si>
    <t>Guerci, Matteo
Knudsen, Marie Trydeman
Bava, Luciana
Zucali, Maddalena
Schönbach, Philipp
Kristensen, Troels</t>
  </si>
  <si>
    <t>Dairy farms in Denmark, Germany, and Italy</t>
  </si>
  <si>
    <t>cradle to farm gate; uses biological allocation</t>
  </si>
  <si>
    <t>Provides on-farm %s</t>
  </si>
  <si>
    <t>pasture based feeding in the summer</t>
  </si>
  <si>
    <t>confinement feeding</t>
  </si>
  <si>
    <t>confinement feeding; intensive farming</t>
  </si>
  <si>
    <t>an average for different forms (drinking, stirrable, and solid) of  yogurt</t>
  </si>
  <si>
    <t>González-García, Sara
Castanheira, Érica G.
Dias, Ana Cláudia
Arroja, Luis</t>
  </si>
  <si>
    <t>Environmental LCA of a diary product</t>
  </si>
  <si>
    <t>Final Disposal</t>
  </si>
  <si>
    <t>cradle to grave; uses mass allocation</t>
  </si>
  <si>
    <t>1 tonne yogurt at the household</t>
  </si>
  <si>
    <t>average for simple (whole, semi-skimmed, and skimmed) UHT milk and cocoa UHT milk</t>
  </si>
  <si>
    <t>Using LCA to assess UHT milk production</t>
  </si>
  <si>
    <t>cradle to factory gate; uses mass allocation</t>
  </si>
  <si>
    <t>San Simon da Costa cheese (a type of Galician cheese)</t>
  </si>
  <si>
    <t>González-García, Sara
Hospido, Almudena
Moreira, María Teresa
Feijoo, Gumersindo
Arroja, Luis</t>
  </si>
  <si>
    <t>Environmental LCA of a Galician cheese</t>
  </si>
  <si>
    <t>Wastewater treatment plant</t>
  </si>
  <si>
    <t>cradle to packaging; with waste included</t>
  </si>
  <si>
    <t>1 kg cheese packaged or ready to be consumed</t>
  </si>
  <si>
    <t>Golden delicious apple; West Viriginia</t>
  </si>
  <si>
    <t>Cerutti, Alessandro K.
Bruun, Sander
Donno, Dario
Beccaro, Gabriele L.
Bounous, Giancarlo</t>
  </si>
  <si>
    <t>Ancient apple cultivars in Northern Italy</t>
  </si>
  <si>
    <t>1 tonne of fruit</t>
  </si>
  <si>
    <t>Grigia di Torriana apple; Cueno, Italy</t>
  </si>
  <si>
    <t>Magnana apple; Torino, Italy</t>
  </si>
  <si>
    <t>Runse apple; Torino, Italy</t>
  </si>
  <si>
    <t>Melon</t>
  </si>
  <si>
    <t>Brazilian yellow melon; produced in non-heated greenhouses</t>
  </si>
  <si>
    <t>Brito de Figueirêdo, Maria Cléa
Kroeze, Carolien
Potting, José
da Silva Barros, Viviane
Sousa de Aragão, Fernando Antônio
Gondim, Rubens Sonsol
de Lima Santos, Tayane
de Boer, Imke J. M.</t>
  </si>
  <si>
    <t>Carbon footprint of Brazilian yellow melon</t>
  </si>
  <si>
    <t>cradle to transport to retail</t>
  </si>
  <si>
    <t>1 tonne of melon</t>
  </si>
  <si>
    <t>average of 30 dairy farms</t>
  </si>
  <si>
    <t>Bonesmo, Helge
Beauchemin, Karen A.
Harstad, Odd M.
Skjelvåg, Arne O.</t>
  </si>
  <si>
    <t>GHGE intensities of grass silage based dairy and beef production</t>
  </si>
  <si>
    <t>culled cows and heifers; average of 30 dairy farms</t>
  </si>
  <si>
    <t>young bulls; average of 30 dairy farms</t>
  </si>
  <si>
    <t>Queensland; conventional production</t>
  </si>
  <si>
    <t>Wiedemann, Stephen
McGahan, Eugene J
Poad, Glenn</t>
  </si>
  <si>
    <t>Chicken meat production Australia</t>
  </si>
  <si>
    <t>Other, government report</t>
  </si>
  <si>
    <t>/0.77</t>
  </si>
  <si>
    <t>South Australia; conventional production</t>
  </si>
  <si>
    <t>Seasonally grassfed Holstein-Friesian cows</t>
  </si>
  <si>
    <t>O’Brien, Donal
Shalloo, Laurence
Patton, Joe
Buckley, Frank
Grainger, Chris
Wallace, Michael</t>
  </si>
  <si>
    <t>LCA of seasonal grass-based and confinement dairy farms</t>
  </si>
  <si>
    <t>1 tonne FPCM</t>
  </si>
  <si>
    <t>Confinement fed Holstein-Friesian cows</t>
  </si>
  <si>
    <t>St-Sm (standard diet for cow-calf herd and silage maize starch for bull-fattening herd)</t>
  </si>
  <si>
    <t>Nguyen, T. T. H.
van der Werf, H. M. G.
Eugène, M.
Veysset, P.
Devun, J.
Chesneau, G.
Doreau, M.</t>
  </si>
  <si>
    <t>Effects of type of ration and allocation methods on the impacts of beef</t>
  </si>
  <si>
    <t>cradle to farm gate; considers LU/LUC but not reported here</t>
  </si>
  <si>
    <t>O3-SML (maximizing omega-3 fatty acids using wrapped grass silage for cow-calf herd and silage maize starch plus linseed, rich in omega 3s, for bull fattening herd)</t>
  </si>
  <si>
    <t>St-FC (standard diet for cow-calf herd and fiber-based concentrate for bull fattening herd)</t>
  </si>
  <si>
    <t>O3-SCL (maximizing omega-3 fatty acids using wrapped grass silage for cow-calf herd and starch-based concentrate plus linseed for bull fattening herd)</t>
  </si>
  <si>
    <t>Hokaido pumpkin; Small integrated vegetable production</t>
  </si>
  <si>
    <t>Schäfer, Florian
Blanke, Michael</t>
  </si>
  <si>
    <t>Farming and marketing system…case study using Hakaido pumpkin</t>
  </si>
  <si>
    <t>cradle to transport retail to consumer</t>
  </si>
  <si>
    <t>1 kg pumpkin ("saleable product")</t>
  </si>
  <si>
    <t>Included carbon footprint of transporting the pumpkin from retail to the consumer's household in "Retail"; no way to split this out</t>
  </si>
  <si>
    <t>Hokaido pumpkin; Small organic production</t>
  </si>
  <si>
    <t>Hokaido pumpkin; Large farm devoted to pumpkin production</t>
  </si>
  <si>
    <t>Imported to Germany from Mendoza; organic</t>
  </si>
  <si>
    <t>Tsukuba in the Ibaraki Prefecture</t>
  </si>
  <si>
    <t>Roy, Poritosh
Orikasa, Takahiro
Thammawong, Manasikan
Nakamura, Nobutaka
Xu, Qingyi
Shiina, Takeo</t>
  </si>
  <si>
    <t>Life cycle of meats in Japan</t>
  </si>
  <si>
    <t>1 kg meat</t>
  </si>
  <si>
    <t>Farm-gate values are from the literature (but assumed to be valid in Japan)</t>
  </si>
  <si>
    <t>Conventional; five-year average impact of rice cultivation while converting from conventional to organic production</t>
  </si>
  <si>
    <t>Hokazono, Shingo
Hayashi, Kiyotada</t>
  </si>
  <si>
    <t>Variability in environmental impacts…comparison among three rice production systems</t>
  </si>
  <si>
    <t>1 kg brown rice (dried and husked)</t>
  </si>
  <si>
    <t>Environmentally friendly production; five-year average impact of rice cultivation while converting from conventional to organic production</t>
  </si>
  <si>
    <t>Organic; five-year average impact of rice cultivation while converting from conventional to organic production</t>
  </si>
  <si>
    <t>High density model</t>
  </si>
  <si>
    <t>De Gennaro, B.
Notarnicola, B.
Roselli, L.
Tassielli, G.</t>
  </si>
  <si>
    <t>Innovative olive-growing models</t>
  </si>
  <si>
    <t>1 tonne olives</t>
  </si>
  <si>
    <t>Super high density model</t>
  </si>
  <si>
    <t>Melon, greenhouse</t>
  </si>
  <si>
    <t>Single company in southern Italy; rotating cycles in greenhouses</t>
  </si>
  <si>
    <t>Cellura, Maurizio
Longo, Sonia
Mistretta, Marina</t>
  </si>
  <si>
    <t>LCA of protected crops Italy</t>
  </si>
  <si>
    <t>1000 kg packaged vegetables</t>
  </si>
  <si>
    <t>Values for each LCA are not able to be broken down accurately</t>
  </si>
  <si>
    <t>Values for each LCA stage are not reported</t>
  </si>
  <si>
    <t>Pepper, greenhouse</t>
  </si>
  <si>
    <t>Zucchini, greenhouse</t>
  </si>
  <si>
    <t>Cherry tomato; single company in southern Italy; rotating cycles in greenhouses</t>
  </si>
  <si>
    <t>Average allocation attributional modelling</t>
  </si>
  <si>
    <t>Schmidt, Jannick Højrup
Dalgaard, Randi</t>
  </si>
  <si>
    <t>National and farm level carbon footprint of Danish and Sweish milk</t>
  </si>
  <si>
    <t>GHGE reported w/o ILUC</t>
  </si>
  <si>
    <t>PAS2050</t>
  </si>
  <si>
    <t>GHGE reported w/o DLUC</t>
  </si>
  <si>
    <t>IDF guideline</t>
  </si>
  <si>
    <t xml:space="preserve">Rainbow trout farmed in the Archipelago Sea area of the Baltic Sea </t>
  </si>
  <si>
    <t>Grönroos, Juha
Silvenius, Frans
Kankainen, Markus
Silvo, Kimmo
Mäkinen, Timo</t>
  </si>
  <si>
    <t>Life cycle impacts Baltic Sea</t>
  </si>
  <si>
    <t>Other, intergovernmental report</t>
  </si>
  <si>
    <t>1000 kg ungutted Rainbow trout</t>
  </si>
  <si>
    <t>/1000/0.65</t>
  </si>
  <si>
    <t>High quality milk; M1 study (follows PCR for milk)</t>
  </si>
  <si>
    <t>Fantin, Valentina
Buttol, Patrizia
Pergreffi, Roberto
Masoni, Paolo</t>
  </si>
  <si>
    <t>Life cycle asessment of Italian high quality milk production</t>
  </si>
  <si>
    <t>cradle to distribution</t>
  </si>
  <si>
    <t>1 liter HQ milk</t>
  </si>
  <si>
    <t>*1.035</t>
  </si>
  <si>
    <t>Packaging included in processing value- no way to separate</t>
  </si>
  <si>
    <t>High quality milk; M3 study (follows revised PCR for milk)</t>
  </si>
  <si>
    <t>Swedish lamb; average of 10 farms (3 conventional indoor breeding, 3 conventional outdoor breeding, &amp; 4 organic)</t>
  </si>
  <si>
    <t>Wallman, M
Cederberg, C
Sonesson, U</t>
  </si>
  <si>
    <t>Life cycle assessment of Swedish Lamb Production</t>
  </si>
  <si>
    <t>cradle to regional distribution center</t>
  </si>
  <si>
    <t>/.658</t>
  </si>
  <si>
    <t>Transport of animals to slaughter, energy use at slaughter house, packaging, and transport to regional distribution center all included in processing value- no way to separate</t>
  </si>
  <si>
    <t>Eight-week old, semi-hard Dutch cheese</t>
  </si>
  <si>
    <t>The Netherlands</t>
  </si>
  <si>
    <t>van Middelaar, C. E.
Berentsen, P. B. M.
Dolman, M. A.
de Boer, I. J. M.</t>
  </si>
  <si>
    <t>Eco-efficiency in the production chain of Dutch semi-hard cheese</t>
  </si>
  <si>
    <t>cradle to retail</t>
  </si>
  <si>
    <t>1 kg cheese</t>
  </si>
  <si>
    <t>Site A; Carbon Trust methodology; exported to Europe</t>
  </si>
  <si>
    <t>Not specified</t>
  </si>
  <si>
    <t>Lescot, Thierry</t>
  </si>
  <si>
    <t>Carbon footprint analysis in banana production</t>
  </si>
  <si>
    <t>1 ton bananas</t>
  </si>
  <si>
    <t>Site B; Carbon Trust methodology; exported to Europe</t>
  </si>
  <si>
    <t>Site B; LCA methodology; exported to Europe</t>
  </si>
  <si>
    <t>Site C; LCA methodology; exported to Europe</t>
  </si>
  <si>
    <t>average for Danish broiler chickens at 6 farms</t>
  </si>
  <si>
    <t>Nielsen, NI
Jørgensen, M
Bahrndorff, S</t>
  </si>
  <si>
    <t>GHGE from the Danish broiler production</t>
  </si>
  <si>
    <t>Poultry, other</t>
  </si>
  <si>
    <t>50% Fresh; 50% Frozen</t>
  </si>
  <si>
    <t>Typical Australian duck production</t>
  </si>
  <si>
    <t>Michael, David</t>
  </si>
  <si>
    <t>Carbon Reduction Benchmarks &amp; Strategies: New Animal Products</t>
  </si>
  <si>
    <t>/.45 from {Swanson, 1964 #663}</t>
  </si>
  <si>
    <t>Typical Australian farmed rabbit production</t>
  </si>
  <si>
    <t>1 kg live rabbit produced for ag stage; 1 kg carcass weight for processing and distribution stages</t>
  </si>
  <si>
    <t>/.795 from {Kirton, 1971 #664}</t>
  </si>
  <si>
    <t>Typical Australian emu enterprise</t>
  </si>
  <si>
    <t>per kg live carcass weighing 45 kg for ag production; per kg of dressed carcass weighing 24 kg for processing</t>
  </si>
  <si>
    <t>/.325 from http://posc.tamu.edu/wp-content/uploads/sites/20/2012/08/emuproduction1.pdf</t>
  </si>
  <si>
    <t>using economic allocation</t>
  </si>
  <si>
    <t>Fluid Milk, goat</t>
  </si>
  <si>
    <t>Typical Australian dairy goat enterprise</t>
  </si>
  <si>
    <t>Fluid Milk, sheep</t>
  </si>
  <si>
    <t>Typical Australian dairy sheep enterprise</t>
  </si>
  <si>
    <t>Sengalese southern pink shrimp; industrial fishing methods; exported to Europe</t>
  </si>
  <si>
    <t>Senegal</t>
  </si>
  <si>
    <t>Ziegler, Friederike
Emanuelsson, Andreas
Eichelsheim, John Lucas
Flysjö, Anna
Ndiaye, Vaque
Thrane, Mikkel</t>
  </si>
  <si>
    <t>LCA of Southern Pink Shrimp</t>
  </si>
  <si>
    <t>1 kg shrimp</t>
  </si>
  <si>
    <t>Packaging included in processing stage; Storage (during transport) and transport included in "distribution" stage</t>
  </si>
  <si>
    <t>Sengalese southern pink shrimp; artisanal fishing methods; exported to Europe</t>
  </si>
  <si>
    <t>Storage (during transport) and transport included in "distribution" stage</t>
  </si>
  <si>
    <t xml:space="preserve">Pasture-based dairy farm in Georgia; ISFM </t>
  </si>
  <si>
    <t>U.S.</t>
  </si>
  <si>
    <t>Belflower, Jeff B
Bernard, John K
Gattie, David K
Hancock, Dennis W
Risse, Lawrence M
Rotz, C Alan</t>
  </si>
  <si>
    <t>Case study of different dairy production systems in Georgia</t>
  </si>
  <si>
    <t>Farm-gate value excluding biogenic sources and sinks and with sequestration</t>
  </si>
  <si>
    <t>Confinement dairy in Georgia; ISFM</t>
  </si>
  <si>
    <t>Typical 2010 production; PAS2050 method</t>
  </si>
  <si>
    <t>Nguyen, T Lan T
Hermansen, John Erik
Mogensen, Lisbeth</t>
  </si>
  <si>
    <t>Environmental Assessment of Danish Pork</t>
  </si>
  <si>
    <t>Other, research center report</t>
  </si>
  <si>
    <t>1kg live weight for age production; 1 kg carcass weight for processing</t>
  </si>
  <si>
    <t>For ag production: /0.528; For processing: /0.729</t>
  </si>
  <si>
    <t>35 conventional farms with Holstein Friesian and Jersey cows</t>
  </si>
  <si>
    <t>Kristensen, Troels
Mogensen, Lisbeth
Knudsen, Marie Trydeman
Hermansen, John E</t>
  </si>
  <si>
    <t>Effect of Production system and farming on commercial dairy farms</t>
  </si>
  <si>
    <t>Biological allocation</t>
  </si>
  <si>
    <t>32 organic farms with Holstein Friesian cows</t>
  </si>
  <si>
    <t>Carbonated Beverages, Aluminum Packaging, w retail refrigeration</t>
  </si>
  <si>
    <t>Carbonated Beverages, PET 0.5 L Packaging, w retail refrigeration</t>
  </si>
  <si>
    <t>brown bean</t>
  </si>
  <si>
    <t>Tomato, greenhouse</t>
  </si>
  <si>
    <t>Beef from dairy</t>
  </si>
  <si>
    <t>Escarole, greenhouse</t>
  </si>
  <si>
    <t>Bean, snap, succulent, air freight</t>
  </si>
  <si>
    <t>Cucumber, greenhouse</t>
  </si>
  <si>
    <t>Strawberry, greenhouse</t>
  </si>
  <si>
    <t>Asparagus, air freight</t>
  </si>
  <si>
    <t>Lettuce, leaf, air freight</t>
  </si>
  <si>
    <t>number of times specific commodity appears in FCID recipe files</t>
  </si>
  <si>
    <t>Weight_Basis_ as defined by FCID</t>
  </si>
  <si>
    <t>Comments (from FCID)</t>
  </si>
  <si>
    <t>weight Conversion Factor</t>
  </si>
  <si>
    <t>UTILIZED IMPACT FACTORS</t>
  </si>
  <si>
    <t>ginger</t>
  </si>
  <si>
    <t>emdove</t>
  </si>
  <si>
    <t>apricot</t>
  </si>
  <si>
    <t>plum</t>
  </si>
  <si>
    <t>artichoke_globe</t>
  </si>
  <si>
    <t>escarole</t>
  </si>
  <si>
    <t>maple_syrup</t>
  </si>
  <si>
    <t>proxies: the collection of foods under each "sub type" header is defined with the name in the column to the left, and this name is used to look up proxy values in equations in the Food Impact Database</t>
  </si>
  <si>
    <t>https://doi.org/10.1088/1748-9326/aab0ac</t>
  </si>
  <si>
    <t>The methods used to compile this database are described in the journal article:</t>
  </si>
  <si>
    <t>Workbook Contents</t>
  </si>
  <si>
    <t>FCID Linkages</t>
  </si>
  <si>
    <r>
      <t>Heller MC, Willits-Smith A, Meyer R, Keoleian GA, Rose D (2018) Greenhouse gas emissions and energy use associated with production of individual self-selected U.S. diets.</t>
    </r>
    <r>
      <rPr>
        <sz val="12"/>
        <color rgb="FF000000"/>
        <rFont val="Calibri"/>
        <family val="2"/>
      </rPr>
      <t xml:space="preserve"> Environ Res Lett</t>
    </r>
    <r>
      <rPr>
        <sz val="12"/>
        <color rgb="FF000000"/>
        <rFont val="Calibri"/>
        <family val="2"/>
      </rPr>
      <t xml:space="preserve"> 13 </t>
    </r>
  </si>
  <si>
    <t>Pivot Table_GHG</t>
  </si>
  <si>
    <t>Pivot Table_CED</t>
  </si>
  <si>
    <t>PROXY def'ns</t>
  </si>
  <si>
    <t>scaled SD (group SD*food mean/group mean)</t>
  </si>
  <si>
    <t>SD (group or indiv food)</t>
  </si>
  <si>
    <t>proxy group mean</t>
  </si>
  <si>
    <t>farm gate (=1)</t>
  </si>
  <si>
    <t xml:space="preserve"> or processor gate (=2)?</t>
  </si>
  <si>
    <t>literature entries</t>
  </si>
  <si>
    <t>Bibliographic Reference</t>
  </si>
  <si>
    <t>Thoma, G., Popp, J., Nutter, D., Shonnard, D., Ulrich, R., Matlock, M., Kim, D. S., Neiderman, Z., Kemper, N., East, C. and Adom, F., Greenhouse gas emissions from milk production and consumption in the United States: A cradle-to-grave life cycle assessment circa 2008. International Dairy Journal 2013, 31 (1), S3-S14.</t>
  </si>
  <si>
    <t>Jones, A. K., Jones, D. L. and Cross, P., The carbon footprint of lamb: Sources of variation and opportunities for mitigation. Agricultural Systems 2014, 123, 97-107.</t>
  </si>
  <si>
    <t>Dekker, S. E. M., De Boer, I. J. M., Vermeij, I., Aarnink, A. J. A. and Koerkamp, P. W. G. G., Ecological and economic evaluation of Dutch egg production systems. Livestock Science 2011, 139 (1-2), 109-121.</t>
  </si>
  <si>
    <t>Wiedemann, S., Mcgahan, E., Murphy, C., Yan, M.-J., Henry, B., Thoma, G. and Ledgard, S., Environmental impacts and resource use of Australian beef and lamb exported to the USA determined using life cycle assessment. Journal of Cleaner Production 2015, 94, 67-75.</t>
  </si>
  <si>
    <t>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t>
  </si>
  <si>
    <t>Hospido, A., Moreira, M. T. and Feijoo, G., Simplified life cycle assessment of galician milk production. International Dairy Journal 2003, 13 (10), 783-796.</t>
  </si>
  <si>
    <t>Nielsen, N., Jørgensen, M. and Rasmussen, I., Greenhouse Gas Emissions from Danish Organic Egg Production estimated via LCA Methodology. 2013, 1-27.</t>
  </si>
  <si>
    <t>Penati, C. A., Tamburini, A., Bava, L., Zucali, M. and Milano, U., Environmental impact of cow milk production in the central Italian Alps using Life Cycle Assessment. Italian Journal of Animal Science 2013, 12 (96), 584-592.</t>
  </si>
  <si>
    <t>Kim, D., Thoma, G., Nutter, D., Milani, F., Ulrich, R. and Norris, G., Life cycle assessment of cheese and whey production in the USA. The International Journal of Life Cycle Assessment 2013, 18 (5), 1019-1035.</t>
  </si>
  <si>
    <t>Cederberg, C., Sonesson, U., Henriksson, M., Sund, V. and Davis, J., Greenhouse gas emissions from Swedish consumption of meat, milk and eggs 1990 and 2005. 2009, 1-97.</t>
  </si>
  <si>
    <t>Taylor, R. C., Omed, H. and Edwards-Jones, G., The greenhouse emissions footprint of free-range eggs. Poultry science 2014, 93 (1), 231-7.</t>
  </si>
  <si>
    <t>Broekema, R. and Kramer, G., LCA of Dutch semi-skimmed milk and semi-mature cheese. Blonk Consultants; 2014, 1-58.</t>
  </si>
  <si>
    <t>Berlin, J., Environmental life cycle assessment (LCA) of Swedish semi-hard cheese. International Dairy Journal 2002, 12, 939-953.</t>
  </si>
  <si>
    <t>Djekic, I., Miocinovic, J., Tomasevic, I., Smigic, N. and Tomic, N., Environmental life-cycle assessment of various dairy products. Journal of Cleaner Production 2014, 68, 64-72.</t>
  </si>
  <si>
    <t>Pelletier, N., Ibarburu, M. and Xin, H., A carbon footprint analysis of egg production and processing supply chains in the Midwestern United States. Journal of Cleaner Production 2013, 54, 108-114.</t>
  </si>
  <si>
    <t>Pelletier, N., Ibarburu, M. and Xin, H., Comparison of the environmental footprint of the egg industry in the United States in 1960 and 2010. Poultry science 2014, 93 (2), 241-55.</t>
  </si>
  <si>
    <t>Palma, G., Padilla, M., Saheb, M., Tatar, Y., Tugulay, A. and Kellou, I., Environmental impact of processed tomato in France and in Turkey. Proceedings of the 9th International Conference on Life Cycle Assessment in the Agri-Food Sector 2014,  (October), .</t>
  </si>
  <si>
    <t>Manfredi, M. and Vignali, G., Life cycle assessment of a packaged tomato puree: a comparison of environmental impacts produced by different life cycle phases. Journal of Cleaner Production 2014, 73, 275-284.</t>
  </si>
  <si>
    <t>Verge, X. P. C., Maxime, D., Dyer, J. A., Desjardins, R. L., Arcand, Y. and Vanderzaag, A., Carbon footprint of Canadian dairy products: Calculations and issues. Journal of Dairy Science 2013, 96, 1-14.</t>
  </si>
  <si>
    <t>Del Borghi, A., Gallo, M., Strazza, C. and Del Borghi, M., An evaluation of environmental sustainability in the food industry through Life Cycle Assessment: The case study of tomato products supply chain. Journal of Cleaner Production 2014, 78, 121-130.</t>
  </si>
  <si>
    <t>Brodt, S. B., Jan, K., Kendall, A. and Feenstra, G., Comparing environmental impacts of regional and national-scale food supply chains : A case study of processed tomatoes. JOURNAL OF FOOD POLICY 2013, 42, 106-114.</t>
  </si>
  <si>
    <t>Theurl, M. C., Haberl, H., Erb, K. H. and Lindenthal, T., Contrasted greenhouse gas emissions from local versus long-range tomato production. Agronomy for Sustainable Development 2014, 34, 593-602.</t>
  </si>
  <si>
    <t>Roibas, L., Elbehri, A. and Hospido, A., Evaluating the sustainability of Ecuadorian bananas: Carbon footprint, water usage and wealth distribution along the supply chain. Sustainable Production and Consumption 2015, 2 (July), 3-16.</t>
  </si>
  <si>
    <t>Gerber, P., Vellinga, T., Dietze, K., Falcucci, A., Gianni, G., Mounsey, J., Maiorano, L., Opio, C., Sironi, D., Thieme, O. and Weiler, V., Greenhouse gas emissions from the dairy sector: A life cycle assessment. FAO; 2010, 1-96.</t>
  </si>
  <si>
    <t>Nilsson, K., Flysjö, A., Davis, J., Sim, S., Unger, N. and Bell, S., Comparative life cycle assessment of margarine and butter consumed in the UK, Germany and France. International Journal of Life Cycle Assessment 2010, 15 (9), 916-926.</t>
  </si>
  <si>
    <t>Espinoza-Orias, N., Stichnothe, H. and Azapagic, A., The carbon footprint of bread. The International Journal of Life Cycle Assessment 2011, 16, 351-365.</t>
  </si>
  <si>
    <t>Macleod, M., Gerber, P., Mottet, A., Tempio, G., Falcucci, A., Opio, C., Vellinga, T., Henderson, B. and Steinfeld, H., Greenhouse gas emissions from pig and chicken supply chains - A global life cycle assessment. Rome: FAO; 2013. Report No.: 9789251079447.</t>
  </si>
  <si>
    <t>Lupo, C. D., Clay, D. E., Benning, J. L. and Stone, J. J., Life-cycle assessment of the beef cattle production system for the northern great plains, USA. Journal of environmental quality 2013, 42 (5), 1386-94.</t>
  </si>
  <si>
    <t>Pelletier, N., Pirog, R. and Rasmussen, R., Comparative life cycle environmental impacts of three beef production strategies in the Upper Midwestern United States. Agricultural Systems 2010, 103 (6), 380-389.</t>
  </si>
  <si>
    <t>Peters, G. M., Rowley, H. V., Wiedemann, S., Tucker, R., Short, M. D. and Schulz, M., Red Meat Production in Australia: Life Cycle Assessment and Comparison with Overseas Studies. Environmental Science &amp; Technology 2010, 44 (4), 1327-1332.</t>
  </si>
  <si>
    <t>Battagliese, T., Andrade, J., Schulze, I., Uhlman, B. and Barcan, C., More Sustainable Beef Optimization Project Phase 1. BASF; 2013.</t>
  </si>
  <si>
    <t>Beauchemin, K. A., Janzen, H. H., Little, S. M., Mcallister, T. A. and Mcginn, S. M., Life cycle assessment of greenhouse gas emissions from beef production in western Canada: A case study. Agricultural Systems 2010, 103 (6), 371-379.</t>
  </si>
  <si>
    <t>Nguyen, T. L. T., Hermansen, J. E. and Mogensen, L., Environmental consequences of different beef production systems in the EU. Journal of Cleaner Production 2010, 18 (8), 756-766.</t>
  </si>
  <si>
    <t>Opio, C., Gerber, P., Mottet, A., Falcucci, A., Tempio, G., Macleod, M., Vellinga, T., Henderson, B. and Steinfeld, H., Greenhouse gas emissions from ruminant supply chains – A global life cycle assessment. Rome: FAO; 2013. Report No.: 9789251079454.</t>
  </si>
  <si>
    <t>Capper, J. L. and Hayes, D. J., The environmental and economic impact of removing growth-enhancing technologies from U . S . beef production. Journal of Animal Science 2012, 90, 3527-3537.</t>
  </si>
  <si>
    <t>Stackhouse-Lawson, K. R., Rotz, C. A., Oltjen, J. W. and Mitloehner, F. M., Carbon footprint and ammonia emissions of California beef production systems 1. Journal of Animal Science 2012, 90 (12), 4641-4655.</t>
  </si>
  <si>
    <t>Mogensen, L., Kristensen, T., Nielsen, N. I., Spleth, P., Henriksson, M., Swensson, C., Hessle, A. and Vestergaard, M., Greenhouse gas emissions from beef production systems in Denmark and Sweden. Livestock Science 2015, 174, 126-143.</t>
  </si>
  <si>
    <t>Head, M., Sevenster, M. and Croezen, H., Life Cycle Impacts of Protein- rich Foods for Superwijzer. Delft, Netherlands; 2011, 1-70.</t>
  </si>
  <si>
    <t>Craig, A. J., Blanco, E. E. and Sheffi, Y., ESD Working Paper Series A Supply Chain View of Product Carbon Footprints : Results from the Banana Supply Chain 2012,  (ESD-WP-2012-25), .</t>
  </si>
  <si>
    <t>Svanes, E. and Aronsson, A. K. S., Carbon footprint of a Cavendish banana supply chain. The International Journal of Life Cycle Assessment 2013, 18 (8), 1450-1464.</t>
  </si>
  <si>
    <t>Sikirica, N., Water Footprint Assessment Bananas and Pineapples: Dole Food Company. 2011, 1-41.</t>
  </si>
  <si>
    <t>Luske, B., Comprehensive carbon footprint assessment. Dole bananas. Soil and More International 2010,  (2010), 1-45.</t>
  </si>
  <si>
    <t>Bimpeh, M., Djokoto, E., Doe, H. and Jequier, R., Life Cycle Assessment ( LCA ) of the Production of Home made and Industrial Bread in Sweden. KTH; 2006, 1-25.</t>
  </si>
  <si>
    <t>Grönroos, J., Seppälä, J., Voutilainen, P., Seuri, P. and Koikkalainen, K., Energy use in conventional and organic milk and rye bread production in Finland. Agriculture, Ecosystems and Environment 2006, 117, 109-118.</t>
  </si>
  <si>
    <t>Williams, A. G. a. E. S. D. L., Determining the environmental burdens and resource use in the production of agricultural and horticultural commoditites. Main report. Defra Research Project IS0205. Bedford: Cranfield University and Defra. 2006,  (Mlc), .</t>
  </si>
  <si>
    <t>Jensen, J. K. and Arlbjørn, J. S., Product carbon footprint of rye bread. Journal of Cleaner Production 2014, 82, 45-57.</t>
  </si>
  <si>
    <t>Muñoz, I., Schmidt, J. H. and Dalgaard, R., Comparative life cycle assessment of five different vegetable oils. 9th International Conference LCA of Food San Francisco, USA 8-10 October 2014.</t>
  </si>
  <si>
    <t>Avraamides, M. and Fatta, D., Resource consumption and emissions from olive oil production: a life cycle inventory case study in Cyprus. Journal of Cleaner Production 2008, 16 (7), 809-821.</t>
  </si>
  <si>
    <t> Nucci, B., Puccini, M., Pelagagge, L., Vitolo, S. and Nicolella, C., Improving the environmental performance of vegetable oil processing through LCA. Journal of Cleaner Production 2014, 64, 310-322.</t>
  </si>
  <si>
    <t>Salomone, R. and Ioppolo, G., Environmental impacts of olive oil production: A Life Cycle Assessment case study in the province of Messina (Sicily). Journal of Cleaner Production 2012, 28, 88-100.</t>
  </si>
  <si>
    <t>Cederberg, C., Sonesson, U., Henriksson, M., Sund, V. and Davis, J., Greenhouse gas emissions from Swedish consumption of meat, milk and eggs 1990 and 2005. SIK Report No. 793, 2009, 1-97.</t>
  </si>
  <si>
    <t>Kendall, A., Yuan, J. and Brodt, S. B., Carbon footprint and air emissions inventories for US honey production: Case studies. International Journal of Life Cycle Assessment 2013, 18 (2), 392-400.</t>
  </si>
  <si>
    <t>Steenwerth, K. L., Strong, E. B., Greenhut, R. F., Williams, L. and Kendall, A., Life cycle greenhouse gas, energy, and water assessment of wine grape production in California. The International Journal of Life Cycle Assessment 2015, 20 (9), 1243-1253.</t>
  </si>
  <si>
    <t>Moudry Jr, J., Jelinkova, Z., Jaresova, M., Plch, R., Moudry, J. and Konvalina, P., Assessing greenhouse gas emissions from potato production and processing in the Czech Republic. Outlook on Agriculture 2013, 42 (3), 179-183.</t>
  </si>
  <si>
    <t>Röös, E., Sundberg, C. and Hansson, P. A., Uncertainties in the carbon footprint of food products: A case study on table potatoes. International Journal of Life Cycle Assessment 2010, 15 (5), 478-488.</t>
  </si>
  <si>
    <t>Foteinis, S. and Chatzisymeon, E., Life cycle assessment of organic versus conventional agriculture. A case study of lettuce cultivation in Greece. Journal of Cleaner Production 2016, 112, 2462-2471.</t>
  </si>
  <si>
    <r>
      <t xml:space="preserve">Bartzas, G., Zaharaki, D. and Komnitsas, K., Life cycle assessment of open field and greenhouse cultivation of lettuce and barley. Information Processing in Agriculture 2015, </t>
    </r>
    <r>
      <rPr>
        <i/>
        <sz val="12"/>
        <color rgb="FF000000"/>
        <rFont val="Calibri"/>
        <family val="2"/>
      </rPr>
      <t>2</t>
    </r>
    <r>
      <rPr>
        <sz val="12"/>
        <color rgb="FF000000"/>
        <rFont val="Calibri"/>
        <family val="2"/>
      </rPr>
      <t>(3-4), 191-207.</t>
    </r>
  </si>
  <si>
    <t>Romero-Gámez, M., Audsley, E. and Suárez-Rey, E. M., Life cycle assessment of cultivating lettuce and escarole in Spain. Journal of Cleaner Production 2014, 73, 193-203.</t>
  </si>
  <si>
    <t>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t>
  </si>
  <si>
    <t>Doublet, G., Jungbluth, N., Flury, K., Stucki, M. and Schori, S., Life cycle assessment of orange juice. SENSE-Harmonised Environmental Sustainability in the European food and drink chain, Zürich: ESU-services Ltd; 2013.</t>
  </si>
  <si>
    <t>Dwivedi, P., Spreen, T. and Goodrich-Schneider, R., Global warming impact of Florida's Not-From-Concentrate (NFC) orange juice. Agricultural Systems 2012, 108, 104-111.</t>
  </si>
  <si>
    <t>Johansson, D., Life cycle assessment ( LCA ) of apples- A comparison between apples produced in Sweden, Italy and Argentina. Master thesis, Swedish University of Agricultural Sciences, Alnarp, 2015.</t>
  </si>
  <si>
    <t>Milà I Canals, L., Burnip, G. M. and Cowell, S. J., Evaluation of the environmental impacts of apple production using Life Cycle Assessment (LCA): Case study in New Zealand. Agriculture, Ecosystems &amp; Environment 2006, 114, 226-238.</t>
  </si>
  <si>
    <t>Mouron, P., Nemecek, T., Scholz, R. W. and Weber, O., Management influence on environmental impacts in an apple production system on Swiss fruit farms: Combining life cycle assessment with statistical risk assessment. Agriculture, Ecosystems and Environment 2006, 114 (2-4), 311-322.</t>
  </si>
  <si>
    <t>Ponsioen, T. and Blonk, H., Case studies for more insight into the methodology and composition of carbon footprints of table potatoes and chips. Blonk Milieuadvies; 2011,  (July), 27.</t>
  </si>
  <si>
    <t>Syp, A., Faber, A., Borzecka-Walker, M. and Osuch, D., Assessment of Greenhouse Gas Emissions in Winter Wheat Farms Using Data Envelopment Analysis Approach. Polish Journal of Environmental Studies 2015, 24 (5), 2197-2203.</t>
  </si>
  <si>
    <t>Leiva, F. J., Saenz-Díez, J. C., Martínez, E., Jiménez, E. and Blanco, J., Environmental impact of Agaricus bisporus cultivation process. European Journal of Agronomy 2015, 71, 141-148.</t>
  </si>
  <si>
    <t>Foster, C., Guében, C., Holmes, M., Wiltshire, J. and Wynn, S., The environmental effects of seasonal food purchase: a raspberry case study. Journal of Cleaner Production 2014, 73, 269-274.</t>
  </si>
  <si>
    <t>Aguilera, E., Guzmán, G. and Alonso, A., Greenhouse gas emissions from conventional and organic cropping systems in Spain. II. Fruit tree orchards. Agronomy for Sustainable Development 2015, 35 (2), 725-737.</t>
  </si>
  <si>
    <t>Canals, L. M. I., Muñoz, I., Hospido, A., Plassmann, K. and Mclaren, S., Life Cycle Assessment (LCA) of domestic vs. imported vegetables. Case studies on broccoli, salad crops and green beans. United Kingdom, Centre for Environmental Strategy, University of Surrey 2008, 46-46.</t>
  </si>
  <si>
    <t>Girgenti, V., Peano, C., Bounous, M. and Baudino, C., A life cycle assessment of non-renewable energy use and greenhouse gas emissions associated with blueberry and raspberry production in northern Italy. The Science of the total environment 2013, 458-460, 414-8.</t>
  </si>
  <si>
    <t>Venkat, K., Comparison of Twelve Organic and Conventional Farming Systems: A Life Cycle Greenhouse Gas Emissions Perspective. Journal of Sustainable Agriculture 2012, 36 (6), 620-649.</t>
  </si>
  <si>
    <t>Ingwersen, W. W., Life cycle assessment of fresh pineapple from Costa Rica. Journal of Cleaner Production 2012, 35, 152-163.</t>
  </si>
  <si>
    <t>Stoessel, F., Juraske, R., Pfister, S. and Hellweg, S., Life cycle inventory and carbon and water foodprint of fruits and vegetables: Application to a swiss retailer. Environmental Science and Technology 2012, 46 (6), 3253-3262.</t>
  </si>
  <si>
    <t>Thoma, G., Martin, R. E., Nutter, D., Ulrich, R., Maxwell, C., Frank, J. and East, C., National Life Cycle Carbon Footprint Study for Production of US Swine. National Pork Board; 2011.</t>
  </si>
  <si>
    <t>Reckmann, K., Traulsen, I. and Krieter, J., Life Cycle Assessment of pork production: A data inventory for the case of Germany. Livestock Science 2013, 157 (2-3), 586-596.</t>
  </si>
  <si>
    <t>Mcauliffe, G. A., Chapman, D. V. and Sage, C. L., A thematic review of life cycle assessment (LCA) applied to pig production. Environmental Impact Assessment Review 2016, 56, 12-22.</t>
  </si>
  <si>
    <t>Halberg, N., Hermansen, J. E., Kristensen, I. S., Eriksen, J., Tvedegaard, N. and Petersen, B. M., Impact of organic pig production systems on CO2 emission, C sequestration and nitrate pollution. Agronomy for Sustainable Development 2010, 30 (4), 721-731.</t>
  </si>
  <si>
    <t>Pelletier, N., Lammers, P., Stender, D. and Pirog, R., Life cycle assessment of high- and low-profitability commodity and deep-bedded niche swine production systems in the Upper Midwestern United States. Agricultural Systems 2010, 103 (9), 599-608.</t>
  </si>
  <si>
    <t>Wiedemann, S., Mcgahan, E., Grist, S. and Grant, T., Environmental Assessment of Two Pork Supply Chains Using Life Cycle Assessment. Rural Industries Research and Development Corporation of the Australian Government; 2010. Report No.: RIRDC Pub. No. 09/176.</t>
  </si>
  <si>
    <t>Dolman, M. A., Vrolijk, H. C. J. and De Boer, I. J. M., Exploring variation in economic, environmental and societal performance among Dutch fattening pig farms. Livestock Science 2012, 149 (1-2), 143-154.</t>
  </si>
  <si>
    <t>Nguyen, T. L. T., Hermansen, J. E. and Mogensen, L., Environmental costs of meat production: the case of typical EU pork production. Journal of Cleaner Production 2012, 28, 168-176.</t>
  </si>
  <si>
    <t>Dourmad, J. Y., Ryschawy, J., Trousson, T., Bonneau, M., Gonzàlez, J., Houwers, H. W. J., Hviid, M., Zimmer, C., Nguyen, T. L. T. and Morgensen, L., Evaluating environmental impacts of contrasting pig farming systems with life cycle assessment. Animal 2014, 8 (12), 2027-2037.</t>
  </si>
  <si>
    <t>Jones, A. C. and Cherruault, J.-Y., Comparative LCA of Pork Production for Midland Pig Producers. Sustain; 2011, 32.</t>
  </si>
  <si>
    <t>Pelletier, N., Environmental performance in the US broiler poultry sector: Life cycle energy use and greenhouse gas, ozone depleting, acidifying and eutrophying emissions. Agricultural Systems 2008, 98 (2), 67-73.</t>
  </si>
  <si>
    <t>Vergé, X. P. C., Dyer, J. A., Desjardins, R. L. and Worth, D., Long-term trends in greenhouse gas emissions from the Canadian poultry industry. Journal of Applied Poultry Research 2009, 18 (2), 210-222.</t>
  </si>
  <si>
    <t>Leinonen, I., Williams, A. G., Wiseman, J., Guy, J. and Kyriazakis, I., Predicting the environmental impacts of chicken systems in the United Kingdom through a life cycle assessment: Egg production systems. Poultry Science 2012, 91 (1), 26-40.</t>
  </si>
  <si>
    <t>Hospido, A. and Tyedmers, P., Life cycle environmental impacts of Spanish tuna fisheries. Fisheries Research 2005, 76 (2), 174-186.</t>
  </si>
  <si>
    <t>D’orbcastel, E. R., Blancheton, J.-P. and Aubin, J., Towards environmentally sustainable aquaculture: Comparison between two trout farming systems using Life Cycle Assessment. Aquacultural Engineering 2009, 40 (3), 113-119.</t>
  </si>
  <si>
    <t>Iribarren, D., Moreira, M. T. and Feijoo, G., Revisiting the Life Cycle Assessment of mussels from a sectorial perspective. Journal of Cleaner Production 2010, 18 (2), 101-111.</t>
  </si>
  <si>
    <t>Vázquez-Rowe, I., Moreira, M. T. and Feijoo, G., Life cycle assessment of horse mackerel fisheries in Galicia (NW Spain): Comparative analysis of two major fishing methods. Fisheries Research 2010, 106 (3), 517-527.</t>
  </si>
  <si>
    <t>Vázquez-Rowe, I., Moreira, M. T. and Feijoo, G., Life Cycle Assessment of fresh hake fillets captured by the Galician fleet in the Northern Stock. Fisheries Research 2011, 110 (1), 128-135.</t>
  </si>
  <si>
    <t>Vázquez-Rowe, I., Villanueva-Rey, P., Mallo, J., De La Cerda, J. J., Moreira, M. T. and Feijoo, G., Carbon footprint of a multi-ingredient seafood product from a business-to-business perspective. Journal of Cleaner Production 2013, 44, 200-210.</t>
  </si>
  <si>
    <t>Humbert, S., Loerincik, Y., Rossi, V., Margni, M. and Jolliet, O., Life cycle assessment of spray dried soluble coffee and comparison with alternatives (drip filter and capsule espresso). Journal of Cleaner Production 2009, 17 (15), 1351-1358.</t>
  </si>
  <si>
    <t>Büsser, S. and Jungbluth, N., The role of flexible packaging in the life cycle of coffee and butter. The International Journal of Life Cycle Assessment 2009, 14 (1), 80-91.</t>
  </si>
  <si>
    <t>Azapagic, A., Bore, J., Cheserek, B., Kamunya, S. and Elbehri, A., The global warming potential of production and consumption of Kenyan tea. Journal of Cleaner Production 2016, 112, 4031-4040.</t>
  </si>
  <si>
    <t>Doublet, G. and Jungbluth, N., Life cycle assessment of drinking Darjeeling tea. ESU-Services Ltd; 2010, 1-18.</t>
  </si>
  <si>
    <t>Amienyo, D., Gujba, H., Stichnothe, H. and Azapagic, A., Life cycle environmental impacts of carbonated soft drinks. The International Journal of Life Cycle Assessment 2012, 18 (1), 77-92.</t>
  </si>
  <si>
    <t>Vázquez-Rowe, I., Moreira, M. T. and Feijoo, G., Environmental assessment of frozen common octopus (Octopus vulgaris) captured by Spanish fishing vessels in the Mauritanian EEZ. Marine Policy 2012, 36, 180-188.</t>
  </si>
  <si>
    <t>Farmery, A. K., Gardner, C., Green, B. S. and Jennings, S., Managing fisheries for environmental performance: the effects of marine resource decision-making on the footprint of seafood. Journal of Cleaner Production 2014, 64, 368-376.</t>
  </si>
  <si>
    <t>Ziegler, F., Winther, U., Hognes, E. S., Emanuelsson, A., Sund, V. and Ellingsen, H., The Carbon Footprint of Norwegian Seafood Products on the Global Seafood Market. Journal of Industrial Ecology 2013, 17 (1), 103-116.</t>
  </si>
  <si>
    <t>Driscoll, J., Boyd, C. and Tyedmers, P., Life cycle assessment of the Maine and southwest Nova Scotia lobster industries. Fisheries Research 2015, 172, 385-400.</t>
  </si>
  <si>
    <t>Buchspies, B., Tölle, S. and Jungbluthy, N., Life Cycle Assessment of High-Sea Fish and Salmon Aquaculture. Switzerland: ESU-services Ltd.; 2011.</t>
  </si>
  <si>
    <t>Aubin, J., Papatryphon, E., Van Der Werf, H. and Chatzifotis, S., Assessment of the environmental impact of carnivorous finfish production systems using life cycle assessment. Journal of Cleaner Production 2009, 17 (3), 354-361.</t>
  </si>
  <si>
    <t>Pelletier, N., Tyedmers, P., Sonesson, U., Scholz, A., Ziegler, F., Flysjö, A., Kruse, S., Cancino, B. and Silverman, H., Not all salmon are created equal: Life cycle assessment (LCA) of global salmon farming systems. Environmental Science and Technology 2009, 43 (23), 8730-8736.</t>
  </si>
  <si>
    <t>Ayer, N. W. and Tyedmers, P. H., Assessing alternative aquaculture technologies: life cycle assessment of salmonid culture systems in Canada. Journal of Cleaner Production 2009, 17 (3), 362-373.</t>
  </si>
  <si>
    <t>Pelletier, N. and Tyedmers, P., Life cycle assessment of frozen tilapia fillets from indonesian lake-based and pond-based intensive aquaculture systems. Journal of Industrial Ecology 2010, 14 (3), 467-481.</t>
  </si>
  <si>
    <t>Nilsson, K., Sund, V. and Florén, B., The environmental impact of the consumption of sweets, crisps and soft drinks. TemaNord 2011:509.</t>
  </si>
  <si>
    <t>Fulton, S., Fish and Fuel: Life Cycle Greenhouse Gas Emissions Associated With Icelandic Cod, Alaskan Pollock, and Alaskan Pink Salmon Fillets Delivered To the United Kingdom. Master thesis, Dalhousie University, Halifax, Nova Scotia, 2010.</t>
  </si>
  <si>
    <t>Cao, L., Diana, J. S., Keoleian, G. A. and Lai, Q., Life cycle assessment of Chinese shrimp farming systems targeted for export and domestic sales. Environmental science &amp; technology 2011, 45 (15), 6531-8.</t>
  </si>
  <si>
    <t>Svanes, E., Vold, M. and Hanssen, O. J., Environmental assessment of cod (Gadus morhua) from autoline fisheries. The International Journal of Life Cycle Assessment 2011, 16 (7), 611-624.</t>
  </si>
  <si>
    <t>Jerbi, M., Aubin, J., Garnaoui, K., Achour, L. and Kacem, A., Life cycle assessment (LCA) of two rearing techniques of sea bass (Dicentrarchus labrax). Aquacultural Engineering 2012, 46, 1-9.</t>
  </si>
  <si>
    <t>Nikkhah, A., Khojastehpour, M., Emadi, B., Taheri-Rad, A. and Khorramdel, S., Environmental impacts of peanut production system using life cycle assessment methodology. Journal of Cleaner Production 2015, 92, 84-90.</t>
  </si>
  <si>
    <t>Brito De Figueirêdo, M. C., Potting, J., Lopes Serrano, L. A., Bezerra, M. A., Da Silva Barros, V., Gondim, R. S. and Nemecek, T., Environmental assessment of tropical perennial crops: the case of the Brazilian cashew. Journal of Cleaner Production 2015, 1-10.</t>
  </si>
  <si>
    <t>Kendall, A., Marvinney, E., Brodt, S. B. and Zhu, W., Life Cycle-based Assessment of Energy Use and Greenhouse Gas Emissions in Almond Production, Part I: Analytical Framework and Baseline Results. Journal of Industrial Ecology 2015, 19 (6), 1008-1018.</t>
  </si>
  <si>
    <t>Büsser, S., Jungbluth, N. and Jungbluth, N., LCA of Chocolate Packed in Aluminium Foil Based Packaging: ESU Services, 2009.</t>
  </si>
  <si>
    <t>Grant, T. and Beer, T., Life Cycle Assessment of Greenhouse Gas Emissions from Irrigated Maize. 5th Australian Confernce on Life Cycle Assessment 2006, 22-24.</t>
  </si>
  <si>
    <t>Neira, D. P., Energy Sustainability of Ecuadorian Cacao export and its Contribution to climate change - A Case Study through Product Life Cycle Assessment. Journal of Cleaner Production 2016, 112, 2560-2568.</t>
  </si>
  <si>
    <t>Jeswani, H. K., Burkinshaw, R. and Azapagic, A., Environmental sustainability issues in the food – energy – water nexus : Breakfast cereals and snacks. Sustainable Production and Consumption 2015, 2 (August), 17-28.</t>
  </si>
  <si>
    <r>
      <t>Ardiansyah, S. S., Assessment of Tofu Carbon Footprint in Banyumas, Indonesia - Towards 'Greener' Tofu.</t>
    </r>
    <r>
      <rPr>
        <i/>
        <sz val="10"/>
        <color rgb="FF000000"/>
        <rFont val="Times New Roman"/>
        <family val="1"/>
      </rPr>
      <t xml:space="preserve"> </t>
    </r>
    <r>
      <rPr>
        <i/>
        <sz val="12"/>
        <color rgb="FF000000"/>
        <rFont val="Calibri"/>
        <family val="2"/>
      </rPr>
      <t>Proceeding of International Conference On Research, Implementation And Education Of Mathematics And Sciences 2014, Yogyakarta State University, 18-20 May 2014</t>
    </r>
    <r>
      <rPr>
        <sz val="12"/>
        <color rgb="FF000000"/>
        <rFont val="Calibri"/>
        <family val="2"/>
      </rPr>
      <t xml:space="preserve"> S-97 - S-103.</t>
    </r>
  </si>
  <si>
    <t>Ercin, A. E., Aldaya, M. M. and Hoekstra, A. Y., The water footprint of soy milk and soy burger and equivalent animal products. Ecological Indicators 2012, 18, 392-402.</t>
  </si>
  <si>
    <t>Simmons, A., Muir, S., Brock, P. and Herridge, D., Life Cycle Assessment of grain cropping. Proceedings of the 17th ASA Conference 2015, 1-4.</t>
  </si>
  <si>
    <t>Brodt, S. B., Kendall, A., Mohammadi, Y., Arslan, A., Yuan, J., Lee, I.-S. and Linquist, B., Life cycle greenhouse gas emissions in California rice production. Field Crops Research 2014, 169, 89-98.</t>
  </si>
  <si>
    <t>Kim, S. and Dale, B. E., Allocation procedure in ethanol production system from corn grain i. system expansion. The International Journal of Life Cycle Assessment 2002, 7 (4), 237-243.</t>
  </si>
  <si>
    <t>Kim, S. and Dale, B. E., Regional variations in greenhouse gas emissions of biobased products in the United States—corn-based ethanol and soybean oil. The International Journal of Life Cycle Assessment 2009, 14 (6), 540-546.</t>
  </si>
  <si>
    <t>Almeida, C., Vaz, S. and Ziegler, F., Environmental Life Cycle Assessment of a Canned Sardine Product from Portugal. Journal of Industrial Ecology 2015, 19 (4), 607-617.</t>
  </si>
  <si>
    <t>Ayer, N. W., Martin, S., Dwyer, R. L., Gace, L. and Laurin, L., Environmental performance of copper-alloy Net-pens: Life cycle assessment of Atlantic salmon grow-out in copper-alloy and nylon net-pens. Aquaculture 2016, 453, 93-103.</t>
  </si>
  <si>
    <t>Van Putten, I. E., Farmery, A. K., Green, B. S., Hobday, A. J., Lim-Camacho, L., Norman-López, A. and Parker, R. W., The Environmental Impact of Two Australian Rock Lobster Fishery Supply Chains under a Changing Climate. Journal of Industrial Ecology 2016, 20(6), 1384-1398.</t>
  </si>
  <si>
    <t>Dekamin, M., Veisi, H., Safari, E., Liaghati, H., Khoshbakht, K. and Dekamin, M. G., Life cycle assessment for rainbow trout (Oncorhynchus mykiss) production systems: a case study for Iran. Journal of Cleaner Production 2015, 91, 43-55.</t>
  </si>
  <si>
    <t>Piringer, G. and Steinberg, L. J., Reevaluation of energy use in wheat production in the United States. Journal of Industrial Ecology 2006, 10 (1-2), 149-167.</t>
  </si>
  <si>
    <t>Pelletier, N., Arsenault, N. and Tyedmers, P., Scenario Modeling Potential Eco-Efficiency Gains from a Transition to Organic Agriculture: Life Cycle Perspectives on Canadian Canola, Corn, Soy, and Wheat Production. Environmental Management 2008, 42 (6), 989-1001.</t>
  </si>
  <si>
    <t>Meisterling, K., Samaras, C. and Schweizer, V., Decisions to reduce greenhouse gases from agriculture and product transport: LCA case study of organic and conventional wheat. Journal of Cleaner Production 2009, 17 (2), 222-230.</t>
  </si>
  <si>
    <t>Roy, P., Ijiri, T., Nei, D., Orikasa, T., Okadome, H., Nakamura, N. and Shiina, T., Life cycle inventory (LCI) of different forms of rice consumed in households in Japan. Journal of Food Engineering 2009, 91 (1), 49-55.</t>
  </si>
  <si>
    <t>Flysjö, A., Cederberg, C. and Henriksson, M., How does co-product handling affect the carbon footprint of milk ? Case study of milk production in New Zealand and Sweden. International Journal of Life Cycle Assessment 2011, 16, 420-430.</t>
  </si>
  <si>
    <t>Van Stappen, F., Loriers, A., Mathot, M., Planchon, V., Stilmant, D. and Debode, F., Organic Versus Conventional Farming: The Case of wheat Production in Wallonia (Belgium). Agriculture and Agricultural Science Procedia 2015, 7, 272-279.</t>
  </si>
  <si>
    <t>Blengini, G. A. and Busto, M., The life cycle of rice: LCA of alternative agri-food chain management systems in Vercelli (Italy). Journal of environmental management 2009, 90 (3), 1512-22.</t>
  </si>
  <si>
    <t>Mccarty, J., Sandefur, H., Matlock, M., Thoma, G. and Kim, D. S., National Scan-level Life Cycle Assessment for Production of US Peanut Butter. 2012, .</t>
  </si>
  <si>
    <t>Thomassen, M. A., Van Calker, K. J., Smits, M. C. J., Iepema, G. L. and De Boer, I. J. M., Life cycle assessment of conventional and organic milk production in the Netherlands. Agricultural Systems 2008, 96 (1-3), 95-107.</t>
  </si>
  <si>
    <t>Renouf, M. A. and Wegener, M., Environmental life cycle assessment (LCA) of sugarcane production and processing in Australia. 385-400.</t>
  </si>
  <si>
    <t>Mujica, M., Blanco, G. and Santalla, E., Carbon Footprint of Honey Produced in Argentina. Journal of Cleaner Production 2016, .</t>
  </si>
  <si>
    <t>Ntiamoah, A. and Afrane, G., Environmental impacts of cocoa production and processing in Ghana: life cycle assessment approach. Journal of Cleaner Production 2008, 16 (16), 1735-1740.</t>
  </si>
  <si>
    <t>Liu, Y., Langer, V., Høgh-Jensen, H. and Egelyng, H., Life Cycle Assessment of fossil energy use and greenhouse gas emissions in Chinese pear production. Journal of Cleaner Production 2010, 18 (14), 1423-1430.</t>
  </si>
  <si>
    <t>Figueiredo, F., Feliciano, M., Maia, F., Coroama, V. C. and Freire, F., Carbon Footprint of Apple and Pear : Orchards, Storage and Distribution. Energy for Sustainability 2013 Sustainable Cities: Designing for People and the Planet 2013, 1-5.</t>
  </si>
  <si>
    <t>Taulo, J. L. and Sebitosi, A. B., Material and energy fl ow analysis of the Malawian tea industry. Renewable and Sustainable Energy Reviews 2016, 56, 1337-1350.</t>
  </si>
  <si>
    <t>Tamburini, E., Pedrini, P., Marchetti, M., Fano, E. and Castaldelli, G., Life Cycle Based Evaluation of Environmental and Economic Impacts of Agricultural Productions in the Mediterranean Area. Sustainability 2015, 7 (3), 2915-2935.</t>
  </si>
  <si>
    <t>Rabier, F., Lioy, R., Paul, C. and Stappen, F. V., Assessment of GHG emissions and their variability of meat production systems in Wallonia based on grass and maize. Agriculture and Agricultural Science Procedia 2015, 7, 223-228.</t>
  </si>
  <si>
    <t>Mackenzie, S. G., Leinonen, I., Ferguson, N. and Kyriazakis, I., Can the environmental impact of pig systems be reduced by utilising co-products as feed? Journal of Cleaner Production 2016, 115, 172-181.</t>
  </si>
  <si>
    <t>Winkler, T., Schopf, K., Aschemann, R. and Winiwarter, W., From farm to fork – A life cycle assessment of fresh Austrian pork. Journal of Cleaner Production 2016, 116, 80-9.</t>
  </si>
  <si>
    <t>Yan, M., Cheng, K., Yue, Q., Yan, Y., Rees, R. M. and Pan, G., Farm and product carbon footprints of China’s fruit production—life cycle inventory of representative orchards of five major fruits. Environmental Science and Pollution Research 2016, 23(5) 4681-4691.</t>
  </si>
  <si>
    <t>Bartl, K., Verones, F. and Hellweg, S., Life cycle assessment based evaluation of regional impacts from agricultural production at the Peruvian coast. Environmental science &amp; technology 2012, 46 (18), 9872-80.</t>
  </si>
  <si>
    <t>Usva, K., Saarinen, M., Katajajuuri, J. M. and Kurppa, S., Supply chain integrated LCA approach to assess environmental impacts of food production in Finland. Agricultural and Food Science 2009, 18 (3-4), 460-476.</t>
  </si>
  <si>
    <t>Forte, A., Zucaro, A., Vico, G. D. and Fierro, A., Carbon footprint of heliciculture : A case study from an Italian experimental farm. AGSY 2016, 142, 99-111.</t>
  </si>
  <si>
    <t>Gresta, F., De Luca, A. I., Strano, A., Falcone, G., Santonoceto, C., Anastasi, U. and Gulisano, G., Economic and environmental sustainability analysis of guar (Cyamopsis tetragonoloba L.) farming process in a Mediterranean area: two case studies. Italian Journal of Agronomy 2014, 9 (1), 20-20.</t>
  </si>
  <si>
    <t>Astier, M., Merlín-Uribe, Y., Villamil-Echeverri, L., Garciarreal, A., Gavito, M. E. and Masera, O. R., Energy balance and greenhouse gas emissions in organic and conventional avocado orchards in Mexico. Ecological Indicators 2014, 43 (0), 281-287.</t>
  </si>
  <si>
    <t>Usubharatana, P. and Phungrassami, H., ScienceDirect Carbon Footprint of Cassava Starch Production in North-Eastern Thailand. Procedia CIRP 2015, 00, 462-467.</t>
  </si>
  <si>
    <t>Schmidt, J. H., Life cycle assessment of five vegetable oils. Journal of Cleaner Production 2015, 87, 130-138.</t>
  </si>
  <si>
    <t>Özilgen, M. and Sorgüven, E., Energy and exergy utilization, and carbon dioxide emission in vegetable oil production. Energy 2011, 36 (10), 5954-5967.</t>
  </si>
  <si>
    <t>Volpe, R., Messineo, S., Volpe, M. and Messineo, A., Carbon Footprint of Tree Nuts Based Consumer Products. Sustainability 2015, 7, 14917-14934.</t>
  </si>
  <si>
    <t>Agyemang, M., Zhu, Q. and Tian, Y., Analysis of Opportunities for Greenhouse Emission Reduction in the Global Supply Chains of Cashew Industry in West Africa. Journal of Cleaner Production 2016, 115, 149-161.</t>
  </si>
  <si>
    <t>Beccali, M., Cellura, M., Iudicello, M. and Mistretta, M., Life cycle assessment of Italian citrus-based products. Sensitivity analysis and improvement scenarios. Journal of Environmental Management 2010, 91 (7), 1415-1428.</t>
  </si>
  <si>
    <t>Cappelletti, G. M., Nicoletti, G. M. and Russo, C., LIFE CYCLE ASSESSMENT ( LCA ) OF SPANISH-STYLE GREEN TABLE OLIVES. Italian Journal of Food Science 2010, 22 (1), 3-14.</t>
  </si>
  <si>
    <t>Peano, C., Baudino, C., Tecco, N. and Girgenti, V., Green marketing tools for fruit growers associated groups: application of the Life Cycle Assessment (LCA) for strawberries and berry fruits ecobranding in northern Italy. Journal of Cleaner Production 2015, 104, 59-67.</t>
  </si>
  <si>
    <t>Sabzevari, A., Kouchaki-Penchah, H. and Nabavi-Pelesaraei, A., Investigation of Life Cycle Assessment of Hazelnut Production in Guilan Province of I . R . Iran Based on Orchards size Levels. Bioloigical Journal 2015, 7 (1), 807-813.</t>
  </si>
  <si>
    <t>Knudsen, M. T., Fonseca De Almeida, G., Langer, V., Santiago De Abreu, L. and Halberg, N., Environmental assessment of organic juice imported to Denmark: A case study on oranges (Citrus sinensis) from Brazil. Organic Agriculture 2011, 1 (3), 167-185.</t>
  </si>
  <si>
    <t>Vinyes, E., Gasol, C. M., Asin, L., Alegre, S. and Muñoz, P., Life Cycle Assessment of multiyear peach production. Journal of Cleaner Production 2015, 104, 68-79.</t>
  </si>
  <si>
    <t>Graefe, S. G., Tapasco, J. T. and Gonzalez, A. G., Resource use and GHG emissions of eight tropical fruit species cultivated in Colombia. Fruits 2013, 68 (4), 303-314.</t>
  </si>
  <si>
    <t>Michalsky, M. N. and Hooda, P. S., Greenhouse gas emissions of imported and locally produced fruit and vegetable commodities : A quantitative assessment. Environmental Science and Policy 2015, 48, 32-43.</t>
  </si>
  <si>
    <t>Müller, K., Holmes, A., Deurer, M. and Clothier, B. E., Eco-efficiency as a sustainability measure for kiwifruit production in New Zealand. Journal of Cleaner Production 2015, 106, 333-342.</t>
  </si>
  <si>
    <t>Karakaya, A. and Özilgen, M., Energy utilization and carbon dioxide emission in the fresh , paste , whole-peeled , diced , and juiced tomato production processes. Energy 2011, 36 (8), 5101-5110.</t>
  </si>
  <si>
    <t>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t>
  </si>
  <si>
    <t>Plawecki, R., Pirog, R., Montri, A. and Hamm, M. W., Comparative carbon footprint assessment of winter lettuce production in two climatic zones for Midwestern market. Renewable Agriculture and Food Systems 2013, 29 (4), 310-318.</t>
  </si>
  <si>
    <t>Lo Giudice, A., Mbohwa, C., Clasadonte, M. and Ingrao, C., Life cycle assessment interpretation and improvement of the Sicilian artichokes production. International Journal of Environmental Research 2014, 8 (2), 305-316.</t>
  </si>
  <si>
    <t>Coltro, L., Mourad, A. L., Kletecke, R. M., Mendonça, T. A. and Germer, S. P. M., Assessing the environmental profile of orange production in Brazil. The International Journal of Life Cycle Assessment 2009, 14 (7), 656-664.</t>
  </si>
  <si>
    <t>Khoshnevisan, B., Rafiee, S. and Mousazadeh, H., Environmental impact assessment of open field and greenhouse strawberry production. European Journal of Agronomy 2013, 50, 29-37.</t>
  </si>
  <si>
    <t>Kc, R., Comparative life cycle assessment on organic and conventional carrots - case; Carrots from south-savo and imported carrots from Italy. 2014, .</t>
  </si>
  <si>
    <t>Giudice, A. L., Mbohwa, C., Clasadonte, M. and Incrao, C., Environmental assessment of the citrus fruit production in Sicily using LCA. Italian Journal of Food Science 2013, 25 (2), 202.</t>
  </si>
  <si>
    <t>Almeida, J., Achten, W. M. J., Verbist, B., Heuts, R. F., Schrevens, E. and Muys, B., Carbon and Water Footprints and Energy Use of Greenhouse Tomato Production in Northern Italy. Journal of Industrial Ecology 2014, 18 (6), 898-908.</t>
  </si>
  <si>
    <t>Ueawiwatsakul, S., Mungcharoen, T. and Tongpool, R., Life Cycle Assessment of Sajor-caju Mushroom (Pleurotus Sajor-caju) from Different Sizes of Farms in Thailand. International Journal of Environmental Science and Development 2014, 5 (5), 435-439.</t>
  </si>
  <si>
    <t>Castanheira, É. G., Dias, A. C., Arroja, L. and Amaro, R., The environmental performance of milk production on a typical Portuguese dairy farm. Agricultural Systems 2010, 103 (7), 498-507.</t>
  </si>
  <si>
    <t>DairyCo. Greenhouse gas emissions on British dairy farms: Agriculture and Horticulture Development Board; 2012.</t>
  </si>
  <si>
    <t>Milà I Canals, L., Cowell, S. J., Sim, S. and Basson, L., Comparing domestic versus imported apples: a focus on energy use. Environmental science and pollution research international 2007, 14 (5), 338-344.</t>
  </si>
  <si>
    <t>Coca-Cola Great Britain. What's the carbon footprint of a Coca-Cola? [cited 2017 February] Available from: http://www.cocacola.co.uk/packages/sustainability/whats-the-carbon-footprint-of-a-coca-cola</t>
  </si>
  <si>
    <t>Saxe H. LCA-based comparison of the climate footprint of beer vs. wine &amp; spirits: Fødevareøkonomisk Institut, Københavns Universitet; 2010.</t>
  </si>
  <si>
    <t>The Climate Conservancy, The Carbon Footprint of Fat Tire® Amber Ale. 2008, .</t>
  </si>
  <si>
    <t>Beverage Industry Environmental Roundtable, Research on the carbon footprint of beer. Beverage Industry Environmental Roundtable 2012, .</t>
  </si>
  <si>
    <t>Amienyo, D. and Azapagic, A., Life cycle environmental impacts and costs of beer production and consumption in the UK. The International Journal of Life Cycle Assessment 2016, 21 (4), 492-509.</t>
  </si>
  <si>
    <t>Beverage Industry Environmental Roundtable, Research on the Carbon Footprint of Spirits. 2012, .</t>
  </si>
  <si>
    <t>Saxe, H., LCA-based comparison of the climate footprint of beer vs. wine &amp; spirits. 2010, .</t>
  </si>
  <si>
    <t>Barilla Center for Food &amp; Nutrition. Database for the double pyramid construction; 2015.</t>
  </si>
  <si>
    <t>Williams, A. G., Audsley, E. and Sandars, D. L., Environmental burdens of producing bread wheat, oilseed rape and potatoes in England and Wales using simulation and system modelling. The International Journal of Life Cycle Assessment 2010, 15 (8), 855-868.</t>
  </si>
  <si>
    <t>Swiss Center for Life Cycle Inventories, Ecoinvent Database version 3.3. 2016, 2016, .</t>
  </si>
  <si>
    <t>Blonk Consultants. Agri-Footprint 2.0. 2015 [cited 2015] Available from: http://www.agrifootprint.</t>
  </si>
  <si>
    <t>Nielsen, P. H., Nielsen, A. M., Weidema, B. P., Dalgaard, R. and Halberg, N., LCA food data base. 2003, 2013 (June), .</t>
  </si>
  <si>
    <t>Gonzalez, A. D., Frostell, B. and Carlsson-Kanyama, A., Protein efficiency per unit energy and per unit greenhouse gas emissions: Potential contribution of diet choices to climate change mitigation. Food Policy 2011, 36 (5), 562-570.</t>
  </si>
  <si>
    <t>Carlsson-Kanyama, A., Ekström, M. P. and Shanahan, H., Food and life cycle energy inputs: consequences of diet and ways to increase efficiency. Ecological economics 2003, 44 (2), 293-307.</t>
  </si>
  <si>
    <t>Nemecek, T., Weiler, K., Plassmann, K. and Schnetzer, J., Geographical extrapolation of environmental impact of crops by the MEXALCA method. Unilever-ART project no. 2011, .</t>
  </si>
  <si>
    <t>Quantis, World Food LCA Database. 2016, .</t>
  </si>
  <si>
    <t>Doublet G, Jungbluth N. Life cycle assessment of drinking Darjeeling tea: ESU-Services Ltd; 2010.</t>
  </si>
  <si>
    <t>Boissy, J., Aubin, J., Drissi, A., Van Der Werf, H. M., Bell, G. J. and Kaushik, S. J., Environmental impacts of plant-based salmonid diets at feed and farm scales. Aquaculture 2011, 321 (1), 61-70.</t>
  </si>
  <si>
    <t>Samuel-Fitwi, B., Nagel, F., Meyer, S., Schroeder, J. and Schulz, C., Comparative life cycle assessment (LCA) of raising rainbow trout (Oncorhynchus mykiss) in different production systems. Aquacultural engineering 2013, 54, 85-92.</t>
  </si>
  <si>
    <t>Wilfart, A., Prudhomme, J., Blancheton, J.-P. and Aubin, J., LCA and emergy accounting of aquaculture systems: Towards ecological intensification. Journal of environmental management 2013, 121, 96-109.</t>
  </si>
  <si>
    <t>Yacout, D. M., Soliman, N. F. and Yacout, M., Comparative life cycle assessment (LCA) of Tilapia in two production systems: semi-intensive and intensive. The International Journal of Life Cycle Assessment 2016, 21 (6), 806-819.</t>
  </si>
  <si>
    <t>Aubin, J., Papatryphon, E., Van Der Werf, H., Petit, J. and Morvan, Y., Characterisation of the environmental impact of a turbot (Scophthalmus maximus) re-circulating production system using Life Cycle Assessment. Aquaculture 2006, 261 (4), 1259-1268.</t>
  </si>
  <si>
    <t>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t>
  </si>
  <si>
    <t>Koroneos, C., Roumbas, G., Gabari, Z., Papagiannidou, E. and Moussiopoulos, N., Life cycle assessment of beer production in Greece. Journal of Cleaner Production 2005, 13 (4), 433-439.</t>
  </si>
  <si>
    <t>Williams, A. G. and Mekonen, S., Environmental performance of traditional beer production in a micro-brewery. Proceedings of the 9th International Conference on Life Cycle Assessment in the Agri-Food Sector (LCA Food 2014) 2014, .</t>
  </si>
  <si>
    <t>Cimini, A. and Moresi, M., Carbon footprint of a pale lager packed in different formats: assessment and sensitivity analysis based on transparent data. Journal of Cleaner Production 2016, 112, 4196-4213.</t>
  </si>
  <si>
    <t>Sipperly E, Edinger K, Ziegler N, Roberts E. Comparative Cradle to Gate Life Cycle Assessment of 100% Barley-based Singha Lager Beer in Thailand: University of North Carolina Institute for the Environment; 2014.</t>
  </si>
  <si>
    <t>Kingston, C., Meyhoff Fry, J. and Aumonier, S., Scoping life cycle assessment of pork production. 2009, .</t>
  </si>
  <si>
    <t>Devers, L., Kleynhans, T. and Mathijs, E., Comparative life cycle assessment of Flemish and Western Cape pork production. Agrekon 2012, 51 (4), 105-128.</t>
  </si>
  <si>
    <t>Winkler, T., Schopf, K., Aschemann, R. and Winiwarter, W., From farm to fork – A life cycle assessment of fresh Austrian pork. Journal of Cleaner Production 2016, .</t>
  </si>
  <si>
    <r>
      <t>Kool A, Blonk H, Ponsioen T, Sukkel W, Vermeer H, de Vries J</t>
    </r>
    <r>
      <rPr>
        <i/>
        <sz val="12"/>
        <color rgb="FF000000"/>
        <rFont val="Calibri"/>
        <family val="2"/>
      </rPr>
      <t xml:space="preserve">, et al. </t>
    </r>
    <r>
      <rPr>
        <sz val="12"/>
        <color rgb="FF000000"/>
        <rFont val="Calibri"/>
        <family val="2"/>
      </rPr>
      <t>Carbon footprints of conventional and organic pork: assessments of typical production systems in the Netherlands, Denmark, England and Germany: Blonk Milieu Advies 2009.</t>
    </r>
  </si>
  <si>
    <t>Lesschen, J., Van Den Berg, M., Westhoek, H., Witzke, H. and Oenema, O., Greenhouse gas emission profiles of European livestock sectors. Animal Feed Science and Technology 2011, 166, 16-28.</t>
  </si>
  <si>
    <t>Jones, C. D., Fraisse, C. W. and Ozores-Hampton, M., Quantification of greenhouse gas emissions from open field-grown Florida tomato production. Agricultural Systems 2012, 113, 64-72.</t>
  </si>
  <si>
    <t>Page, G., Ridoutt, B. and Bellotti, B., Carbon and water footprint tradeoffs in fresh tomato production. Journal of Cleaner Production 2012, 32, 219-226.</t>
  </si>
  <si>
    <t>Webb, J., Williams, A. G., Hope, E., Evans, D. and Moorhouse, E., Do foods imported into the UK have a greater environmental impact than the same foods produced within the UK? The International Journal of Life Cycle Assessment 2013, 18 (7), 1325-1343.</t>
  </si>
  <si>
    <t>Torrellas, M., Antón, A., López, J. C., Baeza, E. J., Parra, J. P., Muñoz, P. and Montero, J. I., LCA of a tomato crop in a multi-tunnel greenhouse in Almeria. The International Journal of Life Cycle Assessment 2012, 17 (7), 863-875.</t>
  </si>
  <si>
    <t>Payen, S., Basset-Mens, C. and Perret, S., LCA of local and imported tomato: an energy and water trade-off. Journal of Cleaner Production 2015, 87, 139-148.</t>
  </si>
  <si>
    <t>Boulard, T., Raeppel, C., Brun, R., Lecompte, F., Hayer, F., Carmassi, G. and Gaillard, G., Environmental impact of greenhouse tomato production in France. Agronomy for sustainable development 2011, 31 (4), 757-777.</t>
  </si>
  <si>
    <t>Rugani, B., Vazquez-Rowe, I., Benedetto, G. and Benetto, E., A comprehensive review of carbon footprint analysis as an extended environmental indicator in the wine sector. Journal of Cleaner Production 2013, 54, 61-77.</t>
  </si>
  <si>
    <t>Benedetto, G., The environmental impact of a Sardinian wine by partial life cycle assessment. Wine Economics and Policy 2013, 2 (1), 33-41.</t>
  </si>
  <si>
    <t>Amienyo, D., Camilleri, C. and Azapagic, A., Environmental impacts of consumption of Australian red wine in the UK. Journal of Cleaner Production 2014, 72, 110-119.</t>
  </si>
  <si>
    <t>Fusi, A., Guidetti, R. and Benedetto, G., Delving into the environmental aspect of a Sardinian white wine: from partial to total life cycle assessment. Science of the Total Environment 2014, 472, 989-1000.</t>
  </si>
  <si>
    <t>Bonamente, E., Scrucca, F., Rinaldi, S., Merico, M. C., Asdrubali, F. and Lamastra, L., Environmental impact of an Italian wine bottle: Carbon and water footprint assessment. Science of The Total Environment 2016, 560, 274-283.</t>
  </si>
  <si>
    <t>Beverage Industry Environmental Roundtable, Research on the Carbon Footprint of Wine. 2012, .</t>
  </si>
  <si>
    <t>Villanueva-Rey, P., Vázquez-Rowe, I., Moreira, M. T. and Feijoo, G., Comparative life cycle assessment in the wine sector: biodynamic vs. conventional viticulture activities in NW Spain. Journal of Cleaner Production 2014, 65, 330-341.</t>
  </si>
  <si>
    <t>Franklin Associates, Life Cycle Assessment of Drinking Water Systems: Bottle Water, Tap Water, and Home/Office Delivery Water. 2009,  (09-LQ-104), .</t>
  </si>
  <si>
    <t>Blonk, H., Kool, A., Luske, B. and Waart, S. D., Environmental effects of protein-rich products in the Netherlands: consequences of animal protein substitutes: Blonk Consultants;  2008.</t>
  </si>
  <si>
    <t>Abeliotis, K., Lasaridi, K., Chroni, C. and Zorpas, A. A., ENVIRONMENTAL ASSESSMENT OF WASTE PREVENTION ACTIVITIES. Proceedings of the 13th International Conference on Environmental Science and Technology 2013, .</t>
  </si>
  <si>
    <t>Bengtsson, J. and Seddon, J., Cradle to retailer or quick service restaurant gate life cycle assessment of chicken products in Australia. Journal of Cleaner Production 2013, 41, 291-300.</t>
  </si>
  <si>
    <t>Berners-Lee, M., Hoolohan, C., Cammack, H. and Hewitt, C. N., The relative greenhouse gas impacts of realistic dietary choices. Energy Policy 2012, 43, 184-190.</t>
  </si>
  <si>
    <t>Aguirre-Villegas H, Kraatz S, Milani F, Newenhouse A, Passos-Fonseca T, Reinemann D. Understand the Carbon Footprint of Cheese: University of Wisconsin Extension; 2011.</t>
  </si>
  <si>
    <r>
      <t xml:space="preserve">Bartl K, Gómez CA, Nemecek T. Life cycle assessment of milk produced in two smallholder dairy systems in the highlands and the coast of Peru. </t>
    </r>
    <r>
      <rPr>
        <i/>
        <sz val="11"/>
        <color rgb="FF000000"/>
        <rFont val="Calibri"/>
        <family val="2"/>
      </rPr>
      <t xml:space="preserve">J Cleaner Prod </t>
    </r>
    <r>
      <rPr>
        <sz val="11"/>
        <color rgb="FF000000"/>
        <rFont val="Calibri"/>
        <family val="2"/>
      </rPr>
      <t xml:space="preserve">2011, </t>
    </r>
    <r>
      <rPr>
        <b/>
        <sz val="11"/>
        <color rgb="FF000000"/>
        <rFont val="Calibri"/>
        <family val="2"/>
      </rPr>
      <t>19</t>
    </r>
    <r>
      <rPr>
        <sz val="11"/>
        <color rgb="FF000000"/>
        <rFont val="Calibri"/>
        <family val="2"/>
      </rPr>
      <t>(13)</t>
    </r>
    <r>
      <rPr>
        <b/>
        <sz val="11"/>
        <color rgb="FF000000"/>
        <rFont val="Calibri"/>
        <family val="2"/>
      </rPr>
      <t>:</t>
    </r>
    <r>
      <rPr>
        <sz val="11"/>
        <color rgb="FF000000"/>
        <rFont val="Calibri"/>
        <family val="2"/>
      </rPr>
      <t xml:space="preserve"> 1494-1505.</t>
    </r>
  </si>
  <si>
    <r>
      <t xml:space="preserve">Basset-Mens C, Ledgard S, Boyes M. Eco-efficiency of intensification scenarios for milk production in New Zealand. </t>
    </r>
    <r>
      <rPr>
        <i/>
        <sz val="11"/>
        <color rgb="FF000000"/>
        <rFont val="Calibri"/>
        <family val="2"/>
      </rPr>
      <t xml:space="preserve">Ecol Econ </t>
    </r>
    <r>
      <rPr>
        <sz val="11"/>
        <color rgb="FF000000"/>
        <rFont val="Calibri"/>
        <family val="2"/>
      </rPr>
      <t xml:space="preserve">2009, </t>
    </r>
    <r>
      <rPr>
        <b/>
        <sz val="11"/>
        <color rgb="FF000000"/>
        <rFont val="Calibri"/>
        <family val="2"/>
      </rPr>
      <t>68</t>
    </r>
    <r>
      <rPr>
        <sz val="11"/>
        <color rgb="FF000000"/>
        <rFont val="Calibri"/>
        <family val="2"/>
      </rPr>
      <t>(6)</t>
    </r>
    <r>
      <rPr>
        <b/>
        <sz val="11"/>
        <color rgb="FF000000"/>
        <rFont val="Calibri"/>
        <family val="2"/>
      </rPr>
      <t xml:space="preserve">: </t>
    </r>
    <r>
      <rPr>
        <sz val="11"/>
        <color rgb="FF000000"/>
        <rFont val="Calibri"/>
        <family val="2"/>
      </rPr>
      <t>1615-1625.</t>
    </r>
  </si>
  <si>
    <t>Schäfer, F. and Blanke, M., Farming and marketing system affects carbon and water footprint – a case study using Hokaido pumpkin. Journal of Cleaner Production 2012, 28, 113-119.</t>
  </si>
  <si>
    <t>Backer, E. D., Aertsens, J., Vergucht, S. and Steurbaut, W., Assessing the ecological soundness of organic and conventional agriculture by means of life cycle assessment (LCA): A case study of leek production. British Food Journal 2009, 111 (10), 1028-1061.</t>
  </si>
  <si>
    <t>Romero-Gámez, M., Suárez-Rey, E., Antón, A., Castilla, N. and Soriano, T., Environmental impact of screenhouse and open-field cultivation using a life cycle analysis: the case study of green bean production. Journal of Cleaner Production 2012, 28, 63-69.</t>
  </si>
  <si>
    <t>Sanders, K. T. and Webber, M. E., A comparative analysis of the greenhouse gas emissions intensity of wheat and beef in the United States. Environmental Research Letters 2014, 9 (4), 044011.</t>
  </si>
  <si>
    <t>Rosa, D., Figueiredo, F., Castanheira, É., Feliciano, M., Maia, F., Santos, J., Silva, A., Trindade, H. and Freire, F., Life-cycle greenhouse gas assessment of Portuguese chestnut. Energy for Sustainability 2015 Conference: Sustainable Cities–Designing for People and the Planet 2015, .</t>
  </si>
  <si>
    <t>Sanjuán, N., Ubeda, L., Clemente, G., Mulet, A. and Girona, F., LCA of integrated orange production in the Comunidad Valenciana (Spain). International Journal of Agricultural Resources, Governance and Ecology 2005, 4 (2), 163-177.</t>
  </si>
  <si>
    <t>Thomassen, M. A. and De Boer, I. J. M., Evaluation of indicators to assess the environmental impact of dairy production systems. Agriculture, Ecosystems &amp; Environment 2005, 111 (1–4), 185-199.</t>
  </si>
  <si>
    <t>Casey, J. W. and Holden, N. M., Quantification of GHG emissions from sucker-beef production in Ireland. Agricultural Systems 2006, 90 (1–3), 79-98.</t>
  </si>
  <si>
    <t>Lagerberg Fogelberg, C. and Carlsson-Kanyama, A., Environmental assessment of foods–an LCA inspired approach . Totalförsvarets forskningsinstitut (FOI). Environmental information in the food supply system 2006, .</t>
  </si>
  <si>
    <t>Parker, R. W. R., Vázquez-Rowe, I. and Tyedmers, P. H., Fuel performance and carbon footprint of the global purse seine tuna fleet. Journal of Cleaner Production 2015, 103, 517-524.</t>
  </si>
  <si>
    <t>Jonell, M. and Henriksson, P. J. G., Mangrove–shrimp farms in Vietnam—Comparing organic and conventional systems using life cycle assessment. Aquaculture 2015, 447, 66-75.</t>
  </si>
  <si>
    <t>Farmery, A., Gardner, C., Green, B. S., Jennings, S. and Watson, R., Life cycle assessment of wild capture prawns: expanding sustainability considerations in the Australian Northern Prawn Fishery. Journal of Cleaner Production 2015, 87, 96-104.</t>
  </si>
  <si>
    <t>Cherubini, E., Zanghelini, G. M., Alvarenga, R. a. F., Franco, D. and Soares, S. R., Life cycle assessment of swine production in Brazil: a comparison of four manure management systems. Journal of Cleaner Production 2015, 87, 68-77.</t>
  </si>
  <si>
    <t>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t>
  </si>
  <si>
    <t>Thanawong, K., Perret, S. and Basset-Mens, C., Eco-efficiency of paddy rice production in Northeastern Thailand: a comparison of rain-fed and irrigated cropping systems. Journal of Cleaner Production 2014, 73, 204-217.</t>
  </si>
  <si>
    <t>Da Silva, V. P., Van Der Werf, H. M., Soares, S. R. and Corson, M. S., Environmental impacts of French and Brazilian broiler chicken production scenarios: An LCA approach. Journal of environmental management 2014, 133, 222-231.</t>
  </si>
  <si>
    <t>Alter Eco. 2012 Emissions Report &amp; Impact Assessment; 2012.</t>
  </si>
  <si>
    <t>Pirlo, G., Terzano, G., Pacelli, C., Abeni, F. and Care, S., Carbon footprint of milk produced at Italian buffalo farms. Livestock Science 2014, 161, 176-184.</t>
  </si>
  <si>
    <t>O’brien, D., Capper, J., Garnsworthy, P., Grainger, C. and Shalloo, L., A case study of the carbon footprint of milk from high-performing confinement and grass-based dairy farms. Journal of dairy science 2014, 97 (3), 1835-1851.</t>
  </si>
  <si>
    <t>Iriarte, A., Almeida, M. G. and Villalobos, P., Carbon footprint of premium quality export bananas: Case study in Ecuador, the world's largest exporter. Science of The Total Environment 2014, 472, 1082-1088.</t>
  </si>
  <si>
    <t>Hallström, E., Röös, E. and Börjesson, P., Sustainable meat consumption: A quantitative analysis of nutritional intake, greenhouse gas emissions and land use from a Swedish perspective. Food Policy 2014, 47, 81-90.</t>
  </si>
  <si>
    <t>González-García, S., Gomez-Fernández, Z., Dias, A. C., Feijoo, G., Moreira, M. T. and Arroja, L., Life Cycle Assessment of broiler chicken production: a Portuguese case study. Journal of Cleaner Production 2014, 74, 125-134.</t>
  </si>
  <si>
    <t>Gollnow, S., Lundie, S., Moore, A. D., Mclaren, J., Van Buuren, N., Stahle, P., Christie, K., Thylmann, D. and Rehl, T., Carbon footprint of milk production from dairy cows in Australia. International Dairy Journal 2014, 37 (1), 31-38.</t>
  </si>
  <si>
    <t>Dyer, J. A., Vergé, X. P., Desjardins, R. L. and Worth, D. E., A comparison of the greenhouse gas emissions from the sheep industry with beef production in Canada. Sustainable Agriculture Research 2014, 3 (3), 65-75.</t>
  </si>
  <si>
    <t>Thévenot, A., Aubin, J., Tillard, E. and Vayssières, J., Accounting for farm diversity in Life Cycle Assessment studies – the case of poultry production in a tropical island. Journal of Cleaner Production 2013, 57, 280-292.</t>
  </si>
  <si>
    <t>Roer, A.-G., Johansen, A., Bakken, A. K., Daugstad, K., Fystro, G. and Strømman, A. H., Environmental impacts of combined milk and meat production in Norway according to a life cycle assessment with expanded system boundaries. Livestock Science 2013, 155 (2), 384-396.</t>
  </si>
  <si>
    <t>Ripoll-Bosch, R., De Boer, I. J. M., Bernués, A. and Vellinga, T. V., Accounting for multi-functionality of sheep farming in the carbon footprint of lamb: A comparison of three contrasting Mediterranean systems. Agricultural Systems 2013, 116, 60-68.</t>
  </si>
  <si>
    <t>Ridoutt, B. G., Page, G., Opie, K., Huang, J. and Bellotti, W., Carbon, water and land use footprints of beef cattle production systems in southern Australia. Journal of Cleaner Production 2014, 73, 24-30.</t>
  </si>
  <si>
    <t>Pergola, M., Favia, M., Palese, A. M., Perretti, B., Xiloyannis, C. and Celano, G., Alternative management for olive orchards grown in semi-arid environments: An energy, economic and environmental analysis. Scientia Horticulturae 2013, 162, 380-386.</t>
  </si>
  <si>
    <t>Pergola, M., D'amico, M., Celano, G., Palese, A., Scuderi, A., Di Vita, G., Pappalardo, G. and Inglese, P., Sustainability evaluation of Sicily's lemon and orange production: An energy, economic and environmental analysis. Journal of environmental management 2013, 128, 674-682.</t>
  </si>
  <si>
    <t>Nguyen, T. T. H., Doreau, M., Corson, M. S., Eugène, M., Delaby, L., Chesneau, G., Gallard, Y. and Van Der Werf, H. M. G., Effect of dairy production system, breed and co-product handling methods on environmental impacts at farm level. Journal of Environmental Management 2013, 120, 127-137.</t>
  </si>
  <si>
    <t>Mungkung, R., Aubin, J., Prihadi, T. H., Slembrouck, J., Van Der Werf, H. M. and Legendre, M., Life Cycle Assessment for environmentally sustainable aquaculture management: a case study of combined aquaculture systems for carp and tilapia. Journal of Cleaner Production 2013, 57, 249-256.</t>
  </si>
  <si>
    <t>Lovett, D., Shalloo, L., Dillon, P. and O’mara, F., A systems approach to quantify greenhouse gas fluxes from pastoral dairy production as affected by management regime. Agricultural Systems 2006, 88 (2), 156-179.</t>
  </si>
  <si>
    <t>Thrane, M., LCA of Danish Fish Products. New methods and insights. The International Journal of Life Cycle Assessment 2006, 11 (1), 66-74.</t>
  </si>
  <si>
    <t>Dalgaard, R., The environmental impact of pork production from a life cycle perspective. 2007, PhD, .</t>
  </si>
  <si>
    <t>Ogino, A., Orito, H., Shimada, K. and Hirooka, H., Evaluating environmental impacts of the Japanese beef cow–calf system by the life cycle assessment method. Animal Science Journal 2007, 78 (4), 424-432.</t>
  </si>
  <si>
    <t>Berlin, J., Sonesson, U. and Tillman, A. M., Product chain actors' potential for greening the product life cycle. Journal of Industrial Ecology 2008, 12 (1), 95-110.</t>
  </si>
  <si>
    <t>Ellingsen, H., Olaussen, J. and Utne, I., Environmental analysis of the Norwegian fishery and aquaculture industry—A preliminary study focusing on farmed salmon. Marine Policy 2009, 33 (3), 479-488.</t>
  </si>
  <si>
    <t>Roy, P., Nei, D., Okadome, H., Nakamura, N., Orikasa, T. and Shiina, T., Life cycle inventory analysis of fresh tomato distribution systems in Japan considering the quality aspect. Journal of Food Engineering 2008, 86 (2), 225-233.</t>
  </si>
  <si>
    <t>Thomassen, M. A., Dalgaard, R., Heijungs, R. and De Boer, I., Attributional and consequential LCA of milk production. The International Journal of Life Cycle Assessment 2008, 13 (4), 339-349.</t>
  </si>
  <si>
    <t>Vergé, X. P. C., Dyer, J. A., Desjardins, R. L. and Worth, D., Greenhouse gas emissions from the Canadian beef industry. Agricultural Systems 2008, 98 (2), 126-134.</t>
  </si>
  <si>
    <t>Ziegler, F. and Valentinsson, D., Environmental life cycle assessment of Norway lobster (Nephrops norvegicus) caught along the Swedish west coast by creels and conventional trawls—LCA methodology with case study. The International Journal of Life Cycle Assessment 2008, 13 (6), 487.</t>
  </si>
  <si>
    <t>Edwards-Jones, G., Plassmann, K. and Harris, I. M., Carbon footprinting of lamb and beef production systems: insights from an empirical analysis of farms in Wales, UK. The Journal of Agricultural Science 2009, 147 (6), 707-719.</t>
  </si>
  <si>
    <t>Guttormsdóttir, A. B., Life cycle assessment on Icelandic cod product based on two different fishing methods. Univerity of Iceland 2009, .</t>
  </si>
  <si>
    <t>Hokazono, S., Hayashi, K. and Sato, M., Potentialities of organic and sustainable rice production in Japan from a life cycle perspective. Agronomy Research 2009, 7 (1), 257-262.</t>
  </si>
  <si>
    <t>Hospido, A., I Canals, L. M., Mclaren, S., Truninger, M., Edwards-Jones, G. and Clift, R., The role of seasonality in lettuce consumption: a case study of environmental and social aspects. The International Journal of Life Cycle Assessment 2009, 14 (5), 381-391.</t>
  </si>
  <si>
    <t>Kasmaprapruet, S., Paengjuntuek, W., Saikhwan, P. and Phungrassami, H., Life cycle assessment of milled rice production: case study in Thailand. European Journal of Scientific Research 2009, 30 (2), 195-203.</t>
  </si>
  <si>
    <t>Thomassen, M., Dolman, M., Van Calker, K. and De Boer, I., Relating life cycle assessment indicators to gross value added for Dutch dairy farms. Ecological Economics 2009, 68 (8), 2278-2284.</t>
  </si>
  <si>
    <t>Schroeder, R., Aguiar, L. K. and Baines, R., Carbon footprint in meat production and supply chains. Journal of Food Science and Engineering 2012, 2 (11), 652.</t>
  </si>
  <si>
    <t>Van Der Werf, H. M., Kanyarushoki, C. and Corson, M. S., An operational method for the evaluation of resource use and environmental impacts of dairy farms by life cycle assessment. Journal of environmental management 2009, 90 (11), 3643-3652.</t>
  </si>
  <si>
    <t>Winther, U., Ziegler, F., Hognes, E. S., Emanuelsson, A., Sund, V. and Ellingsen, H., Carbon footprint and energy use of Norwegian seafood products. SINTEF Fisheries and Aquaculture, Report SFH80 A 2009, 96068, .</t>
  </si>
  <si>
    <t>Winther, U., Ziegler, F., Hognes, E. S., Emanuelsson, A., Sund, V. and Ellingsen, H., Carbon footprint and energy use of Norwegian seafood products. SINTEF Fisheries and Aquaculture, Report SFH80 A 2009, 96068.</t>
  </si>
  <si>
    <t>Biswas, W. K., Graham, J., Kelly, K. and John, M. B., Global warming contributions from wheat, sheep meat and wool production in Victoria, Australia–a life cycle assessment. Journal of Cleaner Production 2010, 18 (14), 1386-1392.</t>
  </si>
  <si>
    <t>Fet, A. M., Schau, E. M. and Haskins, C., A framework for environmental analyses of fish food production systems based on systems engineering principles. Systems Engineering 2010, 13 (2), 109-118.</t>
  </si>
  <si>
    <t>Ledgard, S., Lieffering, M., Mcdevitt, J., Boyes, M. and Kemp, R., A greenhouse gas footprint study for exported New Zealand lamb. Report for Meat Industry Association, Ballance Agri-nutrients, Landcorp and MAF. AgResearch, Hamilton, 26pp 2010.</t>
  </si>
  <si>
    <t>Maraseni, T. N., Cockfield, G., Maroulis, J. and Chen, G., An assessment of greenhouse gas emissions from the Australian vegetables industry. Journal of Environmental Science and Health Part B 2010, 45 (6), 578-588.</t>
  </si>
  <si>
    <t>Veysset, P., Lherm, M. and Bébin, D., Energy consumption, greenhouse gas emissions and economic performance assessments in French Charolais suckler cattle farms: Model-based analysis and forecasts. Agricultural Systems 2010, 103 (1), 41-50.</t>
  </si>
  <si>
    <t>Bosma, R., Anh, P. T. and Potting, J., Life cycle assessment of intensive striped catfish farming in the Mekong Delta for screening hotspots as input to environmental policy and research agenda. The International Journal of Life Cycle Assessment 2011, 16 (9), 903.</t>
  </si>
  <si>
    <t>Browne, N. A., Eckard, R. J., Behrendt, R. and Kingwell, R. S., A comparative analysis of on-farm greenhouse gas emissions from agricultural enterprises in south eastern Australia. Animal Feed Science and Technology 2011, 166, 641-652.</t>
  </si>
  <si>
    <t>Christie, K., Rawnsley, R. and Eckard, R., A whole farm systems analysis of greenhouse gas emissions of 60 Tasmanian dairy farms. Animal Feed Science and Technology 2011, 166, 653-662.</t>
  </si>
  <si>
    <t>Foley, P. A., Crosson, P., Lovett, D. K., Boland, T. M., O’mara, F. P. and Kenny, D. A., Whole-farm systems modelling of greenhouse gas emissions from pastoral suckler beef cow production systems. Agriculture, Ecosystems &amp; Environment 2011, 142 (3–4), 222-230.</t>
  </si>
  <si>
    <t>Hagemann, M., Hemme, T., Ndambi, A., Alqaisi, O. and Sultana, M. N., Benchmarking of greenhouse gas emissions of bovine milk production systems for 38 countries. Animal feed science and technology 2011, 166, 46-58.</t>
  </si>
  <si>
    <t>Heller, M. C. and Keoleian, G. A., Life Cycle Energy and Greenhouse Gas Analysis of a Large-Scale Vertically Integrated Organic Dairy in the United States. Environmental Science and Technology 2011, 45 (5), 1903-1910.</t>
  </si>
  <si>
    <t>Guerci, M., Bava, L., Zucali, M., Sandrucci, A., Penati, C. and Tamburini, A., Effect of farming strategies on environmental impact of intensive dairy farms in Italy. Journal of Dairy Research 2013, 80 (3), 300-308.</t>
  </si>
  <si>
    <t>Guerci, M., Knudsen, M. T., Bava, L., Zucali, M., Schönbach, P. and Kristensen, T., Parameters affecting the environmental impact of a range of dairy farming systems in Denmark, Germany and Italy. Journal of Cleaner Production 2013, 54, 133-141.</t>
  </si>
  <si>
    <t>González-García, S., Castanheira, É. G., Dias, A. C. and Arroja, L., Environmental life cycle assessment of a dairy product: the yoghurt. The International Journal of Life Cycle Assessment 2013, 18 (4), 796-811.</t>
  </si>
  <si>
    <t>González-García, S., Castanheira, É. G., Dias, A. C. and Arroja, L., Using Life Cycle Assessment methodology to assess UHT milk production in Portugal. Science of The Total Environment 2013, 442, 225-234.</t>
  </si>
  <si>
    <t>González-García, S., Hospido, A., Moreira, M. T., Feijoo, G. and Arroja, L., Environmental Life Cycle Assessment of a Galician cheese: San Simon da Costa. Journal of Cleaner Production 2013, 52, 253-262.</t>
  </si>
  <si>
    <t>Cerutti, A. K., Bruun, S., Donno, D., Beccaro, G. L. and Bounous, G., Environmental sustainability of traditional foods: the case of ancient apple cultivars in Northern Italy assessed by multifunctional LCA. Journal of Cleaner Production 2013, 52, 245-252.</t>
  </si>
  <si>
    <t>Brito De Figueirêdo, M. C., Kroeze, C., Potting, J., Da Silva Barros, V., Sousa De Aragão, F. A., Gondim, R. S., De Lima Santos, T. and De Boer, I. J. M., The carbon footprint of exported Brazilian yellow melon. Journal of Cleaner Production 2013, 47, 404-414.</t>
  </si>
  <si>
    <t>Bonesmo, H., Beauchemin, K. A., Harstad, O. M. and Skjelvåg, A. O., Greenhouse gas emission intensities of grass silage based dairy and beef production: A systems analysis of Norwegian farms. Livestock Science 2013, 152 (2–3), 239-252.</t>
  </si>
  <si>
    <t>Wiedemann, S., Mcgahan, E. J. and Poad, G., Using life cycle assessment to quantify the environmental impact of chicken meat production. 2012, .</t>
  </si>
  <si>
    <t>O’brien, D., Shalloo, L., Patton, J., Buckley, F., Grainger, C. and Wallace, M., A life cycle assessment of seasonal grass-based and confinement dairy farms. Agricultural Systems 2012, 107, 33-46.</t>
  </si>
  <si>
    <t>Nguyen, T. T. H., Van Der Werf, H. M. G., Eugène, M., Veysset, P., Devun, J., Chesneau, G. and Doreau, M., Effects of type of ration and allocation methods on the environmental impacts of beef-production systems. Livestock Science 2012, 145 (1–3), 239-251.</t>
  </si>
  <si>
    <t>Roy, P., Orikasa, T., Thammawong, M., Nakamura, N., Xu, Q. and Shiina, T., Life cycle of meats: An opportunity to abate the greenhouse gas emission from meat industry in Japan. Journal of Environmental Management 2012, 93 (1), 218-224.</t>
  </si>
  <si>
    <t>Hokazono, S. and Hayashi, K., Variability in environmental impacts during conversion from conventional to organic farming: a comparison among three rice production systems in Japan. Journal of Cleaner Production 2012, 28, 101-112.</t>
  </si>
  <si>
    <t>De Gennaro, B., Notarnicola, B., Roselli, L. and Tassielli, G., Innovative olive-growing models: an environmental and economic assessment. Journal of Cleaner Production 2012, 28, 70-80.</t>
  </si>
  <si>
    <t>Cellura, M., Longo, S. and Mistretta, M., Life Cycle Assessment (LCA) of protected crops: an Italian case study. Journal of cleaner production 2012, 28, 56-62.</t>
  </si>
  <si>
    <t>Schmidt JH, Dalgaard R. National and farm level carbon footprint of milk: Methodology and results for Danish and Swedish milk 2005 at farm gate. Aarhus, Denmark: Arla Foods; 2012.</t>
  </si>
  <si>
    <t>Grönroos, J., Silvenius, F., Kankainen, M., Silvo, K. and Mäkinen, T., Life cycle environmental impacts of different fish farming alternatives in the Baltic Sea. 2012,  (ICES CM 2012/Q:3), .</t>
  </si>
  <si>
    <t>Fantin, V., Buttol, P., Pergreffi, R. and Masoni, P., Life cycle assessment of Italian high quality milk production. A comparison with an EPD study. Journal of Cleaner Production 2012, 28, 150-159.</t>
  </si>
  <si>
    <t>Wallman, M., Cederberg, C. and Sonesson, U., Life cycle assessment of Swedish lamb production. 2011,  (SIK-rapport NR 831), 2011.</t>
  </si>
  <si>
    <t>Van Middelaar, C. E., Berentsen, P. B. M., Dolman, M. A. and De Boer, I. J. M., Eco-efficiency in the production chain of Dutch semi-hard cheese. Livestock Science 2011, 139 (1–2), 91-99.</t>
  </si>
  <si>
    <t>Lescot, T., Carbon footprint analysis in banana production. Second Conference of the World Banana Forum 2012, .</t>
  </si>
  <si>
    <t>Nielsen, N., Jørgensen, M. and Bahrndorff, S., Greenhouse gas emission from the Danish broiler production estimated via LCA methodology. 2011, 4-22.</t>
  </si>
  <si>
    <t>Michael D. Carbon Reduction Benchmarks &amp; Strategies: New Animal Products. Australia: RIRDC; 2011. Report No.: 1742542476.</t>
  </si>
  <si>
    <t>Ziegler, F., Emanuelsson, A., Eichelsheim, J. L., Flysjö, A., Ndiaye, V. and Thrane, M., Extended life cycle assessment of southern pink shrimp products originating in Senegalese artisanal and industrial fisheries for export to Europe. Journal of Industrial Ecology 2011, 15 (4), 527-538.</t>
  </si>
  <si>
    <t>Belflower, J. B., Bernard, J. K., Gattie, D. K., Hancock, D. W., Risse, L. M. and Rotz, C. A., A case study of the potential environmental impacts of different dairy production systems in Georgia. Agricultural Systems 2012, 108, 84-93.</t>
  </si>
  <si>
    <t>Nguyen, T. L. T., Hermansen, J. E. and Mogensen, L., Environmental assessment of Danish pork. 2011,  (REPORT NO. 103), .</t>
  </si>
  <si>
    <t>Kristensen, T., Mogensen, L., Knudsen, M. T. and Hermansen, J. E., Effect of production system and farming strategy on greenhouse gas emissions from commercial dairy farms in a life cycle approach. Livestock Science 2011, 140 (1), 136-148.</t>
  </si>
  <si>
    <t>Keyes, S., Evaluating the Environmental Impacts of Conventional and Organic Apple Production in Nova Scotia, Canada, through Life Cycle Assessment. Master thesis, Dalhousie University, Halifax, Nova Scotia, 2013.</t>
  </si>
  <si>
    <t>Utomo, B., Prawoto, A. A., Bonnet, S., Bangviwat, A. and Gheewala, S. H., Environmental performance of cocoa production from monoculture system and agroforestry system in indonesia. Journal of Cleaner Production 2016, 134, 583-591.</t>
  </si>
  <si>
    <t xml:space="preserve">below are brief descriptions of the sheets in this workbook.  For more complete descriptions and suggestions for use, see the accompanying document: </t>
  </si>
  <si>
    <t xml:space="preserve">FCID commodity codes can then be used to link to NHANES datasets. </t>
  </si>
  <si>
    <t>This version links greenhouse gas emissions (GHGE) and cumulative energy demand (CED) associated with PRODUCTION of food commodities to the 2005-2010 FCID commodity codes.</t>
  </si>
  <si>
    <t>http://fcid.foodrisk.org/</t>
  </si>
  <si>
    <t>contains final (utlized) impact factors.  Assigns impact factors to FCID commodities, assigns proxies, and executes necessary mass conversions</t>
  </si>
  <si>
    <t>raw data entries logged in literature review, including metadata, references</t>
  </si>
  <si>
    <t>GHGE data from "literature entries" sheet aggregated by specific food type and boundary condition (farm gate vs. processor gate)</t>
  </si>
  <si>
    <t>CED data from "literature entries" sheet aggregated by specific food type and boundary condition (farm gate vs. processor gate)</t>
  </si>
  <si>
    <t>contains proxy definitions used to fill FICD commodities without direct matches.</t>
  </si>
  <si>
    <t>note that these are accessed by formulas in the "FCID linkages" sheet and must maintain the format shown.</t>
  </si>
  <si>
    <t>MassConv</t>
  </si>
  <si>
    <t>compilation of mass conversions used to account for inedible portions, etc. The source of the conversion factor used for each FCID entry is defined in column "I" of the FCID Linkages sheet</t>
  </si>
  <si>
    <t>*MODIFICATIONS TO THIS WORKBOOK ARE AT YOUR OWN RISK. The modifier is responsible for assuring that functionality is maintained.  No efforts have been made to "lock" or otherwise protect necessary functionality.</t>
  </si>
  <si>
    <t>Indexing number</t>
  </si>
  <si>
    <t>One ton (1,000 kg) of cheddar cheese consumed, dry weight basis</t>
  </si>
  <si>
    <t>One ton (1,000 kg) of mozzarella cheese consumed, dry weight basis</t>
  </si>
  <si>
    <t>Divide study numbers by 1000, adjusted to 51.4% solids for as sold cheese</t>
  </si>
  <si>
    <t>Divide study numbers by 1000, adjusted to 63.2% solids for as sold cheese</t>
  </si>
  <si>
    <t>Welcome to dataFIELD version 1.0 - (database of Food Impacts on the Environment for Linking to Diets)</t>
  </si>
  <si>
    <t>additional processing inputs for select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</si>
</sst>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44" formatCode="_(&quot;$&quot;* #,##0.00_);_(&quot;$&quot;* \(#,##0.00\);_(&quot;$&quot;* &quot;-&quot;??_);_(@_)"/>
    <numFmt numFmtId="164" formatCode="0.00000"/>
    <numFmt numFmtId="165" formatCode="0.000"/>
    <numFmt numFmtId="166" formatCode="0.0000"/>
    <numFmt numFmtId="167" formatCode="0.0"/>
    <numFmt numFmtId="168" formatCode="mmmm\ d\,\ yyyy"/>
    <numFmt numFmtId="169" formatCode="0.000000000"/>
  </numFmts>
  <fonts count="49" x14ac:knownFonts="1">
    <font>
      <sz val="12"/>
      <color rgb="FF000000"/>
      <name val="Calibri"/>
    </font>
    <font>
      <b/>
      <sz val="14"/>
      <color rgb="FF000000"/>
      <name val="Calibri"/>
      <family val="2"/>
    </font>
    <font>
      <b/>
      <sz val="12"/>
      <color rgb="FF000000"/>
      <name val="Calibri"/>
      <family val="2"/>
    </font>
    <font>
      <sz val="12"/>
      <color rgb="FF222222"/>
      <name val="Calibri"/>
      <family val="2"/>
    </font>
    <font>
      <sz val="12"/>
      <name val="Calibri"/>
      <family val="2"/>
    </font>
    <font>
      <sz val="11"/>
      <color rgb="FF000000"/>
      <name val="Calibri"/>
      <family val="2"/>
    </font>
    <font>
      <b/>
      <sz val="11"/>
      <color rgb="FF000000"/>
      <name val="Calibri"/>
      <family val="2"/>
    </font>
    <font>
      <b/>
      <sz val="12"/>
      <color rgb="FF000000"/>
      <name val="Calibri"/>
      <family val="2"/>
    </font>
    <font>
      <u/>
      <sz val="12"/>
      <color theme="10"/>
      <name val="Calibri"/>
      <family val="2"/>
    </font>
    <font>
      <sz val="11"/>
      <color rgb="FF000000"/>
      <name val="Calibri"/>
      <family val="2"/>
    </font>
    <font>
      <b/>
      <sz val="14"/>
      <color rgb="FF000000"/>
      <name val="Calibri"/>
      <family val="2"/>
    </font>
    <font>
      <sz val="12"/>
      <color rgb="FF000000"/>
      <name val="Calibri"/>
      <family val="2"/>
    </font>
    <font>
      <b/>
      <vertAlign val="subscript"/>
      <sz val="12"/>
      <color rgb="FF000000"/>
      <name val="Calibri"/>
      <family val="2"/>
    </font>
    <font>
      <b/>
      <sz val="12"/>
      <name val="Calibri"/>
      <family val="2"/>
    </font>
    <font>
      <sz val="10"/>
      <name val="Arial"/>
      <family val="2"/>
    </font>
    <font>
      <sz val="10"/>
      <name val="Arial"/>
      <family val="2"/>
    </font>
    <font>
      <u/>
      <sz val="12"/>
      <color theme="11"/>
      <name val="Calibri"/>
      <family val="2"/>
    </font>
    <font>
      <sz val="9"/>
      <color indexed="81"/>
      <name val="Calibri"/>
      <family val="2"/>
    </font>
    <font>
      <b/>
      <sz val="9"/>
      <color indexed="81"/>
      <name val="Calibri"/>
      <family val="2"/>
    </font>
    <font>
      <sz val="9"/>
      <color rgb="FF000000"/>
      <name val="Calibri"/>
      <family val="2"/>
    </font>
    <font>
      <sz val="11"/>
      <name val="Calibri"/>
      <family val="2"/>
    </font>
    <font>
      <sz val="8"/>
      <name val="Calibri"/>
      <family val="2"/>
    </font>
    <font>
      <sz val="10"/>
      <color indexed="8"/>
      <name val="Arial"/>
      <family val="2"/>
    </font>
    <font>
      <sz val="11"/>
      <color indexed="8"/>
      <name val="Calibri"/>
      <family val="2"/>
    </font>
    <font>
      <sz val="12"/>
      <color rgb="FF000000"/>
      <name val="Calibri"/>
      <family val="2"/>
    </font>
    <font>
      <sz val="11"/>
      <color indexed="8"/>
      <name val="Calibri"/>
      <family val="2"/>
    </font>
    <font>
      <sz val="12"/>
      <color rgb="FFFF0000"/>
      <name val="Calibri"/>
      <family val="2"/>
    </font>
    <font>
      <b/>
      <sz val="18"/>
      <color rgb="FF000000"/>
      <name val="Calibri"/>
      <family val="2"/>
    </font>
    <font>
      <sz val="11"/>
      <color rgb="FF000000"/>
      <name val="Calibri"/>
      <family val="2"/>
      <scheme val="minor"/>
    </font>
    <font>
      <sz val="11"/>
      <name val="Calibri"/>
      <family val="2"/>
      <scheme val="minor"/>
    </font>
    <font>
      <sz val="9"/>
      <color theme="1"/>
      <name val="Calibri"/>
      <family val="2"/>
      <scheme val="minor"/>
    </font>
    <font>
      <sz val="11"/>
      <color rgb="FFFF0000"/>
      <name val="Calibri"/>
      <family val="2"/>
    </font>
    <font>
      <b/>
      <sz val="20"/>
      <color rgb="FF000000"/>
      <name val="Calibri"/>
      <family val="2"/>
    </font>
    <font>
      <sz val="12"/>
      <color rgb="FF000000"/>
      <name val="Times New Roman"/>
      <family val="1"/>
    </font>
    <font>
      <sz val="14"/>
      <color rgb="FF000000"/>
      <name val="Calibri"/>
      <family val="2"/>
    </font>
    <font>
      <sz val="12"/>
      <color rgb="FF000000"/>
      <name val="Cambria"/>
      <family val="1"/>
    </font>
    <font>
      <i/>
      <sz val="12"/>
      <color rgb="FF000000"/>
      <name val="Calibri"/>
      <family val="2"/>
    </font>
    <font>
      <i/>
      <sz val="10"/>
      <color rgb="FF000000"/>
      <name val="Times New Roman"/>
      <family val="1"/>
    </font>
    <font>
      <i/>
      <sz val="11"/>
      <color rgb="FF000000"/>
      <name val="Calibri"/>
      <family val="2"/>
    </font>
    <font>
      <b/>
      <sz val="12"/>
      <color rgb="FFFF0000"/>
      <name val="Calibri"/>
      <family val="2"/>
    </font>
    <font>
      <sz val="18"/>
      <color theme="3"/>
      <name val="Calibri"/>
    </font>
    <font>
      <sz val="18"/>
      <color theme="4"/>
      <name val="Calibri"/>
    </font>
    <font>
      <sz val="9"/>
      <color indexed="81"/>
      <name val="Tahoma"/>
      <charset val="1"/>
    </font>
    <font>
      <b/>
      <sz val="9"/>
      <color indexed="81"/>
      <name val="Tahoma"/>
      <charset val="1"/>
    </font>
    <font>
      <b/>
      <sz val="10"/>
      <color indexed="81"/>
      <name val="Calibri"/>
      <family val="2"/>
    </font>
    <font>
      <sz val="10"/>
      <color indexed="81"/>
      <name val="Calibri"/>
      <family val="2"/>
    </font>
    <font>
      <sz val="10"/>
      <color rgb="FF000000"/>
      <name val="Calibri"/>
      <family val="2"/>
    </font>
    <font>
      <b/>
      <sz val="9"/>
      <color rgb="FF000000"/>
      <name val="Tahoma"/>
      <charset val="1"/>
    </font>
    <font>
      <sz val="9"/>
      <color rgb="FF000000"/>
      <name val="Tahoma"/>
      <charset val="1"/>
    </font>
  </fonts>
  <fills count="61">
    <fill>
      <patternFill patternType="none"/>
    </fill>
    <fill>
      <patternFill patternType="gray125"/>
    </fill>
    <fill>
      <patternFill patternType="solid">
        <fgColor rgb="FFBFBFBF"/>
        <bgColor rgb="FFBFBFBF"/>
      </patternFill>
    </fill>
    <fill>
      <patternFill patternType="solid">
        <fgColor rgb="FFC7DBF1"/>
        <bgColor rgb="FFC7DBF1"/>
      </patternFill>
    </fill>
    <fill>
      <patternFill patternType="solid">
        <fgColor rgb="FFE5DFEC"/>
        <bgColor rgb="FFE5DFEC"/>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
      <patternFill patternType="solid">
        <fgColor theme="4" tint="0.59999389629810485"/>
        <bgColor indexed="64"/>
      </patternFill>
    </fill>
    <fill>
      <patternFill patternType="solid">
        <fgColor theme="5" tint="0.39997558519241921"/>
        <bgColor rgb="FFF4CCCC"/>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rgb="FFD9EAD3"/>
      </patternFill>
    </fill>
    <fill>
      <patternFill patternType="solid">
        <fgColor theme="6" tint="0.39997558519241921"/>
        <bgColor indexed="64"/>
      </patternFill>
    </fill>
    <fill>
      <patternFill patternType="solid">
        <fgColor theme="0" tint="-0.499984740745262"/>
        <bgColor indexed="64"/>
      </patternFill>
    </fill>
    <fill>
      <patternFill patternType="solid">
        <fgColor rgb="FFFFFF00"/>
        <bgColor indexed="64"/>
      </patternFill>
    </fill>
    <fill>
      <patternFill patternType="solid">
        <fgColor theme="5"/>
        <bgColor indexed="64"/>
      </patternFill>
    </fill>
    <fill>
      <patternFill patternType="solid">
        <fgColor theme="0"/>
        <bgColor rgb="FFFFFF00"/>
      </patternFill>
    </fill>
    <fill>
      <patternFill patternType="solid">
        <fgColor theme="0"/>
        <bgColor indexed="64"/>
      </patternFill>
    </fill>
    <fill>
      <patternFill patternType="solid">
        <fgColor rgb="FFFEFF8D"/>
        <bgColor rgb="FFFF0000"/>
      </patternFill>
    </fill>
    <fill>
      <patternFill patternType="solid">
        <fgColor indexed="22"/>
        <bgColor indexed="0"/>
      </patternFill>
    </fill>
    <fill>
      <patternFill patternType="solid">
        <fgColor theme="9" tint="0.79998168889431442"/>
        <bgColor indexed="64"/>
      </patternFill>
    </fill>
    <fill>
      <patternFill patternType="solid">
        <fgColor theme="1"/>
        <bgColor indexed="64"/>
      </patternFill>
    </fill>
    <fill>
      <patternFill patternType="solid">
        <fgColor theme="4" tint="0.59999389629810485"/>
        <bgColor rgb="FFC7DBF1"/>
      </patternFill>
    </fill>
    <fill>
      <patternFill patternType="solid">
        <fgColor theme="2" tint="-0.249977111117893"/>
        <bgColor rgb="FFBFBFBF"/>
      </patternFill>
    </fill>
    <fill>
      <patternFill patternType="solid">
        <fgColor theme="2" tint="-0.249977111117893"/>
        <bgColor indexed="64"/>
      </patternFill>
    </fill>
    <fill>
      <patternFill patternType="solid">
        <fgColor theme="9"/>
        <bgColor indexed="64"/>
      </patternFill>
    </fill>
    <fill>
      <patternFill patternType="solid">
        <fgColor theme="4" tint="0.59999389629810485"/>
        <bgColor rgb="FFFF0000"/>
      </patternFill>
    </fill>
    <fill>
      <patternFill patternType="solid">
        <fgColor theme="2" tint="-9.9978637043366805E-2"/>
        <bgColor rgb="FFDDD9C3"/>
      </patternFill>
    </fill>
    <fill>
      <patternFill patternType="solid">
        <fgColor theme="2" tint="-9.9978637043366805E-2"/>
        <bgColor indexed="64"/>
      </patternFill>
    </fill>
    <fill>
      <patternFill patternType="solid">
        <fgColor theme="2" tint="-9.9978637043366805E-2"/>
        <bgColor rgb="FFFFFF00"/>
      </patternFill>
    </fill>
    <fill>
      <patternFill patternType="solid">
        <fgColor theme="5" tint="0.39997558519241921"/>
        <bgColor rgb="FFFF0000"/>
      </patternFill>
    </fill>
    <fill>
      <patternFill patternType="solid">
        <fgColor theme="7"/>
        <bgColor indexed="64"/>
      </patternFill>
    </fill>
    <fill>
      <patternFill patternType="solid">
        <fgColor theme="8"/>
        <bgColor indexed="64"/>
      </patternFill>
    </fill>
    <fill>
      <patternFill patternType="solid">
        <fgColor theme="2" tint="-0.499984740745262"/>
        <bgColor indexed="64"/>
      </patternFill>
    </fill>
    <fill>
      <patternFill patternType="solid">
        <fgColor theme="4"/>
        <bgColor indexed="64"/>
      </patternFill>
    </fill>
    <fill>
      <patternFill patternType="solid">
        <fgColor rgb="FFCB6A63"/>
        <bgColor indexed="64"/>
      </patternFill>
    </fill>
    <fill>
      <patternFill patternType="solid">
        <fgColor rgb="FFE5DFEC"/>
        <bgColor indexed="64"/>
      </patternFill>
    </fill>
    <fill>
      <patternFill patternType="solid">
        <fgColor rgb="FFF4CCCC"/>
        <bgColor indexed="64"/>
      </patternFill>
    </fill>
    <fill>
      <patternFill patternType="solid">
        <fgColor rgb="FFD9EAD3"/>
        <bgColor indexed="64"/>
      </patternFill>
    </fill>
    <fill>
      <patternFill patternType="solid">
        <fgColor rgb="FFFEFF8D"/>
        <bgColor indexed="64"/>
      </patternFill>
    </fill>
    <fill>
      <patternFill patternType="solid">
        <fgColor rgb="FFE5DFEC"/>
        <bgColor rgb="FFFFFFFF"/>
      </patternFill>
    </fill>
    <fill>
      <patternFill patternType="solid">
        <fgColor rgb="FFE5DFEC"/>
        <bgColor rgb="FFC7DBF1"/>
      </patternFill>
    </fill>
    <fill>
      <patternFill patternType="solid">
        <fgColor rgb="FFE5DFEC"/>
        <bgColor rgb="FFFFFF99"/>
      </patternFill>
    </fill>
    <fill>
      <patternFill patternType="solid">
        <fgColor rgb="FFFEFF8D"/>
        <bgColor rgb="FFFFFF99"/>
      </patternFill>
    </fill>
    <fill>
      <patternFill patternType="solid">
        <fgColor rgb="FFFEFF8D"/>
        <bgColor rgb="FFF4CCCC"/>
      </patternFill>
    </fill>
    <fill>
      <patternFill patternType="solid">
        <fgColor theme="6" tint="0.79998168889431442"/>
        <bgColor rgb="FFF4CCCC"/>
      </patternFill>
    </fill>
    <fill>
      <patternFill patternType="solid">
        <fgColor theme="6" tint="0.79998168889431442"/>
        <bgColor rgb="FFD9EAD3"/>
      </patternFill>
    </fill>
    <fill>
      <patternFill patternType="solid">
        <fgColor theme="6" tint="0.39997558519241921"/>
        <bgColor rgb="FF000000"/>
      </patternFill>
    </fill>
    <fill>
      <patternFill patternType="solid">
        <fgColor rgb="FFB8CCE4"/>
        <bgColor rgb="FFC7DBF1"/>
      </patternFill>
    </fill>
    <fill>
      <patternFill patternType="solid">
        <fgColor theme="0"/>
        <bgColor rgb="FFC7DBF1"/>
      </patternFill>
    </fill>
    <fill>
      <patternFill patternType="solid">
        <fgColor theme="5" tint="0.79998168889431442"/>
        <bgColor rgb="FFF4CCCC"/>
      </patternFill>
    </fill>
    <fill>
      <patternFill patternType="solid">
        <fgColor theme="5" tint="0.79998168889431442"/>
        <bgColor rgb="FFFFFF99"/>
      </patternFill>
    </fill>
    <fill>
      <patternFill patternType="solid">
        <fgColor theme="5" tint="0.79998168889431442"/>
        <bgColor rgb="FFFF0000"/>
      </patternFill>
    </fill>
    <fill>
      <patternFill patternType="solid">
        <fgColor theme="5" tint="0.79998168889431442"/>
        <bgColor rgb="FFD9EAD3"/>
      </patternFill>
    </fill>
    <fill>
      <patternFill patternType="solid">
        <fgColor theme="6" tint="0.79998168889431442"/>
        <bgColor rgb="FFFF0000"/>
      </patternFill>
    </fill>
    <fill>
      <patternFill patternType="solid">
        <fgColor theme="6"/>
        <bgColor rgb="FFD9EAD3"/>
      </patternFill>
    </fill>
    <fill>
      <patternFill patternType="solid">
        <fgColor theme="6"/>
        <bgColor indexed="64"/>
      </patternFill>
    </fill>
    <fill>
      <patternFill patternType="solid">
        <fgColor theme="6"/>
        <bgColor rgb="FFF4CCCC"/>
      </patternFill>
    </fill>
    <fill>
      <patternFill patternType="solid">
        <fgColor rgb="FFDDD9C4"/>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theme="0"/>
      </bottom>
      <diagonal/>
    </border>
    <border>
      <left style="medium">
        <color auto="1"/>
      </left>
      <right style="medium">
        <color auto="1"/>
      </right>
      <top style="medium">
        <color theme="0"/>
      </top>
      <bottom style="medium">
        <color theme="0"/>
      </bottom>
      <diagonal/>
    </border>
    <border>
      <left/>
      <right/>
      <top style="double">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medium">
        <color auto="1"/>
      </right>
      <top style="medium">
        <color theme="0"/>
      </top>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bottom/>
      <diagonal/>
    </border>
    <border>
      <left style="thin">
        <color indexed="8"/>
      </left>
      <right style="thin">
        <color indexed="8"/>
      </right>
      <top/>
      <bottom/>
      <diagonal/>
    </border>
    <border>
      <left/>
      <right style="thin">
        <color auto="1"/>
      </right>
      <top/>
      <bottom/>
      <diagonal/>
    </border>
    <border>
      <left/>
      <right style="thin">
        <color indexed="22"/>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thin">
        <color auto="1"/>
      </left>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diagonal/>
    </border>
    <border>
      <left/>
      <right style="thin">
        <color auto="1"/>
      </right>
      <top style="thin">
        <color auto="1"/>
      </top>
      <bottom/>
      <diagonal/>
    </border>
    <border>
      <left/>
      <right/>
      <top style="thin">
        <color auto="1"/>
      </top>
      <bottom style="medium">
        <color auto="1"/>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rgb="FF000000"/>
      </top>
      <bottom style="thin">
        <color auto="1"/>
      </bottom>
      <diagonal/>
    </border>
    <border>
      <left style="thin">
        <color auto="1"/>
      </left>
      <right/>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medium">
        <color auto="1"/>
      </left>
      <right style="medium">
        <color auto="1"/>
      </right>
      <top style="medium">
        <color rgb="FF000000"/>
      </top>
      <bottom style="medium">
        <color auto="1"/>
      </bottom>
      <diagonal/>
    </border>
    <border>
      <left style="medium">
        <color auto="1"/>
      </left>
      <right style="medium">
        <color auto="1"/>
      </right>
      <top/>
      <bottom style="medium">
        <color auto="1"/>
      </bottom>
      <diagonal/>
    </border>
  </borders>
  <cellStyleXfs count="509">
    <xf numFmtId="0" fontId="0" fillId="0" borderId="0"/>
    <xf numFmtId="0" fontId="5" fillId="0" borderId="0"/>
    <xf numFmtId="0" fontId="8" fillId="0" borderId="0" applyNumberFormat="0" applyFill="0" applyBorder="0" applyAlignment="0" applyProtection="0">
      <alignment vertical="top"/>
      <protection locked="0"/>
    </xf>
    <xf numFmtId="0" fontId="14" fillId="0" borderId="0"/>
    <xf numFmtId="0" fontId="15" fillId="0" borderId="0"/>
    <xf numFmtId="3" fontId="14" fillId="0" borderId="0" applyFill="0" applyBorder="0" applyAlignment="0" applyProtection="0"/>
    <xf numFmtId="3" fontId="15" fillId="0" borderId="0" applyFill="0" applyBorder="0" applyAlignment="0" applyProtection="0"/>
    <xf numFmtId="3" fontId="15" fillId="0" borderId="0" applyFill="0" applyBorder="0" applyAlignment="0" applyProtection="0"/>
    <xf numFmtId="5" fontId="14" fillId="0" borderId="0" applyFill="0" applyBorder="0" applyAlignment="0" applyProtection="0"/>
    <xf numFmtId="5" fontId="15" fillId="0" borderId="0" applyFill="0" applyBorder="0" applyAlignment="0" applyProtection="0"/>
    <xf numFmtId="5" fontId="15" fillId="0" borderId="0" applyFill="0" applyBorder="0" applyAlignment="0" applyProtection="0"/>
    <xf numFmtId="168" fontId="14" fillId="0" borderId="0" applyFill="0" applyBorder="0" applyAlignment="0" applyProtection="0"/>
    <xf numFmtId="168" fontId="15" fillId="0" borderId="0" applyFill="0" applyBorder="0" applyAlignment="0" applyProtection="0"/>
    <xf numFmtId="168" fontId="15" fillId="0" borderId="0" applyFill="0" applyBorder="0" applyAlignment="0" applyProtection="0"/>
    <xf numFmtId="2" fontId="14"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0" fontId="15" fillId="0" borderId="22" applyNumberFormat="0" applyFill="0" applyAlignment="0" applyProtection="0"/>
    <xf numFmtId="0" fontId="15" fillId="0" borderId="22" applyNumberFormat="0" applyFill="0" applyAlignment="0" applyProtection="0"/>
    <xf numFmtId="3" fontId="15" fillId="0" borderId="0" applyFill="0" applyBorder="0" applyAlignment="0" applyProtection="0"/>
    <xf numFmtId="3" fontId="15" fillId="0" borderId="0" applyFill="0" applyBorder="0" applyAlignment="0" applyProtection="0"/>
    <xf numFmtId="5" fontId="15" fillId="0" borderId="0" applyFill="0" applyBorder="0" applyAlignment="0" applyProtection="0"/>
    <xf numFmtId="5" fontId="15" fillId="0" borderId="0" applyFill="0" applyBorder="0" applyAlignment="0" applyProtection="0"/>
    <xf numFmtId="168" fontId="15" fillId="0" borderId="0" applyFill="0" applyBorder="0" applyAlignment="0" applyProtection="0"/>
    <xf numFmtId="168"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0" fontId="15" fillId="0" borderId="22" applyNumberFormat="0" applyFill="0" applyAlignment="0" applyProtection="0"/>
    <xf numFmtId="0" fontId="15" fillId="0" borderId="22" applyNumberFormat="0" applyFill="0" applyAlignment="0" applyProtection="0"/>
    <xf numFmtId="44" fontId="15" fillId="0" borderId="0" applyFont="0" applyFill="0" applyBorder="0" applyAlignment="0" applyProtection="0"/>
    <xf numFmtId="4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2" fillId="0" borderId="0"/>
    <xf numFmtId="9" fontId="24"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589">
    <xf numFmtId="0" fontId="0" fillId="0" borderId="0" xfId="0" applyFont="1" applyAlignment="1"/>
    <xf numFmtId="0" fontId="1" fillId="3" borderId="1" xfId="0" applyFont="1" applyFill="1" applyBorder="1" applyAlignment="1">
      <alignment horizontal="center" vertical="center" wrapText="1"/>
    </xf>
    <xf numFmtId="0" fontId="0" fillId="0" borderId="0" xfId="0" pivotButton="1" applyFont="1" applyAlignment="1">
      <alignment wrapText="1"/>
    </xf>
    <xf numFmtId="0" fontId="0" fillId="0" borderId="0" xfId="0" applyFont="1" applyAlignment="1">
      <alignment wrapText="1"/>
    </xf>
    <xf numFmtId="0" fontId="0" fillId="0" borderId="0" xfId="0" applyNumberFormat="1" applyFont="1" applyAlignment="1">
      <alignment wrapText="1"/>
    </xf>
    <xf numFmtId="0" fontId="5" fillId="0" borderId="0" xfId="1" applyFont="1" applyAlignment="1">
      <alignment vertical="center"/>
    </xf>
    <xf numFmtId="0" fontId="0" fillId="0" borderId="0" xfId="0" applyFont="1" applyAlignment="1">
      <alignment vertical="center"/>
    </xf>
    <xf numFmtId="0" fontId="7" fillId="0" borderId="0" xfId="0" applyFont="1" applyAlignment="1">
      <alignment vertical="center"/>
    </xf>
    <xf numFmtId="0" fontId="0" fillId="0" borderId="0" xfId="0" applyFont="1" applyAlignment="1">
      <alignment horizontal="center" vertical="center"/>
    </xf>
    <xf numFmtId="0" fontId="9" fillId="0" borderId="3" xfId="1" applyFont="1" applyBorder="1" applyAlignment="1">
      <alignment vertical="center"/>
    </xf>
    <xf numFmtId="0" fontId="5" fillId="15" borderId="0" xfId="1" applyFont="1" applyFill="1" applyAlignment="1">
      <alignment vertical="center"/>
    </xf>
    <xf numFmtId="0" fontId="11" fillId="15" borderId="0" xfId="1" applyFont="1" applyFill="1" applyAlignment="1">
      <alignment vertical="center"/>
    </xf>
    <xf numFmtId="0" fontId="11" fillId="0" borderId="0" xfId="0" applyFont="1" applyAlignment="1">
      <alignment vertical="center"/>
    </xf>
    <xf numFmtId="0" fontId="6" fillId="0" borderId="20" xfId="1" applyNumberFormat="1" applyFont="1" applyFill="1" applyBorder="1" applyAlignment="1">
      <alignment vertical="center" wrapText="1"/>
    </xf>
    <xf numFmtId="0" fontId="7" fillId="0" borderId="21" xfId="1" applyNumberFormat="1" applyFont="1" applyFill="1" applyBorder="1" applyAlignment="1">
      <alignment horizontal="center" vertical="center" wrapText="1"/>
    </xf>
    <xf numFmtId="0" fontId="0" fillId="0" borderId="0" xfId="0" applyNumberFormat="1" applyFont="1" applyAlignment="1">
      <alignment horizontal="center" vertical="center"/>
    </xf>
    <xf numFmtId="0" fontId="2" fillId="8" borderId="4" xfId="1" applyFont="1" applyFill="1" applyBorder="1" applyAlignment="1">
      <alignment horizontal="center" vertical="center" wrapText="1"/>
    </xf>
    <xf numFmtId="0" fontId="2" fillId="8" borderId="10" xfId="1" applyFont="1" applyFill="1" applyBorder="1" applyAlignment="1">
      <alignment horizontal="center" vertical="center" wrapText="1"/>
    </xf>
    <xf numFmtId="1" fontId="0" fillId="0" borderId="0" xfId="0" applyNumberFormat="1" applyFont="1" applyAlignment="1">
      <alignment horizontal="center" vertical="center"/>
    </xf>
    <xf numFmtId="0" fontId="9" fillId="0" borderId="18" xfId="1" applyFont="1" applyBorder="1" applyAlignment="1">
      <alignment vertical="center"/>
    </xf>
    <xf numFmtId="0" fontId="9" fillId="0" borderId="19" xfId="1" applyFont="1" applyBorder="1" applyAlignment="1">
      <alignment vertical="center"/>
    </xf>
    <xf numFmtId="0" fontId="9" fillId="0" borderId="0" xfId="0" applyFont="1" applyAlignment="1">
      <alignment vertical="center"/>
    </xf>
    <xf numFmtId="0" fontId="9" fillId="0" borderId="7" xfId="1" applyFont="1" applyBorder="1" applyAlignment="1">
      <alignment vertical="center"/>
    </xf>
    <xf numFmtId="0" fontId="9" fillId="17" borderId="3" xfId="1" applyFont="1" applyFill="1" applyBorder="1" applyAlignment="1">
      <alignment vertical="center"/>
    </xf>
    <xf numFmtId="0" fontId="9" fillId="18" borderId="7" xfId="1" applyFont="1" applyFill="1" applyBorder="1" applyAlignment="1">
      <alignment vertical="center"/>
    </xf>
    <xf numFmtId="0" fontId="9" fillId="18" borderId="3" xfId="1" applyFont="1" applyFill="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11" fillId="0" borderId="0" xfId="0" applyFont="1" applyAlignment="1"/>
    <xf numFmtId="0" fontId="0" fillId="0" borderId="0" xfId="0" applyFont="1" applyAlignment="1">
      <alignment horizontal="left" vertical="center"/>
    </xf>
    <xf numFmtId="0" fontId="9" fillId="0" borderId="3" xfId="1" applyFont="1" applyFill="1" applyBorder="1" applyAlignment="1">
      <alignment vertical="center"/>
    </xf>
    <xf numFmtId="0" fontId="9" fillId="19" borderId="3" xfId="1" applyFont="1" applyFill="1" applyBorder="1" applyAlignment="1">
      <alignment vertical="center"/>
    </xf>
    <xf numFmtId="0" fontId="9" fillId="19" borderId="7" xfId="1" applyFont="1" applyFill="1" applyBorder="1" applyAlignment="1">
      <alignment vertical="center"/>
    </xf>
    <xf numFmtId="0" fontId="23" fillId="0" borderId="29" xfId="159" applyFont="1" applyFill="1" applyBorder="1" applyAlignment="1">
      <alignment horizontal="right" wrapText="1"/>
    </xf>
    <xf numFmtId="0" fontId="23" fillId="0" borderId="29" xfId="159" applyFont="1" applyFill="1" applyBorder="1" applyAlignment="1">
      <alignment wrapText="1"/>
    </xf>
    <xf numFmtId="2" fontId="23" fillId="21" borderId="30" xfId="159" applyNumberFormat="1" applyFont="1" applyFill="1" applyBorder="1" applyAlignment="1">
      <alignment horizontal="center"/>
    </xf>
    <xf numFmtId="9" fontId="0" fillId="0" borderId="0" xfId="160" applyFont="1" applyAlignment="1"/>
    <xf numFmtId="0" fontId="9" fillId="0" borderId="0" xfId="1" applyFont="1" applyBorder="1" applyAlignment="1">
      <alignment vertical="center"/>
    </xf>
    <xf numFmtId="0" fontId="9" fillId="0" borderId="0" xfId="1" applyFont="1" applyFill="1" applyBorder="1" applyAlignment="1">
      <alignment vertical="center"/>
    </xf>
    <xf numFmtId="0" fontId="9" fillId="18" borderId="0" xfId="1" applyFont="1" applyFill="1" applyBorder="1" applyAlignment="1">
      <alignment vertical="center"/>
    </xf>
    <xf numFmtId="0" fontId="9" fillId="17" borderId="0" xfId="1" applyFont="1" applyFill="1" applyBorder="1" applyAlignment="1">
      <alignment vertical="center"/>
    </xf>
    <xf numFmtId="0" fontId="0" fillId="0" borderId="0" xfId="0" applyFont="1" applyBorder="1" applyAlignment="1"/>
    <xf numFmtId="0" fontId="25" fillId="0" borderId="29" xfId="159" applyFont="1" applyFill="1" applyBorder="1" applyAlignment="1">
      <alignment wrapText="1"/>
    </xf>
    <xf numFmtId="0" fontId="25" fillId="0" borderId="29" xfId="159" applyFont="1" applyFill="1" applyBorder="1" applyAlignment="1">
      <alignment horizontal="right" wrapText="1"/>
    </xf>
    <xf numFmtId="0" fontId="11" fillId="0" borderId="0" xfId="0" applyFont="1" applyBorder="1" applyAlignment="1"/>
    <xf numFmtId="2" fontId="25" fillId="21" borderId="30" xfId="159" applyNumberFormat="1" applyFont="1" applyFill="1" applyBorder="1" applyAlignment="1">
      <alignment horizontal="center"/>
    </xf>
    <xf numFmtId="0" fontId="25" fillId="0" borderId="0" xfId="159" applyFont="1" applyFill="1" applyBorder="1" applyAlignment="1">
      <alignment wrapText="1"/>
    </xf>
    <xf numFmtId="2" fontId="25" fillId="21" borderId="0" xfId="159" applyNumberFormat="1" applyFont="1" applyFill="1" applyBorder="1" applyAlignment="1">
      <alignment horizontal="center"/>
    </xf>
    <xf numFmtId="0" fontId="25" fillId="0" borderId="31" xfId="159" applyFont="1" applyFill="1" applyBorder="1" applyAlignment="1">
      <alignment wrapText="1"/>
    </xf>
    <xf numFmtId="2" fontId="25" fillId="21" borderId="32" xfId="159" applyNumberFormat="1" applyFont="1" applyFill="1" applyBorder="1" applyAlignment="1">
      <alignment horizontal="center"/>
    </xf>
    <xf numFmtId="0" fontId="9" fillId="0" borderId="33" xfId="1" applyFont="1" applyFill="1" applyBorder="1" applyAlignment="1">
      <alignment vertical="center"/>
    </xf>
    <xf numFmtId="0" fontId="25" fillId="0" borderId="34" xfId="159" applyFont="1" applyFill="1" applyBorder="1" applyAlignment="1">
      <alignment wrapText="1"/>
    </xf>
    <xf numFmtId="0" fontId="9" fillId="0" borderId="19" xfId="1" applyFont="1" applyBorder="1" applyAlignment="1">
      <alignment vertical="center" wrapText="1"/>
    </xf>
    <xf numFmtId="0" fontId="9" fillId="0" borderId="3" xfId="1" applyFont="1" applyBorder="1" applyAlignment="1">
      <alignment vertical="center" wrapText="1"/>
    </xf>
    <xf numFmtId="0" fontId="9" fillId="16" borderId="3" xfId="1" applyFont="1" applyFill="1" applyBorder="1" applyAlignment="1">
      <alignment vertical="center" wrapText="1"/>
    </xf>
    <xf numFmtId="0" fontId="9" fillId="18" borderId="3" xfId="1" applyFont="1" applyFill="1" applyBorder="1" applyAlignment="1">
      <alignment vertical="center" wrapText="1"/>
    </xf>
    <xf numFmtId="0" fontId="5" fillId="0" borderId="3" xfId="1" applyFont="1" applyBorder="1" applyAlignment="1">
      <alignment vertical="center" wrapText="1"/>
    </xf>
    <xf numFmtId="0" fontId="9" fillId="0" borderId="3" xfId="1" applyFont="1" applyBorder="1" applyAlignment="1">
      <alignment horizontal="left" vertical="center" wrapText="1"/>
    </xf>
    <xf numFmtId="0" fontId="9" fillId="0" borderId="9" xfId="1" applyFont="1" applyBorder="1" applyAlignment="1">
      <alignment vertical="center" wrapText="1"/>
    </xf>
    <xf numFmtId="0" fontId="5" fillId="0" borderId="0" xfId="1" applyFont="1" applyAlignment="1">
      <alignment vertical="center" wrapText="1"/>
    </xf>
    <xf numFmtId="0" fontId="0" fillId="0" borderId="0" xfId="0" applyFont="1" applyAlignment="1">
      <alignment vertical="center" wrapText="1"/>
    </xf>
    <xf numFmtId="0" fontId="7" fillId="0" borderId="0" xfId="1" applyFont="1" applyFill="1" applyBorder="1" applyAlignment="1">
      <alignment horizontal="center" vertical="center" wrapText="1"/>
    </xf>
    <xf numFmtId="0" fontId="9" fillId="0" borderId="3" xfId="1" applyFont="1" applyFill="1" applyBorder="1" applyAlignment="1">
      <alignment vertical="center" wrapText="1"/>
    </xf>
    <xf numFmtId="0" fontId="5" fillId="0" borderId="0" xfId="1" applyFont="1" applyFill="1" applyAlignment="1">
      <alignment vertical="center" wrapText="1"/>
    </xf>
    <xf numFmtId="0" fontId="0" fillId="0" borderId="0" xfId="0" applyFont="1" applyFill="1" applyAlignment="1">
      <alignment vertical="center" wrapText="1"/>
    </xf>
    <xf numFmtId="0" fontId="23" fillId="0" borderId="0" xfId="159" applyFont="1" applyFill="1" applyBorder="1" applyAlignment="1">
      <alignment horizontal="right" wrapText="1"/>
    </xf>
    <xf numFmtId="0" fontId="23" fillId="0" borderId="0" xfId="159" applyFont="1" applyFill="1" applyBorder="1" applyAlignment="1">
      <alignment wrapText="1"/>
    </xf>
    <xf numFmtId="2" fontId="23" fillId="21" borderId="0" xfId="159" applyNumberFormat="1" applyFont="1" applyFill="1" applyBorder="1" applyAlignment="1">
      <alignment horizontal="center"/>
    </xf>
    <xf numFmtId="9" fontId="5" fillId="0" borderId="0" xfId="160" applyFont="1" applyAlignment="1">
      <alignment vertical="center" wrapText="1"/>
    </xf>
    <xf numFmtId="0" fontId="0" fillId="16" borderId="0" xfId="0" applyFont="1" applyFill="1" applyAlignment="1"/>
    <xf numFmtId="0" fontId="9" fillId="19" borderId="0" xfId="1" applyFont="1" applyFill="1" applyBorder="1" applyAlignment="1">
      <alignment vertical="center" wrapText="1"/>
    </xf>
    <xf numFmtId="0" fontId="0" fillId="19" borderId="0" xfId="0" applyFont="1" applyFill="1" applyAlignment="1"/>
    <xf numFmtId="0" fontId="5" fillId="19" borderId="0" xfId="1" applyFont="1" applyFill="1" applyBorder="1" applyAlignment="1">
      <alignment vertical="center" wrapText="1"/>
    </xf>
    <xf numFmtId="0" fontId="9" fillId="19" borderId="0" xfId="1" applyFont="1" applyFill="1" applyBorder="1" applyAlignment="1">
      <alignment vertical="center"/>
    </xf>
    <xf numFmtId="0" fontId="11" fillId="19" borderId="0" xfId="0" applyFont="1" applyFill="1" applyAlignment="1"/>
    <xf numFmtId="0" fontId="0" fillId="19" borderId="0" xfId="0" applyFont="1" applyFill="1" applyBorder="1" applyAlignment="1"/>
    <xf numFmtId="0" fontId="5" fillId="0" borderId="0" xfId="1" applyFont="1" applyBorder="1" applyAlignment="1">
      <alignment vertical="center"/>
    </xf>
    <xf numFmtId="0" fontId="9" fillId="19" borderId="3" xfId="1" applyFont="1" applyFill="1" applyBorder="1" applyAlignment="1">
      <alignment vertical="center" wrapText="1"/>
    </xf>
    <xf numFmtId="0" fontId="5" fillId="19" borderId="0" xfId="1" applyFont="1" applyFill="1" applyBorder="1" applyAlignment="1">
      <alignment horizontal="left" vertical="center" wrapText="1"/>
    </xf>
    <xf numFmtId="0" fontId="9" fillId="19" borderId="0" xfId="1" applyFont="1" applyFill="1" applyBorder="1" applyAlignment="1">
      <alignment horizontal="left" vertical="center" wrapText="1"/>
    </xf>
    <xf numFmtId="0" fontId="6" fillId="0" borderId="11" xfId="1" applyNumberFormat="1" applyFont="1" applyFill="1" applyBorder="1" applyAlignment="1">
      <alignment vertical="center" wrapText="1"/>
    </xf>
    <xf numFmtId="0" fontId="7" fillId="0" borderId="12" xfId="1" applyNumberFormat="1" applyFont="1" applyFill="1" applyBorder="1" applyAlignment="1">
      <alignment horizontal="center" vertical="center" wrapText="1"/>
    </xf>
    <xf numFmtId="0" fontId="2" fillId="0" borderId="12" xfId="1" applyNumberFormat="1" applyFont="1" applyFill="1" applyBorder="1" applyAlignment="1">
      <alignment horizontal="center" vertical="center" wrapText="1"/>
    </xf>
    <xf numFmtId="0" fontId="0" fillId="22" borderId="0" xfId="0" applyFont="1" applyFill="1" applyAlignment="1"/>
    <xf numFmtId="0" fontId="0" fillId="22" borderId="0" xfId="0" applyNumberFormat="1" applyFont="1" applyFill="1" applyAlignment="1">
      <alignment wrapText="1"/>
    </xf>
    <xf numFmtId="0" fontId="0" fillId="23" borderId="0" xfId="0" applyFont="1" applyFill="1" applyAlignment="1"/>
    <xf numFmtId="0" fontId="0" fillId="0" borderId="0" xfId="0" applyNumberFormat="1" applyFont="1" applyAlignment="1">
      <alignment horizontal="left" vertical="center"/>
    </xf>
    <xf numFmtId="0" fontId="0" fillId="0" borderId="35" xfId="0" applyFont="1" applyBorder="1" applyAlignment="1"/>
    <xf numFmtId="0" fontId="1" fillId="7" borderId="50" xfId="1" applyFont="1" applyFill="1" applyBorder="1" applyAlignment="1">
      <alignment horizontal="left" vertical="center"/>
    </xf>
    <xf numFmtId="1" fontId="28" fillId="0" borderId="25" xfId="1" applyNumberFormat="1" applyFont="1" applyBorder="1" applyAlignment="1">
      <alignment horizontal="center" vertical="center"/>
    </xf>
    <xf numFmtId="0" fontId="28" fillId="0" borderId="26" xfId="1" applyFont="1" applyBorder="1" applyAlignment="1">
      <alignment vertical="center"/>
    </xf>
    <xf numFmtId="1" fontId="28" fillId="0" borderId="26" xfId="1" applyNumberFormat="1" applyFont="1" applyBorder="1" applyAlignment="1">
      <alignment horizontal="center" vertical="center"/>
    </xf>
    <xf numFmtId="0" fontId="29" fillId="7" borderId="41" xfId="1" applyFont="1" applyFill="1" applyBorder="1" applyAlignment="1">
      <alignment horizontal="left" vertical="center"/>
    </xf>
    <xf numFmtId="0" fontId="29" fillId="7" borderId="42" xfId="1" applyFont="1" applyFill="1" applyBorder="1" applyAlignment="1">
      <alignment horizontal="left" vertical="center"/>
    </xf>
    <xf numFmtId="0" fontId="28" fillId="0" borderId="41" xfId="1" applyFont="1" applyBorder="1" applyAlignment="1">
      <alignment horizontal="left" vertical="center"/>
    </xf>
    <xf numFmtId="0" fontId="28" fillId="0" borderId="42" xfId="1" applyFont="1" applyBorder="1" applyAlignment="1">
      <alignment horizontal="left" vertical="center"/>
    </xf>
    <xf numFmtId="1" fontId="28" fillId="0" borderId="26" xfId="1" applyNumberFormat="1" applyFont="1" applyFill="1" applyBorder="1" applyAlignment="1">
      <alignment horizontal="center" vertical="center"/>
    </xf>
    <xf numFmtId="0" fontId="28" fillId="0" borderId="41" xfId="1" applyFont="1" applyBorder="1" applyAlignment="1">
      <alignment horizontal="center" vertical="center"/>
    </xf>
    <xf numFmtId="0" fontId="28" fillId="0" borderId="42" xfId="1" applyFont="1" applyBorder="1" applyAlignment="1">
      <alignment horizontal="center" vertical="center"/>
    </xf>
    <xf numFmtId="165" fontId="28" fillId="0" borderId="41" xfId="1" applyNumberFormat="1" applyFont="1" applyBorder="1" applyAlignment="1">
      <alignment horizontal="left" vertical="center"/>
    </xf>
    <xf numFmtId="165" fontId="28" fillId="0" borderId="42" xfId="1" applyNumberFormat="1" applyFont="1" applyBorder="1" applyAlignment="1">
      <alignment horizontal="left" vertical="center"/>
    </xf>
    <xf numFmtId="0" fontId="28" fillId="0" borderId="41" xfId="0" applyFont="1" applyBorder="1" applyAlignment="1">
      <alignment horizontal="left" vertical="center"/>
    </xf>
    <xf numFmtId="0" fontId="28" fillId="0" borderId="42" xfId="0" applyFont="1" applyBorder="1" applyAlignment="1">
      <alignment horizontal="left" vertical="center"/>
    </xf>
    <xf numFmtId="1" fontId="28" fillId="19" borderId="26" xfId="1" applyNumberFormat="1" applyFont="1" applyFill="1" applyBorder="1" applyAlignment="1">
      <alignment horizontal="center" vertical="center"/>
    </xf>
    <xf numFmtId="0" fontId="28" fillId="0" borderId="0" xfId="0" applyFont="1" applyBorder="1" applyAlignment="1">
      <alignment horizontal="left" vertical="center"/>
    </xf>
    <xf numFmtId="0" fontId="28" fillId="0" borderId="41" xfId="0" applyFont="1" applyBorder="1" applyAlignment="1">
      <alignment horizontal="center" vertical="center"/>
    </xf>
    <xf numFmtId="0" fontId="28" fillId="0" borderId="42" xfId="0" applyFont="1" applyBorder="1" applyAlignment="1">
      <alignment horizontal="center" vertical="center"/>
    </xf>
    <xf numFmtId="0" fontId="28" fillId="0" borderId="41" xfId="0" applyFont="1" applyBorder="1"/>
    <xf numFmtId="0" fontId="28" fillId="0" borderId="42" xfId="0" applyFont="1" applyBorder="1"/>
    <xf numFmtId="0" fontId="28" fillId="0" borderId="38" xfId="0" applyFont="1" applyBorder="1" applyAlignment="1">
      <alignment horizontal="left" vertical="center"/>
    </xf>
    <xf numFmtId="0" fontId="28" fillId="0" borderId="40" xfId="0" applyFont="1" applyBorder="1" applyAlignment="1">
      <alignment horizontal="left" vertical="center"/>
    </xf>
    <xf numFmtId="0" fontId="7" fillId="0" borderId="23" xfId="1" applyFont="1" applyBorder="1" applyAlignment="1">
      <alignment horizontal="center" vertical="center"/>
    </xf>
    <xf numFmtId="0" fontId="7" fillId="0" borderId="24" xfId="1" applyFont="1" applyFill="1" applyBorder="1" applyAlignment="1">
      <alignment horizontal="center" vertical="center"/>
    </xf>
    <xf numFmtId="0" fontId="7" fillId="0" borderId="24" xfId="1" applyFont="1" applyBorder="1" applyAlignment="1">
      <alignment horizontal="center" vertical="center"/>
    </xf>
    <xf numFmtId="0" fontId="7" fillId="0" borderId="0" xfId="1" applyFont="1" applyBorder="1" applyAlignment="1">
      <alignment horizontal="center" vertical="center"/>
    </xf>
    <xf numFmtId="0" fontId="7" fillId="8" borderId="36" xfId="0" applyFont="1" applyFill="1" applyBorder="1" applyAlignment="1">
      <alignment horizontal="center" vertical="center"/>
    </xf>
    <xf numFmtId="0" fontId="7" fillId="8" borderId="48" xfId="0" applyFont="1" applyFill="1" applyBorder="1" applyAlignment="1">
      <alignment horizontal="center" vertical="center"/>
    </xf>
    <xf numFmtId="0" fontId="7" fillId="9" borderId="37" xfId="1" applyFont="1" applyFill="1" applyBorder="1" applyAlignment="1">
      <alignment horizontal="center" vertical="center"/>
    </xf>
    <xf numFmtId="0" fontId="13" fillId="9" borderId="55" xfId="1" applyFont="1" applyFill="1" applyBorder="1" applyAlignment="1">
      <alignment horizontal="center" vertical="center"/>
    </xf>
    <xf numFmtId="0" fontId="7" fillId="13" borderId="37" xfId="1" applyFont="1" applyFill="1" applyBorder="1" applyAlignment="1">
      <alignment horizontal="center" vertical="center"/>
    </xf>
    <xf numFmtId="0" fontId="13" fillId="13" borderId="55" xfId="1" applyFont="1" applyFill="1" applyBorder="1" applyAlignment="1">
      <alignment horizontal="center" vertical="center"/>
    </xf>
    <xf numFmtId="0" fontId="11" fillId="0" borderId="52" xfId="1" applyFont="1" applyBorder="1" applyAlignment="1">
      <alignment horizontal="left" vertical="center"/>
    </xf>
    <xf numFmtId="0" fontId="11" fillId="0" borderId="51" xfId="1" applyFont="1" applyBorder="1" applyAlignment="1">
      <alignment horizontal="left" vertical="center"/>
    </xf>
    <xf numFmtId="0" fontId="28" fillId="0" borderId="4" xfId="1" applyFont="1" applyBorder="1" applyAlignment="1">
      <alignment vertical="center"/>
    </xf>
    <xf numFmtId="0" fontId="28" fillId="0" borderId="5" xfId="1" applyFont="1" applyFill="1" applyBorder="1" applyAlignment="1">
      <alignment vertical="center"/>
    </xf>
    <xf numFmtId="0" fontId="28" fillId="0" borderId="5" xfId="1" applyFont="1" applyBorder="1" applyAlignment="1">
      <alignment vertical="center"/>
    </xf>
    <xf numFmtId="165" fontId="28" fillId="0" borderId="4" xfId="1" applyNumberFormat="1" applyFont="1" applyBorder="1" applyAlignment="1">
      <alignment horizontal="center" vertical="center"/>
    </xf>
    <xf numFmtId="165" fontId="28" fillId="0" borderId="5" xfId="1" applyNumberFormat="1" applyFont="1" applyBorder="1" applyAlignment="1">
      <alignment horizontal="center" vertical="center"/>
    </xf>
    <xf numFmtId="0" fontId="28" fillId="19" borderId="5" xfId="1" applyFont="1" applyFill="1" applyBorder="1" applyAlignment="1">
      <alignment vertical="center" wrapText="1"/>
    </xf>
    <xf numFmtId="0" fontId="28" fillId="0" borderId="41" xfId="1" applyFont="1" applyBorder="1" applyAlignment="1">
      <alignment vertical="center"/>
    </xf>
    <xf numFmtId="0" fontId="28" fillId="0" borderId="35" xfId="1" applyFont="1" applyFill="1" applyBorder="1" applyAlignment="1">
      <alignment vertical="center"/>
    </xf>
    <xf numFmtId="0" fontId="28" fillId="0" borderId="35" xfId="1" applyFont="1" applyBorder="1" applyAlignment="1">
      <alignment vertical="center"/>
    </xf>
    <xf numFmtId="0" fontId="28" fillId="19" borderId="35" xfId="0" applyFont="1" applyFill="1" applyBorder="1" applyAlignment="1"/>
    <xf numFmtId="0" fontId="28" fillId="19" borderId="35" xfId="1" applyFont="1" applyFill="1" applyBorder="1" applyAlignment="1">
      <alignment vertical="center" wrapText="1"/>
    </xf>
    <xf numFmtId="1" fontId="29" fillId="11" borderId="41" xfId="1" applyNumberFormat="1" applyFont="1" applyFill="1" applyBorder="1" applyAlignment="1">
      <alignment horizontal="center" vertical="center"/>
    </xf>
    <xf numFmtId="165" fontId="29" fillId="11" borderId="35" xfId="1" applyNumberFormat="1" applyFont="1" applyFill="1" applyBorder="1" applyAlignment="1">
      <alignment horizontal="center" vertical="center"/>
    </xf>
    <xf numFmtId="0" fontId="28" fillId="19" borderId="35" xfId="1" applyFont="1" applyFill="1" applyBorder="1" applyAlignment="1">
      <alignment vertical="center"/>
    </xf>
    <xf numFmtId="0" fontId="28" fillId="18" borderId="41" xfId="1" applyFont="1" applyFill="1" applyBorder="1" applyAlignment="1">
      <alignment vertical="center"/>
    </xf>
    <xf numFmtId="0" fontId="28" fillId="18" borderId="35" xfId="1" applyFont="1" applyFill="1" applyBorder="1" applyAlignment="1">
      <alignment vertical="center"/>
    </xf>
    <xf numFmtId="0" fontId="28" fillId="0" borderId="35" xfId="1" applyFont="1" applyBorder="1" applyAlignment="1">
      <alignment horizontal="left" vertical="center"/>
    </xf>
    <xf numFmtId="0" fontId="28" fillId="19" borderId="35" xfId="1" applyFont="1" applyFill="1" applyBorder="1" applyAlignment="1">
      <alignment horizontal="left" vertical="center" wrapText="1"/>
    </xf>
    <xf numFmtId="1" fontId="29" fillId="12" borderId="41" xfId="1" applyNumberFormat="1" applyFont="1" applyFill="1" applyBorder="1" applyAlignment="1">
      <alignment horizontal="center" vertical="center"/>
    </xf>
    <xf numFmtId="0" fontId="28" fillId="16" borderId="35" xfId="1" applyFont="1" applyFill="1" applyBorder="1" applyAlignment="1">
      <alignment vertical="center"/>
    </xf>
    <xf numFmtId="0" fontId="28" fillId="19" borderId="41" xfId="1" applyFont="1" applyFill="1" applyBorder="1" applyAlignment="1">
      <alignment vertical="center"/>
    </xf>
    <xf numFmtId="0" fontId="28" fillId="0" borderId="38" xfId="1" applyFont="1" applyBorder="1" applyAlignment="1">
      <alignment vertical="center"/>
    </xf>
    <xf numFmtId="0" fontId="28" fillId="0" borderId="39" xfId="1" applyFont="1" applyFill="1" applyBorder="1" applyAlignment="1">
      <alignment vertical="center"/>
    </xf>
    <xf numFmtId="0" fontId="28" fillId="0" borderId="39" xfId="1" applyFont="1" applyBorder="1" applyAlignment="1">
      <alignment vertical="center"/>
    </xf>
    <xf numFmtId="0" fontId="28" fillId="0" borderId="54" xfId="1" applyFont="1" applyBorder="1" applyAlignment="1">
      <alignment vertical="center"/>
    </xf>
    <xf numFmtId="0" fontId="28" fillId="19" borderId="39" xfId="0" applyFont="1" applyFill="1" applyBorder="1" applyAlignment="1"/>
    <xf numFmtId="0" fontId="28" fillId="19" borderId="39" xfId="1" applyFont="1" applyFill="1" applyBorder="1" applyAlignment="1">
      <alignment vertical="center" wrapText="1"/>
    </xf>
    <xf numFmtId="1" fontId="28" fillId="0" borderId="54" xfId="1" applyNumberFormat="1" applyFont="1" applyBorder="1" applyAlignment="1">
      <alignment horizontal="center" vertical="center"/>
    </xf>
    <xf numFmtId="0" fontId="19" fillId="0" borderId="52" xfId="1" applyFont="1" applyBorder="1" applyAlignment="1">
      <alignment horizontal="center" vertical="center" wrapText="1"/>
    </xf>
    <xf numFmtId="1" fontId="28" fillId="0" borderId="14" xfId="1" applyNumberFormat="1"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6" fillId="0" borderId="52" xfId="1" applyFont="1" applyBorder="1" applyAlignment="1">
      <alignment horizontal="center" vertical="center" wrapText="1"/>
    </xf>
    <xf numFmtId="0" fontId="28" fillId="0" borderId="0" xfId="1" applyFont="1" applyFill="1" applyBorder="1" applyAlignment="1">
      <alignment vertical="center"/>
    </xf>
    <xf numFmtId="0" fontId="28" fillId="0" borderId="57" xfId="1" applyFont="1" applyFill="1" applyBorder="1" applyAlignment="1">
      <alignment vertical="center"/>
    </xf>
    <xf numFmtId="0" fontId="28" fillId="8" borderId="35" xfId="1" applyFont="1" applyFill="1" applyBorder="1" applyAlignment="1">
      <alignment vertical="center"/>
    </xf>
    <xf numFmtId="0" fontId="5" fillId="8" borderId="35" xfId="0" applyFont="1" applyFill="1" applyBorder="1" applyAlignment="1">
      <alignment vertical="center"/>
    </xf>
    <xf numFmtId="0" fontId="1" fillId="5" borderId="58" xfId="0" applyFont="1" applyFill="1" applyBorder="1" applyAlignment="1">
      <alignment horizontal="center" vertical="center" wrapText="1"/>
    </xf>
    <xf numFmtId="0" fontId="0" fillId="5" borderId="35" xfId="0" applyFont="1" applyFill="1" applyBorder="1" applyAlignment="1">
      <alignment horizontal="left" vertical="top"/>
    </xf>
    <xf numFmtId="0" fontId="1" fillId="6" borderId="58" xfId="0" applyFont="1" applyFill="1" applyBorder="1" applyAlignment="1">
      <alignment horizontal="center" vertical="center" wrapText="1"/>
    </xf>
    <xf numFmtId="0" fontId="0" fillId="6" borderId="35" xfId="0" applyFont="1" applyFill="1" applyBorder="1" applyAlignment="1">
      <alignment horizontal="left" vertical="top"/>
    </xf>
    <xf numFmtId="0" fontId="1" fillId="24" borderId="58" xfId="0" applyFont="1" applyFill="1" applyBorder="1" applyAlignment="1">
      <alignment horizontal="center" vertical="center" wrapText="1"/>
    </xf>
    <xf numFmtId="0" fontId="0" fillId="24" borderId="35" xfId="0" applyFont="1" applyFill="1" applyBorder="1" applyAlignment="1"/>
    <xf numFmtId="0" fontId="0" fillId="24" borderId="35" xfId="0" applyFont="1" applyFill="1" applyBorder="1"/>
    <xf numFmtId="0" fontId="11" fillId="24" borderId="35" xfId="0" applyFont="1" applyFill="1" applyBorder="1" applyAlignment="1"/>
    <xf numFmtId="0" fontId="0" fillId="24" borderId="35" xfId="0" applyFill="1" applyBorder="1" applyAlignment="1"/>
    <xf numFmtId="0" fontId="0" fillId="24" borderId="35" xfId="0" applyFont="1" applyFill="1" applyBorder="1" applyAlignment="1">
      <alignment horizontal="left" vertical="top"/>
    </xf>
    <xf numFmtId="0" fontId="0" fillId="8" borderId="35" xfId="0" applyFont="1" applyFill="1" applyBorder="1" applyAlignment="1"/>
    <xf numFmtId="0" fontId="1" fillId="2" borderId="58" xfId="0" applyFont="1" applyFill="1" applyBorder="1" applyAlignment="1">
      <alignment horizontal="center" vertical="center" wrapText="1"/>
    </xf>
    <xf numFmtId="0" fontId="1" fillId="25" borderId="58" xfId="0" applyFont="1" applyFill="1" applyBorder="1" applyAlignment="1">
      <alignment horizontal="center" vertical="center" wrapText="1"/>
    </xf>
    <xf numFmtId="0" fontId="2" fillId="2" borderId="35" xfId="0" applyFont="1" applyFill="1" applyBorder="1" applyAlignment="1">
      <alignment horizontal="center" vertical="top"/>
    </xf>
    <xf numFmtId="0" fontId="2" fillId="25" borderId="35" xfId="0" applyFont="1" applyFill="1" applyBorder="1" applyAlignment="1">
      <alignment horizontal="center"/>
    </xf>
    <xf numFmtId="0" fontId="2" fillId="2" borderId="35" xfId="0" applyFont="1" applyFill="1" applyBorder="1" applyAlignment="1">
      <alignment horizontal="center"/>
    </xf>
    <xf numFmtId="0" fontId="0" fillId="26" borderId="35" xfId="0" applyFont="1" applyFill="1" applyBorder="1" applyAlignment="1"/>
    <xf numFmtId="0" fontId="1" fillId="29" borderId="58" xfId="0" applyFont="1" applyFill="1" applyBorder="1" applyAlignment="1">
      <alignment vertical="center" wrapText="1"/>
    </xf>
    <xf numFmtId="0" fontId="0" fillId="29" borderId="35" xfId="0" applyFont="1" applyFill="1" applyBorder="1" applyAlignment="1">
      <alignment horizontal="right" vertical="top"/>
    </xf>
    <xf numFmtId="0" fontId="0" fillId="29" borderId="35" xfId="0" applyFont="1" applyFill="1" applyBorder="1" applyAlignment="1">
      <alignment horizontal="left" vertical="top"/>
    </xf>
    <xf numFmtId="0" fontId="0" fillId="29" borderId="35" xfId="0" applyFont="1" applyFill="1" applyBorder="1" applyAlignment="1"/>
    <xf numFmtId="0" fontId="4" fillId="29" borderId="35" xfId="0" applyFont="1" applyFill="1" applyBorder="1" applyAlignment="1"/>
    <xf numFmtId="0" fontId="0" fillId="29" borderId="35" xfId="0" applyFont="1" applyFill="1" applyBorder="1" applyAlignment="1">
      <alignment horizontal="right"/>
    </xf>
    <xf numFmtId="0" fontId="0" fillId="29" borderId="35" xfId="0" applyFont="1" applyFill="1" applyBorder="1"/>
    <xf numFmtId="0" fontId="0" fillId="24" borderId="35" xfId="0" applyFill="1" applyBorder="1"/>
    <xf numFmtId="0" fontId="0" fillId="29" borderId="35" xfId="0" applyFill="1" applyBorder="1"/>
    <xf numFmtId="0" fontId="0" fillId="29" borderId="35" xfId="0" applyFill="1" applyBorder="1" applyAlignment="1"/>
    <xf numFmtId="0" fontId="0" fillId="29" borderId="35" xfId="0" quotePrefix="1" applyFont="1" applyFill="1" applyBorder="1"/>
    <xf numFmtId="0" fontId="0" fillId="30" borderId="35" xfId="0" applyFont="1" applyFill="1" applyBorder="1" applyAlignment="1"/>
    <xf numFmtId="0" fontId="0" fillId="30" borderId="35" xfId="0" applyFill="1" applyBorder="1"/>
    <xf numFmtId="0" fontId="0" fillId="0" borderId="28" xfId="0" applyFont="1" applyBorder="1" applyAlignment="1"/>
    <xf numFmtId="0" fontId="6" fillId="9" borderId="1" xfId="0" applyFont="1" applyFill="1" applyBorder="1" applyAlignment="1">
      <alignment horizontal="center" vertical="center" wrapText="1"/>
    </xf>
    <xf numFmtId="0" fontId="0" fillId="9" borderId="1" xfId="0" applyFont="1" applyFill="1" applyBorder="1" applyAlignment="1">
      <alignment horizontal="left" vertical="top"/>
    </xf>
    <xf numFmtId="0" fontId="0" fillId="9" borderId="35" xfId="0" applyFont="1" applyFill="1" applyBorder="1" applyAlignment="1"/>
    <xf numFmtId="0" fontId="0" fillId="9" borderId="1" xfId="0" applyFont="1" applyFill="1" applyBorder="1"/>
    <xf numFmtId="0" fontId="0" fillId="9" borderId="1" xfId="0" applyFont="1" applyFill="1" applyBorder="1" applyAlignment="1">
      <alignment horizontal="right"/>
    </xf>
    <xf numFmtId="0" fontId="0" fillId="9" borderId="35" xfId="0" applyFont="1" applyFill="1" applyBorder="1" applyAlignment="1">
      <alignment horizontal="right"/>
    </xf>
    <xf numFmtId="0" fontId="0" fillId="9" borderId="1" xfId="0" applyFont="1" applyFill="1" applyBorder="1" applyAlignment="1"/>
    <xf numFmtId="0" fontId="0" fillId="9" borderId="35" xfId="0" applyFont="1" applyFill="1" applyBorder="1"/>
    <xf numFmtId="0" fontId="0" fillId="10" borderId="0" xfId="0" applyFont="1" applyFill="1" applyAlignment="1"/>
    <xf numFmtId="0" fontId="0" fillId="9" borderId="62" xfId="0" applyFont="1" applyFill="1" applyBorder="1"/>
    <xf numFmtId="0" fontId="0" fillId="10" borderId="35" xfId="0" applyFont="1" applyFill="1" applyBorder="1" applyAlignment="1"/>
    <xf numFmtId="0" fontId="0" fillId="10" borderId="0" xfId="0" applyFont="1" applyFill="1" applyBorder="1" applyAlignment="1"/>
    <xf numFmtId="0" fontId="0" fillId="9" borderId="56" xfId="0" applyFont="1" applyFill="1" applyBorder="1"/>
    <xf numFmtId="0" fontId="0" fillId="9" borderId="0" xfId="0" applyFont="1" applyFill="1" applyBorder="1"/>
    <xf numFmtId="0" fontId="0" fillId="33" borderId="0" xfId="0" applyFont="1" applyFill="1" applyAlignment="1">
      <alignment wrapText="1"/>
    </xf>
    <xf numFmtId="0" fontId="0" fillId="34" borderId="0" xfId="0" applyFont="1" applyFill="1" applyAlignment="1">
      <alignment wrapText="1"/>
    </xf>
    <xf numFmtId="0" fontId="0" fillId="27" borderId="0" xfId="0" applyFont="1" applyFill="1" applyAlignment="1">
      <alignment wrapText="1"/>
    </xf>
    <xf numFmtId="0" fontId="0" fillId="5" borderId="37" xfId="0" applyFont="1" applyFill="1" applyBorder="1" applyAlignment="1">
      <alignment horizontal="left" vertical="top"/>
    </xf>
    <xf numFmtId="0" fontId="0" fillId="6" borderId="37" xfId="0" applyFont="1" applyFill="1" applyBorder="1" applyAlignment="1">
      <alignment horizontal="left" vertical="top"/>
    </xf>
    <xf numFmtId="0" fontId="0" fillId="9" borderId="66" xfId="0" applyFont="1" applyFill="1" applyBorder="1"/>
    <xf numFmtId="0" fontId="0" fillId="5" borderId="19" xfId="0" applyFont="1" applyFill="1" applyBorder="1" applyAlignment="1">
      <alignment horizontal="left" vertical="top"/>
    </xf>
    <xf numFmtId="0" fontId="0" fillId="6" borderId="19" xfId="0" applyFont="1" applyFill="1" applyBorder="1" applyAlignment="1">
      <alignment horizontal="left" vertical="top"/>
    </xf>
    <xf numFmtId="0" fontId="0" fillId="4" borderId="35" xfId="0" applyFont="1" applyFill="1" applyBorder="1" applyAlignment="1"/>
    <xf numFmtId="0" fontId="1" fillId="0" borderId="0" xfId="0" applyFont="1" applyAlignment="1"/>
    <xf numFmtId="0" fontId="28" fillId="27" borderId="26" xfId="1" applyFont="1" applyFill="1" applyBorder="1" applyAlignment="1">
      <alignment vertical="center"/>
    </xf>
    <xf numFmtId="0" fontId="0" fillId="0" borderId="0" xfId="0" applyFont="1" applyFill="1" applyBorder="1" applyAlignment="1">
      <alignment horizontal="left" vertical="center"/>
    </xf>
    <xf numFmtId="0" fontId="28" fillId="0" borderId="0" xfId="1" applyFont="1" applyBorder="1" applyAlignment="1">
      <alignment vertical="center"/>
    </xf>
    <xf numFmtId="0" fontId="28" fillId="0" borderId="26" xfId="1" applyFont="1" applyFill="1" applyBorder="1" applyAlignment="1">
      <alignment vertical="center"/>
    </xf>
    <xf numFmtId="0" fontId="0" fillId="0" borderId="26" xfId="0" applyFont="1" applyBorder="1" applyAlignment="1"/>
    <xf numFmtId="165" fontId="29" fillId="12" borderId="35" xfId="1" applyNumberFormat="1" applyFont="1" applyFill="1" applyBorder="1" applyAlignment="1">
      <alignment horizontal="center" vertical="center"/>
    </xf>
    <xf numFmtId="1" fontId="29" fillId="12" borderId="35" xfId="1" applyNumberFormat="1" applyFont="1" applyFill="1" applyBorder="1" applyAlignment="1">
      <alignment horizontal="center" vertical="center"/>
    </xf>
    <xf numFmtId="165" fontId="29" fillId="12" borderId="41" xfId="1" applyNumberFormat="1" applyFont="1" applyFill="1" applyBorder="1" applyAlignment="1">
      <alignment horizontal="center" vertical="center"/>
    </xf>
    <xf numFmtId="0" fontId="28" fillId="0" borderId="35" xfId="0" applyFont="1" applyFill="1" applyBorder="1" applyAlignment="1"/>
    <xf numFmtId="0" fontId="28" fillId="0" borderId="35" xfId="1" applyFont="1" applyFill="1" applyBorder="1" applyAlignment="1">
      <alignment vertical="center" wrapText="1"/>
    </xf>
    <xf numFmtId="0" fontId="28" fillId="16" borderId="26" xfId="1" applyFont="1" applyFill="1" applyBorder="1" applyAlignment="1">
      <alignment vertical="center"/>
    </xf>
    <xf numFmtId="0" fontId="28" fillId="19" borderId="26" xfId="1" applyFont="1" applyFill="1" applyBorder="1" applyAlignment="1">
      <alignment vertical="center"/>
    </xf>
    <xf numFmtId="165" fontId="28" fillId="0" borderId="4" xfId="1" applyNumberFormat="1" applyFont="1" applyFill="1" applyBorder="1" applyAlignment="1">
      <alignment horizontal="center" vertical="center"/>
    </xf>
    <xf numFmtId="165" fontId="28" fillId="0" borderId="5" xfId="1" applyNumberFormat="1" applyFont="1" applyFill="1" applyBorder="1" applyAlignment="1">
      <alignment horizontal="center" vertical="center"/>
    </xf>
    <xf numFmtId="0" fontId="2" fillId="26" borderId="35" xfId="0" applyFont="1" applyFill="1" applyBorder="1" applyAlignment="1">
      <alignment horizontal="center"/>
    </xf>
    <xf numFmtId="165" fontId="28" fillId="27" borderId="4" xfId="1" applyNumberFormat="1" applyFont="1" applyFill="1" applyBorder="1" applyAlignment="1">
      <alignment horizontal="center" vertical="center"/>
    </xf>
    <xf numFmtId="165" fontId="28" fillId="27" borderId="5" xfId="1" applyNumberFormat="1" applyFont="1" applyFill="1" applyBorder="1" applyAlignment="1">
      <alignment horizontal="center" vertical="center"/>
    </xf>
    <xf numFmtId="0" fontId="4" fillId="24" borderId="35" xfId="0" applyFont="1" applyFill="1" applyBorder="1" applyAlignment="1"/>
    <xf numFmtId="0" fontId="0" fillId="4" borderId="35" xfId="0" applyFont="1" applyFill="1" applyBorder="1"/>
    <xf numFmtId="0" fontId="0" fillId="10" borderId="0" xfId="0" applyFill="1" applyBorder="1"/>
    <xf numFmtId="0" fontId="29" fillId="0" borderId="26" xfId="1" applyFont="1" applyFill="1" applyBorder="1" applyAlignment="1">
      <alignment vertical="center"/>
    </xf>
    <xf numFmtId="0" fontId="28" fillId="19" borderId="5" xfId="0" applyFont="1" applyFill="1" applyBorder="1" applyAlignment="1"/>
    <xf numFmtId="0" fontId="28" fillId="0" borderId="4" xfId="0" applyFont="1" applyBorder="1" applyAlignment="1">
      <alignment horizontal="left" vertical="center"/>
    </xf>
    <xf numFmtId="0" fontId="9" fillId="0" borderId="41" xfId="0" applyFont="1" applyBorder="1" applyAlignment="1">
      <alignment vertical="center"/>
    </xf>
    <xf numFmtId="0" fontId="28" fillId="0" borderId="6" xfId="0" applyFont="1" applyBorder="1" applyAlignment="1">
      <alignment horizontal="left" vertical="center"/>
    </xf>
    <xf numFmtId="0" fontId="9" fillId="0" borderId="42" xfId="0" applyFont="1" applyBorder="1" applyAlignment="1">
      <alignment vertical="center"/>
    </xf>
    <xf numFmtId="0" fontId="2" fillId="9" borderId="36" xfId="1" applyFont="1" applyFill="1" applyBorder="1" applyAlignment="1">
      <alignment horizontal="center" vertical="center" wrapText="1"/>
    </xf>
    <xf numFmtId="0" fontId="2" fillId="13" borderId="36" xfId="1" applyFont="1" applyFill="1" applyBorder="1" applyAlignment="1">
      <alignment horizontal="center" vertical="center" wrapText="1"/>
    </xf>
    <xf numFmtId="0" fontId="2" fillId="10" borderId="35" xfId="0" applyFont="1" applyFill="1" applyBorder="1" applyAlignment="1">
      <alignment vertical="center"/>
    </xf>
    <xf numFmtId="0" fontId="2" fillId="14" borderId="35" xfId="0" applyFont="1" applyFill="1" applyBorder="1" applyAlignment="1">
      <alignment vertical="center"/>
    </xf>
    <xf numFmtId="0" fontId="9" fillId="10" borderId="35" xfId="0" applyFont="1" applyFill="1" applyBorder="1" applyAlignment="1">
      <alignment vertical="center"/>
    </xf>
    <xf numFmtId="0" fontId="9" fillId="14" borderId="35" xfId="0" applyFont="1" applyFill="1" applyBorder="1" applyAlignment="1">
      <alignment vertical="center"/>
    </xf>
    <xf numFmtId="0" fontId="5" fillId="10" borderId="35" xfId="0" applyFont="1" applyFill="1" applyBorder="1" applyAlignment="1">
      <alignment vertical="center"/>
    </xf>
    <xf numFmtId="0" fontId="0" fillId="10" borderId="35" xfId="0" applyFont="1" applyFill="1" applyBorder="1" applyAlignment="1">
      <alignment vertical="center"/>
    </xf>
    <xf numFmtId="0" fontId="0" fillId="14" borderId="35" xfId="0" applyFont="1" applyFill="1" applyBorder="1" applyAlignment="1">
      <alignment vertical="center"/>
    </xf>
    <xf numFmtId="0" fontId="2" fillId="10" borderId="35" xfId="0" applyFont="1" applyFill="1" applyBorder="1" applyAlignment="1">
      <alignment vertical="center" wrapText="1"/>
    </xf>
    <xf numFmtId="0" fontId="2" fillId="10" borderId="35" xfId="0" applyFont="1" applyFill="1" applyBorder="1" applyAlignment="1">
      <alignment horizontal="center" vertical="center" wrapText="1"/>
    </xf>
    <xf numFmtId="0" fontId="2" fillId="14" borderId="35" xfId="0" applyFont="1" applyFill="1" applyBorder="1" applyAlignment="1">
      <alignment vertical="center" wrapText="1"/>
    </xf>
    <xf numFmtId="0" fontId="5" fillId="14" borderId="35" xfId="0" applyFont="1" applyFill="1" applyBorder="1" applyAlignment="1">
      <alignment vertical="center"/>
    </xf>
    <xf numFmtId="0" fontId="0" fillId="14" borderId="0" xfId="0" applyFont="1" applyFill="1" applyAlignment="1"/>
    <xf numFmtId="0" fontId="5" fillId="16" borderId="35" xfId="0" applyFont="1" applyFill="1" applyBorder="1" applyAlignment="1">
      <alignment vertical="center"/>
    </xf>
    <xf numFmtId="0" fontId="2" fillId="14" borderId="35" xfId="0" applyFont="1" applyFill="1" applyBorder="1" applyAlignment="1">
      <alignment horizontal="center" vertical="center" wrapText="1"/>
    </xf>
    <xf numFmtId="0" fontId="5" fillId="27" borderId="35" xfId="0" applyFont="1" applyFill="1" applyBorder="1" applyAlignment="1">
      <alignment vertical="center"/>
    </xf>
    <xf numFmtId="0" fontId="2" fillId="2" borderId="19" xfId="0" applyFont="1" applyFill="1" applyBorder="1" applyAlignment="1">
      <alignment horizontal="center" vertical="top"/>
    </xf>
    <xf numFmtId="166" fontId="0" fillId="9" borderId="35" xfId="0" applyNumberFormat="1" applyFont="1" applyFill="1" applyBorder="1"/>
    <xf numFmtId="0" fontId="0" fillId="10" borderId="0" xfId="0" applyFont="1" applyFill="1" applyBorder="1"/>
    <xf numFmtId="0" fontId="0" fillId="37" borderId="41" xfId="0" applyFont="1" applyFill="1" applyBorder="1" applyAlignment="1">
      <alignment horizontal="left" vertical="top"/>
    </xf>
    <xf numFmtId="0" fontId="0" fillId="37" borderId="41" xfId="0" applyFont="1" applyFill="1" applyBorder="1"/>
    <xf numFmtId="0" fontId="0" fillId="37" borderId="41" xfId="0" applyFont="1" applyFill="1" applyBorder="1" applyAlignment="1"/>
    <xf numFmtId="0" fontId="0" fillId="37" borderId="41" xfId="0" applyFont="1" applyFill="1" applyBorder="1" applyAlignment="1">
      <alignment horizontal="right"/>
    </xf>
    <xf numFmtId="0" fontId="0" fillId="9" borderId="19" xfId="0" applyFont="1" applyFill="1" applyBorder="1"/>
    <xf numFmtId="11" fontId="0" fillId="9" borderId="35" xfId="0" applyNumberFormat="1" applyFont="1" applyFill="1" applyBorder="1" applyAlignment="1"/>
    <xf numFmtId="0" fontId="0" fillId="32" borderId="1" xfId="0" applyFont="1" applyFill="1" applyBorder="1"/>
    <xf numFmtId="166" fontId="0" fillId="9" borderId="35" xfId="0" applyNumberFormat="1" applyFont="1" applyFill="1" applyBorder="1" applyAlignment="1"/>
    <xf numFmtId="0" fontId="0" fillId="37" borderId="42" xfId="0" applyFont="1" applyFill="1" applyBorder="1" applyAlignment="1">
      <alignment horizontal="left" vertical="top"/>
    </xf>
    <xf numFmtId="0" fontId="0" fillId="37" borderId="42" xfId="0" applyFont="1" applyFill="1" applyBorder="1"/>
    <xf numFmtId="0" fontId="0" fillId="37" borderId="42" xfId="0" applyFont="1" applyFill="1" applyBorder="1" applyAlignment="1">
      <alignment horizontal="right"/>
    </xf>
    <xf numFmtId="166" fontId="0" fillId="9" borderId="56" xfId="0" applyNumberFormat="1" applyFont="1" applyFill="1" applyBorder="1" applyAlignment="1"/>
    <xf numFmtId="0" fontId="0" fillId="37" borderId="42" xfId="0" applyFont="1" applyFill="1" applyBorder="1" applyAlignment="1"/>
    <xf numFmtId="0" fontId="0" fillId="26" borderId="41" xfId="0" applyFont="1" applyFill="1" applyBorder="1" applyAlignment="1">
      <alignment horizontal="right"/>
    </xf>
    <xf numFmtId="0" fontId="0" fillId="37" borderId="36" xfId="0" applyFont="1" applyFill="1" applyBorder="1"/>
    <xf numFmtId="0" fontId="0" fillId="37" borderId="55" xfId="0" applyFont="1" applyFill="1" applyBorder="1"/>
    <xf numFmtId="0" fontId="0" fillId="8" borderId="35" xfId="0" applyFont="1" applyFill="1" applyBorder="1"/>
    <xf numFmtId="0" fontId="5" fillId="8" borderId="35" xfId="0" applyFont="1" applyFill="1" applyBorder="1"/>
    <xf numFmtId="0" fontId="5" fillId="38" borderId="35" xfId="0" applyFont="1" applyFill="1" applyBorder="1" applyAlignment="1"/>
    <xf numFmtId="0" fontId="0" fillId="38" borderId="35" xfId="0" applyFont="1" applyFill="1" applyBorder="1"/>
    <xf numFmtId="0" fontId="0" fillId="37" borderId="35" xfId="0" applyFont="1" applyFill="1" applyBorder="1"/>
    <xf numFmtId="0" fontId="0" fillId="38" borderId="35" xfId="0" applyFont="1" applyFill="1" applyBorder="1" applyAlignment="1"/>
    <xf numFmtId="0" fontId="5" fillId="38" borderId="35" xfId="0" applyFont="1" applyFill="1" applyBorder="1"/>
    <xf numFmtId="0" fontId="0" fillId="39" borderId="35" xfId="0" applyFont="1" applyFill="1" applyBorder="1" applyAlignment="1"/>
    <xf numFmtId="0" fontId="0" fillId="37" borderId="35" xfId="0" applyFont="1" applyFill="1" applyBorder="1" applyAlignment="1"/>
    <xf numFmtId="0" fontId="0" fillId="37" borderId="56" xfId="0" applyFont="1" applyFill="1" applyBorder="1" applyAlignment="1"/>
    <xf numFmtId="0" fontId="0" fillId="41" borderId="35" xfId="0" applyFont="1" applyFill="1" applyBorder="1"/>
    <xf numFmtId="0" fontId="5" fillId="41" borderId="35" xfId="0" applyFont="1" applyFill="1" applyBorder="1"/>
    <xf numFmtId="0" fontId="0" fillId="37" borderId="56" xfId="0" applyFont="1" applyFill="1" applyBorder="1"/>
    <xf numFmtId="0" fontId="2" fillId="25" borderId="35" xfId="0" applyFont="1" applyFill="1" applyBorder="1" applyAlignment="1">
      <alignment horizontal="center" vertical="top"/>
    </xf>
    <xf numFmtId="0" fontId="0" fillId="8" borderId="35" xfId="0" applyFill="1" applyBorder="1" applyAlignment="1">
      <alignment horizontal="left"/>
    </xf>
    <xf numFmtId="0" fontId="0" fillId="24" borderId="35" xfId="0" applyFont="1" applyFill="1" applyBorder="1" applyAlignment="1">
      <alignment horizontal="left"/>
    </xf>
    <xf numFmtId="0" fontId="11" fillId="24" borderId="35" xfId="0" applyFont="1" applyFill="1" applyBorder="1"/>
    <xf numFmtId="0" fontId="0" fillId="28" borderId="35" xfId="0" applyFont="1" applyFill="1" applyBorder="1" applyAlignment="1"/>
    <xf numFmtId="0" fontId="0" fillId="8" borderId="35" xfId="0" applyFill="1" applyBorder="1"/>
    <xf numFmtId="0" fontId="33" fillId="8" borderId="35" xfId="0" applyFont="1" applyFill="1" applyBorder="1" applyAlignment="1">
      <alignment horizontal="center" vertical="top" wrapText="1"/>
    </xf>
    <xf numFmtId="0" fontId="33" fillId="8" borderId="35" xfId="0" applyFont="1" applyFill="1" applyBorder="1" applyAlignment="1">
      <alignment horizontal="left" vertical="top" wrapText="1"/>
    </xf>
    <xf numFmtId="0" fontId="5" fillId="24" borderId="35" xfId="0" applyFont="1" applyFill="1" applyBorder="1"/>
    <xf numFmtId="0" fontId="20" fillId="24" borderId="35" xfId="0" applyFont="1" applyFill="1" applyBorder="1"/>
    <xf numFmtId="0" fontId="5" fillId="8" borderId="35" xfId="1" applyFill="1" applyBorder="1"/>
    <xf numFmtId="0" fontId="30" fillId="30" borderId="35" xfId="0" applyFont="1" applyFill="1" applyBorder="1"/>
    <xf numFmtId="0" fontId="0" fillId="30" borderId="35" xfId="0" applyFont="1" applyFill="1" applyBorder="1"/>
    <xf numFmtId="0" fontId="5" fillId="30" borderId="35" xfId="0" applyFont="1" applyFill="1" applyBorder="1"/>
    <xf numFmtId="0" fontId="0" fillId="31" borderId="35" xfId="0" applyFont="1" applyFill="1" applyBorder="1"/>
    <xf numFmtId="0" fontId="5" fillId="29" borderId="35" xfId="0" applyFont="1" applyFill="1" applyBorder="1"/>
    <xf numFmtId="0" fontId="1" fillId="4" borderId="58" xfId="0" applyFont="1" applyFill="1" applyBorder="1" applyAlignment="1">
      <alignment vertical="center" wrapText="1"/>
    </xf>
    <xf numFmtId="0" fontId="1" fillId="4" borderId="58" xfId="0" applyFont="1" applyFill="1" applyBorder="1" applyAlignment="1">
      <alignment horizontal="center" vertical="center" wrapText="1"/>
    </xf>
    <xf numFmtId="0" fontId="0" fillId="4" borderId="35" xfId="0" applyFont="1" applyFill="1" applyBorder="1" applyAlignment="1">
      <alignment horizontal="left" vertical="top"/>
    </xf>
    <xf numFmtId="0" fontId="4" fillId="4" borderId="35" xfId="0" applyFont="1" applyFill="1" applyBorder="1"/>
    <xf numFmtId="0" fontId="4" fillId="4" borderId="35" xfId="0" applyFont="1" applyFill="1" applyBorder="1" applyAlignment="1"/>
    <xf numFmtId="0" fontId="0" fillId="42" borderId="35" xfId="0" applyFont="1" applyFill="1" applyBorder="1" applyAlignment="1"/>
    <xf numFmtId="0" fontId="0" fillId="43" borderId="35" xfId="0" applyFont="1" applyFill="1" applyBorder="1" applyAlignment="1"/>
    <xf numFmtId="0" fontId="0" fillId="4" borderId="35" xfId="0" applyFill="1" applyBorder="1" applyAlignment="1"/>
    <xf numFmtId="0" fontId="0" fillId="4" borderId="35" xfId="0" applyFill="1" applyBorder="1"/>
    <xf numFmtId="0" fontId="0" fillId="44" borderId="35" xfId="0" applyFont="1" applyFill="1" applyBorder="1" applyAlignment="1"/>
    <xf numFmtId="0" fontId="5" fillId="4" borderId="35" xfId="0" applyFont="1" applyFill="1" applyBorder="1" applyAlignment="1"/>
    <xf numFmtId="0" fontId="5" fillId="4" borderId="35" xfId="0" applyFont="1" applyFill="1" applyBorder="1"/>
    <xf numFmtId="0" fontId="0" fillId="45" borderId="35" xfId="0" applyFont="1" applyFill="1" applyBorder="1"/>
    <xf numFmtId="0" fontId="0" fillId="45" borderId="35" xfId="0" applyFont="1" applyFill="1" applyBorder="1" applyAlignment="1"/>
    <xf numFmtId="0" fontId="1" fillId="45" borderId="58" xfId="0" applyFont="1" applyFill="1" applyBorder="1" applyAlignment="1">
      <alignment horizontal="center" vertical="center" wrapText="1"/>
    </xf>
    <xf numFmtId="0" fontId="0" fillId="45" borderId="35" xfId="0" applyFont="1" applyFill="1" applyBorder="1" applyAlignment="1">
      <alignment horizontal="left" vertical="top"/>
    </xf>
    <xf numFmtId="0" fontId="0" fillId="20" borderId="35" xfId="0" applyFont="1" applyFill="1" applyBorder="1" applyAlignment="1"/>
    <xf numFmtId="0" fontId="4" fillId="20" borderId="35" xfId="0" applyFont="1" applyFill="1" applyBorder="1" applyAlignment="1"/>
    <xf numFmtId="0" fontId="0" fillId="20" borderId="35" xfId="0" applyFill="1" applyBorder="1" applyAlignment="1"/>
    <xf numFmtId="0" fontId="0" fillId="45" borderId="35" xfId="0" applyFill="1" applyBorder="1" applyAlignment="1"/>
    <xf numFmtId="0" fontId="0" fillId="45" borderId="35" xfId="0" applyFill="1" applyBorder="1"/>
    <xf numFmtId="0" fontId="0" fillId="41" borderId="35" xfId="0" applyFont="1" applyFill="1" applyBorder="1" applyAlignment="1"/>
    <xf numFmtId="0" fontId="0" fillId="46" borderId="35" xfId="0" applyFont="1" applyFill="1" applyBorder="1" applyAlignment="1"/>
    <xf numFmtId="0" fontId="5" fillId="45" borderId="35" xfId="0" applyFont="1" applyFill="1" applyBorder="1"/>
    <xf numFmtId="0" fontId="0" fillId="40" borderId="35" xfId="0" applyFont="1" applyFill="1" applyBorder="1" applyAlignment="1"/>
    <xf numFmtId="0" fontId="0" fillId="12" borderId="35" xfId="0" applyFont="1" applyFill="1" applyBorder="1"/>
    <xf numFmtId="0" fontId="0" fillId="47" borderId="1" xfId="0" applyFont="1" applyFill="1" applyBorder="1"/>
    <xf numFmtId="0" fontId="0" fillId="12" borderId="35" xfId="0" applyFont="1" applyFill="1" applyBorder="1" applyAlignment="1"/>
    <xf numFmtId="0" fontId="0" fillId="48" borderId="35" xfId="0" applyFont="1" applyFill="1" applyBorder="1" applyAlignment="1"/>
    <xf numFmtId="2" fontId="0" fillId="12" borderId="35" xfId="0" applyNumberFormat="1" applyFill="1" applyBorder="1"/>
    <xf numFmtId="0" fontId="0" fillId="12" borderId="0" xfId="0" applyFont="1" applyFill="1" applyBorder="1" applyAlignment="1"/>
    <xf numFmtId="11" fontId="0" fillId="12" borderId="35" xfId="0" applyNumberFormat="1" applyFill="1" applyBorder="1" applyAlignment="1">
      <alignment horizontal="left"/>
    </xf>
    <xf numFmtId="11" fontId="0" fillId="12" borderId="35" xfId="0" applyNumberFormat="1" applyFill="1" applyBorder="1"/>
    <xf numFmtId="0" fontId="0" fillId="12" borderId="35" xfId="0" applyFill="1" applyBorder="1"/>
    <xf numFmtId="0" fontId="0" fillId="48" borderId="35" xfId="0" applyFont="1" applyFill="1" applyBorder="1"/>
    <xf numFmtId="11" fontId="30" fillId="12" borderId="35" xfId="0" applyNumberFormat="1" applyFont="1" applyFill="1" applyBorder="1"/>
    <xf numFmtId="164" fontId="0" fillId="12" borderId="35" xfId="0" applyNumberFormat="1" applyFill="1" applyBorder="1"/>
    <xf numFmtId="2" fontId="0" fillId="12" borderId="35" xfId="0" applyNumberFormat="1" applyFont="1" applyFill="1" applyBorder="1"/>
    <xf numFmtId="2" fontId="0" fillId="12" borderId="35" xfId="0" applyNumberFormat="1" applyFont="1" applyFill="1" applyBorder="1" applyAlignment="1"/>
    <xf numFmtId="0" fontId="28" fillId="12" borderId="35" xfId="0" applyFont="1" applyFill="1" applyBorder="1" applyAlignment="1">
      <alignment horizontal="left" vertical="center"/>
    </xf>
    <xf numFmtId="169" fontId="0" fillId="12" borderId="35" xfId="0" applyNumberFormat="1" applyFont="1" applyFill="1" applyBorder="1"/>
    <xf numFmtId="0" fontId="0" fillId="10" borderId="56" xfId="0" applyFill="1" applyBorder="1"/>
    <xf numFmtId="2" fontId="0" fillId="10" borderId="56" xfId="0" applyNumberFormat="1" applyFill="1" applyBorder="1"/>
    <xf numFmtId="0" fontId="0" fillId="10" borderId="56" xfId="0" applyFont="1" applyFill="1" applyBorder="1" applyAlignment="1"/>
    <xf numFmtId="0" fontId="0" fillId="10" borderId="59" xfId="0" applyFill="1" applyBorder="1"/>
    <xf numFmtId="0" fontId="5" fillId="49" borderId="35" xfId="0" applyFont="1" applyFill="1" applyBorder="1" applyAlignment="1">
      <alignment vertical="center"/>
    </xf>
    <xf numFmtId="0" fontId="0" fillId="50" borderId="35" xfId="0" applyFont="1" applyFill="1" applyBorder="1" applyAlignment="1"/>
    <xf numFmtId="0" fontId="0" fillId="10" borderId="1" xfId="0" applyFont="1" applyFill="1" applyBorder="1" applyAlignment="1"/>
    <xf numFmtId="0" fontId="0" fillId="9" borderId="56" xfId="0" applyFont="1" applyFill="1" applyBorder="1" applyAlignment="1"/>
    <xf numFmtId="0" fontId="0" fillId="10" borderId="56" xfId="0" applyFont="1" applyFill="1" applyBorder="1"/>
    <xf numFmtId="0" fontId="0" fillId="10" borderId="35" xfId="0" applyFont="1" applyFill="1" applyBorder="1"/>
    <xf numFmtId="0" fontId="0" fillId="12" borderId="41" xfId="0" applyFont="1" applyFill="1" applyBorder="1" applyAlignment="1"/>
    <xf numFmtId="0" fontId="0" fillId="48" borderId="41" xfId="0" applyFont="1" applyFill="1" applyBorder="1" applyAlignment="1"/>
    <xf numFmtId="0" fontId="2" fillId="0" borderId="24" xfId="1" applyFont="1" applyBorder="1" applyAlignment="1">
      <alignment horizontal="center" vertical="center" wrapText="1"/>
    </xf>
    <xf numFmtId="0" fontId="28" fillId="0" borderId="5" xfId="1" applyFont="1" applyBorder="1" applyAlignment="1">
      <alignment vertical="center" wrapText="1"/>
    </xf>
    <xf numFmtId="0" fontId="2" fillId="0" borderId="27" xfId="1" applyNumberFormat="1" applyFont="1" applyFill="1" applyBorder="1" applyAlignment="1">
      <alignment horizontal="center" vertical="center" wrapText="1"/>
    </xf>
    <xf numFmtId="0" fontId="1" fillId="51" borderId="0" xfId="0" applyFont="1" applyFill="1" applyBorder="1" applyAlignment="1">
      <alignment horizontal="center" vertical="center" wrapText="1"/>
    </xf>
    <xf numFmtId="0" fontId="8" fillId="0" borderId="0" xfId="2" applyAlignment="1" applyProtection="1"/>
    <xf numFmtId="0" fontId="34" fillId="0" borderId="0" xfId="0" applyFont="1" applyAlignment="1"/>
    <xf numFmtId="1" fontId="6" fillId="0" borderId="72" xfId="1" applyNumberFormat="1" applyFont="1" applyFill="1" applyBorder="1" applyAlignment="1">
      <alignment vertical="center" wrapText="1"/>
    </xf>
    <xf numFmtId="0" fontId="6" fillId="52" borderId="60" xfId="0" applyFont="1" applyFill="1" applyBorder="1" applyAlignment="1">
      <alignment horizontal="center" vertical="center" wrapText="1"/>
    </xf>
    <xf numFmtId="0" fontId="0" fillId="52" borderId="1" xfId="0" applyFont="1" applyFill="1" applyBorder="1"/>
    <xf numFmtId="0" fontId="0" fillId="52" borderId="1" xfId="0" applyFont="1" applyFill="1" applyBorder="1" applyAlignment="1"/>
    <xf numFmtId="0" fontId="0" fillId="52" borderId="1" xfId="0" applyFont="1" applyFill="1" applyBorder="1" applyAlignment="1">
      <alignment horizontal="right"/>
    </xf>
    <xf numFmtId="0" fontId="0" fillId="11" borderId="1" xfId="0" applyFont="1" applyFill="1" applyBorder="1" applyAlignment="1"/>
    <xf numFmtId="0" fontId="0" fillId="52" borderId="1" xfId="0" applyFont="1" applyFill="1" applyBorder="1" applyAlignment="1">
      <alignment horizontal="left" vertical="top"/>
    </xf>
    <xf numFmtId="166" fontId="0" fillId="52" borderId="35" xfId="0" applyNumberFormat="1" applyFont="1" applyFill="1" applyBorder="1"/>
    <xf numFmtId="0" fontId="0" fillId="11" borderId="0" xfId="0" applyFont="1" applyFill="1" applyBorder="1" applyAlignment="1"/>
    <xf numFmtId="0" fontId="0" fillId="52" borderId="66" xfId="0" applyFont="1" applyFill="1" applyBorder="1"/>
    <xf numFmtId="0" fontId="0" fillId="52" borderId="66" xfId="0" applyFont="1" applyFill="1" applyBorder="1" applyAlignment="1"/>
    <xf numFmtId="0" fontId="0" fillId="52" borderId="35" xfId="0" applyFont="1" applyFill="1" applyBorder="1"/>
    <xf numFmtId="0" fontId="0" fillId="52" borderId="35" xfId="0" applyFont="1" applyFill="1" applyBorder="1" applyAlignment="1"/>
    <xf numFmtId="0" fontId="0" fillId="52" borderId="62" xfId="0" applyFont="1" applyFill="1" applyBorder="1"/>
    <xf numFmtId="0" fontId="0" fillId="52" borderId="62" xfId="0" applyFont="1" applyFill="1" applyBorder="1" applyAlignment="1"/>
    <xf numFmtId="0" fontId="0" fillId="11" borderId="58" xfId="0" applyFont="1" applyFill="1" applyBorder="1"/>
    <xf numFmtId="0" fontId="0" fillId="11" borderId="35" xfId="0" applyFont="1" applyFill="1" applyBorder="1"/>
    <xf numFmtId="0" fontId="0" fillId="11" borderId="35" xfId="0" applyFill="1" applyBorder="1"/>
    <xf numFmtId="2" fontId="0" fillId="11" borderId="35" xfId="0" applyNumberFormat="1" applyFill="1" applyBorder="1"/>
    <xf numFmtId="11" fontId="30" fillId="11" borderId="35" xfId="0" applyNumberFormat="1" applyFont="1" applyFill="1" applyBorder="1"/>
    <xf numFmtId="167" fontId="0" fillId="11" borderId="35" xfId="0" applyNumberFormat="1" applyFill="1" applyBorder="1"/>
    <xf numFmtId="0" fontId="0" fillId="11" borderId="35" xfId="0" applyFont="1" applyFill="1" applyBorder="1" applyAlignment="1"/>
    <xf numFmtId="0" fontId="28" fillId="11" borderId="35" xfId="0" applyFont="1" applyFill="1" applyBorder="1" applyAlignment="1">
      <alignment horizontal="left" vertical="center"/>
    </xf>
    <xf numFmtId="0" fontId="0" fillId="52" borderId="2" xfId="0" applyFont="1" applyFill="1" applyBorder="1"/>
    <xf numFmtId="0" fontId="0" fillId="52" borderId="70" xfId="0" applyFont="1" applyFill="1" applyBorder="1"/>
    <xf numFmtId="0" fontId="0" fillId="52" borderId="65" xfId="0" applyFont="1" applyFill="1" applyBorder="1"/>
    <xf numFmtId="0" fontId="0" fillId="53" borderId="66" xfId="0" applyFont="1" applyFill="1" applyBorder="1"/>
    <xf numFmtId="0" fontId="0" fillId="11" borderId="43" xfId="0" applyFont="1" applyFill="1" applyBorder="1"/>
    <xf numFmtId="0" fontId="0" fillId="11" borderId="35" xfId="0" applyFont="1" applyFill="1" applyBorder="1" applyAlignment="1">
      <alignment horizontal="right"/>
    </xf>
    <xf numFmtId="0" fontId="0" fillId="11" borderId="0" xfId="0" applyFont="1" applyFill="1" applyAlignment="1"/>
    <xf numFmtId="0" fontId="1" fillId="52" borderId="58" xfId="0" applyFont="1" applyFill="1" applyBorder="1" applyAlignment="1">
      <alignment horizontal="center" vertical="center" wrapText="1"/>
    </xf>
    <xf numFmtId="0" fontId="1" fillId="11" borderId="58" xfId="0" applyFont="1" applyFill="1" applyBorder="1" applyAlignment="1">
      <alignment horizontal="center" vertical="center" wrapText="1"/>
    </xf>
    <xf numFmtId="0" fontId="0" fillId="52" borderId="35" xfId="0" applyFont="1" applyFill="1" applyBorder="1" applyAlignment="1">
      <alignment horizontal="left" vertical="top"/>
    </xf>
    <xf numFmtId="0" fontId="0" fillId="11" borderId="35" xfId="0" applyFont="1" applyFill="1" applyBorder="1" applyAlignment="1">
      <alignment horizontal="left" vertical="top"/>
    </xf>
    <xf numFmtId="0" fontId="26" fillId="11" borderId="35" xfId="0" applyFont="1" applyFill="1" applyBorder="1" applyAlignment="1">
      <alignment horizontal="left"/>
    </xf>
    <xf numFmtId="0" fontId="26" fillId="11" borderId="35" xfId="0" applyFont="1" applyFill="1" applyBorder="1" applyAlignment="1"/>
    <xf numFmtId="0" fontId="26" fillId="11" borderId="35" xfId="0" applyFont="1" applyFill="1" applyBorder="1"/>
    <xf numFmtId="0" fontId="26" fillId="11" borderId="45" xfId="0" applyFont="1" applyFill="1" applyBorder="1" applyAlignment="1"/>
    <xf numFmtId="0" fontId="11" fillId="11" borderId="35" xfId="0" applyFont="1" applyFill="1" applyBorder="1" applyAlignment="1"/>
    <xf numFmtId="0" fontId="0" fillId="54" borderId="35" xfId="0" applyFont="1" applyFill="1" applyBorder="1" applyAlignment="1"/>
    <xf numFmtId="0" fontId="0" fillId="52" borderId="39" xfId="0" applyFont="1" applyFill="1" applyBorder="1"/>
    <xf numFmtId="0" fontId="0" fillId="11" borderId="19" xfId="0" applyFont="1" applyFill="1" applyBorder="1"/>
    <xf numFmtId="0" fontId="0" fillId="52" borderId="19" xfId="0" applyFont="1" applyFill="1" applyBorder="1"/>
    <xf numFmtId="0" fontId="0" fillId="52" borderId="37" xfId="0" applyFont="1" applyFill="1" applyBorder="1"/>
    <xf numFmtId="0" fontId="0" fillId="11" borderId="43" xfId="0" applyFill="1" applyBorder="1"/>
    <xf numFmtId="2" fontId="0" fillId="11" borderId="43" xfId="0" applyNumberFormat="1" applyFill="1" applyBorder="1"/>
    <xf numFmtId="0" fontId="0" fillId="11" borderId="43" xfId="0" applyFont="1" applyFill="1" applyBorder="1" applyAlignment="1"/>
    <xf numFmtId="11" fontId="30" fillId="11" borderId="43" xfId="0" applyNumberFormat="1" applyFont="1" applyFill="1" applyBorder="1"/>
    <xf numFmtId="167" fontId="0" fillId="11" borderId="43" xfId="0" applyNumberFormat="1" applyFill="1" applyBorder="1"/>
    <xf numFmtId="11" fontId="30" fillId="11" borderId="0" xfId="0" applyNumberFormat="1" applyFont="1" applyFill="1" applyBorder="1"/>
    <xf numFmtId="166" fontId="0" fillId="11" borderId="43" xfId="0" applyNumberFormat="1" applyFont="1" applyFill="1" applyBorder="1"/>
    <xf numFmtId="0" fontId="0" fillId="55" borderId="35" xfId="0" applyFont="1" applyFill="1" applyBorder="1" applyAlignment="1"/>
    <xf numFmtId="0" fontId="0" fillId="11" borderId="45" xfId="0" applyFont="1" applyFill="1" applyBorder="1"/>
    <xf numFmtId="0" fontId="0" fillId="11" borderId="45" xfId="0" applyFont="1" applyFill="1" applyBorder="1" applyAlignment="1"/>
    <xf numFmtId="0" fontId="26" fillId="11" borderId="45" xfId="0" applyFont="1" applyFill="1" applyBorder="1" applyAlignment="1">
      <alignment horizontal="left"/>
    </xf>
    <xf numFmtId="0" fontId="0" fillId="11" borderId="45" xfId="0" applyFont="1" applyFill="1" applyBorder="1" applyAlignment="1">
      <alignment horizontal="right"/>
    </xf>
    <xf numFmtId="0" fontId="0" fillId="11" borderId="47" xfId="0" applyFont="1" applyFill="1" applyBorder="1"/>
    <xf numFmtId="0" fontId="5" fillId="11" borderId="47" xfId="0" applyFont="1" applyFill="1" applyBorder="1"/>
    <xf numFmtId="0" fontId="5" fillId="11" borderId="35" xfId="0" applyFont="1" applyFill="1" applyBorder="1"/>
    <xf numFmtId="0" fontId="6" fillId="48" borderId="4" xfId="0" applyFont="1" applyFill="1" applyBorder="1" applyAlignment="1">
      <alignment horizontal="center" vertical="center" wrapText="1"/>
    </xf>
    <xf numFmtId="0" fontId="0" fillId="48" borderId="41" xfId="0" applyFont="1" applyFill="1" applyBorder="1"/>
    <xf numFmtId="0" fontId="0" fillId="48" borderId="41" xfId="0" applyFont="1" applyFill="1" applyBorder="1" applyAlignment="1">
      <alignment horizontal="right"/>
    </xf>
    <xf numFmtId="0" fontId="0" fillId="48" borderId="41" xfId="0" applyFont="1" applyFill="1" applyBorder="1" applyAlignment="1">
      <alignment horizontal="left" vertical="top"/>
    </xf>
    <xf numFmtId="0" fontId="5" fillId="48" borderId="41" xfId="0" applyFont="1" applyFill="1" applyBorder="1"/>
    <xf numFmtId="165" fontId="0" fillId="48" borderId="35" xfId="0" applyNumberFormat="1" applyFont="1" applyFill="1" applyBorder="1" applyAlignment="1"/>
    <xf numFmtId="0" fontId="0" fillId="48" borderId="36" xfId="0" applyFont="1" applyFill="1" applyBorder="1"/>
    <xf numFmtId="0" fontId="0" fillId="48" borderId="36" xfId="0" applyFont="1" applyFill="1" applyBorder="1" applyAlignment="1"/>
    <xf numFmtId="0" fontId="0" fillId="48" borderId="18" xfId="0" applyFont="1" applyFill="1" applyBorder="1"/>
    <xf numFmtId="0" fontId="0" fillId="48" borderId="18" xfId="0" applyFont="1" applyFill="1" applyBorder="1" applyAlignment="1"/>
    <xf numFmtId="0" fontId="0" fillId="48" borderId="35" xfId="0" applyFont="1" applyFill="1" applyBorder="1" applyAlignment="1">
      <alignment horizontal="right"/>
    </xf>
    <xf numFmtId="0" fontId="0" fillId="48" borderId="56" xfId="0" applyFont="1" applyFill="1" applyBorder="1" applyAlignment="1"/>
    <xf numFmtId="0" fontId="5" fillId="48" borderId="56" xfId="0" applyFont="1" applyFill="1" applyBorder="1" applyAlignment="1"/>
    <xf numFmtId="0" fontId="5" fillId="48" borderId="41" xfId="0" applyFont="1" applyFill="1" applyBorder="1" applyAlignment="1"/>
    <xf numFmtId="0" fontId="0" fillId="48" borderId="26" xfId="0" applyFont="1" applyFill="1" applyBorder="1" applyAlignment="1"/>
    <xf numFmtId="0" fontId="0" fillId="48" borderId="15" xfId="0" applyFont="1" applyFill="1" applyBorder="1" applyAlignment="1"/>
    <xf numFmtId="0" fontId="0" fillId="12" borderId="0" xfId="0" applyFont="1" applyFill="1" applyAlignment="1"/>
    <xf numFmtId="0" fontId="1" fillId="48" borderId="58" xfId="0" applyFont="1" applyFill="1" applyBorder="1" applyAlignment="1">
      <alignment horizontal="center" vertical="center" wrapText="1"/>
    </xf>
    <xf numFmtId="0" fontId="1" fillId="48" borderId="63" xfId="0" applyFont="1" applyFill="1" applyBorder="1" applyAlignment="1">
      <alignment horizontal="center" vertical="center" wrapText="1"/>
    </xf>
    <xf numFmtId="0" fontId="0" fillId="48" borderId="35" xfId="0" applyFont="1" applyFill="1" applyBorder="1" applyAlignment="1">
      <alignment horizontal="left" vertical="top"/>
    </xf>
    <xf numFmtId="0" fontId="0" fillId="48" borderId="43" xfId="0" applyFont="1" applyFill="1" applyBorder="1" applyAlignment="1">
      <alignment horizontal="left" vertical="top"/>
    </xf>
    <xf numFmtId="0" fontId="0" fillId="48" borderId="43" xfId="0" applyFont="1" applyFill="1" applyBorder="1" applyAlignment="1"/>
    <xf numFmtId="0" fontId="0" fillId="48" borderId="43" xfId="0" applyFont="1" applyFill="1" applyBorder="1"/>
    <xf numFmtId="0" fontId="0" fillId="12" borderId="43" xfId="0" applyFont="1" applyFill="1" applyBorder="1" applyAlignment="1"/>
    <xf numFmtId="0" fontId="0" fillId="56" borderId="35" xfId="0" applyFont="1" applyFill="1" applyBorder="1" applyAlignment="1"/>
    <xf numFmtId="0" fontId="0" fillId="48" borderId="43" xfId="0" applyFont="1" applyFill="1" applyBorder="1" applyAlignment="1">
      <alignment horizontal="left"/>
    </xf>
    <xf numFmtId="9" fontId="0" fillId="48" borderId="35" xfId="0" applyNumberFormat="1" applyFont="1" applyFill="1" applyBorder="1" applyAlignment="1"/>
    <xf numFmtId="0" fontId="0" fillId="48" borderId="39" xfId="0" applyFont="1" applyFill="1" applyBorder="1"/>
    <xf numFmtId="0" fontId="0" fillId="48" borderId="44" xfId="0" applyFont="1" applyFill="1" applyBorder="1"/>
    <xf numFmtId="0" fontId="0" fillId="48" borderId="19" xfId="0" applyFont="1" applyFill="1" applyBorder="1"/>
    <xf numFmtId="0" fontId="0" fillId="48" borderId="64" xfId="0" applyFont="1" applyFill="1" applyBorder="1"/>
    <xf numFmtId="0" fontId="0" fillId="48" borderId="64" xfId="0" applyFont="1" applyFill="1" applyBorder="1" applyAlignment="1"/>
    <xf numFmtId="0" fontId="0" fillId="48" borderId="43" xfId="0" applyFill="1" applyBorder="1"/>
    <xf numFmtId="0" fontId="0" fillId="48" borderId="56" xfId="0" applyFont="1" applyFill="1" applyBorder="1"/>
    <xf numFmtId="0" fontId="0" fillId="48" borderId="0" xfId="0" applyFont="1" applyFill="1" applyBorder="1" applyAlignment="1"/>
    <xf numFmtId="0" fontId="0" fillId="48" borderId="1" xfId="0" applyFont="1" applyFill="1" applyBorder="1"/>
    <xf numFmtId="0" fontId="0" fillId="48" borderId="2" xfId="0" applyFont="1" applyFill="1" applyBorder="1"/>
    <xf numFmtId="0" fontId="5" fillId="48" borderId="2" xfId="0" applyFont="1" applyFill="1" applyBorder="1"/>
    <xf numFmtId="0" fontId="0" fillId="48" borderId="1" xfId="0" quotePrefix="1" applyFont="1" applyFill="1" applyBorder="1"/>
    <xf numFmtId="0" fontId="5" fillId="12" borderId="35" xfId="0" applyFont="1" applyFill="1" applyBorder="1"/>
    <xf numFmtId="0" fontId="6" fillId="57" borderId="1" xfId="0" applyFont="1" applyFill="1" applyBorder="1" applyAlignment="1">
      <alignment horizontal="center" vertical="center" wrapText="1"/>
    </xf>
    <xf numFmtId="0" fontId="0" fillId="57" borderId="1" xfId="0" applyFont="1" applyFill="1" applyBorder="1" applyAlignment="1">
      <alignment horizontal="left" vertical="top"/>
    </xf>
    <xf numFmtId="0" fontId="0" fillId="57" borderId="35" xfId="0" applyFont="1" applyFill="1" applyBorder="1"/>
    <xf numFmtId="0" fontId="0" fillId="57" borderId="35" xfId="0" applyFont="1" applyFill="1" applyBorder="1" applyAlignment="1"/>
    <xf numFmtId="0" fontId="0" fillId="57" borderId="1" xfId="0" applyFont="1" applyFill="1" applyBorder="1"/>
    <xf numFmtId="2" fontId="0" fillId="57" borderId="35" xfId="0" applyNumberFormat="1" applyFont="1" applyFill="1" applyBorder="1" applyAlignment="1"/>
    <xf numFmtId="0" fontId="0" fillId="57" borderId="35" xfId="0" applyFont="1" applyFill="1" applyBorder="1" applyAlignment="1">
      <alignment horizontal="right"/>
    </xf>
    <xf numFmtId="0" fontId="0" fillId="57" borderId="1" xfId="0" applyFont="1" applyFill="1" applyBorder="1" applyAlignment="1">
      <alignment horizontal="right"/>
    </xf>
    <xf numFmtId="11" fontId="0" fillId="58" borderId="35" xfId="0" applyNumberFormat="1" applyFont="1" applyFill="1" applyBorder="1" applyAlignment="1"/>
    <xf numFmtId="0" fontId="0" fillId="57" borderId="1" xfId="0" applyFont="1" applyFill="1" applyBorder="1" applyAlignment="1"/>
    <xf numFmtId="0" fontId="0" fillId="57" borderId="61" xfId="0" applyFont="1" applyFill="1" applyBorder="1"/>
    <xf numFmtId="0" fontId="0" fillId="58" borderId="35" xfId="0" applyFont="1" applyFill="1" applyBorder="1"/>
    <xf numFmtId="165" fontId="0" fillId="57" borderId="35" xfId="0" applyNumberFormat="1" applyFont="1" applyFill="1" applyBorder="1"/>
    <xf numFmtId="165" fontId="0" fillId="57" borderId="35" xfId="0" applyNumberFormat="1" applyFont="1" applyFill="1" applyBorder="1" applyAlignment="1"/>
    <xf numFmtId="0" fontId="0" fillId="57" borderId="2" xfId="0" applyFont="1" applyFill="1" applyBorder="1"/>
    <xf numFmtId="166" fontId="0" fillId="57" borderId="35" xfId="0" applyNumberFormat="1" applyFont="1" applyFill="1" applyBorder="1" applyAlignment="1"/>
    <xf numFmtId="166" fontId="0" fillId="57" borderId="35" xfId="0" applyNumberFormat="1" applyFont="1" applyFill="1" applyBorder="1"/>
    <xf numFmtId="0" fontId="0" fillId="57" borderId="61" xfId="0" applyFont="1" applyFill="1" applyBorder="1" applyAlignment="1"/>
    <xf numFmtId="0" fontId="0" fillId="57" borderId="41" xfId="0" applyFont="1" applyFill="1" applyBorder="1" applyAlignment="1"/>
    <xf numFmtId="0" fontId="0" fillId="58" borderId="0" xfId="0" applyFont="1" applyFill="1" applyBorder="1" applyAlignment="1"/>
    <xf numFmtId="0" fontId="4" fillId="57" borderId="1" xfId="0" applyFont="1" applyFill="1" applyBorder="1"/>
    <xf numFmtId="0" fontId="0" fillId="57" borderId="62" xfId="0" applyFont="1" applyFill="1" applyBorder="1"/>
    <xf numFmtId="0" fontId="0" fillId="57" borderId="66" xfId="0" applyFont="1" applyFill="1" applyBorder="1"/>
    <xf numFmtId="0" fontId="0" fillId="58" borderId="1" xfId="0" applyFont="1" applyFill="1" applyBorder="1" applyAlignment="1"/>
    <xf numFmtId="165" fontId="28" fillId="58" borderId="56" xfId="0" applyNumberFormat="1" applyFont="1" applyFill="1" applyBorder="1" applyAlignment="1">
      <alignment horizontal="center" vertical="center"/>
    </xf>
    <xf numFmtId="0" fontId="0" fillId="57" borderId="56" xfId="0" applyFont="1" applyFill="1" applyBorder="1"/>
    <xf numFmtId="0" fontId="0" fillId="58" borderId="35" xfId="0" applyFont="1" applyFill="1" applyBorder="1" applyAlignment="1"/>
    <xf numFmtId="0" fontId="0" fillId="58" borderId="56" xfId="0" applyFill="1" applyBorder="1"/>
    <xf numFmtId="2" fontId="0" fillId="58" borderId="56" xfId="0" applyNumberFormat="1" applyFill="1" applyBorder="1"/>
    <xf numFmtId="0" fontId="0" fillId="58" borderId="56" xfId="0" applyFont="1" applyFill="1" applyBorder="1" applyAlignment="1"/>
    <xf numFmtId="0" fontId="0" fillId="57" borderId="0" xfId="0" applyFont="1" applyFill="1" applyBorder="1"/>
    <xf numFmtId="165" fontId="0" fillId="57" borderId="56" xfId="0" applyNumberFormat="1" applyFont="1" applyFill="1" applyBorder="1" applyAlignment="1"/>
    <xf numFmtId="166" fontId="0" fillId="57" borderId="56" xfId="0" applyNumberFormat="1" applyFont="1" applyFill="1" applyBorder="1"/>
    <xf numFmtId="0" fontId="0" fillId="58" borderId="0" xfId="0" applyFill="1" applyBorder="1"/>
    <xf numFmtId="11" fontId="0" fillId="58" borderId="0" xfId="0" applyNumberFormat="1" applyFont="1" applyFill="1" applyBorder="1" applyAlignment="1"/>
    <xf numFmtId="0" fontId="0" fillId="58" borderId="0" xfId="0" applyNumberFormat="1" applyFont="1" applyFill="1" applyBorder="1" applyAlignment="1"/>
    <xf numFmtId="2" fontId="0" fillId="58" borderId="0" xfId="0" applyNumberFormat="1" applyFont="1" applyFill="1" applyBorder="1" applyAlignment="1"/>
    <xf numFmtId="2" fontId="0" fillId="58" borderId="0" xfId="0" applyNumberFormat="1" applyFont="1" applyFill="1" applyBorder="1"/>
    <xf numFmtId="0" fontId="0" fillId="58" borderId="0" xfId="0" applyFont="1" applyFill="1" applyAlignment="1"/>
    <xf numFmtId="0" fontId="6" fillId="48" borderId="13" xfId="0" applyFont="1" applyFill="1" applyBorder="1" applyAlignment="1">
      <alignment horizontal="center" vertical="center" wrapText="1"/>
    </xf>
    <xf numFmtId="0" fontId="0" fillId="12" borderId="45" xfId="0" applyFont="1" applyFill="1" applyBorder="1" applyAlignment="1"/>
    <xf numFmtId="0" fontId="26" fillId="12" borderId="45" xfId="0" applyFont="1" applyFill="1" applyBorder="1" applyAlignment="1"/>
    <xf numFmtId="0" fontId="5" fillId="12" borderId="45" xfId="0" applyFont="1" applyFill="1" applyBorder="1" applyAlignment="1"/>
    <xf numFmtId="0" fontId="31" fillId="12" borderId="45" xfId="0" applyFont="1" applyFill="1" applyBorder="1" applyAlignment="1"/>
    <xf numFmtId="0" fontId="0" fillId="12" borderId="46" xfId="0" applyFont="1" applyFill="1" applyBorder="1" applyAlignment="1"/>
    <xf numFmtId="0" fontId="0" fillId="12" borderId="47" xfId="0" applyFont="1" applyFill="1" applyBorder="1" applyAlignment="1"/>
    <xf numFmtId="0" fontId="5" fillId="12" borderId="35" xfId="0" applyFont="1" applyFill="1" applyBorder="1" applyAlignment="1"/>
    <xf numFmtId="0" fontId="2" fillId="2" borderId="39" xfId="0" applyFont="1" applyFill="1" applyBorder="1" applyAlignment="1">
      <alignment horizontal="center" vertical="top"/>
    </xf>
    <xf numFmtId="0" fontId="2" fillId="2" borderId="19" xfId="0" applyFont="1" applyFill="1" applyBorder="1" applyAlignment="1">
      <alignment horizontal="center"/>
    </xf>
    <xf numFmtId="0" fontId="2" fillId="2" borderId="37" xfId="0" applyFont="1" applyFill="1" applyBorder="1" applyAlignment="1">
      <alignment horizontal="center" vertical="top"/>
    </xf>
    <xf numFmtId="0" fontId="0" fillId="11" borderId="66" xfId="0" applyFont="1" applyFill="1" applyBorder="1"/>
    <xf numFmtId="0" fontId="0" fillId="11" borderId="66" xfId="0" applyFont="1" applyFill="1" applyBorder="1" applyAlignment="1"/>
    <xf numFmtId="0" fontId="0" fillId="52" borderId="0" xfId="0" applyFont="1" applyFill="1" applyBorder="1"/>
    <xf numFmtId="0" fontId="0" fillId="52" borderId="67" xfId="0" applyFont="1" applyFill="1" applyBorder="1"/>
    <xf numFmtId="0" fontId="0" fillId="52" borderId="0" xfId="0" applyFont="1" applyFill="1" applyBorder="1" applyAlignment="1">
      <alignment horizontal="right"/>
    </xf>
    <xf numFmtId="0" fontId="0" fillId="11" borderId="69" xfId="0" applyFont="1" applyFill="1" applyBorder="1" applyAlignment="1"/>
    <xf numFmtId="0" fontId="0" fillId="11" borderId="68" xfId="0" applyFont="1" applyFill="1" applyBorder="1" applyAlignment="1"/>
    <xf numFmtId="0" fontId="0" fillId="11" borderId="65" xfId="0" applyFont="1" applyFill="1" applyBorder="1"/>
    <xf numFmtId="0" fontId="0" fillId="52" borderId="2" xfId="0" applyFont="1" applyFill="1" applyBorder="1" applyAlignment="1">
      <alignment horizontal="left" vertical="top"/>
    </xf>
    <xf numFmtId="0" fontId="0" fillId="5" borderId="1" xfId="0" applyFont="1" applyFill="1" applyBorder="1" applyAlignment="1"/>
    <xf numFmtId="11" fontId="0" fillId="9" borderId="1" xfId="0" applyNumberFormat="1" applyFont="1" applyFill="1" applyBorder="1" applyAlignment="1"/>
    <xf numFmtId="0" fontId="0" fillId="10" borderId="1" xfId="0" applyFont="1" applyFill="1" applyBorder="1"/>
    <xf numFmtId="0" fontId="0" fillId="0" borderId="41" xfId="0" applyFont="1" applyFill="1" applyBorder="1" applyAlignment="1"/>
    <xf numFmtId="0" fontId="0" fillId="37" borderId="0" xfId="0" applyFont="1" applyFill="1" applyBorder="1"/>
    <xf numFmtId="0" fontId="0" fillId="37" borderId="0" xfId="0" applyFont="1" applyFill="1" applyBorder="1" applyAlignment="1">
      <alignment horizontal="left" vertical="top"/>
    </xf>
    <xf numFmtId="0" fontId="0" fillId="52" borderId="56" xfId="0" applyFont="1" applyFill="1" applyBorder="1"/>
    <xf numFmtId="0" fontId="0" fillId="11" borderId="37" xfId="0" applyFont="1" applyFill="1" applyBorder="1" applyAlignment="1"/>
    <xf numFmtId="1" fontId="29" fillId="11" borderId="43" xfId="1" applyNumberFormat="1" applyFont="1" applyFill="1" applyBorder="1" applyAlignment="1">
      <alignment horizontal="center" vertical="center"/>
    </xf>
    <xf numFmtId="0" fontId="0" fillId="11" borderId="15" xfId="0" applyFont="1" applyFill="1" applyBorder="1" applyAlignment="1"/>
    <xf numFmtId="0" fontId="0" fillId="11" borderId="43" xfId="0" applyFont="1" applyFill="1" applyBorder="1" applyAlignment="1">
      <alignment horizontal="left" vertical="top"/>
    </xf>
    <xf numFmtId="166" fontId="0" fillId="11" borderId="26" xfId="0" applyNumberFormat="1" applyFont="1" applyFill="1" applyBorder="1" applyAlignment="1"/>
    <xf numFmtId="165" fontId="0" fillId="12" borderId="35" xfId="0" applyNumberFormat="1" applyFill="1" applyBorder="1"/>
    <xf numFmtId="0" fontId="0" fillId="12" borderId="36" xfId="0" applyFont="1" applyFill="1" applyBorder="1"/>
    <xf numFmtId="0" fontId="0" fillId="47" borderId="56" xfId="0" applyFont="1" applyFill="1" applyBorder="1"/>
    <xf numFmtId="0" fontId="0" fillId="48" borderId="1" xfId="0" applyFont="1" applyFill="1" applyBorder="1" applyAlignment="1"/>
    <xf numFmtId="0" fontId="0" fillId="12" borderId="53" xfId="0" applyFont="1" applyFill="1" applyBorder="1"/>
    <xf numFmtId="165" fontId="28" fillId="58" borderId="0" xfId="0" applyNumberFormat="1" applyFont="1" applyFill="1" applyBorder="1" applyAlignment="1">
      <alignment horizontal="center" vertical="center"/>
    </xf>
    <xf numFmtId="0" fontId="0" fillId="58" borderId="66" xfId="0" applyFont="1" applyFill="1" applyBorder="1"/>
    <xf numFmtId="0" fontId="0" fillId="57" borderId="2" xfId="0" applyFont="1" applyFill="1" applyBorder="1" applyAlignment="1">
      <alignment horizontal="right"/>
    </xf>
    <xf numFmtId="11" fontId="0" fillId="58" borderId="56" xfId="0" applyNumberFormat="1" applyFont="1" applyFill="1" applyBorder="1" applyAlignment="1"/>
    <xf numFmtId="0" fontId="0" fillId="57" borderId="19" xfId="0" applyFont="1" applyFill="1" applyBorder="1" applyAlignment="1"/>
    <xf numFmtId="0" fontId="0" fillId="59" borderId="56" xfId="0" applyFont="1" applyFill="1" applyBorder="1"/>
    <xf numFmtId="0" fontId="0" fillId="58" borderId="35" xfId="0" applyFill="1" applyBorder="1"/>
    <xf numFmtId="0" fontId="0" fillId="57" borderId="0" xfId="0" applyFont="1" applyFill="1" applyBorder="1" applyAlignment="1"/>
    <xf numFmtId="0" fontId="0" fillId="12" borderId="66" xfId="0" applyFont="1" applyFill="1" applyBorder="1"/>
    <xf numFmtId="0" fontId="0" fillId="48" borderId="37" xfId="0" applyFont="1" applyFill="1" applyBorder="1"/>
    <xf numFmtId="0" fontId="0" fillId="12" borderId="43" xfId="0" applyFill="1" applyBorder="1"/>
    <xf numFmtId="0" fontId="0" fillId="12" borderId="65" xfId="0" applyFont="1" applyFill="1" applyBorder="1"/>
    <xf numFmtId="0" fontId="0" fillId="48" borderId="48" xfId="0" applyFont="1" applyFill="1" applyBorder="1"/>
    <xf numFmtId="0" fontId="1" fillId="60" borderId="71" xfId="0" applyFont="1" applyFill="1" applyBorder="1" applyAlignment="1">
      <alignment vertical="center" wrapText="1"/>
    </xf>
    <xf numFmtId="0" fontId="3" fillId="60" borderId="72" xfId="0" applyFont="1" applyFill="1" applyBorder="1" applyAlignment="1">
      <alignment vertical="center"/>
    </xf>
    <xf numFmtId="0" fontId="11" fillId="60" borderId="72" xfId="0" applyFont="1" applyFill="1" applyBorder="1" applyAlignment="1">
      <alignment vertical="center"/>
    </xf>
    <xf numFmtId="0" fontId="11" fillId="60" borderId="12" xfId="0" applyFont="1" applyFill="1" applyBorder="1" applyAlignment="1">
      <alignment vertical="center"/>
    </xf>
    <xf numFmtId="0" fontId="5" fillId="60" borderId="72" xfId="0" applyFont="1" applyFill="1" applyBorder="1" applyAlignment="1">
      <alignment vertical="center"/>
    </xf>
    <xf numFmtId="0" fontId="35" fillId="0" borderId="0" xfId="0" applyFont="1" applyAlignment="1">
      <alignment vertical="center"/>
    </xf>
    <xf numFmtId="0" fontId="39" fillId="0" borderId="0" xfId="0" applyFont="1" applyAlignment="1"/>
    <xf numFmtId="0" fontId="11" fillId="45" borderId="35" xfId="0" applyFont="1" applyFill="1" applyBorder="1" applyAlignment="1">
      <alignment horizontal="left" vertical="top"/>
    </xf>
    <xf numFmtId="0" fontId="40" fillId="33" borderId="0" xfId="0" applyFont="1" applyFill="1" applyAlignment="1">
      <alignment wrapText="1"/>
    </xf>
    <xf numFmtId="0" fontId="41" fillId="33" borderId="0" xfId="0" applyFont="1" applyFill="1" applyAlignment="1">
      <alignment wrapText="1"/>
    </xf>
    <xf numFmtId="0" fontId="19" fillId="7" borderId="49" xfId="1" applyFont="1" applyFill="1" applyBorder="1" applyAlignment="1">
      <alignment horizontal="left" vertical="center"/>
    </xf>
    <xf numFmtId="0" fontId="11" fillId="7" borderId="35" xfId="1" applyFont="1" applyFill="1" applyBorder="1" applyAlignment="1">
      <alignment horizontal="left" vertical="center"/>
    </xf>
    <xf numFmtId="0" fontId="0" fillId="10" borderId="35" xfId="0" applyFont="1" applyFill="1" applyBorder="1" applyAlignment="1">
      <alignment horizontal="center" vertical="center"/>
    </xf>
    <xf numFmtId="0" fontId="0" fillId="14" borderId="35" xfId="0" applyFont="1" applyFill="1" applyBorder="1" applyAlignment="1">
      <alignment horizontal="center" vertical="center"/>
    </xf>
    <xf numFmtId="0" fontId="27" fillId="36" borderId="35" xfId="0" applyFont="1" applyFill="1" applyBorder="1" applyAlignment="1">
      <alignment horizontal="center" vertical="center"/>
    </xf>
    <xf numFmtId="0" fontId="1" fillId="8" borderId="16" xfId="1" applyFont="1" applyFill="1" applyBorder="1" applyAlignment="1">
      <alignment horizontal="center" vertical="center"/>
    </xf>
    <xf numFmtId="0" fontId="10" fillId="8" borderId="17" xfId="1" applyFont="1" applyFill="1" applyBorder="1" applyAlignment="1">
      <alignment horizontal="center" vertical="center"/>
    </xf>
    <xf numFmtId="0" fontId="7" fillId="9" borderId="4" xfId="1" applyFont="1" applyFill="1" applyBorder="1" applyAlignment="1">
      <alignment horizontal="center" vertical="center"/>
    </xf>
    <xf numFmtId="0" fontId="11" fillId="10" borderId="5" xfId="1" applyFont="1" applyFill="1" applyBorder="1" applyAlignment="1">
      <alignment horizontal="center" vertical="center"/>
    </xf>
    <xf numFmtId="0" fontId="11" fillId="10" borderId="6" xfId="1" applyFont="1" applyFill="1" applyBorder="1" applyAlignment="1">
      <alignment horizontal="center" vertical="center"/>
    </xf>
    <xf numFmtId="0" fontId="7" fillId="13" borderId="4" xfId="1" applyFont="1" applyFill="1" applyBorder="1" applyAlignment="1">
      <alignment horizontal="center" vertical="center"/>
    </xf>
    <xf numFmtId="0" fontId="11" fillId="14" borderId="5" xfId="1" applyFont="1" applyFill="1" applyBorder="1" applyAlignment="1">
      <alignment horizontal="center" vertical="center"/>
    </xf>
    <xf numFmtId="0" fontId="11" fillId="14" borderId="6" xfId="1" applyFont="1" applyFill="1" applyBorder="1" applyAlignment="1">
      <alignment horizontal="center" vertical="center"/>
    </xf>
    <xf numFmtId="0" fontId="0" fillId="35" borderId="12" xfId="1" applyFont="1" applyFill="1" applyBorder="1" applyAlignment="1">
      <alignment horizontal="center" vertical="center" wrapText="1"/>
    </xf>
    <xf numFmtId="0" fontId="1" fillId="9" borderId="52" xfId="1" applyFont="1" applyFill="1" applyBorder="1" applyAlignment="1">
      <alignment horizontal="center" vertical="center"/>
    </xf>
    <xf numFmtId="0" fontId="1" fillId="9" borderId="0" xfId="1" applyFont="1" applyFill="1" applyBorder="1" applyAlignment="1">
      <alignment horizontal="center" vertical="center"/>
    </xf>
    <xf numFmtId="0" fontId="1" fillId="9" borderId="51" xfId="1" applyFont="1" applyFill="1" applyBorder="1" applyAlignment="1">
      <alignment horizontal="center" vertical="center"/>
    </xf>
    <xf numFmtId="0" fontId="1" fillId="13" borderId="52" xfId="1" applyFont="1" applyFill="1" applyBorder="1" applyAlignment="1">
      <alignment horizontal="center" vertical="center"/>
    </xf>
    <xf numFmtId="0" fontId="1" fillId="13" borderId="0" xfId="1" applyFont="1" applyFill="1" applyBorder="1" applyAlignment="1">
      <alignment horizontal="center" vertical="center"/>
    </xf>
    <xf numFmtId="0" fontId="1" fillId="13" borderId="51" xfId="1" applyFont="1" applyFill="1" applyBorder="1" applyAlignment="1">
      <alignment horizontal="center" vertical="center"/>
    </xf>
    <xf numFmtId="1" fontId="6" fillId="0" borderId="11" xfId="1" applyNumberFormat="1" applyFont="1" applyFill="1" applyBorder="1" applyAlignment="1">
      <alignment horizontal="center" vertical="center" wrapText="1"/>
    </xf>
    <xf numFmtId="1" fontId="6" fillId="0" borderId="12" xfId="1" applyNumberFormat="1" applyFont="1" applyFill="1" applyBorder="1" applyAlignment="1">
      <alignment horizontal="center" vertical="center" wrapText="1"/>
    </xf>
    <xf numFmtId="0" fontId="32" fillId="33" borderId="0" xfId="0" applyFont="1" applyFill="1" applyAlignment="1">
      <alignment horizontal="center" wrapText="1"/>
    </xf>
    <xf numFmtId="0" fontId="32" fillId="34" borderId="0" xfId="0" applyFont="1" applyFill="1" applyAlignment="1">
      <alignment horizontal="center" wrapText="1"/>
    </xf>
    <xf numFmtId="0" fontId="32" fillId="27" borderId="0" xfId="0" applyFont="1" applyFill="1" applyAlignment="1">
      <alignment horizontal="center"/>
    </xf>
  </cellXfs>
  <cellStyles count="509">
    <cellStyle name="Comma0" xfId="5" xr:uid="{00000000-0005-0000-0000-000000000000}"/>
    <cellStyle name="Comma0 2" xfId="6" xr:uid="{00000000-0005-0000-0000-000001000000}"/>
    <cellStyle name="Comma0 2 2" xfId="19" xr:uid="{00000000-0005-0000-0000-000002000000}"/>
    <cellStyle name="Comma0 3" xfId="7" xr:uid="{00000000-0005-0000-0000-000003000000}"/>
    <cellStyle name="Comma0 4" xfId="20" xr:uid="{00000000-0005-0000-0000-000004000000}"/>
    <cellStyle name="Currency 2" xfId="29" xr:uid="{00000000-0005-0000-0000-000005000000}"/>
    <cellStyle name="Currency 3" xfId="30" xr:uid="{00000000-0005-0000-0000-000006000000}"/>
    <cellStyle name="Currency0" xfId="8" xr:uid="{00000000-0005-0000-0000-000007000000}"/>
    <cellStyle name="Currency0 2" xfId="9" xr:uid="{00000000-0005-0000-0000-000008000000}"/>
    <cellStyle name="Currency0 2 2" xfId="21" xr:uid="{00000000-0005-0000-0000-000009000000}"/>
    <cellStyle name="Currency0 3" xfId="10" xr:uid="{00000000-0005-0000-0000-00000A000000}"/>
    <cellStyle name="Currency0 4" xfId="22" xr:uid="{00000000-0005-0000-0000-00000B000000}"/>
    <cellStyle name="Date" xfId="11" xr:uid="{00000000-0005-0000-0000-00000C000000}"/>
    <cellStyle name="Date 2" xfId="12" xr:uid="{00000000-0005-0000-0000-00000D000000}"/>
    <cellStyle name="Date 2 2" xfId="23" xr:uid="{00000000-0005-0000-0000-00000E000000}"/>
    <cellStyle name="Date 3" xfId="13" xr:uid="{00000000-0005-0000-0000-00000F000000}"/>
    <cellStyle name="Date 4" xfId="24" xr:uid="{00000000-0005-0000-0000-000010000000}"/>
    <cellStyle name="Fixed" xfId="14" xr:uid="{00000000-0005-0000-0000-000011000000}"/>
    <cellStyle name="Fixed 2" xfId="15" xr:uid="{00000000-0005-0000-0000-000012000000}"/>
    <cellStyle name="Fixed 2 2" xfId="25" xr:uid="{00000000-0005-0000-0000-000013000000}"/>
    <cellStyle name="Fixed 3" xfId="16" xr:uid="{00000000-0005-0000-0000-000014000000}"/>
    <cellStyle name="Fixed 4" xfId="26" xr:uid="{00000000-0005-0000-0000-000015000000}"/>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Hyperlink" xfId="2" builtinId="8"/>
    <cellStyle name="Normal" xfId="0" builtinId="0"/>
    <cellStyle name="Normal 2" xfId="1" xr:uid="{00000000-0005-0000-0000-0000F4010000}"/>
    <cellStyle name="Normal 2 2" xfId="4" xr:uid="{00000000-0005-0000-0000-0000F5010000}"/>
    <cellStyle name="Normal 3" xfId="3" xr:uid="{00000000-0005-0000-0000-0000F6010000}"/>
    <cellStyle name="Normal_Sheet1" xfId="159" xr:uid="{00000000-0005-0000-0000-0000F7010000}"/>
    <cellStyle name="Percent" xfId="160" builtinId="5"/>
    <cellStyle name="Total 2" xfId="17" xr:uid="{00000000-0005-0000-0000-0000F9010000}"/>
    <cellStyle name="Total 2 2" xfId="27" xr:uid="{00000000-0005-0000-0000-0000FA010000}"/>
    <cellStyle name="Total 3" xfId="18" xr:uid="{00000000-0005-0000-0000-0000FB010000}"/>
    <cellStyle name="Total 4" xfId="28" xr:uid="{00000000-0005-0000-0000-0000FC010000}"/>
  </cellStyles>
  <dxfs count="65">
    <dxf>
      <fill>
        <patternFill patternType="solid">
          <fgColor indexed="64"/>
          <bgColor theme="9"/>
        </patternFill>
      </fill>
    </dxf>
    <dxf>
      <fill>
        <patternFill patternType="solid">
          <fgColor indexed="64"/>
          <bgColor theme="9"/>
        </patternFill>
      </fill>
    </dxf>
    <dxf>
      <fill>
        <patternFill patternType="solid">
          <fgColor indexed="64"/>
          <bgColor theme="8"/>
        </patternFill>
      </fill>
    </dxf>
    <dxf>
      <fill>
        <patternFill patternType="solid">
          <fgColor indexed="64"/>
          <bgColor theme="8"/>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alignment wrapText="1"/>
    </dxf>
    <dxf>
      <alignment wrapText="1"/>
    </dxf>
    <dxf>
      <alignment wrapText="1"/>
    </dxf>
    <dxf>
      <font>
        <color theme="3"/>
      </font>
    </dxf>
    <dxf>
      <font>
        <b val="0"/>
      </font>
    </dxf>
    <dxf>
      <font>
        <sz val="18"/>
      </font>
    </dxf>
    <dxf>
      <alignment wrapText="1" readingOrder="0"/>
    </dxf>
    <dxf>
      <alignment wrapText="1" readingOrder="0"/>
    </dxf>
    <dxf>
      <alignment wrapText="1" readingOrder="0"/>
    </dxf>
    <dxf>
      <fill>
        <patternFill patternType="solid">
          <fgColor indexed="64"/>
          <bgColor theme="9"/>
        </patternFill>
      </fill>
    </dxf>
    <dxf>
      <fill>
        <patternFill patternType="solid">
          <fgColor indexed="64"/>
          <bgColor theme="9"/>
        </patternFill>
      </fill>
    </dxf>
    <dxf>
      <fill>
        <patternFill patternType="solid">
          <fgColor indexed="64"/>
          <bgColor theme="8"/>
        </patternFill>
      </fill>
    </dxf>
    <dxf>
      <fill>
        <patternFill patternType="solid">
          <fgColor indexed="64"/>
          <bgColor theme="8"/>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alignment wrapText="1"/>
    </dxf>
    <dxf>
      <alignment wrapText="1"/>
    </dxf>
    <dxf>
      <alignment wrapText="1"/>
    </dxf>
    <dxf>
      <alignment wrapText="1"/>
    </dxf>
    <dxf>
      <alignment wrapText="1"/>
    </dxf>
    <dxf>
      <alignment wrapText="1"/>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color theme="4"/>
      </font>
    </dxf>
    <dxf>
      <font>
        <sz val="18"/>
      </font>
    </dxf>
    <dxf>
      <alignment wrapText="1" readingOrder="0"/>
    </dxf>
    <dxf>
      <alignment wrapText="1" readingOrder="0"/>
    </dxf>
    <dxf>
      <font>
        <color theme="0"/>
      </font>
      <fill>
        <patternFill patternType="solid">
          <fgColor indexed="64"/>
          <bgColor rgb="FFFF0000"/>
        </patternFill>
      </fill>
    </dxf>
    <dxf>
      <font>
        <color rgb="FF9C0006"/>
      </font>
      <fill>
        <patternFill>
          <bgColor rgb="FFFFC7CE"/>
        </patternFill>
      </fill>
    </dxf>
    <dxf>
      <font>
        <color theme="0"/>
      </font>
      <fill>
        <patternFill patternType="solid">
          <fgColor indexed="64"/>
          <bgColor rgb="FFFF0000"/>
        </patternFill>
      </fill>
    </dxf>
    <dxf>
      <font>
        <color theme="0"/>
      </font>
      <fill>
        <patternFill patternType="solid">
          <fgColor indexed="64"/>
          <bgColor rgb="FFFF0000"/>
        </patternFill>
      </fill>
    </dxf>
    <dxf>
      <fill>
        <patternFill>
          <bgColor theme="5" tint="0.39994506668294322"/>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523875</xdr:colOff>
      <xdr:row>49</xdr:row>
      <xdr:rowOff>180975</xdr:rowOff>
    </xdr:to>
    <xdr:sp macro="" textlink="">
      <xdr:nvSpPr>
        <xdr:cNvPr id="1097" name="Rectangle 73" hidden="1">
          <a:extLst>
            <a:ext uri="{FF2B5EF4-FFF2-40B4-BE49-F238E27FC236}">
              <a16:creationId xmlns:a16="http://schemas.microsoft.com/office/drawing/2014/main" id="{00000000-0008-0000-0300-00004904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absolute">
    <xdr:from>
      <xdr:col>2</xdr:col>
      <xdr:colOff>142875</xdr:colOff>
      <xdr:row>1376</xdr:row>
      <xdr:rowOff>24511</xdr:rowOff>
    </xdr:from>
    <xdr:to>
      <xdr:col>4</xdr:col>
      <xdr:colOff>1826247</xdr:colOff>
      <xdr:row>1377</xdr:row>
      <xdr:rowOff>179109</xdr:rowOff>
    </xdr:to>
    <xdr:sp macro="" textlink="">
      <xdr:nvSpPr>
        <xdr:cNvPr id="1025" name="Rectangle 1" hidden="1">
          <a:extLst>
            <a:ext uri="{FF2B5EF4-FFF2-40B4-BE49-F238E27FC236}">
              <a16:creationId xmlns:a16="http://schemas.microsoft.com/office/drawing/2014/main" id="{00000000-0008-0000-0300-000001040000}"/>
            </a:ext>
          </a:extLst>
        </xdr:cNvPr>
        <xdr:cNvSpPr>
          <a:spLocks noChangeArrowheads="1"/>
        </xdr:cNvSpPr>
      </xdr:nvSpPr>
      <xdr:spPr bwMode="auto">
        <a:xfrm>
          <a:off x="923925" y="122948700"/>
          <a:ext cx="5514975" cy="342900"/>
        </a:xfrm>
        <a:prstGeom prst="rect">
          <a:avLst/>
        </a:prstGeom>
        <a:solidFill>
          <a:srgbClr val="FFFFE1"/>
        </a:solidFill>
        <a:ln w="9525">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xmlns="" val="1"/>
          </a:ext>
        </a:extLst>
      </xdr:spPr>
    </xdr:sp>
    <xdr:clientData/>
  </xdr:twoCellAnchor>
  <xdr:twoCellAnchor>
    <xdr:from>
      <xdr:col>0</xdr:col>
      <xdr:colOff>0</xdr:colOff>
      <xdr:row>0</xdr:row>
      <xdr:rowOff>0</xdr:rowOff>
    </xdr:from>
    <xdr:to>
      <xdr:col>9</xdr:col>
      <xdr:colOff>520700</xdr:colOff>
      <xdr:row>52</xdr:row>
      <xdr:rowOff>0</xdr:rowOff>
    </xdr:to>
    <xdr:sp macro="" textlink="">
      <xdr:nvSpPr>
        <xdr:cNvPr id="2" name="AutoShape 73">
          <a:extLst>
            <a:ext uri="{FF2B5EF4-FFF2-40B4-BE49-F238E27FC236}">
              <a16:creationId xmlns:a16="http://schemas.microsoft.com/office/drawing/2014/main" id="{00000000-0008-0000-0300-000002000000}"/>
            </a:ext>
          </a:extLst>
        </xdr:cNvPr>
        <xdr:cNvSpPr>
          <a:spLocks noChangeArrowheads="1"/>
        </xdr:cNvSpPr>
      </xdr:nvSpPr>
      <xdr:spPr bwMode="auto">
        <a:xfrm>
          <a:off x="0" y="0"/>
          <a:ext cx="11087100" cy="9867900"/>
        </a:xfrm>
        <a:custGeom>
          <a:avLst/>
          <a:gdLst/>
          <a:ahLst/>
          <a:cxnLst/>
          <a:rect l="0" t="0" r="r" b="b"/>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1221</xdr:row>
      <xdr:rowOff>0</xdr:rowOff>
    </xdr:from>
    <xdr:to>
      <xdr:col>8</xdr:col>
      <xdr:colOff>757238</xdr:colOff>
      <xdr:row>1259</xdr:row>
      <xdr:rowOff>171450</xdr:rowOff>
    </xdr:to>
    <xdr:sp macro="" textlink="">
      <xdr:nvSpPr>
        <xdr:cNvPr id="5" name="AutoShape 55">
          <a:extLst>
            <a:ext uri="{FF2B5EF4-FFF2-40B4-BE49-F238E27FC236}">
              <a16:creationId xmlns:a16="http://schemas.microsoft.com/office/drawing/2014/main" id="{00000000-0008-0000-0000-000006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6" name="AutoShape 55">
          <a:extLst>
            <a:ext uri="{FF2B5EF4-FFF2-40B4-BE49-F238E27FC236}">
              <a16:creationId xmlns:a16="http://schemas.microsoft.com/office/drawing/2014/main" id="{00000000-0008-0000-0000-000007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7" name="AutoShape 55">
          <a:extLst>
            <a:ext uri="{FF2B5EF4-FFF2-40B4-BE49-F238E27FC236}">
              <a16:creationId xmlns:a16="http://schemas.microsoft.com/office/drawing/2014/main" id="{00000000-0008-0000-0000-000008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8" name="AutoShape 55">
          <a:extLst>
            <a:ext uri="{FF2B5EF4-FFF2-40B4-BE49-F238E27FC236}">
              <a16:creationId xmlns:a16="http://schemas.microsoft.com/office/drawing/2014/main" id="{00000000-0008-0000-0000-000009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1258</xdr:row>
      <xdr:rowOff>171450</xdr:rowOff>
    </xdr:to>
    <xdr:sp macro="" textlink="">
      <xdr:nvSpPr>
        <xdr:cNvPr id="9" name="AutoShape 55">
          <a:extLst>
            <a:ext uri="{FF2B5EF4-FFF2-40B4-BE49-F238E27FC236}">
              <a16:creationId xmlns:a16="http://schemas.microsoft.com/office/drawing/2014/main" id="{00000000-0008-0000-0000-00000A000000}"/>
            </a:ext>
          </a:extLst>
        </xdr:cNvPr>
        <xdr:cNvSpPr>
          <a:spLocks noChangeArrowheads="1"/>
        </xdr:cNvSpPr>
      </xdr:nvSpPr>
      <xdr:spPr bwMode="auto">
        <a:xfrm>
          <a:off x="0" y="0"/>
          <a:ext cx="12263438" cy="7981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1260</xdr:row>
      <xdr:rowOff>171450</xdr:rowOff>
    </xdr:to>
    <xdr:sp macro="" textlink="">
      <xdr:nvSpPr>
        <xdr:cNvPr id="10" name="AutoShape 55">
          <a:extLst>
            <a:ext uri="{FF2B5EF4-FFF2-40B4-BE49-F238E27FC236}">
              <a16:creationId xmlns:a16="http://schemas.microsoft.com/office/drawing/2014/main" id="{00000000-0008-0000-0000-00000B000000}"/>
            </a:ext>
          </a:extLst>
        </xdr:cNvPr>
        <xdr:cNvSpPr>
          <a:spLocks noChangeArrowheads="1"/>
        </xdr:cNvSpPr>
      </xdr:nvSpPr>
      <xdr:spPr bwMode="auto">
        <a:xfrm>
          <a:off x="0" y="0"/>
          <a:ext cx="12263438"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1260</xdr:row>
      <xdr:rowOff>171450</xdr:rowOff>
    </xdr:to>
    <xdr:sp macro="" textlink="">
      <xdr:nvSpPr>
        <xdr:cNvPr id="11" name="AutoShape 55">
          <a:extLst>
            <a:ext uri="{FF2B5EF4-FFF2-40B4-BE49-F238E27FC236}">
              <a16:creationId xmlns:a16="http://schemas.microsoft.com/office/drawing/2014/main" id="{00000000-0008-0000-0000-00000C000000}"/>
            </a:ext>
          </a:extLst>
        </xdr:cNvPr>
        <xdr:cNvSpPr>
          <a:spLocks noChangeArrowheads="1"/>
        </xdr:cNvSpPr>
      </xdr:nvSpPr>
      <xdr:spPr bwMode="auto">
        <a:xfrm>
          <a:off x="0" y="0"/>
          <a:ext cx="12263438"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9</xdr:col>
      <xdr:colOff>600075</xdr:colOff>
      <xdr:row>1260</xdr:row>
      <xdr:rowOff>171450</xdr:rowOff>
    </xdr:to>
    <xdr:sp macro="" textlink="">
      <xdr:nvSpPr>
        <xdr:cNvPr id="12" name="AutoShape 55">
          <a:extLst>
            <a:ext uri="{FF2B5EF4-FFF2-40B4-BE49-F238E27FC236}">
              <a16:creationId xmlns:a16="http://schemas.microsoft.com/office/drawing/2014/main" id="{00000000-0008-0000-0000-00000D000000}"/>
            </a:ext>
          </a:extLst>
        </xdr:cNvPr>
        <xdr:cNvSpPr>
          <a:spLocks noChangeArrowheads="1"/>
        </xdr:cNvSpPr>
      </xdr:nvSpPr>
      <xdr:spPr bwMode="auto">
        <a:xfrm>
          <a:off x="0" y="0"/>
          <a:ext cx="12957175"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771525</xdr:colOff>
      <xdr:row>1264</xdr:row>
      <xdr:rowOff>171450</xdr:rowOff>
    </xdr:to>
    <xdr:sp macro="" textlink="">
      <xdr:nvSpPr>
        <xdr:cNvPr id="13" name="AutoShape 55">
          <a:extLst>
            <a:ext uri="{FF2B5EF4-FFF2-40B4-BE49-F238E27FC236}">
              <a16:creationId xmlns:a16="http://schemas.microsoft.com/office/drawing/2014/main" id="{00000000-0008-0000-0000-00000E000000}"/>
            </a:ext>
          </a:extLst>
        </xdr:cNvPr>
        <xdr:cNvSpPr>
          <a:spLocks noChangeArrowheads="1"/>
        </xdr:cNvSpPr>
      </xdr:nvSpPr>
      <xdr:spPr bwMode="auto">
        <a:xfrm>
          <a:off x="0" y="0"/>
          <a:ext cx="12277725" cy="9124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9</xdr:col>
      <xdr:colOff>600075</xdr:colOff>
      <xdr:row>1264</xdr:row>
      <xdr:rowOff>171450</xdr:rowOff>
    </xdr:to>
    <xdr:sp macro="" textlink="">
      <xdr:nvSpPr>
        <xdr:cNvPr id="14" name="AutoShape 55">
          <a:extLst>
            <a:ext uri="{FF2B5EF4-FFF2-40B4-BE49-F238E27FC236}">
              <a16:creationId xmlns:a16="http://schemas.microsoft.com/office/drawing/2014/main" id="{00000000-0008-0000-0000-00000F000000}"/>
            </a:ext>
          </a:extLst>
        </xdr:cNvPr>
        <xdr:cNvSpPr>
          <a:spLocks noChangeArrowheads="1"/>
        </xdr:cNvSpPr>
      </xdr:nvSpPr>
      <xdr:spPr bwMode="auto">
        <a:xfrm>
          <a:off x="0" y="0"/>
          <a:ext cx="12957175" cy="9124950"/>
        </a:xfrm>
        <a:custGeom>
          <a:avLst/>
          <a:gdLst/>
          <a:ahLst/>
          <a:cxnLst/>
          <a:rect l="0" t="0" r="0" b="0"/>
          <a:pathLst/>
        </a:custGeom>
        <a:solidFill>
          <a:srgbClr val="FFFFFF"/>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ty/Google%20Drive/CSS/FOOD%20ENVI%20database/NEW%20ADDITIONS/New%20ENVI%20Inputs/FOOD%20ENVI%20-%20New%20Addi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mediate Impacts GHG"/>
      <sheetName val="List Names"/>
    </sheetNames>
    <sheetDataSet>
      <sheetData sheetId="0"/>
      <sheetData sheetId="1">
        <row r="3">
          <cell r="B3" t="str">
            <v>Beverages</v>
          </cell>
          <cell r="C3" t="str">
            <v>Fresh or Not Specified</v>
          </cell>
          <cell r="D3" t="str">
            <v>Yes</v>
          </cell>
          <cell r="E3" t="str">
            <v>Peer Reviewed Journal</v>
          </cell>
        </row>
        <row r="4">
          <cell r="B4" t="str">
            <v>Cereals and Grains</v>
          </cell>
          <cell r="C4" t="str">
            <v>Canned</v>
          </cell>
          <cell r="D4" t="str">
            <v>No</v>
          </cell>
          <cell r="E4" t="str">
            <v>Conference Proceedings</v>
          </cell>
        </row>
        <row r="5">
          <cell r="B5" t="str">
            <v>Dairy</v>
          </cell>
          <cell r="C5" t="str">
            <v>Frozen</v>
          </cell>
          <cell r="E5" t="str">
            <v>Government Report</v>
          </cell>
        </row>
        <row r="6">
          <cell r="B6" t="str">
            <v>Eggs</v>
          </cell>
          <cell r="C6" t="str">
            <v>Dried</v>
          </cell>
          <cell r="E6" t="str">
            <v>Industry Based Report</v>
          </cell>
        </row>
        <row r="7">
          <cell r="B7" t="str">
            <v>Fish and Seafood</v>
          </cell>
          <cell r="C7" t="str">
            <v>Cured or Pickled</v>
          </cell>
          <cell r="E7" t="str">
            <v>NGO Report</v>
          </cell>
        </row>
        <row r="8">
          <cell r="B8" t="str">
            <v>Fruit</v>
          </cell>
          <cell r="C8" t="str">
            <v>Other (Specify)</v>
          </cell>
          <cell r="E8" t="str">
            <v>Database</v>
          </cell>
        </row>
        <row r="9">
          <cell r="B9" t="str">
            <v>Legumes and Nuts</v>
          </cell>
          <cell r="E9" t="str">
            <v>Other (specify)</v>
          </cell>
        </row>
        <row r="10">
          <cell r="B10" t="str">
            <v>Meat</v>
          </cell>
        </row>
        <row r="11">
          <cell r="B11" t="str">
            <v>Meat Substitutes</v>
          </cell>
        </row>
        <row r="12">
          <cell r="B12" t="str">
            <v>Mixed Dishes</v>
          </cell>
        </row>
        <row r="13">
          <cell r="B13" t="str">
            <v>Oils and Fats</v>
          </cell>
        </row>
        <row r="14">
          <cell r="B14" t="str">
            <v>Other</v>
          </cell>
        </row>
        <row r="15">
          <cell r="B15" t="str">
            <v>Sweeteners</v>
          </cell>
        </row>
        <row r="16">
          <cell r="B16" t="str">
            <v>Vegetables</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er, Martin" refreshedDate="43717.609485069443" createdVersion="4" refreshedVersion="6" minRefreshableVersion="3" recordCount="1646" xr:uid="{00000000-000A-0000-FFFF-FFFF00000000}">
  <cacheSource type="worksheet">
    <worksheetSource ref="C1:BI1048576" sheet="literature entries"/>
  </cacheSource>
  <cacheFields count="59">
    <cacheField name="FOOD TYPE" numFmtId="0">
      <sharedItems containsBlank="1" count="14">
        <s v="Dairy"/>
        <s v="Meat"/>
        <s v="Eggs"/>
        <s v="Vegetables"/>
        <s v="Fruit"/>
        <s v="Cereals and Grains"/>
        <s v="Meat Substitutes"/>
        <s v="Beverages"/>
        <s v="Oils and Fats"/>
        <s v="Sweeteners"/>
        <s v="Other"/>
        <s v="Legumes and Nuts"/>
        <s v="Fish and Seafood"/>
        <m/>
      </sharedItems>
    </cacheField>
    <cacheField name="SUB TYPE" numFmtId="0">
      <sharedItems containsBlank="1" count="269">
        <s v="Fluid Milk, Cow"/>
        <s v="Sheep"/>
        <s v="Eggs, Chicken"/>
        <s v="Beef"/>
        <s v="Cheese, Cow"/>
        <s v="Yogurt, Cow"/>
        <s v="Fluid Milk, Cream"/>
        <s v="Butter"/>
        <s v="Tomato, puree"/>
        <s v="Cottage Cheese"/>
        <s v="Sour Cream"/>
        <s v="Fluid Milk, Buttermilk"/>
        <s v="Dairy Products, Fozen"/>
        <s v="Dairy Powders"/>
        <s v="Fluid Milk, Concentrate"/>
        <s v="Tomato, chopped"/>
        <s v="Tomato, peeled"/>
        <s v="Tomato, paste"/>
        <s v="Tomato, greenhouse"/>
        <s v="Tomato"/>
        <s v="Banana"/>
        <s v="Margarine"/>
        <s v="Bread"/>
        <s v="Pork"/>
        <s v="Chicken"/>
        <s v="Beef from dairy"/>
        <s v="Fluid Milk, Buffalo"/>
        <s v="Fluid Milk, Sheep"/>
        <s v="Goat"/>
        <s v="Fluid Milk, Goat"/>
        <s v="Poultry, other"/>
        <s v="Turkey"/>
        <s v="Veal"/>
        <s v="Rabbit, meat"/>
        <s v="Falafel, Tivall"/>
        <s v="Vegetable Patty"/>
        <s v="Meatless"/>
        <s v="Quorn"/>
        <s v="Tofu"/>
        <s v="Valess"/>
        <s v="Soybean, soy milk"/>
        <s v="Cheese, Goat"/>
        <s v="Cheese, Buffalo"/>
        <s v="Pineapple"/>
        <s v="Potato, tuber, w/peel"/>
        <s v="Rapeseed"/>
        <s v="Palm, oil"/>
        <s v="soybean, oil"/>
        <s v="x_Rapeseed, Oil"/>
        <s v="Sunflower, oil"/>
        <s v="Peanut, Oil"/>
        <s v="Olive, oil"/>
        <s v="Honey"/>
        <s v="Grapes, Wine"/>
        <s v="Potato, tuber, w/o peel"/>
        <s v="Potatoes, mashed"/>
        <s v="Potato, chips"/>
        <s v="Lettuce, leaf"/>
        <s v="Barley"/>
        <s v="Lettuce, greenhouse"/>
        <s v="Escarole"/>
        <s v="Escarole, greenhouse"/>
        <s v="x_Lettuce"/>
        <s v="Mushroom"/>
        <s v="x_Strawberries"/>
        <s v="Orange, Juice"/>
        <s v="Apple, fruit with peel"/>
        <s v="Wheat, grain"/>
        <s v="Raspberry"/>
        <s v="Fruits, Citrus"/>
        <s v="Fruits"/>
        <s v="Fruits, Subtropical"/>
        <s v="Treenuts"/>
        <s v="Olive"/>
        <s v="x_Olives"/>
        <s v="Broccoli"/>
        <s v="Lettuce, leaf, air freight"/>
        <s v="Bean, snap, succulent"/>
        <s v="Bean, snap, succulent, air freight"/>
        <s v="Blueberry"/>
        <s v="Grape, Raisin"/>
        <s v="Strawberry"/>
        <s v="Almond"/>
        <s v="Walnut"/>
        <s v="Asparagus, air freight"/>
        <s v="Pear"/>
        <s v="Cucumber"/>
        <s v="Grape"/>
        <s v="Pepper, bell"/>
        <s v="Avocado"/>
        <s v="Honeydew melon"/>
        <s v="Kiwifruit, fuzzy"/>
        <s v="Leek"/>
        <s v="onion, bulb"/>
        <s v="Carrot"/>
        <s v="Cauliflower"/>
        <s v="Fennel, Florence"/>
        <s v="Eggplant"/>
        <s v="Fennel, Cauliflower, Broccoli"/>
        <s v="Squash, Summer"/>
        <s v="Spinach"/>
        <s v="Fish-Saltwater Finfish, Tuna"/>
        <s v="Fish-Freshwater Finfish, Farm Raised"/>
        <s v="Fish-Shellfish, Mollusc"/>
        <s v="Fish-Saltwater Finfish, Other"/>
        <s v="Coffee, Instant"/>
        <s v="Coffee, roasted bean"/>
        <s v="Coffee, brewed"/>
        <s v="Tea, dried"/>
        <s v="Tea"/>
        <s v="Carbonated Drinks"/>
        <s v="Fish-Shellfish, Crustacean"/>
        <s v="Fish-Freshwater Finfish"/>
        <s v="Candy"/>
        <s v="Cocoa Bean, Chocolate"/>
        <s v="Peanut"/>
        <s v="Cashew"/>
        <s v="tropical fruit"/>
        <s v="Corn, Chips"/>
        <s v="Cacao"/>
        <s v="Cereal"/>
        <s v="Soy Burger"/>
        <s v="Rice, brown"/>
        <s v="Corn, field, oil"/>
        <s v="Corn, field, meal"/>
        <s v="Canola"/>
        <s v="Corn, field"/>
        <s v="Soybean, seed"/>
        <s v="Wheat, flour"/>
        <s v="Rice, white"/>
        <s v="Peanut, butter"/>
        <s v="Sugarcane, sugar"/>
        <s v="Cocoa Liquor"/>
        <s v="Cocoa Butter"/>
        <s v="Cocoa Cake"/>
        <s v="Cocoa bean, Powder"/>
        <s v="orange"/>
        <s v="Peach"/>
        <s v="Mandarins"/>
        <s v="Asparagus"/>
        <s v="Oat, groats/rolled oats"/>
        <s v="Beer"/>
        <s v="Potato, Flour"/>
        <s v="Cucumber, greenhouse"/>
        <s v="snail"/>
        <s v="Guar, Seed"/>
        <s v="Cassava Starch"/>
        <s v="Rapeseed, oil"/>
        <s v="Hazelnut"/>
        <s v="Hazelnuts, paste"/>
        <s v="Pistachio"/>
        <s v="Hazelnut, Spread"/>
        <s v="Hazelnut, Chocolate covered"/>
        <s v="Essential Oil, orange"/>
        <s v="Essential Oil, Lemon"/>
        <s v="Lemon, juice"/>
        <s v="Orange, Juice,  concentrate"/>
        <s v="Lemon, Juice, concentrate"/>
        <s v="Blackberry, Andean"/>
        <s v="Lulo"/>
        <s v="Passion Fruit"/>
        <s v="Tree Tomato"/>
        <s v="Golden Berry"/>
        <s v="Mango"/>
        <s v="Cherry"/>
        <s v="Garlic, bulb"/>
        <s v="Pea, succulent"/>
        <s v="Tomato, juice"/>
        <s v="Strawberry, greenhouse"/>
        <s v="liquor"/>
        <s v="Gooseberry"/>
        <s v="Cranberry"/>
        <s v="Turnip, roots"/>
        <s v="Lemon"/>
        <s v="Lime"/>
        <s v="Grapefruit"/>
        <s v="Millet, grain"/>
        <s v="Sesame, seed"/>
        <s v="Chestnut"/>
        <s v="Ginger"/>
        <s v="Cinnamon"/>
        <s v="Plum"/>
        <s v="Guava"/>
        <s v="Yam, true"/>
        <s v="Bean, cowpea, seed"/>
        <s v="Date"/>
        <s v="Plantain"/>
        <s v="Artichoke, globe"/>
        <s v="Cottonseed, oil"/>
        <s v="Pea, dry"/>
        <s v="Sunflower, seed"/>
        <s v="Coconut, meat"/>
        <s v="Corn, field, flour"/>
        <s v="Oat, flour"/>
        <s v="clover, seed"/>
        <s v="Bean, broad, seed"/>
        <s v="Beet, garden, roots"/>
        <s v="Cabbage"/>
        <s v="kale"/>
        <s v="Watermelon"/>
        <s v="zucchini"/>
        <s v="Bean, dry"/>
        <s v="squash, winter"/>
        <s v="Celery"/>
        <s v="lettuce, head"/>
        <s v="hops"/>
        <s v="pumpkin"/>
        <s v="lentil, seed"/>
        <s v="Chickpea, seed"/>
        <s v="Sugarcane, molasses"/>
        <s v="soybean, meal"/>
        <s v="Corn, sweet"/>
        <s v="beet, sugar"/>
        <s v="beet, sugar, molasses"/>
        <s v="Cassava"/>
        <s v="chicory, roots"/>
        <s v="Coconut, oil"/>
        <s v="Pea, pigeon, seed"/>
        <s v="Rice, bran"/>
        <s v="Rye, flour"/>
        <s v="Rye, grain"/>
        <s v="Pepper, black and white"/>
        <s v="Apricot"/>
        <s v="Papaya"/>
        <s v="corn, field, starch"/>
        <s v="Grape, wine and sherry"/>
        <s v="Maple syrup"/>
        <s v="Meat, game"/>
        <s v="Water, direct, tap"/>
        <s v="Water, direct, bottled"/>
        <s v="Tempeh"/>
        <s v="Herbs and Spices"/>
        <s v="carrot, frozen"/>
        <s v="onion"/>
        <s v="quinoa"/>
        <s v="fish sticks"/>
        <s v="pepper, nonbell"/>
        <s v="cantaloupe"/>
        <s v="sweet corn"/>
        <s v="Melon"/>
        <s v="Melon, greenhouse"/>
        <s v="Pepper, greenhouse"/>
        <s v="Zucchini, greenhouse"/>
        <m/>
        <s v="Almonds" u="1"/>
        <s v="x_Strawberry, greenhouse" u="1"/>
        <s v="Bean,  dry" u="1"/>
        <s v="Shrimp" u="1"/>
        <s v="x_Lettuce, greenhouse" u="1"/>
        <s v="Okra" u="1"/>
        <s v="Poultry" u="1"/>
        <s v="Water chestnut" u="1"/>
        <s v="Fruits, Citrus " u="1"/>
        <s v="Olives_x" u="1"/>
        <s v="x_Cucumber, greenhouse" u="1"/>
        <s v="Citrus Fruits" u="1"/>
        <s v="Potato, chips " u="1"/>
        <s v="Flour, Whole Wheat" u="1"/>
        <s v="x_Beef from dairy" u="1"/>
        <s v="Rapeseed, Oil_x" u="1"/>
        <s v=" Cocoa Butter" u="1"/>
        <s v="x_Tomato, greenhouse" u="1"/>
        <s v="Strawberries_x" u="1"/>
        <s v="Potato, tuber, w/ peel" u="1"/>
        <s v="x_Bean, snap, succulent, air freight" u="1"/>
        <s v="Lettuce_x" u="1"/>
        <s v="x_Escarole_greenhouse" u="1"/>
        <s v="wheat" u="1"/>
        <s v="Bean, brown" u="1"/>
      </sharedItems>
    </cacheField>
    <cacheField name="FOOD FORM" numFmtId="0">
      <sharedItems containsBlank="1"/>
    </cacheField>
    <cacheField name="PRODUCT OR PRODUCTION SPECIFICS" numFmtId="0">
      <sharedItems containsBlank="1"/>
    </cacheField>
    <cacheField name="COMPARES PRODUCTION STRATEGIES / METHODS?" numFmtId="0">
      <sharedItems containsBlank="1"/>
    </cacheField>
    <cacheField name="COUNTRY OF ORIGIN" numFmtId="0">
      <sharedItems containsBlank="1"/>
    </cacheField>
    <cacheField name="Publication Year" numFmtId="0">
      <sharedItems containsBlank="1" containsMixedTypes="1" containsNumber="1" containsInteger="1" minValue="2002" maxValue="2018"/>
    </cacheField>
    <cacheField name="Publication Authors" numFmtId="0">
      <sharedItems containsBlank="1"/>
    </cacheField>
    <cacheField name="Publication Author Affiliations" numFmtId="0">
      <sharedItems containsBlank="1" longText="1"/>
    </cacheField>
    <cacheField name="Publication Source Type" numFmtId="0">
      <sharedItems containsBlank="1"/>
    </cacheField>
    <cacheField name="Bibliographic Reference" numFmtId="0">
      <sharedItems containsBlank="1" longText="1"/>
    </cacheField>
    <cacheField name="LC Stage: Ag Production" numFmtId="0">
      <sharedItems containsBlank="1"/>
    </cacheField>
    <cacheField name="LC Stage: LU/LUC" numFmtId="0">
      <sharedItems containsBlank="1"/>
    </cacheField>
    <cacheField name="LC Stage: Transport Farm to Processing" numFmtId="0">
      <sharedItems containsBlank="1"/>
    </cacheField>
    <cacheField name="LC Stage: Processing" numFmtId="0">
      <sharedItems containsBlank="1"/>
    </cacheField>
    <cacheField name="LC Stage: Packaging" numFmtId="0">
      <sharedItems containsBlank="1"/>
    </cacheField>
    <cacheField name="LC Stage: Transport Processing to Retail" numFmtId="0">
      <sharedItems containsBlank="1"/>
    </cacheField>
    <cacheField name="LC Stage: Retail" numFmtId="0">
      <sharedItems containsBlank="1"/>
    </cacheField>
    <cacheField name="LC Stage: Transport Retail to Consumer" numFmtId="0">
      <sharedItems containsBlank="1"/>
    </cacheField>
    <cacheField name="LC Stage: Household Storge" numFmtId="0">
      <sharedItems containsBlank="1"/>
    </cacheField>
    <cacheField name="LC Stage: Prep and Cooking" numFmtId="0">
      <sharedItems containsBlank="1"/>
    </cacheField>
    <cacheField name="LC Stage: Dishwashing" numFmtId="0">
      <sharedItems containsBlank="1"/>
    </cacheField>
    <cacheField name="LC Stage: Capital Goods" numFmtId="0">
      <sharedItems containsBlank="1"/>
    </cacheField>
    <cacheField name="LC Stage: Other" numFmtId="0">
      <sharedItems containsBlank="1"/>
    </cacheField>
    <cacheField name="LC Stage: Notes" numFmtId="0">
      <sharedItems containsBlank="1" longText="1"/>
    </cacheField>
    <cacheField name="Inclusion of Food Waste?" numFmtId="0">
      <sharedItems containsBlank="1"/>
    </cacheField>
    <cacheField name="Results at Intermediary Stages?" numFmtId="0">
      <sharedItems containsBlank="1"/>
    </cacheField>
    <cacheField name="Reported Functional Unit" numFmtId="0">
      <sharedItems containsBlank="1"/>
    </cacheField>
    <cacheField name="Adjustment of FU for KG Edible Food" numFmtId="0">
      <sharedItems containsBlank="1" longText="1"/>
    </cacheField>
    <cacheField name="ACTIVE     CED, FARM GATE (MJ/kg)" numFmtId="0">
      <sharedItems containsBlank="1" containsMixedTypes="1" containsNumber="1" minValue="0" maxValue="1066.6666666666667"/>
    </cacheField>
    <cacheField name="CED, processor gate (MJ/kg)" numFmtId="0">
      <sharedItems containsBlank="1" containsMixedTypes="1" containsNumber="1" minValue="4.1807661240187933E-3" maxValue="246.05"/>
    </cacheField>
    <cacheField name="ACTIVE     GHGE, FARM GATE (kg CO2e/kg)" numFmtId="0">
      <sharedItems containsBlank="1" containsMixedTypes="1" containsNumber="1" minValue="-0.01" maxValue="166.71732522796353"/>
    </cacheField>
    <cacheField name="GHGE, processor gate (kg CO2e/kg)" numFmtId="0">
      <sharedItems containsBlank="1" containsMixedTypes="1" containsNumber="1" minValue="2.7919572459079257E-4" maxValue="58.44"/>
    </cacheField>
    <cacheField name="CED,Ag Production (MJ/kg)" numFmtId="0">
      <sharedItems containsString="0" containsBlank="1" containsNumber="1" minValue="0" maxValue="1066.6666666666667"/>
    </cacheField>
    <cacheField name="CED,Transport Farm to Processing (MJ/kg)" numFmtId="0">
      <sharedItems containsString="0" containsBlank="1" containsNumber="1" minValue="3.1E-2" maxValue="27.203220000000002"/>
    </cacheField>
    <cacheField name="CED,Processing (MJ/kg)" numFmtId="0">
      <sharedItems containsString="0" containsBlank="1" containsNumber="1" minValue="0" maxValue="187.5"/>
    </cacheField>
    <cacheField name="CED,Packaging (MJ/kg)" numFmtId="0">
      <sharedItems containsString="0" containsBlank="1" containsNumber="1" minValue="0" maxValue="100"/>
    </cacheField>
    <cacheField name="CED, Distibribution (MJ/kg)" numFmtId="0">
      <sharedItems containsString="0" containsBlank="1" containsNumber="1" minValue="0" maxValue="854.83870967741939"/>
    </cacheField>
    <cacheField name="CED, Retail Stages (MJ/kg)" numFmtId="0">
      <sharedItems containsString="0" containsBlank="1" containsNumber="1" minValue="0.03" maxValue="55.115565546219393"/>
    </cacheField>
    <cacheField name="CED,Consumer Stages (MJ/kg)" numFmtId="0">
      <sharedItems containsString="0" containsBlank="1" containsNumber="1" minValue="8.9189677312400935E-4" maxValue="377.14285714285717"/>
    </cacheField>
    <cacheField name="CED, End of Life (MJ/kg)" numFmtId="0">
      <sharedItems containsString="0" containsBlank="1" containsNumber="1" minValue="-7.6923076923076934" maxValue="2.81"/>
    </cacheField>
    <cacheField name="CED,Capital Goods (MJ/kg)" numFmtId="0">
      <sharedItems containsString="0" containsBlank="1" containsNumber="1" minValue="0" maxValue="71.111111111111114"/>
    </cacheField>
    <cacheField name="CED, FARM GATE (MJ/kg)" numFmtId="0">
      <sharedItems containsString="0" containsBlank="1" containsNumber="1" minValue="0" maxValue="1066.6666666666667"/>
    </cacheField>
    <cacheField name="CED, TOTAL LC (MJ/kg)" numFmtId="0">
      <sharedItems containsString="0" containsBlank="1" containsNumber="1" minValue="4.0298507462686569E-3" maxValue="7200"/>
    </cacheField>
    <cacheField name="CED, LCIA METHOD AND UNIT" numFmtId="0">
      <sharedItems containsBlank="1"/>
    </cacheField>
    <cacheField name="Notes (CED)" numFmtId="0">
      <sharedItems containsBlank="1"/>
    </cacheField>
    <cacheField name="GHGE, Ag Production (kg CO2e/kg)" numFmtId="0">
      <sharedItems containsBlank="1" containsMixedTypes="1" containsNumber="1" minValue="-0.01" maxValue="166.71732522796353"/>
    </cacheField>
    <cacheField name="GHGE, Transport Farm to Processing (kg CO2e/kg)" numFmtId="0">
      <sharedItems containsString="0" containsBlank="1" containsNumber="1" minValue="1.1000000000000001E-3" maxValue="11.120000000000001"/>
    </cacheField>
    <cacheField name="GHGE, Processing (kg CO2e/kg)" numFmtId="0">
      <sharedItems containsBlank="1" containsMixedTypes="1" containsNumber="1" minValue="0" maxValue="50.440724000000003"/>
    </cacheField>
    <cacheField name="GHGE, Packaging (kg CO2e/kg)" numFmtId="0">
      <sharedItems containsBlank="1" containsMixedTypes="1" containsNumber="1" minValue="0" maxValue="5.5175000000000001"/>
    </cacheField>
    <cacheField name="GHGE, Distribution (kg CO2e/kg)" numFmtId="0">
      <sharedItems containsBlank="1" containsMixedTypes="1" containsNumber="1" minValue="0" maxValue="56.451612903225808"/>
    </cacheField>
    <cacheField name="GHGE, Retail Stages (kg CO2e/kg)" numFmtId="0">
      <sharedItems containsBlank="1" containsMixedTypes="1" containsNumber="1" minValue="7.0500000000000001E-4" maxValue="5.4013254235295012"/>
    </cacheField>
    <cacheField name="GHGE, Consumer Stages (kg CO2e/kg)" numFmtId="0">
      <sharedItems containsString="0" containsBlank="1" containsNumber="1" minValue="6.230977544515541E-5" maxValue="17.5"/>
    </cacheField>
    <cacheField name="GHGE, End of Life (kg CO2e/kg)" numFmtId="0">
      <sharedItems containsBlank="1" containsMixedTypes="1" containsNumber="1" minValue="-1.1000000000000001" maxValue="0.9538461538461539"/>
    </cacheField>
    <cacheField name="GHGE, Capital Goods (kg CO2e/kg)" numFmtId="0">
      <sharedItems containsString="0" containsBlank="1" containsNumber="1" minValue="-0.12039603960396039" maxValue="2.5999999999999996"/>
    </cacheField>
    <cacheField name="GHGE, FARM GATE (kg CO2e/kg)" numFmtId="0">
      <sharedItems containsBlank="1" containsMixedTypes="1" containsNumber="1" minValue="-0.01" maxValue="166.71732522796353"/>
    </cacheField>
    <cacheField name="GHGE, TOTAL LC (kg CO2e/kg)" numFmtId="0">
      <sharedItems containsBlank="1" containsMixedTypes="1" containsNumber="1" minValue="-3.4347826086956519" maxValue="118.62548000000001"/>
    </cacheField>
    <cacheField name="reported variance" numFmtId="0">
      <sharedItems containsBlank="1" containsMixedTypes="1" containsNumber="1" minValue="2.9000000000000001E-2" maxValue="0.43"/>
    </cacheField>
    <cacheField name="GHGE, LCIA METHOD AND UNI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er, Martin" refreshedDate="43735.588944675925" createdVersion="4" refreshedVersion="6" minRefreshableVersion="3" recordCount="1646" xr:uid="{00000000-000A-0000-FFFF-FFFF01000000}">
  <cacheSource type="worksheet">
    <worksheetSource ref="C1:BG1048576" sheet="literature entries"/>
  </cacheSource>
  <cacheFields count="57">
    <cacheField name="FOOD TYPE" numFmtId="0">
      <sharedItems containsBlank="1" count="14">
        <s v="Dairy"/>
        <s v="Meat"/>
        <s v="Eggs"/>
        <s v="Vegetables"/>
        <s v="Fruit"/>
        <s v="Cereals and Grains"/>
        <s v="Meat Substitutes"/>
        <s v="Beverages"/>
        <s v="Oils and Fats"/>
        <s v="Sweeteners"/>
        <s v="Other"/>
        <s v="Legumes and Nuts"/>
        <s v="Fish and Seafood"/>
        <m/>
      </sharedItems>
    </cacheField>
    <cacheField name="SUB TYPE" numFmtId="0">
      <sharedItems containsBlank="1" count="269">
        <s v="Fluid Milk, Cow"/>
        <s v="Sheep"/>
        <s v="Eggs, Chicken"/>
        <s v="Beef"/>
        <s v="Cheese, Cow"/>
        <s v="Yogurt, Cow"/>
        <s v="Fluid Milk, Cream"/>
        <s v="Butter"/>
        <s v="Tomato, puree"/>
        <s v="Cottage Cheese"/>
        <s v="Sour Cream"/>
        <s v="Fluid Milk, Buttermilk"/>
        <s v="Dairy Products, Fozen"/>
        <s v="Dairy Powders"/>
        <s v="Fluid Milk, Concentrate"/>
        <s v="Tomato, chopped"/>
        <s v="Tomato, peeled"/>
        <s v="Tomato, paste"/>
        <s v="Tomato, greenhouse"/>
        <s v="Tomato"/>
        <s v="Banana"/>
        <s v="Margarine"/>
        <s v="Bread"/>
        <s v="Pork"/>
        <s v="Chicken"/>
        <s v="Beef from dairy"/>
        <s v="Fluid Milk, Buffalo"/>
        <s v="Fluid Milk, Sheep"/>
        <s v="Goat"/>
        <s v="Fluid Milk, Goat"/>
        <s v="Poultry, other"/>
        <s v="Turkey"/>
        <s v="Veal"/>
        <s v="Rabbit, meat"/>
        <s v="Falafel, Tivall"/>
        <s v="Vegetable Patty"/>
        <s v="Meatless"/>
        <s v="Quorn"/>
        <s v="Tofu"/>
        <s v="Valess"/>
        <s v="Soybean, soy milk"/>
        <s v="Cheese, Goat"/>
        <s v="Cheese, Buffalo"/>
        <s v="Pineapple"/>
        <s v="Potato, tuber, w/peel"/>
        <s v="Rapeseed"/>
        <s v="Palm, oil"/>
        <s v="soybean, oil"/>
        <s v="x_Rapeseed, Oil"/>
        <s v="Sunflower, oil"/>
        <s v="Peanut, Oil"/>
        <s v="Olive, oil"/>
        <s v="Honey"/>
        <s v="Grapes, Wine"/>
        <s v="Potato, tuber, w/o peel"/>
        <s v="Potatoes, mashed"/>
        <s v="Potato, chips"/>
        <s v="Lettuce, leaf"/>
        <s v="Barley"/>
        <s v="Lettuce, greenhouse"/>
        <s v="Escarole"/>
        <s v="Escarole, greenhouse"/>
        <s v="x_Lettuce"/>
        <s v="Mushroom"/>
        <s v="x_Strawberries"/>
        <s v="Orange, Juice"/>
        <s v="Apple, fruit with peel"/>
        <s v="Wheat, grain"/>
        <s v="Raspberry"/>
        <s v="Fruits, Citrus"/>
        <s v="Fruits"/>
        <s v="Fruits, Subtropical"/>
        <s v="Treenuts"/>
        <s v="Olive"/>
        <s v="x_Olives"/>
        <s v="Broccoli"/>
        <s v="Lettuce, leaf, air freight"/>
        <s v="Bean, snap, succulent"/>
        <s v="Bean, snap, succulent, air freight"/>
        <s v="Blueberry"/>
        <s v="Grape, Raisin"/>
        <s v="Strawberry"/>
        <s v="Almond"/>
        <s v="Walnut"/>
        <s v="Asparagus, air freight"/>
        <s v="Pear"/>
        <s v="Cucumber"/>
        <s v="Grape"/>
        <s v="Pepper, bell"/>
        <s v="Avocado"/>
        <s v="Honeydew melon"/>
        <s v="Kiwifruit, fuzzy"/>
        <s v="Leek"/>
        <s v="onion, bulb"/>
        <s v="Carrot"/>
        <s v="Cauliflower"/>
        <s v="Fennel, Florence"/>
        <s v="Eggplant"/>
        <s v="Fennel, Cauliflower, Broccoli"/>
        <s v="Squash, Summer"/>
        <s v="Spinach"/>
        <s v="Fish-Saltwater Finfish, Tuna"/>
        <s v="Fish-Freshwater Finfish, Farm Raised"/>
        <s v="Fish-Shellfish, Mollusc"/>
        <s v="Fish-Saltwater Finfish, Other"/>
        <s v="Coffee, Instant"/>
        <s v="Coffee, roasted bean"/>
        <s v="Coffee, brewed"/>
        <s v="Tea, dried"/>
        <s v="Tea"/>
        <s v="Carbonated Drinks"/>
        <s v="Fish-Shellfish, Crustacean"/>
        <s v="Fish-Freshwater Finfish"/>
        <s v="Candy"/>
        <s v="Cocoa Bean, Chocolate"/>
        <s v="Peanut"/>
        <s v="Cashew"/>
        <s v="tropical fruit"/>
        <s v="Corn, Chips"/>
        <s v="Cacao"/>
        <s v="Cereal"/>
        <s v="Soy Burger"/>
        <s v="Rice, brown"/>
        <s v="Corn, field, oil"/>
        <s v="Corn, field, meal"/>
        <s v="Canola"/>
        <s v="Corn, field"/>
        <s v="Soybean, seed"/>
        <s v="Wheat, flour"/>
        <s v="Rice, white"/>
        <s v="Peanut, butter"/>
        <s v="Sugarcane, sugar"/>
        <s v="Cocoa Liquor"/>
        <s v="Cocoa Butter"/>
        <s v="Cocoa Cake"/>
        <s v="Cocoa bean, Powder"/>
        <s v="orange"/>
        <s v="Peach"/>
        <s v="Mandarins"/>
        <s v="Asparagus"/>
        <s v="Oat, groats/rolled oats"/>
        <s v="Beer"/>
        <s v="Potato, Flour"/>
        <s v="Cucumber, greenhouse"/>
        <s v="snail"/>
        <s v="Guar, Seed"/>
        <s v="Cassava Starch"/>
        <s v="Rapeseed, oil"/>
        <s v="Hazelnut"/>
        <s v="Hazelnuts, paste"/>
        <s v="Pistachio"/>
        <s v="Hazelnut, Spread"/>
        <s v="Hazelnut, Chocolate covered"/>
        <s v="Essential Oil, orange"/>
        <s v="Essential Oil, Lemon"/>
        <s v="Lemon, juice"/>
        <s v="Orange, Juice,  concentrate"/>
        <s v="Lemon, Juice, concentrate"/>
        <s v="Blackberry, Andean"/>
        <s v="Lulo"/>
        <s v="Passion Fruit"/>
        <s v="Tree Tomato"/>
        <s v="Golden Berry"/>
        <s v="Mango"/>
        <s v="Cherry"/>
        <s v="Garlic, bulb"/>
        <s v="Pea, succulent"/>
        <s v="Tomato, juice"/>
        <s v="Strawberry, greenhouse"/>
        <s v="liquor"/>
        <s v="Gooseberry"/>
        <s v="Cranberry"/>
        <s v="Turnip, roots"/>
        <s v="Lemon"/>
        <s v="Lime"/>
        <s v="Grapefruit"/>
        <s v="Millet, grain"/>
        <s v="Sesame, seed"/>
        <s v="Chestnut"/>
        <s v="Ginger"/>
        <s v="Cinnamon"/>
        <s v="Plum"/>
        <s v="Guava"/>
        <s v="Yam, true"/>
        <s v="Bean, cowpea, seed"/>
        <s v="Date"/>
        <s v="Plantain"/>
        <s v="Artichoke, globe"/>
        <s v="Cottonseed, oil"/>
        <s v="Pea, dry"/>
        <s v="Sunflower, seed"/>
        <s v="Coconut, meat"/>
        <s v="Corn, field, flour"/>
        <s v="Oat, flour"/>
        <s v="clover, seed"/>
        <s v="Bean, broad, seed"/>
        <s v="Beet, garden, roots"/>
        <s v="Cabbage"/>
        <s v="kale"/>
        <s v="Watermelon"/>
        <s v="zucchini"/>
        <s v="Bean, dry"/>
        <s v="squash, winter"/>
        <s v="Celery"/>
        <s v="lettuce, head"/>
        <s v="hops"/>
        <s v="pumpkin"/>
        <s v="lentil, seed"/>
        <s v="Chickpea, seed"/>
        <s v="Sugarcane, molasses"/>
        <s v="soybean, meal"/>
        <s v="Corn, sweet"/>
        <s v="beet, sugar"/>
        <s v="beet, sugar, molasses"/>
        <s v="Cassava"/>
        <s v="chicory, roots"/>
        <s v="Coconut, oil"/>
        <s v="Pea, pigeon, seed"/>
        <s v="Rice, bran"/>
        <s v="Rye, flour"/>
        <s v="Rye, grain"/>
        <s v="Pepper, black and white"/>
        <s v="Apricot"/>
        <s v="Papaya"/>
        <s v="corn, field, starch"/>
        <s v="Grape, wine and sherry"/>
        <s v="Maple syrup"/>
        <s v="Meat, game"/>
        <s v="Water, direct, tap"/>
        <s v="Water, direct, bottled"/>
        <s v="Tempeh"/>
        <s v="Herbs and Spices"/>
        <s v="carrot, frozen"/>
        <s v="onion"/>
        <s v="quinoa"/>
        <s v="fish sticks"/>
        <s v="pepper, nonbell"/>
        <s v="cantaloupe"/>
        <s v="sweet corn"/>
        <s v="Melon"/>
        <s v="Melon, greenhouse"/>
        <s v="Pepper, greenhouse"/>
        <s v="Zucchini, greenhouse"/>
        <m/>
        <s v="Almonds" u="1"/>
        <s v="x_Strawberry, greenhouse" u="1"/>
        <s v="Bean,  dry" u="1"/>
        <s v="Shrimp" u="1"/>
        <s v="x_Lettuce, greenhouse" u="1"/>
        <s v="Okra" u="1"/>
        <s v="Poultry" u="1"/>
        <s v="Water chestnut" u="1"/>
        <s v="Fruits, Citrus " u="1"/>
        <s v="Olives_x" u="1"/>
        <s v="x_Cucumber, greenhouse" u="1"/>
        <s v="Citrus Fruits" u="1"/>
        <s v="Potato, chips " u="1"/>
        <s v="Flour, Whole Wheat" u="1"/>
        <s v="x_Beef from dairy" u="1"/>
        <s v="Rapeseed, Oil_x" u="1"/>
        <s v=" Cocoa Butter" u="1"/>
        <s v="x_Tomato, greenhouse" u="1"/>
        <s v="Strawberries_x" u="1"/>
        <s v="Potato, tuber, w/ peel" u="1"/>
        <s v="x_Bean, snap, succulent, air freight" u="1"/>
        <s v="Lettuce_x" u="1"/>
        <s v="x_Escarole_greenhouse" u="1"/>
        <s v="wheat" u="1"/>
        <s v="Bean, brown" u="1"/>
      </sharedItems>
    </cacheField>
    <cacheField name="FOOD FORM" numFmtId="0">
      <sharedItems containsBlank="1"/>
    </cacheField>
    <cacheField name="PRODUCT OR PRODUCTION SPECIFICS" numFmtId="0">
      <sharedItems containsBlank="1"/>
    </cacheField>
    <cacheField name="COMPARES PRODUCTION STRATEGIES / METHODS?" numFmtId="0">
      <sharedItems containsBlank="1"/>
    </cacheField>
    <cacheField name="COUNTRY OF ORIGIN" numFmtId="0">
      <sharedItems containsBlank="1"/>
    </cacheField>
    <cacheField name="Publication Year" numFmtId="0">
      <sharedItems containsBlank="1" containsMixedTypes="1" containsNumber="1" containsInteger="1" minValue="2002" maxValue="2018"/>
    </cacheField>
    <cacheField name="Publication Authors" numFmtId="0">
      <sharedItems containsBlank="1"/>
    </cacheField>
    <cacheField name="Publication Author Affiliations" numFmtId="0">
      <sharedItems containsBlank="1" longText="1"/>
    </cacheField>
    <cacheField name="Publication Source Type" numFmtId="0">
      <sharedItems containsBlank="1"/>
    </cacheField>
    <cacheField name="Bibliographic Reference" numFmtId="0">
      <sharedItems containsBlank="1" longText="1"/>
    </cacheField>
    <cacheField name="LC Stage: Ag Production" numFmtId="0">
      <sharedItems containsBlank="1"/>
    </cacheField>
    <cacheField name="LC Stage: LU/LUC" numFmtId="0">
      <sharedItems containsBlank="1"/>
    </cacheField>
    <cacheField name="LC Stage: Transport Farm to Processing" numFmtId="0">
      <sharedItems containsBlank="1"/>
    </cacheField>
    <cacheField name="LC Stage: Processing" numFmtId="0">
      <sharedItems containsBlank="1"/>
    </cacheField>
    <cacheField name="LC Stage: Packaging" numFmtId="0">
      <sharedItems containsBlank="1"/>
    </cacheField>
    <cacheField name="LC Stage: Transport Processing to Retail" numFmtId="0">
      <sharedItems containsBlank="1"/>
    </cacheField>
    <cacheField name="LC Stage: Retail" numFmtId="0">
      <sharedItems containsBlank="1"/>
    </cacheField>
    <cacheField name="LC Stage: Transport Retail to Consumer" numFmtId="0">
      <sharedItems containsBlank="1"/>
    </cacheField>
    <cacheField name="LC Stage: Household Storge" numFmtId="0">
      <sharedItems containsBlank="1"/>
    </cacheField>
    <cacheField name="LC Stage: Prep and Cooking" numFmtId="0">
      <sharedItems containsBlank="1"/>
    </cacheField>
    <cacheField name="LC Stage: Dishwashing" numFmtId="0">
      <sharedItems containsBlank="1"/>
    </cacheField>
    <cacheField name="LC Stage: Capital Goods" numFmtId="0">
      <sharedItems containsBlank="1"/>
    </cacheField>
    <cacheField name="LC Stage: Other" numFmtId="0">
      <sharedItems containsBlank="1"/>
    </cacheField>
    <cacheField name="LC Stage: Notes" numFmtId="0">
      <sharedItems containsBlank="1" longText="1"/>
    </cacheField>
    <cacheField name="Inclusion of Food Waste?" numFmtId="0">
      <sharedItems containsBlank="1"/>
    </cacheField>
    <cacheField name="Results at Intermediary Stages?" numFmtId="0">
      <sharedItems containsBlank="1"/>
    </cacheField>
    <cacheField name="Reported Functional Unit" numFmtId="0">
      <sharedItems containsBlank="1"/>
    </cacheField>
    <cacheField name="Adjustment of FU for KG Edible Food" numFmtId="0">
      <sharedItems containsBlank="1" longText="1"/>
    </cacheField>
    <cacheField name="ACTIVE     CED, FARM GATE (MJ/kg)" numFmtId="0">
      <sharedItems containsBlank="1" containsMixedTypes="1" containsNumber="1" minValue="0" maxValue="1066.6666666666667"/>
    </cacheField>
    <cacheField name="CED, processor gate (MJ/kg)" numFmtId="0">
      <sharedItems containsBlank="1" containsMixedTypes="1" containsNumber="1" minValue="4.1807661240187933E-3" maxValue="246.05"/>
    </cacheField>
    <cacheField name="ACTIVE     GHGE, FARM GATE (kg CO2e/kg)" numFmtId="0">
      <sharedItems containsBlank="1" containsMixedTypes="1" containsNumber="1" minValue="-0.01" maxValue="166.71732522796353"/>
    </cacheField>
    <cacheField name="GHGE, processor gate (kg CO2e/kg)" numFmtId="0">
      <sharedItems containsBlank="1" containsMixedTypes="1" containsNumber="1" minValue="2.7919572459079257E-4" maxValue="58.44"/>
    </cacheField>
    <cacheField name="CED,Ag Production (MJ/kg)" numFmtId="0">
      <sharedItems containsString="0" containsBlank="1" containsNumber="1" minValue="0" maxValue="1066.6666666666667"/>
    </cacheField>
    <cacheField name="CED,Transport Farm to Processing (MJ/kg)" numFmtId="0">
      <sharedItems containsString="0" containsBlank="1" containsNumber="1" minValue="3.1E-2" maxValue="27.203220000000002"/>
    </cacheField>
    <cacheField name="CED,Processing (MJ/kg)" numFmtId="0">
      <sharedItems containsString="0" containsBlank="1" containsNumber="1" minValue="0" maxValue="187.5"/>
    </cacheField>
    <cacheField name="CED,Packaging (MJ/kg)" numFmtId="0">
      <sharedItems containsString="0" containsBlank="1" containsNumber="1" minValue="0" maxValue="100"/>
    </cacheField>
    <cacheField name="CED, Distibribution (MJ/kg)" numFmtId="0">
      <sharedItems containsString="0" containsBlank="1" containsNumber="1" minValue="0" maxValue="854.83870967741939"/>
    </cacheField>
    <cacheField name="CED, Retail Stages (MJ/kg)" numFmtId="0">
      <sharedItems containsString="0" containsBlank="1" containsNumber="1" minValue="0.03" maxValue="55.115565546219393"/>
    </cacheField>
    <cacheField name="CED,Consumer Stages (MJ/kg)" numFmtId="0">
      <sharedItems containsString="0" containsBlank="1" containsNumber="1" minValue="8.9189677312400935E-4" maxValue="377.14285714285717"/>
    </cacheField>
    <cacheField name="CED, End of Life (MJ/kg)" numFmtId="0">
      <sharedItems containsString="0" containsBlank="1" containsNumber="1" minValue="-7.6923076923076934" maxValue="2.81"/>
    </cacheField>
    <cacheField name="CED,Capital Goods (MJ/kg)" numFmtId="0">
      <sharedItems containsString="0" containsBlank="1" containsNumber="1" minValue="0" maxValue="71.111111111111114"/>
    </cacheField>
    <cacheField name="CED, FARM GATE (MJ/kg)" numFmtId="0">
      <sharedItems containsString="0" containsBlank="1" containsNumber="1" minValue="0" maxValue="1066.6666666666667"/>
    </cacheField>
    <cacheField name="CED, TOTAL LC (MJ/kg)" numFmtId="0">
      <sharedItems containsString="0" containsBlank="1" containsNumber="1" minValue="4.0298507462686569E-3" maxValue="7200"/>
    </cacheField>
    <cacheField name="CED, LCIA METHOD AND UNIT" numFmtId="0">
      <sharedItems containsBlank="1"/>
    </cacheField>
    <cacheField name="Notes (CED)" numFmtId="0">
      <sharedItems containsBlank="1"/>
    </cacheField>
    <cacheField name="GHGE, Ag Production (kg CO2e/kg)" numFmtId="0">
      <sharedItems containsBlank="1" containsMixedTypes="1" containsNumber="1" minValue="-0.01" maxValue="166.71732522796353"/>
    </cacheField>
    <cacheField name="GHGE, Transport Farm to Processing (kg CO2e/kg)" numFmtId="0">
      <sharedItems containsString="0" containsBlank="1" containsNumber="1" minValue="1.1000000000000001E-3" maxValue="11.120000000000001"/>
    </cacheField>
    <cacheField name="GHGE, Processing (kg CO2e/kg)" numFmtId="0">
      <sharedItems containsBlank="1" containsMixedTypes="1" containsNumber="1" minValue="0" maxValue="50.440724000000003"/>
    </cacheField>
    <cacheField name="GHGE, Packaging (kg CO2e/kg)" numFmtId="0">
      <sharedItems containsBlank="1" containsMixedTypes="1" containsNumber="1" minValue="0" maxValue="5.5175000000000001"/>
    </cacheField>
    <cacheField name="GHGE, Distribution (kg CO2e/kg)" numFmtId="0">
      <sharedItems containsBlank="1" containsMixedTypes="1" containsNumber="1" minValue="0" maxValue="56.451612903225808"/>
    </cacheField>
    <cacheField name="GHGE, Retail Stages (kg CO2e/kg)" numFmtId="0">
      <sharedItems containsBlank="1" containsMixedTypes="1" containsNumber="1" minValue="7.0500000000000001E-4" maxValue="5.4013254235295012"/>
    </cacheField>
    <cacheField name="GHGE, Consumer Stages (kg CO2e/kg)" numFmtId="0">
      <sharedItems containsString="0" containsBlank="1" containsNumber="1" minValue="6.230977544515541E-5" maxValue="17.5"/>
    </cacheField>
    <cacheField name="GHGE, End of Life (kg CO2e/kg)" numFmtId="0">
      <sharedItems containsBlank="1" containsMixedTypes="1" containsNumber="1" minValue="-1.1000000000000001" maxValue="0.9538461538461539"/>
    </cacheField>
    <cacheField name="GHGE, Capital Goods (kg CO2e/kg)" numFmtId="0">
      <sharedItems containsString="0" containsBlank="1" containsNumber="1" minValue="-0.12039603960396039" maxValue="2.5999999999999996"/>
    </cacheField>
    <cacheField name="GHGE, FARM GATE (kg CO2e/kg)" numFmtId="0">
      <sharedItems containsBlank="1" containsMixedTypes="1" containsNumber="1" minValue="-0.01" maxValue="166.71732522796353"/>
    </cacheField>
    <cacheField name="GHGE, TOTAL LC (kg CO2e/kg)" numFmtId="0">
      <sharedItems containsBlank="1" containsMixedTypes="1" containsNumber="1" minValue="-3.4347826086956519" maxValue="118.62548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46">
  <r>
    <x v="0"/>
    <x v="0"/>
    <s v="Fresh or Not Specified"/>
    <s v="Liquid Milk"/>
    <s v="No"/>
    <s v="USA"/>
    <n v="2013"/>
    <s v="Greg Thoma a; Jennie Popp b; Darin Nutter c; David Shonnard d; Richard Ulrich a; Marty Matlock e; Dae Soo Kim a; Zara Neiderman e; Nathan Kemper b; Cashion East a; Felix Adomd d"/>
    <s v="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
    <s v="Peer Reviewed Journal"/>
    <s v="Thoma, G., Popp, J., Nutter, D., Shonnard, D., Ulrich, R., Matlock, M., Kim, D. S., Neiderman, Z., Kemper, N., East, C. and Adom, F., Greenhouse gas emissions from milk production and consumption in the United States: A cradle-to-grave life cycle assessment circa 2008. International Dairy Journal 2013, 31 (1), S3-S14."/>
    <s v="Yes"/>
    <s v="No"/>
    <s v="Yes"/>
    <s v="Yes"/>
    <s v="Yes"/>
    <s v="Yes"/>
    <s v="Yes"/>
    <s v="Yes"/>
    <s v="Yes"/>
    <s v="No"/>
    <s v="No"/>
    <s v="No"/>
    <m/>
    <s v="Cradle-to-farm gate; farm to processor transportation; processing, packaging and distribution; retail channels; consumer transportation and storage; post consumer waste management; supply chain loss/waste; "/>
    <s v="Yes"/>
    <s v="Yes"/>
    <s v="1 kg of milk consumed"/>
    <s v="No"/>
    <s v=""/>
    <s v=""/>
    <n v="1.4759999999999998"/>
    <n v="1.6225999999999998"/>
    <m/>
    <m/>
    <m/>
    <m/>
    <m/>
    <m/>
    <m/>
    <m/>
    <m/>
    <m/>
    <m/>
    <m/>
    <m/>
    <n v="1.4759999999999998"/>
    <n v="6.9599999999999995E-2"/>
    <n v="7.6999999999999999E-2"/>
    <n v="5.3999999999999999E-2"/>
    <n v="7.1999999999999995E-2"/>
    <n v="0.12299999999999998"/>
    <n v="9.6100000000000005E-2"/>
    <n v="6.399999999999989E-3"/>
    <m/>
    <n v="1.4759999999999998"/>
    <n v="2.0499999999999998"/>
    <m/>
    <s v="IPPC (2006)"/>
  </r>
  <r>
    <x v="1"/>
    <x v="1"/>
    <s v="Fresh or Not Specified"/>
    <s v="low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2.459373429385153"/>
    <s v=""/>
    <m/>
    <m/>
    <m/>
    <m/>
    <m/>
    <m/>
    <m/>
    <m/>
    <m/>
    <m/>
    <m/>
    <m/>
    <m/>
    <m/>
    <m/>
    <m/>
    <m/>
    <m/>
    <m/>
    <m/>
    <m/>
    <m/>
    <n v="32.459373429385153"/>
    <m/>
    <s v="CV=33%"/>
    <s v="IPPC, 2007, 100 year"/>
  </r>
  <r>
    <x v="1"/>
    <x v="1"/>
    <s v="Fresh or Not Specified"/>
    <s v="high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8.442668070746471"/>
    <s v=""/>
    <m/>
    <m/>
    <m/>
    <m/>
    <m/>
    <m/>
    <m/>
    <m/>
    <m/>
    <m/>
    <m/>
    <m/>
    <m/>
    <m/>
    <m/>
    <m/>
    <m/>
    <m/>
    <m/>
    <m/>
    <m/>
    <m/>
    <n v="38.442668070746471"/>
    <m/>
    <s v="CV=23%"/>
    <s v="IPPC, 2007, 100 year"/>
  </r>
  <r>
    <x v="1"/>
    <x v="1"/>
    <s v="Fresh or Not Specified"/>
    <s v="hill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53.430821147356575"/>
    <s v=""/>
    <m/>
    <m/>
    <m/>
    <m/>
    <m/>
    <m/>
    <m/>
    <m/>
    <m/>
    <m/>
    <m/>
    <m/>
    <m/>
    <m/>
    <m/>
    <m/>
    <m/>
    <m/>
    <m/>
    <m/>
    <m/>
    <m/>
    <n v="53.430821147356575"/>
    <m/>
    <s v="CV=34%"/>
    <s v="IPPC, 2007, 100 year"/>
  </r>
  <r>
    <x v="2"/>
    <x v="2"/>
    <s v="Fresh or Not Specified"/>
    <s v="Barn"/>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2"/>
    <s v=""/>
    <n v="2.6"/>
    <s v=""/>
    <m/>
    <m/>
    <m/>
    <m/>
    <m/>
    <m/>
    <m/>
    <m/>
    <m/>
    <n v="23.2"/>
    <m/>
    <m/>
    <m/>
    <m/>
    <m/>
    <m/>
    <m/>
    <m/>
    <m/>
    <m/>
    <m/>
    <m/>
    <n v="2.6"/>
    <m/>
    <s v="2.666 to 2.685"/>
    <s v="IPCC 2006"/>
  </r>
  <r>
    <x v="2"/>
    <x v="2"/>
    <s v="Fresh or Not Specified"/>
    <s v="Free ran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8"/>
    <s v=""/>
    <n v="2.7"/>
    <s v=""/>
    <m/>
    <m/>
    <m/>
    <m/>
    <m/>
    <m/>
    <m/>
    <m/>
    <m/>
    <n v="23.8"/>
    <m/>
    <m/>
    <m/>
    <m/>
    <m/>
    <m/>
    <m/>
    <m/>
    <m/>
    <m/>
    <m/>
    <m/>
    <n v="2.7"/>
    <m/>
    <s v="2.74 to 2.754"/>
    <s v="IPCC 2006"/>
  </r>
  <r>
    <x v="2"/>
    <x v="2"/>
    <s v="Fresh or Not Specified"/>
    <s v="Organic"/>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8"/>
    <s v=""/>
    <n v="2.5"/>
    <s v=""/>
    <m/>
    <m/>
    <m/>
    <m/>
    <m/>
    <m/>
    <m/>
    <m/>
    <m/>
    <n v="20.8"/>
    <m/>
    <m/>
    <m/>
    <m/>
    <m/>
    <m/>
    <m/>
    <m/>
    <m/>
    <m/>
    <m/>
    <m/>
    <n v="2.5"/>
    <m/>
    <s v="2.533 to 2.547"/>
    <s v="IPCC 2006"/>
  </r>
  <r>
    <x v="2"/>
    <x v="2"/>
    <s v="Fresh or Not Specified"/>
    <s v="Conventional enriched ca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7"/>
    <s v=""/>
    <n v="2.2349999999999999"/>
    <s v=""/>
    <m/>
    <m/>
    <m/>
    <m/>
    <m/>
    <m/>
    <m/>
    <m/>
    <m/>
    <n v="20.7"/>
    <m/>
    <m/>
    <m/>
    <m/>
    <m/>
    <m/>
    <m/>
    <m/>
    <m/>
    <m/>
    <m/>
    <m/>
    <n v="2.2349999999999999"/>
    <m/>
    <m/>
    <s v="IPCC 2006"/>
  </r>
  <r>
    <x v="1"/>
    <x v="3"/>
    <s v="Fresh or Not Specified"/>
    <s v="grass finished;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18.239999999999998"/>
    <n v="25.9"/>
    <n v="25.49"/>
    <n v="26.47"/>
    <n v="18.239999999999998"/>
    <m/>
    <n v="7.66"/>
    <m/>
    <n v="6.43"/>
    <n v="0.03"/>
    <m/>
    <m/>
    <m/>
    <n v="18.239999999999998"/>
    <n v="32.36"/>
    <m/>
    <m/>
    <n v="25.49"/>
    <m/>
    <n v="0.98"/>
    <m/>
    <n v="0.75600000000000001"/>
    <n v="2E-3"/>
    <m/>
    <m/>
    <m/>
    <n v="25.49"/>
    <n v="27.22"/>
    <m/>
    <s v="IPPC AR4 (2007), 100 y"/>
  </r>
  <r>
    <x v="1"/>
    <x v="1"/>
    <s v="Fresh or Not Specified"/>
    <s v="delivered to USA"/>
    <s v="No"/>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in lamb, retail-ready in US"/>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19.468085106382979"/>
    <n v="32.917933034916103"/>
    <n v="21.88449848024316"/>
    <n v="23.268996954437689"/>
    <n v="19.468085010599999"/>
    <m/>
    <n v="13.449848024316108"/>
    <m/>
    <n v="9.7720364741641337"/>
    <n v="0.03"/>
    <m/>
    <m/>
    <m/>
    <n v="19.468085106382979"/>
    <n v="42.735562310030396"/>
    <m/>
    <m/>
    <n v="21.876899689999998"/>
    <m/>
    <n v="1.3920972644376899"/>
    <m/>
    <n v="1.1489361702127658"/>
    <n v="2E-3"/>
    <m/>
    <m/>
    <m/>
    <n v="21.88449848024316"/>
    <n v="24.422492401215806"/>
    <m/>
    <s v="IPPC AR4 (2007), 100 y"/>
  </r>
  <r>
    <x v="1"/>
    <x v="3"/>
    <s v="Fresh or Not Specified"/>
    <s v="mid-fed (115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24"/>
    <n v="31.66"/>
    <n v="21.6"/>
    <n v="22.6"/>
    <n v="24"/>
    <m/>
    <n v="7.66"/>
    <m/>
    <n v="6.43"/>
    <n v="0.03"/>
    <m/>
    <m/>
    <m/>
    <n v="24"/>
    <n v="38.119999999999997"/>
    <m/>
    <m/>
    <n v="21.62"/>
    <m/>
    <n v="0.98"/>
    <m/>
    <n v="0.75600000000000001"/>
    <n v="2E-3"/>
    <m/>
    <m/>
    <m/>
    <n v="21.6"/>
    <n v="23.36"/>
    <m/>
    <s v="IPPC AR4 (2007), 100 y"/>
  </r>
  <r>
    <x v="1"/>
    <x v="3"/>
    <s v="Fresh or Not Specified"/>
    <s v="long-fed (330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32.54"/>
    <n v="40.200000000000003"/>
    <n v="23.8"/>
    <n v="24.803000000000001"/>
    <n v="32.54"/>
    <m/>
    <n v="7.66"/>
    <m/>
    <n v="6.43"/>
    <n v="0.03"/>
    <m/>
    <m/>
    <m/>
    <n v="32.54"/>
    <n v="46.66"/>
    <m/>
    <m/>
    <n v="23.823"/>
    <m/>
    <n v="0.98"/>
    <m/>
    <n v="0.75600000000000001"/>
    <n v="2E-3"/>
    <m/>
    <m/>
    <m/>
    <n v="23.8"/>
    <n v="25.56"/>
    <m/>
    <s v="IPPC AR4 (2007), 100 y"/>
  </r>
  <r>
    <x v="0"/>
    <x v="0"/>
    <s v="Fresh or Not Specified"/>
    <s v="Represents national farm demographics for liquid milk production"/>
    <s v="No"/>
    <s v="USA"/>
    <n v="2012"/>
    <s v="(a);Greg Thoma (a); Jennie Popp (b); David Shonnard (d); Darin Nutter (c); Marty Matlock (e); Richard Ulrich (a); Wayne Kellogg (f); Dae Soo Kim (a); Zara Neiderman (e); Nathan Kemper (b); Felix Adom (d); Cashion East (a)"/>
    <s v="(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
    <s v="Peer Reviewed Journal"/>
    <s v="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
    <s v="Yes"/>
    <s v="No"/>
    <s v="No"/>
    <s v="No"/>
    <s v="No"/>
    <s v="No"/>
    <s v="No"/>
    <s v="No"/>
    <s v="No"/>
    <s v="No"/>
    <s v="No"/>
    <s v="No"/>
    <m/>
    <s v="GHG during production including manure management and enteric methane emissions"/>
    <s v="No"/>
    <s v="No"/>
    <s v="1 kg of fat and protein corrected milk (FPCM; 4% fat, 3.3% protein)"/>
    <m/>
    <s v=""/>
    <s v=""/>
    <n v="1.23"/>
    <s v=""/>
    <m/>
    <m/>
    <m/>
    <m/>
    <m/>
    <m/>
    <m/>
    <m/>
    <m/>
    <m/>
    <m/>
    <m/>
    <m/>
    <m/>
    <m/>
    <m/>
    <m/>
    <m/>
    <m/>
    <m/>
    <m/>
    <m/>
    <n v="1.23"/>
    <m/>
    <m/>
    <s v="IPCC (2006) and IPCC (2007)"/>
  </r>
  <r>
    <x v="0"/>
    <x v="0"/>
    <s v="Fresh or Not Specified"/>
    <s v="Conventional milk in Galicia (Spain)"/>
    <s v="No"/>
    <s v="Spain"/>
    <n v="2003"/>
    <s v="A. Hospido; M.T. Moreira; G. Feijoo"/>
    <s v="Department of Chemical Engineering, Institute of Technology, University of Santiago de Compostela, 15782"/>
    <s v="Peer Reviewed Journal"/>
    <s v="Hospido, A., Moreira, M. T. and Feijoo, G., Simplified life cycle assessment of galician milk production. International Dairy Journal 2003, 13 (10), 783-796."/>
    <s v="Yes"/>
    <s v="No"/>
    <s v="Yes"/>
    <s v="Yes"/>
    <s v="Yes"/>
    <s v="No"/>
    <s v="No"/>
    <s v="No"/>
    <s v="No"/>
    <s v="No"/>
    <s v="Yes"/>
    <s v="No"/>
    <m/>
    <m/>
    <s v="No"/>
    <s v="No"/>
    <s v="1 L of packaged liquid milk ready to be delivered from dairy to retail"/>
    <s v="1L = .001cubic meters; milk density = 1035 kg/cubic meter"/>
    <s v=""/>
    <s v=""/>
    <n v="0.81159420289855078"/>
    <s v=""/>
    <m/>
    <m/>
    <m/>
    <m/>
    <m/>
    <m/>
    <m/>
    <m/>
    <m/>
    <m/>
    <n v="6"/>
    <s v="BUWAL250 (1996)"/>
    <m/>
    <m/>
    <m/>
    <m/>
    <m/>
    <m/>
    <m/>
    <m/>
    <m/>
    <m/>
    <n v="0.81159420289855078"/>
    <n v="1.0144927536231885"/>
    <m/>
    <s v="IPCC (2001)"/>
  </r>
  <r>
    <x v="2"/>
    <x v="2"/>
    <s v="Fresh or Not Specified"/>
    <s v="Organic"/>
    <s v="No"/>
    <s v="Denmark"/>
    <n v="2013"/>
    <s v="Nicolaj Ingemann Nielsen a; Malene Jørgensen b; Inger Knude Rasmussen b"/>
    <s v="AgroTech A/S, Institute for Agri Technology and Food Innovation, Agro Food Park 15, 8200 Aarhus N, Denmark; Knowledge Centre for Agriculture, Poultry, Agro Food Park 15, 8200 Aarhus N, Denmark."/>
    <s v="NGO Report"/>
    <s v="Nielsen, N., Jørgensen, M. and Rasmussen, I., Greenhouse Gas Emissions from Danish Organic Egg Production estimated via LCA Methodology. 2013, 1-27."/>
    <s v="Yes"/>
    <s v="No"/>
    <s v="No"/>
    <s v="No"/>
    <s v="No"/>
    <s v="No"/>
    <s v="No"/>
    <s v="No"/>
    <s v="No"/>
    <s v="No"/>
    <s v="No"/>
    <s v="No"/>
    <m/>
    <s v="Combination of aloc and conseq approach. manure produced used to offset manure earlier in LC"/>
    <s v="No"/>
    <s v="No"/>
    <s v="1 kg eggs at farm gate"/>
    <m/>
    <s v=""/>
    <s v=""/>
    <n v="1.8"/>
    <s v=""/>
    <m/>
    <m/>
    <m/>
    <m/>
    <m/>
    <m/>
    <m/>
    <m/>
    <m/>
    <m/>
    <m/>
    <m/>
    <m/>
    <m/>
    <m/>
    <m/>
    <m/>
    <m/>
    <m/>
    <m/>
    <m/>
    <m/>
    <n v="1.8"/>
    <m/>
    <s v="1.34 to 1.86"/>
    <s v="IPPC, 2007, 100 year"/>
  </r>
  <r>
    <x v="0"/>
    <x v="0"/>
    <s v="Fresh or Not Specified"/>
    <s v="Liquid milk generated at alpine farms in Italy"/>
    <s v="No"/>
    <s v="Italy"/>
    <n v="2013"/>
    <s v="Chiara A. Penati; Alberto Tamburini, Luciana Bava; Maddalena Zucali; Anna Sandrucci"/>
    <s v="Dipartimento di Scienze Agrarie e Ambientali, Università di Milano, Italy"/>
    <s v="Peer Reviewed Journal"/>
    <s v="Penati, C. A., Tamburini, A., Bava, L., Zucali, M. and Milano, U., Environmental impact of cow milk production in the central Italian Alps using Life Cycle Assessment. Italian Journal of Animal Science 2013, 12 (96), 584-592."/>
    <s v="Yes"/>
    <s v="Yes"/>
    <s v="Yes"/>
    <s v="No"/>
    <s v="No"/>
    <s v="No"/>
    <s v="No"/>
    <s v="No"/>
    <s v="No"/>
    <s v="No"/>
    <s v="No"/>
    <s v="No"/>
    <m/>
    <s v="Cradle-to-farm gate; processes and transport of feed to farm"/>
    <s v="No"/>
    <s v="No"/>
    <s v="1 kg of fat protein corrected milk (FPCM, 4.0% of fat content and 3.2% of protein content)"/>
    <s v="N/A"/>
    <s v=""/>
    <s v=""/>
    <n v="1.1399999999999999"/>
    <s v=""/>
    <m/>
    <m/>
    <m/>
    <m/>
    <m/>
    <m/>
    <m/>
    <m/>
    <m/>
    <m/>
    <m/>
    <m/>
    <m/>
    <m/>
    <m/>
    <m/>
    <m/>
    <m/>
    <m/>
    <m/>
    <m/>
    <m/>
    <n v="1.1399999999999999"/>
    <m/>
    <m/>
    <s v="IPCC, 2007"/>
  </r>
  <r>
    <x v="0"/>
    <x v="4"/>
    <s v="Fresh or Not Specified"/>
    <s v="USA Cheddar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cheddar cheese consumed, dry weight basis"/>
    <s v="Divide study numbers by 1000, adjusted to 63.2% solids for as sold cheese"/>
    <n v="23.567"/>
    <n v="33.106000000000002"/>
    <n v="6.28"/>
    <n v="7.0293999999999999"/>
    <n v="23.57"/>
    <n v="0.878"/>
    <n v="8.6579999999999995"/>
    <n v="1.226"/>
    <n v="3.0529999999999999"/>
    <n v="4.7270000000000003"/>
    <n v="6.38"/>
    <m/>
    <m/>
    <n v="23.567"/>
    <n v="48.47"/>
    <m/>
    <s v="Less than 1.5% difference"/>
    <n v="6.28"/>
    <n v="6.1400000000000003E-2"/>
    <n v="0.68799999999999994"/>
    <n v="7.8E-2"/>
    <n v="0.21360000000000001"/>
    <n v="0.63800000000000001"/>
    <n v="0.5302"/>
    <m/>
    <m/>
    <n v="6.28"/>
    <n v="8.4700000000000006"/>
    <s v="CV=18.8%"/>
    <s v="IPCC, 2007"/>
  </r>
  <r>
    <x v="0"/>
    <x v="4"/>
    <s v="Fresh or Not Specified"/>
    <s v="USA Mozzarella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mozzarella cheese consumed, dry weight basis"/>
    <s v="Divide study numbers by 1000, adjusted to 51.4% solids for as sold cheese"/>
    <n v="17.55"/>
    <n v="29.19"/>
    <n v="4.68"/>
    <n v="5.8"/>
    <n v="17.55"/>
    <n v="1.1000000000000001"/>
    <n v="10.54"/>
    <n v="1.56"/>
    <n v="3.48"/>
    <n v="4.72"/>
    <n v="6.37"/>
    <m/>
    <m/>
    <n v="17.55"/>
    <n v="45.39"/>
    <m/>
    <s v="Less than 0.3% difference"/>
    <n v="4.68"/>
    <n v="0.08"/>
    <n v="1.04"/>
    <n v="0.11"/>
    <n v="0.24"/>
    <n v="0.64"/>
    <n v="0.53"/>
    <m/>
    <m/>
    <n v="4.68"/>
    <n v="7.3"/>
    <s v="CV=17%"/>
    <s v="IPCC, 2007"/>
  </r>
  <r>
    <x v="2"/>
    <x v="2"/>
    <s v="Fresh or Not Specified"/>
    <s v="aggregate eggs - 38% cage, 6% organic, 54% free range"/>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2009, 1-97."/>
    <s v="Yes"/>
    <s v="No"/>
    <s v="No"/>
    <s v="No"/>
    <s v="No"/>
    <s v="No"/>
    <s v="No"/>
    <s v="No"/>
    <s v="No"/>
    <s v="No"/>
    <s v="No"/>
    <s v="No"/>
    <m/>
    <s v="GHG during production - feed and manure"/>
    <s v="No"/>
    <s v="Yes"/>
    <s v="1 kg egg at farm gate"/>
    <m/>
    <s v=""/>
    <s v=""/>
    <n v="1.42"/>
    <s v=""/>
    <m/>
    <m/>
    <m/>
    <m/>
    <m/>
    <m/>
    <m/>
    <m/>
    <m/>
    <m/>
    <m/>
    <m/>
    <m/>
    <m/>
    <m/>
    <m/>
    <m/>
    <m/>
    <m/>
    <m/>
    <m/>
    <m/>
    <n v="1.42"/>
    <m/>
    <m/>
    <s v="IPCC 2006"/>
  </r>
  <r>
    <x v="2"/>
    <x v="2"/>
    <s v="Fresh or Not Specified"/>
    <s v="Free range egg production"/>
    <s v="No"/>
    <s v="UK"/>
    <n v="2014"/>
    <s v="R. C. Taylor (a); H. Omed (b); and G. Edwards-Jones (b)"/>
    <s v="(a) British Trust for Ornithology, The Nunnery, Thetford, Norfolk; (b) School of the Environment, Natural Resources and Geography, Bangor University, Bangor, Wales, UK"/>
    <s v="Peer Reviewed Journal"/>
    <s v="Taylor, R. C., Omed, H. and Edwards-Jones, G., The greenhouse emissions footprint of free-range eggs. Poultry science 2014, 93 (1), 231-7."/>
    <s v="Yes"/>
    <s v="No"/>
    <s v="No"/>
    <s v="No"/>
    <s v="Yes"/>
    <s v="No"/>
    <s v="No"/>
    <s v="No"/>
    <s v="No"/>
    <s v="No"/>
    <s v="No"/>
    <s v="No"/>
    <m/>
    <s v="Including packaging, mixed farming methods"/>
    <s v="No"/>
    <s v="Yes"/>
    <s v="I kg egg"/>
    <m/>
    <s v=""/>
    <s v=""/>
    <n v="1.6"/>
    <s v=""/>
    <m/>
    <m/>
    <m/>
    <m/>
    <m/>
    <m/>
    <m/>
    <m/>
    <m/>
    <m/>
    <m/>
    <m/>
    <m/>
    <m/>
    <m/>
    <m/>
    <m/>
    <m/>
    <m/>
    <m/>
    <m/>
    <m/>
    <n v="1.6"/>
    <m/>
    <m/>
    <s v="IPCC, 2006"/>
  </r>
  <r>
    <x v="0"/>
    <x v="4"/>
    <s v="Fresh or Not Specified"/>
    <s v="Semi-Cured Gouda Cheese"/>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incineratino of spoilage/waste"/>
    <s v="Yes"/>
    <s v="No"/>
    <s v="1 kg packaged cheese"/>
    <m/>
    <s v=""/>
    <s v=""/>
    <n v="7.56"/>
    <s v=""/>
    <m/>
    <m/>
    <m/>
    <m/>
    <m/>
    <m/>
    <m/>
    <m/>
    <m/>
    <m/>
    <m/>
    <m/>
    <m/>
    <m/>
    <m/>
    <m/>
    <m/>
    <m/>
    <m/>
    <m/>
    <m/>
    <m/>
    <n v="7.56"/>
    <n v="8.67"/>
    <s v="CV=14.3%"/>
    <s v="IPCC, 2006"/>
  </r>
  <r>
    <x v="0"/>
    <x v="0"/>
    <s v="Fresh or Not Specified"/>
    <s v="Semi-Skim Milk"/>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spoilage/waste treatment"/>
    <s v="Yes"/>
    <s v="No"/>
    <s v="1 kg packaged semi-skimmed pasteurized milk"/>
    <m/>
    <s v=""/>
    <s v=""/>
    <n v="0.84"/>
    <s v=""/>
    <m/>
    <m/>
    <m/>
    <m/>
    <m/>
    <m/>
    <m/>
    <m/>
    <m/>
    <m/>
    <m/>
    <m/>
    <m/>
    <m/>
    <m/>
    <m/>
    <m/>
    <m/>
    <m/>
    <m/>
    <m/>
    <m/>
    <n v="0.84"/>
    <n v="1.1200000000000001"/>
    <s v="CV=11.7%"/>
    <s v="IPCC, 2005"/>
  </r>
  <r>
    <x v="0"/>
    <x v="4"/>
    <s v="Fresh or Not Specified"/>
    <s v="Semi-Hard Cheese"/>
    <s v="No"/>
    <s v="Sweden"/>
    <n v="2002"/>
    <s v="Johanna Berlin"/>
    <s v="Environmental Systems Analysis, Chalmers University of Technology, SE-412 96 Goeteborg, Sweden; SIK AB, The Swedish Institute for Food and Biotechnology, P.O. Box 5401, SE-402 29 Goeteborg, Sweden"/>
    <s v="Peer Reviewed Journal"/>
    <s v="Berlin, J., Environmental life cycle assessment (LCA) of Swedish semi-hard cheese. International Dairy Journal 2002, 12, 939-953."/>
    <s v="Yes"/>
    <s v="No"/>
    <s v="Yes"/>
    <s v="Yes"/>
    <s v="Yes"/>
    <s v="Yes"/>
    <s v="Yes"/>
    <s v="Yes"/>
    <s v="Yes"/>
    <s v="No"/>
    <s v="Yes"/>
    <s v="No"/>
    <m/>
    <s v="Cradle-to-grave/waste disposal"/>
    <s v="Yes"/>
    <s v="No"/>
    <s v="1 kg of Angsgarden cheese wrapped in plastic"/>
    <m/>
    <s v=""/>
    <s v=""/>
    <n v="8.3000000000000007"/>
    <s v=""/>
    <m/>
    <m/>
    <m/>
    <m/>
    <m/>
    <m/>
    <m/>
    <m/>
    <m/>
    <m/>
    <n v="49.1"/>
    <m/>
    <m/>
    <m/>
    <m/>
    <m/>
    <m/>
    <m/>
    <m/>
    <m/>
    <m/>
    <m/>
    <n v="8.3000000000000007"/>
    <n v="8.7940000000000005"/>
    <m/>
    <s v="IPCC, 1995"/>
  </r>
  <r>
    <x v="0"/>
    <x v="0"/>
    <s v="Fresh or Not Specified"/>
    <s v="Pasturized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46"/>
    <m/>
    <m/>
  </r>
  <r>
    <x v="0"/>
    <x v="0"/>
    <s v="Fresh or Not Specified"/>
    <s v="Ultra High Temperature (UHT)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31"/>
    <m/>
    <m/>
  </r>
  <r>
    <x v="0"/>
    <x v="5"/>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249999999999999"/>
    <m/>
    <m/>
  </r>
  <r>
    <x v="0"/>
    <x v="6"/>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4.0250000000000004"/>
    <m/>
    <m/>
  </r>
  <r>
    <x v="0"/>
    <x v="7"/>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995000000000001"/>
    <m/>
    <m/>
  </r>
  <r>
    <x v="0"/>
    <x v="4"/>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8.1"/>
    <m/>
    <m/>
  </r>
  <r>
    <x v="2"/>
    <x v="2"/>
    <s v="Other (Specify)"/>
    <s v="Processed - liquid egg"/>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s v="transport supply chains talk only about best and worst case observed in their data"/>
    <s v="No"/>
    <s v="Yes"/>
    <s v="I tonne egg at facility gate"/>
    <s v="*1/1000"/>
    <s v=""/>
    <s v=""/>
    <n v="5.8680000000000003"/>
    <n v="5.9710000000000001"/>
    <m/>
    <m/>
    <m/>
    <m/>
    <m/>
    <m/>
    <m/>
    <m/>
    <m/>
    <m/>
    <m/>
    <m/>
    <m/>
    <n v="5.8680000000000003"/>
    <m/>
    <n v="0.10299999999999976"/>
    <m/>
    <m/>
    <m/>
    <m/>
    <m/>
    <m/>
    <n v="5.8680000000000003"/>
    <n v="5.98"/>
    <s v="7.48 to 4.9"/>
    <s v="ISO 14044, IPCC 2006"/>
  </r>
  <r>
    <x v="2"/>
    <x v="2"/>
    <s v="Other (Specify)"/>
    <s v="Shell egg processed"/>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m/>
    <s v="No"/>
    <s v="Yes"/>
    <s v="I tonne egg at facility gate"/>
    <s v="*1/1000"/>
    <s v=""/>
    <s v=""/>
    <n v="5.0199999999999996"/>
    <n v="5.1013200000000003"/>
    <m/>
    <m/>
    <m/>
    <m/>
    <m/>
    <m/>
    <m/>
    <m/>
    <m/>
    <m/>
    <m/>
    <m/>
    <m/>
    <n v="5.0199999999999996"/>
    <m/>
    <n v="8.1320000000000475E-2"/>
    <n v="9.5680000000000001E-2"/>
    <m/>
    <m/>
    <m/>
    <m/>
    <m/>
    <n v="5.0199999999999996"/>
    <n v="5.19"/>
    <s v="6.45 to 4.32"/>
    <s v="ISO 14044, IPCC 2006"/>
  </r>
  <r>
    <x v="2"/>
    <x v="2"/>
    <s v="Fresh or Not Specified"/>
    <s v="Average egg production"/>
    <s v="No"/>
    <s v="USA"/>
    <n v="2014"/>
    <s v="Nathan Pelletier (a); Maro Ibarburu (b); and Hongwei Xin (b)"/>
    <s v="(a) Global Ecologic Environmental Consulting and Management Services, Canada; (b) Egg Industry Center, Iowa State University, USA"/>
    <s v="Peer Reviewed Journal"/>
    <s v="Pelletier, N., Ibarburu, M. and Xin, H., Comparison of the environmental footprint of the egg industry in the United States in 1960 and 2010. Poultry science 2014, 93 (2), 241-55."/>
    <s v="Yes"/>
    <s v="No"/>
    <s v="No"/>
    <s v="No"/>
    <s v="No"/>
    <s v="No"/>
    <s v="No"/>
    <s v="No"/>
    <s v="No"/>
    <s v="No"/>
    <s v="No"/>
    <s v="No"/>
    <m/>
    <s v="Egg 'production' alone - assumed farm gate"/>
    <s v="No"/>
    <s v="Yes"/>
    <s v="1 metric ton eggs"/>
    <s v="*1/1000"/>
    <s v=""/>
    <s v=""/>
    <n v="2.08"/>
    <s v=""/>
    <m/>
    <m/>
    <m/>
    <m/>
    <m/>
    <m/>
    <m/>
    <m/>
    <m/>
    <m/>
    <m/>
    <s v="EcoInvent 2010"/>
    <m/>
    <m/>
    <m/>
    <m/>
    <m/>
    <m/>
    <m/>
    <m/>
    <m/>
    <m/>
    <n v="2.08"/>
    <m/>
    <m/>
    <s v="ISO 14044, IPCC 2006"/>
  </r>
  <r>
    <x v="3"/>
    <x v="8"/>
    <s v="Other (Specify)"/>
    <s v="Tomato Sauce - tomatoes processed in France"/>
    <s v="Yes"/>
    <s v="France"/>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5.0999999999999997E-2"/>
    <n v="2.3714"/>
    <m/>
    <m/>
    <m/>
    <m/>
    <m/>
    <m/>
    <m/>
    <m/>
    <m/>
    <m/>
    <m/>
    <m/>
    <m/>
    <n v="5.11E-2"/>
    <n v="6.3E-3"/>
    <n v="2.3140000000000001"/>
    <m/>
    <n v="0.12189999999999999"/>
    <n v="2.2100000000000002E-2"/>
    <n v="0.18"/>
    <m/>
    <m/>
    <n v="5.0999999999999997E-2"/>
    <n v="2.6987000000000001"/>
    <m/>
    <s v="Ecoinvent (V2) database"/>
  </r>
  <r>
    <x v="3"/>
    <x v="8"/>
    <s v="Other (Specify)"/>
    <s v="Tomato Sauce - tomatoes processed in France"/>
    <s v="Yes"/>
    <s v="Turkey"/>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8.2299999999999998E-2"/>
    <n v="2.7309999999999999"/>
    <m/>
    <m/>
    <m/>
    <m/>
    <m/>
    <m/>
    <m/>
    <m/>
    <m/>
    <m/>
    <m/>
    <m/>
    <m/>
    <n v="8.2299999999999998E-2"/>
    <n v="2.5899999999999999E-2"/>
    <n v="2.6227999999999998"/>
    <m/>
    <n v="0.12189999999999999"/>
    <n v="2.2100000000000002E-2"/>
    <n v="0.18"/>
    <m/>
    <m/>
    <n v="8.2299999999999998E-2"/>
    <n v="3.06"/>
    <m/>
    <s v="Ecoinvent (V2) database"/>
  </r>
  <r>
    <x v="3"/>
    <x v="8"/>
    <s v="Other (Specify)"/>
    <s v="Tomato puree"/>
    <s v="No"/>
    <s v="Italy"/>
    <n v="2013"/>
    <s v="Michele Manfredi (a); Giuseppe Vignali (a)"/>
    <s v="(a) Department of Industrial Engineering, University of Parma, Viale delle Scienze 181/A, 43124, Parma –Italy"/>
    <s v="Peer Reviewed Journal"/>
    <s v="Manfredi, M. and Vignali, G., Life cycle assessment of a packaged tomato puree: a comparison of environmental impacts produced by different life cycle phases. Journal of Cleaner Production 2014, 73, 275-284."/>
    <s v="Yes"/>
    <s v="No"/>
    <s v="Yes"/>
    <s v="Yes"/>
    <s v="Yes"/>
    <s v="Yes"/>
    <s v="No"/>
    <s v="No"/>
    <s v="No"/>
    <s v="No"/>
    <s v="No"/>
    <s v="No"/>
    <s v="Disposal of packaging"/>
    <s v="From ag.prod. to retail, with 5.5% (avg 4-7) of transport attributed to cultivation "/>
    <s v="No"/>
    <s v="Yes"/>
    <s v="700g packaged tomatoes"/>
    <s v="/0.7"/>
    <n v="1.34"/>
    <n v="3.9000000000000004"/>
    <n v="0.25857142857142856"/>
    <n v="0.41285714285714287"/>
    <n v="1.342857142857143"/>
    <m/>
    <n v="2.5571428571428574"/>
    <n v="7.3857142857142861"/>
    <n v="2.5142857142857147"/>
    <m/>
    <m/>
    <m/>
    <m/>
    <n v="1.34"/>
    <n v="13.785714285714286"/>
    <s v="Ecoinvent V2.2"/>
    <m/>
    <n v="0.25857142857142856"/>
    <m/>
    <n v="0.1542857142857143"/>
    <n v="0.39142857142857146"/>
    <n v="0.15857142857142859"/>
    <m/>
    <m/>
    <m/>
    <m/>
    <n v="0.25857142857142856"/>
    <n v="0.96285714285714297"/>
    <m/>
    <s v="(ISO 14040, 2006)"/>
  </r>
  <r>
    <x v="0"/>
    <x v="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5.3"/>
    <m/>
    <m/>
  </r>
  <r>
    <x v="0"/>
    <x v="9"/>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8"/>
    <m/>
    <m/>
  </r>
  <r>
    <x v="0"/>
    <x v="6"/>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m/>
    <m/>
  </r>
  <r>
    <x v="0"/>
    <x v="1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5"/>
    <m/>
    <m/>
  </r>
  <r>
    <x v="0"/>
    <x v="5"/>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1.2635000000000001"/>
    <n v="1.57325"/>
    <m/>
    <m/>
    <m/>
    <m/>
    <m/>
    <m/>
    <m/>
    <m/>
    <m/>
    <m/>
    <m/>
    <m/>
    <m/>
    <n v="1.2635000000000001"/>
    <n v="1.575E-2"/>
    <n v="0.29400000000000004"/>
    <n v="0.17675000000000002"/>
    <m/>
    <m/>
    <m/>
    <m/>
    <m/>
    <n v="1.2635000000000001"/>
    <n v="1.75"/>
    <m/>
    <s v="Includes packaging in polystyrene tubs (4 x 125 g)"/>
  </r>
  <r>
    <x v="0"/>
    <x v="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0.86899999999999999"/>
    <n v="0.94399999999999995"/>
    <m/>
    <m/>
    <m/>
    <m/>
    <m/>
    <m/>
    <m/>
    <m/>
    <m/>
    <m/>
    <m/>
    <m/>
    <m/>
    <n v="0.86899999999999999"/>
    <n v="0.01"/>
    <n v="6.5000000000000002E-2"/>
    <n v="5.5E-2"/>
    <m/>
    <m/>
    <m/>
    <m/>
    <m/>
    <n v="0.86899999999999999"/>
    <n v="1"/>
    <m/>
    <s v="Includes packaging in polycoated carton (0.5gal)"/>
  </r>
  <r>
    <x v="0"/>
    <x v="11"/>
    <s v="Fresh or Not Specified"/>
    <s v="Buttermilk, 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1000000000000001"/>
    <m/>
    <m/>
  </r>
  <r>
    <x v="0"/>
    <x v="12"/>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m/>
    <m/>
  </r>
  <r>
    <x v="0"/>
    <x v="13"/>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0.1"/>
    <m/>
    <m/>
  </r>
  <r>
    <x v="0"/>
    <x v="1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3.1"/>
    <m/>
    <m/>
  </r>
  <r>
    <x v="0"/>
    <x v="7"/>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7.3"/>
    <m/>
    <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4.5528000000000004"/>
    <n v="7.6028000000000002"/>
    <n v="0.38"/>
    <n v="0.56830000000000003"/>
    <n v="4.5528000000000004"/>
    <m/>
    <n v="3.05"/>
    <n v="7.9802"/>
    <m/>
    <m/>
    <m/>
    <m/>
    <m/>
    <n v="4.5528000000000004"/>
    <n v="15.583"/>
    <s v="International EPD System"/>
    <m/>
    <n v="0.38"/>
    <m/>
    <n v="0.1883"/>
    <n v="0.4985"/>
    <m/>
    <m/>
    <m/>
    <m/>
    <m/>
    <n v="0.38"/>
    <n v="1.0649"/>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50 g"/>
    <s v="Yes"/>
    <s v="Yes"/>
    <s v="1 kg of packaged product"/>
    <s v="N/A"/>
    <n v="7.1342999999999996"/>
    <n v="12.2843"/>
    <n v="0.59240000000000004"/>
    <n v="0.93830000000000002"/>
    <n v="7.1342999999999996"/>
    <m/>
    <n v="5.15"/>
    <n v="11.0403"/>
    <m/>
    <m/>
    <m/>
    <m/>
    <m/>
    <n v="7.1342999999999996"/>
    <n v="23.3247"/>
    <s v="International EPD System"/>
    <m/>
    <n v="0.59240000000000004"/>
    <m/>
    <n v="0.34589999999999999"/>
    <n v="0.69240000000000002"/>
    <m/>
    <m/>
    <m/>
    <m/>
    <m/>
    <n v="0.59240000000000004"/>
    <n v="1.6307"/>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5640000000000001"/>
    <n v="11.944099999999999"/>
    <n v="0.54469999999999996"/>
    <n v="0.87399999999999989"/>
    <n v="6.5640000000000001"/>
    <m/>
    <n v="5.3800999999999997"/>
    <n v="8.2302"/>
    <m/>
    <m/>
    <m/>
    <m/>
    <m/>
    <n v="6.5640000000000001"/>
    <n v="20.164300000000001"/>
    <s v="International EPD System"/>
    <m/>
    <n v="0.54469999999999996"/>
    <m/>
    <n v="0.32929999999999998"/>
    <n v="0.50719999999999998"/>
    <m/>
    <m/>
    <m/>
    <m/>
    <m/>
    <n v="0.54469999999999996"/>
    <n v="1.3813"/>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7039999999999997"/>
    <n v="11.674200000000001"/>
    <n v="0.55649999999999999"/>
    <n v="0.8609"/>
    <n v="6.7041000000000004"/>
    <m/>
    <n v="4.9701000000000004"/>
    <n v="7.8301999999999996"/>
    <m/>
    <m/>
    <m/>
    <m/>
    <m/>
    <n v="6.7039999999999997"/>
    <n v="19.5044"/>
    <s v="International EPD System"/>
    <m/>
    <n v="0.55649999999999999"/>
    <m/>
    <n v="0.3044"/>
    <n v="0.49070000000000003"/>
    <m/>
    <m/>
    <m/>
    <m/>
    <m/>
    <n v="0.55649999999999999"/>
    <n v="1.3515999999999999"/>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200 g"/>
    <s v="Yes"/>
    <s v="Yes"/>
    <s v="1 kg of packaged product"/>
    <s v="N/A"/>
    <n v="6.6741000000000001"/>
    <n v="11.900141000000001"/>
    <n v="0.55420000000000003"/>
    <n v="0.87519999999999998"/>
    <n v="6.6700410000000003"/>
    <m/>
    <n v="5.2301000000000002"/>
    <n v="2.1800000000000002"/>
    <m/>
    <m/>
    <m/>
    <m/>
    <m/>
    <n v="6.6741000000000001"/>
    <n v="14.084199999999999"/>
    <s v="International EPD System"/>
    <m/>
    <n v="0.55420000000000003"/>
    <m/>
    <n v="0.32100000000000001"/>
    <n v="0.1202"/>
    <m/>
    <m/>
    <m/>
    <m/>
    <m/>
    <n v="0.55420000000000003"/>
    <n v="0.99539999999999995"/>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500 g"/>
    <s v="Yes"/>
    <s v="Yes"/>
    <s v="1 kg of packaged product"/>
    <s v="N/A"/>
    <n v="6.6741000000000001"/>
    <n v="12.460141"/>
    <n v="0.55420000000000003"/>
    <n v="0.90739999999999998"/>
    <n v="6.6700410000000003"/>
    <m/>
    <n v="5.7900999999999998"/>
    <n v="1.79"/>
    <m/>
    <m/>
    <m/>
    <m/>
    <m/>
    <n v="6.6741000000000001"/>
    <n v="14.244199999999999"/>
    <s v="International EPD System"/>
    <m/>
    <n v="0.55420000000000003"/>
    <m/>
    <n v="0.35320000000000001"/>
    <n v="9.7000000000000003E-2"/>
    <m/>
    <m/>
    <m/>
    <m/>
    <m/>
    <n v="0.55420000000000003"/>
    <n v="1.0043"/>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1000 g"/>
    <s v="Yes"/>
    <s v="Yes"/>
    <s v="1 kg of packaged product"/>
    <s v="N/A"/>
    <n v="6.8041"/>
    <n v="12.8842"/>
    <n v="0.56520000000000004"/>
    <n v="0.9355"/>
    <n v="6.8041"/>
    <m/>
    <n v="6.0800999999999998"/>
    <n v="1.78"/>
    <m/>
    <m/>
    <m/>
    <m/>
    <m/>
    <n v="6.8041"/>
    <n v="14.674300000000001"/>
    <s v="International EPD System"/>
    <m/>
    <n v="0.56520000000000004"/>
    <m/>
    <n v="0.37030000000000002"/>
    <n v="0.1007"/>
    <m/>
    <m/>
    <m/>
    <m/>
    <m/>
    <n v="0.56520000000000004"/>
    <n v="1.0362"/>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30 g"/>
    <s v="Yes"/>
    <s v="Yes"/>
    <s v="1 kg of packaged product"/>
    <s v="N/A"/>
    <n v="6.6340000000000003"/>
    <n v="11.824000000000002"/>
    <n v="0.55049999999999999"/>
    <n v="0.86030000000000006"/>
    <n v="6.6340000000000003"/>
    <m/>
    <n v="5.19"/>
    <n v="12.1203"/>
    <m/>
    <m/>
    <m/>
    <m/>
    <m/>
    <n v="6.6340000000000003"/>
    <n v="23.944400000000002"/>
    <s v="International EPD System"/>
    <m/>
    <n v="0.55049999999999999"/>
    <m/>
    <n v="0.30980000000000002"/>
    <n v="0.74760000000000004"/>
    <m/>
    <m/>
    <m/>
    <m/>
    <m/>
    <n v="0.55049999999999999"/>
    <n v="1.6077999999999999"/>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419999999999999"/>
    <n v="0.67730000000000001"/>
    <n v="5.4733000000000001"/>
    <m/>
    <n v="3.6800999999999999"/>
    <n v="12.2705"/>
    <m/>
    <m/>
    <m/>
    <m/>
    <m/>
    <n v="5.4733000000000001"/>
    <n v="21.4239"/>
    <s v="International EPD System"/>
    <m/>
    <n v="0.45419999999999999"/>
    <m/>
    <n v="0.22309999999999999"/>
    <n v="0.82540000000000002"/>
    <m/>
    <m/>
    <m/>
    <m/>
    <m/>
    <n v="0.45419999999999999"/>
    <n v="1.5025999999999999"/>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51"/>
    <n v="0.67820000000000003"/>
    <n v="5.4733000000000001"/>
    <m/>
    <n v="3.6800999999999999"/>
    <n v="12.2005"/>
    <m/>
    <m/>
    <m/>
    <m/>
    <m/>
    <n v="5.4733000000000001"/>
    <n v="21.353899999999999"/>
    <s v="International EPD System"/>
    <m/>
    <n v="0.4551"/>
    <m/>
    <n v="0.22309999999999999"/>
    <n v="0.82650000000000001"/>
    <m/>
    <m/>
    <m/>
    <m/>
    <m/>
    <n v="0.4551"/>
    <n v="1.5038"/>
    <m/>
    <s v="International EPD System"/>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39999999999997"/>
    <n v="4.883"/>
    <m/>
    <n v="3.46"/>
    <n v="10.1904"/>
    <m/>
    <m/>
    <m/>
    <m/>
    <m/>
    <n v="4.883"/>
    <n v="18.5334"/>
    <s v="International EPD System"/>
    <m/>
    <n v="0.4052"/>
    <m/>
    <n v="0.2412"/>
    <n v="0.68320000000000003"/>
    <m/>
    <m/>
    <m/>
    <m/>
    <m/>
    <n v="0.4052"/>
    <n v="1.3295999999999999"/>
    <m/>
    <s v="International EPD System"/>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70000000000005"/>
    <n v="4.883"/>
    <m/>
    <n v="3.46"/>
    <n v="10.010400000000001"/>
    <m/>
    <m/>
    <m/>
    <m/>
    <m/>
    <n v="4.883"/>
    <n v="18.353400000000001"/>
    <s v="International EPD System"/>
    <m/>
    <n v="0.4052"/>
    <m/>
    <n v="0.24149999999999999"/>
    <n v="0.6855"/>
    <m/>
    <m/>
    <m/>
    <m/>
    <m/>
    <n v="0.4052"/>
    <n v="1.3321000000000001"/>
    <m/>
    <s v="International EPD System"/>
  </r>
  <r>
    <x v="3"/>
    <x v="16"/>
    <s v="Canned"/>
    <s v="Peeled tomato"/>
    <s v="No"/>
    <s v="Italy"/>
    <n v="2015"/>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800 g"/>
    <s v="Yes"/>
    <s v="Yes"/>
    <s v="1 kg of packaged product"/>
    <s v="N/A"/>
    <n v="5.2831999999999999"/>
    <n v="8.5332000000000008"/>
    <n v="0.43869999999999998"/>
    <n v="0.66649999999999998"/>
    <n v="5.2831999999999999"/>
    <m/>
    <n v="3.25"/>
    <n v="8.6203000000000003"/>
    <m/>
    <m/>
    <m/>
    <m/>
    <m/>
    <n v="5.2831999999999999"/>
    <n v="17.153600000000001"/>
    <s v="International EPD System"/>
    <m/>
    <n v="0.43869999999999998"/>
    <m/>
    <n v="0.2278"/>
    <n v="0.56910000000000005"/>
    <m/>
    <m/>
    <m/>
    <m/>
    <m/>
    <n v="0.43869999999999998"/>
    <n v="1.2357"/>
    <m/>
    <s v="International EPD System"/>
  </r>
  <r>
    <x v="3"/>
    <x v="17"/>
    <s v="Canned"/>
    <s v="Paste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19.600000000000001"/>
    <s v="Interviews and published data"/>
    <m/>
    <m/>
    <m/>
    <m/>
    <m/>
    <m/>
    <m/>
    <m/>
    <m/>
    <m/>
    <m/>
    <n v="1.5"/>
    <m/>
    <s v="Ecoinvent 2008, IPCC 2006"/>
  </r>
  <r>
    <x v="3"/>
    <x v="15"/>
    <s v="Canned"/>
    <s v="Diced tomato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9.36"/>
    <s v="Interviews and published data"/>
    <m/>
    <m/>
    <m/>
    <m/>
    <m/>
    <m/>
    <m/>
    <m/>
    <m/>
    <m/>
    <m/>
    <n v="0.71099999999999997"/>
    <m/>
    <s v="Ecoinvent 2008, IPCC 2006"/>
  </r>
  <r>
    <x v="3"/>
    <x v="17"/>
    <s v="Canned"/>
    <s v="Paste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20.399999999999999"/>
    <s v="Interviews and published data"/>
    <m/>
    <m/>
    <m/>
    <m/>
    <m/>
    <m/>
    <m/>
    <m/>
    <m/>
    <m/>
    <m/>
    <n v="1.43"/>
    <m/>
    <s v="Ecoinvent 2008, IPCC 2006"/>
  </r>
  <r>
    <x v="3"/>
    <x v="15"/>
    <s v="Canned"/>
    <s v="Diced tomato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11"/>
    <s v="Interviews and published data"/>
    <m/>
    <m/>
    <m/>
    <m/>
    <m/>
    <m/>
    <m/>
    <m/>
    <m/>
    <m/>
    <m/>
    <n v="0.76500000000000001"/>
    <m/>
    <s v="Ecoinvent 2008, IPCC 2006"/>
  </r>
  <r>
    <x v="3"/>
    <x v="18"/>
    <s v="Fresh or Not Specified"/>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1.2849999999999999"/>
    <n v="1.2919999999999998"/>
    <m/>
    <m/>
    <m/>
    <m/>
    <m/>
    <m/>
    <m/>
    <m/>
    <m/>
    <m/>
    <m/>
    <m/>
    <m/>
    <n v="1.2849999999999999"/>
    <n v="7.0000000000000001E-3"/>
    <m/>
    <n v="7.0999999999999994E-2"/>
    <m/>
    <m/>
    <m/>
    <m/>
    <m/>
    <n v="1.2849999999999999"/>
    <n v="1.367"/>
    <m/>
    <s v="IPCC 2006, 100 years"/>
  </r>
  <r>
    <x v="3"/>
    <x v="19"/>
    <s v="Fresh or Not Specified"/>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2.1000000000000001E-2"/>
    <s v=""/>
    <m/>
    <m/>
    <m/>
    <m/>
    <m/>
    <m/>
    <m/>
    <m/>
    <m/>
    <m/>
    <m/>
    <m/>
    <m/>
    <m/>
    <m/>
    <m/>
    <m/>
    <m/>
    <m/>
    <m/>
    <m/>
    <m/>
    <n v="2.1000000000000001E-2"/>
    <n v="0.109"/>
    <m/>
    <s v="IPCC 2006, 100 years"/>
  </r>
  <r>
    <x v="3"/>
    <x v="19"/>
    <s v="Fresh or Not Specified"/>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0.29299999999999998"/>
    <s v=""/>
    <m/>
    <m/>
    <m/>
    <m/>
    <m/>
    <m/>
    <m/>
    <m/>
    <m/>
    <m/>
    <m/>
    <m/>
    <m/>
    <m/>
    <m/>
    <m/>
    <m/>
    <m/>
    <m/>
    <m/>
    <m/>
    <m/>
    <n v="0.29299999999999998"/>
    <n v="0.60899999999999999"/>
    <m/>
    <s v="IPCC 2006, 100 years"/>
  </r>
  <r>
    <x v="3"/>
    <x v="19"/>
    <s v="Fresh or Not Specifi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loose tomatoes"/>
    <s v="N/A"/>
    <s v=""/>
    <s v=""/>
    <n v="8.5999999999999993E-2"/>
    <s v=""/>
    <m/>
    <m/>
    <m/>
    <m/>
    <m/>
    <m/>
    <m/>
    <m/>
    <m/>
    <m/>
    <m/>
    <m/>
    <m/>
    <m/>
    <m/>
    <m/>
    <m/>
    <m/>
    <m/>
    <m/>
    <m/>
    <m/>
    <n v="8.5999999999999993E-2"/>
    <n v="0.28100000000000003"/>
    <m/>
    <s v="IPCC 2006, 100 years"/>
  </r>
  <r>
    <x v="3"/>
    <x v="18"/>
    <s v="Other (Specify)"/>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s v=""/>
    <s v=""/>
    <m/>
    <m/>
    <m/>
    <m/>
    <m/>
    <m/>
    <m/>
    <m/>
    <m/>
    <m/>
    <m/>
    <m/>
    <m/>
    <m/>
    <m/>
    <m/>
    <m/>
    <m/>
    <m/>
    <m/>
    <m/>
    <m/>
    <m/>
    <n v="1.367"/>
    <m/>
    <s v="IPCC 2006, 100 years"/>
  </r>
  <r>
    <x v="3"/>
    <x v="19"/>
    <s v="Other (Specify)"/>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2.1000000000000001E-2"/>
    <n v="0.10600000000000001"/>
    <m/>
    <m/>
    <m/>
    <m/>
    <m/>
    <m/>
    <m/>
    <m/>
    <m/>
    <m/>
    <m/>
    <m/>
    <m/>
    <n v="2.1000000000000001E-2"/>
    <n v="8.5000000000000006E-2"/>
    <m/>
    <n v="7.0999999999999994E-2"/>
    <m/>
    <m/>
    <m/>
    <m/>
    <m/>
    <n v="2.1000000000000001E-2"/>
    <n v="0.18"/>
    <m/>
    <s v="IPCC 2006, 100 years"/>
  </r>
  <r>
    <x v="3"/>
    <x v="19"/>
    <s v="Other (Specify)"/>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0.29299999999999998"/>
    <n v="0.68500000000000005"/>
    <m/>
    <m/>
    <m/>
    <m/>
    <m/>
    <m/>
    <m/>
    <m/>
    <m/>
    <m/>
    <m/>
    <m/>
    <m/>
    <n v="0.29299999999999998"/>
    <n v="0.39200000000000002"/>
    <m/>
    <n v="7.0999999999999994E-2"/>
    <m/>
    <m/>
    <m/>
    <m/>
    <m/>
    <n v="0.29299999999999998"/>
    <n v="0.75900000000000001"/>
    <m/>
    <s v="IPCC 2006, 100 years"/>
  </r>
  <r>
    <x v="3"/>
    <x v="16"/>
    <s v="Cann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processed and packed tomato"/>
    <s v="N/A"/>
    <s v=""/>
    <s v=""/>
    <n v="8.500000000000002E-2"/>
    <n v="0.24200000000000005"/>
    <m/>
    <m/>
    <m/>
    <m/>
    <m/>
    <m/>
    <m/>
    <m/>
    <m/>
    <m/>
    <m/>
    <m/>
    <m/>
    <n v="8.500000000000002E-2"/>
    <n v="1.7999999999999999E-2"/>
    <n v="0.13900000000000001"/>
    <n v="0.44700000000000001"/>
    <n v="0.17799999999999999"/>
    <m/>
    <m/>
    <m/>
    <m/>
    <n v="8.500000000000002E-2"/>
    <n v="0.86799999999999999"/>
    <m/>
    <s v="IPCC 2006, 100 years"/>
  </r>
  <r>
    <x v="4"/>
    <x v="20"/>
    <s v="Fresh or Not Specified"/>
    <s v="Organic grown "/>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249"/>
    <s v=""/>
    <m/>
    <m/>
    <m/>
    <m/>
    <m/>
    <m/>
    <m/>
    <m/>
    <m/>
    <m/>
    <m/>
    <m/>
    <m/>
    <n v="0.249"/>
    <m/>
    <m/>
    <n v="0.08"/>
    <n v="0.62719999999999998"/>
    <n v="6.4000000000000001E-2"/>
    <n v="0.2432"/>
    <m/>
    <m/>
    <n v="0.249"/>
    <n v="1.28"/>
    <n v="2.9000000000000001E-2"/>
    <s v="ISO 14067"/>
  </r>
  <r>
    <x v="4"/>
    <x v="20"/>
    <s v="Fresh or Not Specified"/>
    <s v="Conventional grown"/>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30199999999999999"/>
    <s v=""/>
    <m/>
    <m/>
    <m/>
    <m/>
    <m/>
    <m/>
    <m/>
    <m/>
    <m/>
    <m/>
    <m/>
    <m/>
    <m/>
    <n v="0.30199999999999999"/>
    <m/>
    <m/>
    <n v="0.08"/>
    <n v="0.62719999999999998"/>
    <n v="6.4000000000000001E-2"/>
    <n v="0.2432"/>
    <m/>
    <m/>
    <n v="0.30199999999999999"/>
    <n v="1.28"/>
    <n v="0.1"/>
    <s v="ISO 14068"/>
  </r>
  <r>
    <x v="0"/>
    <x v="0"/>
    <s v="Fresh or Not Specified"/>
    <s v="Liquid Milk"/>
    <s v="No"/>
    <s v="Global"/>
    <n v="2010"/>
    <s v="Pierre Gerber; Theun Vellinga; Klaas Dietze; Alessandra Falcucci; Guya Gianni; Jerome Mounsey; Luigi Maiorano; Carolyn Opio; Daniela Sironi; Olaf Thieme; Viola Weiler"/>
    <s v="Food and Agriculture Organization of the United Nations, Animal Production and Health Division"/>
    <s v="Peer Reviewed Journal"/>
    <s v="Gerber, P., Vellinga, T., Dietze, K., Falcucci, A., Gianni, G., Mounsey, J., Maiorano, L., Opio, C., Sironi, D., Thieme, O. and Weiler, V., Greenhouse gas emissions from the dairy sector: A life cycle assessment. FAO; 2010, 1-96."/>
    <s v="Yes"/>
    <s v="Yes"/>
    <s v="Yes"/>
    <s v="Yes"/>
    <s v="Yes"/>
    <s v="Yes"/>
    <s v="No"/>
    <s v="No"/>
    <s v="No"/>
    <s v="No"/>
    <s v="No"/>
    <s v="No"/>
    <m/>
    <s v="Cradle to Farm Gate; Processing to Retail"/>
    <s v="No"/>
    <s v="No"/>
    <s v="1 kg FPCM"/>
    <s v="N/A"/>
    <s v=""/>
    <s v=""/>
    <s v=""/>
    <s v=""/>
    <m/>
    <m/>
    <m/>
    <m/>
    <m/>
    <m/>
    <m/>
    <m/>
    <m/>
    <m/>
    <m/>
    <m/>
    <m/>
    <m/>
    <m/>
    <m/>
    <m/>
    <m/>
    <m/>
    <m/>
    <m/>
    <m/>
    <m/>
    <n v="2.4"/>
    <s v="1.776 to 3.024"/>
    <s v="IPCC, 2007"/>
  </r>
  <r>
    <x v="0"/>
    <x v="21"/>
    <s v="Fresh or Not Specified"/>
    <s v="Margarine"/>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18.2"/>
    <m/>
    <m/>
    <m/>
    <m/>
    <m/>
    <m/>
    <m/>
    <m/>
    <m/>
    <m/>
    <m/>
    <m/>
    <n v="1.1000000000000001"/>
    <m/>
    <s v="IPCC, 2007"/>
  </r>
  <r>
    <x v="0"/>
    <x v="7"/>
    <s v="Fresh or Not Specified"/>
    <s v="Butter"/>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42"/>
    <m/>
    <m/>
    <m/>
    <m/>
    <m/>
    <m/>
    <m/>
    <m/>
    <m/>
    <m/>
    <m/>
    <m/>
    <n v="9.6"/>
    <m/>
    <s v="IPCC, 2007"/>
  </r>
  <r>
    <x v="0"/>
    <x v="21"/>
    <s v="Fresh or Not Specified"/>
    <s v="Margarine"/>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2"/>
    <m/>
    <m/>
    <m/>
    <m/>
    <m/>
    <m/>
    <m/>
    <m/>
    <m/>
    <m/>
    <m/>
    <m/>
    <n v="1.32"/>
    <m/>
    <s v="IPCC, 2007"/>
  </r>
  <r>
    <x v="0"/>
    <x v="7"/>
    <s v="Fresh or Not Specified"/>
    <s v="Butter"/>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0"/>
    <m/>
    <m/>
    <m/>
    <m/>
    <m/>
    <m/>
    <m/>
    <m/>
    <m/>
    <m/>
    <m/>
    <m/>
    <n v="9"/>
    <m/>
    <s v="IPCC, 2007"/>
  </r>
  <r>
    <x v="0"/>
    <x v="21"/>
    <s v="Fresh or Not Specified"/>
    <s v="Margarine"/>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6"/>
    <m/>
    <m/>
    <m/>
    <m/>
    <m/>
    <m/>
    <m/>
    <m/>
    <m/>
    <m/>
    <m/>
    <m/>
    <n v="1.66"/>
    <m/>
    <s v="IPCC, 2007"/>
  </r>
  <r>
    <x v="0"/>
    <x v="7"/>
    <s v="Fresh or Not Specified"/>
    <s v="Butter"/>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2"/>
    <m/>
    <m/>
    <m/>
    <m/>
    <m/>
    <m/>
    <m/>
    <m/>
    <m/>
    <m/>
    <m/>
    <m/>
    <n v="7.2"/>
    <m/>
    <s v="IPCC, 2007"/>
  </r>
  <r>
    <x v="5"/>
    <x v="22"/>
    <s v="Fresh or Not Specified"/>
    <s v="White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6147683749999999"/>
    <n v="0.93009182499999998"/>
    <m/>
    <m/>
    <m/>
    <m/>
    <m/>
    <m/>
    <m/>
    <m/>
    <m/>
    <m/>
    <m/>
    <m/>
    <m/>
    <n v="0.56147683749999999"/>
    <m/>
    <n v="0.36861498749999999"/>
    <n v="2.4885400000000002E-2"/>
    <n v="6.2057966249999999E-2"/>
    <n v="6.2213500000000005E-2"/>
    <n v="0.40376561500000002"/>
    <n v="7.450066625E-2"/>
    <m/>
    <n v="0.56147683749999999"/>
    <n v="1.5553375"/>
    <m/>
    <s v="PAS-2050 Compliant, IPCC 2006"/>
  </r>
  <r>
    <x v="5"/>
    <x v="22"/>
    <s v="Fresh or Not Specified"/>
    <s v="White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7533104874999996"/>
    <n v="0.94453064875000003"/>
    <m/>
    <m/>
    <m/>
    <m/>
    <m/>
    <m/>
    <m/>
    <m/>
    <m/>
    <m/>
    <m/>
    <m/>
    <m/>
    <n v="0.57533104874999996"/>
    <m/>
    <n v="0.36919960000000002"/>
    <n v="1.4983750000000001E-2"/>
    <n v="6.2587123750000001E-2"/>
    <n v="6.8775412500000008E-2"/>
    <n v="0.35046991249999998"/>
    <n v="6.8775412500000008E-2"/>
    <m/>
    <n v="0.57533104874999996"/>
    <n v="1.498375"/>
    <m/>
    <s v="PAS-2050 Compliant, IPCC 2006"/>
  </r>
  <r>
    <x v="5"/>
    <x v="22"/>
    <s v="Fresh or Not Specified"/>
    <s v="Wholemeal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7740500000001"/>
    <n v="0.83780455500000017"/>
    <m/>
    <m/>
    <m/>
    <m/>
    <m/>
    <m/>
    <m/>
    <m/>
    <m/>
    <m/>
    <m/>
    <m/>
    <m/>
    <n v="0.4567740500000001"/>
    <m/>
    <n v="0.38103050500000007"/>
    <n v="2.5035843500000002E-2"/>
    <n v="5.6316193000000014E-2"/>
    <n v="5.6316193000000014E-2"/>
    <n v="0.40618198750000012"/>
    <n v="6.8805205000000022E-2"/>
    <m/>
    <n v="0.4567740500000001"/>
    <n v="1.4454875000000003"/>
    <m/>
    <s v="PAS-2050 Compliant, IPCC 2006"/>
  </r>
  <r>
    <x v="5"/>
    <x v="22"/>
    <s v="Fresh or Not Specified"/>
    <s v="Wholemeal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80005000000001"/>
    <n v="0.83251461999999998"/>
    <m/>
    <m/>
    <m/>
    <m/>
    <m/>
    <m/>
    <m/>
    <m/>
    <m/>
    <m/>
    <m/>
    <m/>
    <m/>
    <n v="0.45680005000000001"/>
    <m/>
    <n v="0.37571457000000003"/>
    <n v="2.4992099999999996E-2"/>
    <n v="5.6232224999999997E-2"/>
    <n v="5.6232224999999997E-2"/>
    <n v="0.35960855000000003"/>
    <n v="6.2480249999999994E-2"/>
    <m/>
    <n v="0.45680005000000001"/>
    <n v="1.38845"/>
    <m/>
    <s v="PAS-2050 Compliant, IPCC 2006"/>
  </r>
  <r>
    <x v="1"/>
    <x v="23"/>
    <s v="Fresh or Not Specified"/>
    <s v="backyard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No"/>
    <s v="No"/>
    <s v="No"/>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5445816186556929"/>
    <s v=""/>
    <m/>
    <m/>
    <m/>
    <m/>
    <m/>
    <m/>
    <m/>
    <m/>
    <m/>
    <m/>
    <m/>
    <m/>
    <m/>
    <m/>
    <m/>
    <m/>
    <m/>
    <m/>
    <m/>
    <m/>
    <m/>
    <m/>
    <n v="7.5445816186556929"/>
    <n v="7.5445816186556929"/>
    <m/>
    <m/>
  </r>
  <r>
    <x v="1"/>
    <x v="23"/>
    <s v="Fresh or Not Specified"/>
    <s v="intermediate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0.5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676268861454037"/>
    <s v=""/>
    <m/>
    <m/>
    <m/>
    <m/>
    <m/>
    <m/>
    <m/>
    <m/>
    <m/>
    <m/>
    <m/>
    <m/>
    <m/>
    <m/>
    <m/>
    <m/>
    <m/>
    <m/>
    <m/>
    <m/>
    <m/>
    <m/>
    <n v="8.3676268861454037"/>
    <n v="8.9163237311385455"/>
    <m/>
    <s v="IPPC, 2007, 100 yr"/>
  </r>
  <r>
    <x v="1"/>
    <x v="23"/>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1.0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6817558299039774"/>
    <s v=""/>
    <m/>
    <m/>
    <m/>
    <m/>
    <m/>
    <m/>
    <m/>
    <m/>
    <m/>
    <m/>
    <m/>
    <m/>
    <m/>
    <m/>
    <m/>
    <m/>
    <m/>
    <m/>
    <m/>
    <m/>
    <m/>
    <m/>
    <n v="7.6817558299039774"/>
    <n v="8.3676268861454037"/>
    <m/>
    <s v="IPPC, 2007, 100 yr"/>
  </r>
  <r>
    <x v="1"/>
    <x v="23"/>
    <s v="Fresh or Not Specified"/>
    <s v="industrial production"/>
    <s v="Yes"/>
    <s v="North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6241426611796976"/>
    <s v=""/>
    <m/>
    <m/>
    <m/>
    <m/>
    <m/>
    <m/>
    <m/>
    <m/>
    <m/>
    <m/>
    <m/>
    <m/>
    <m/>
    <m/>
    <m/>
    <m/>
    <m/>
    <m/>
    <m/>
    <m/>
    <m/>
    <m/>
    <n v="5.6241426611796976"/>
    <n v="6.3100137174211248"/>
    <m/>
    <s v="IPPC, 2007, 100 yr"/>
  </r>
  <r>
    <x v="1"/>
    <x v="24"/>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0 kg CO2e/kg CW here"/>
    <s v="No"/>
    <s v="Yes"/>
    <s v="kg carcass weight"/>
    <s v="boneless = 77%*carcass (Sonesson, 2010)"/>
    <s v=""/>
    <s v=""/>
    <n v="6.3636363636363642"/>
    <s v=""/>
    <m/>
    <m/>
    <m/>
    <m/>
    <m/>
    <m/>
    <m/>
    <m/>
    <m/>
    <m/>
    <m/>
    <m/>
    <m/>
    <m/>
    <m/>
    <m/>
    <m/>
    <m/>
    <m/>
    <m/>
    <m/>
    <m/>
    <n v="6.3636363636363642"/>
    <n v="5.2"/>
    <m/>
    <s v="IPPC, 2007, 100 yr"/>
  </r>
  <r>
    <x v="1"/>
    <x v="24"/>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boneless = 77%*carcass (Sonesson, 2010)"/>
    <s v=""/>
    <s v=""/>
    <n v="5.1948051948051948"/>
    <s v=""/>
    <m/>
    <m/>
    <m/>
    <m/>
    <m/>
    <m/>
    <m/>
    <m/>
    <m/>
    <m/>
    <m/>
    <m/>
    <m/>
    <m/>
    <m/>
    <m/>
    <m/>
    <m/>
    <m/>
    <m/>
    <m/>
    <m/>
    <n v="5.1948051948051948"/>
    <n v="4.4000000000000004"/>
    <m/>
    <s v="IPPC, 2007, 100 yr"/>
  </r>
  <r>
    <x v="2"/>
    <x v="2"/>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1 kg CO2e/kg CW here"/>
    <s v="No"/>
    <s v="Yes"/>
    <s v="kg egg"/>
    <m/>
    <s v=""/>
    <s v=""/>
    <n v="3.4"/>
    <s v=""/>
    <m/>
    <m/>
    <m/>
    <m/>
    <m/>
    <m/>
    <m/>
    <m/>
    <m/>
    <m/>
    <m/>
    <m/>
    <m/>
    <m/>
    <m/>
    <m/>
    <m/>
    <m/>
    <m/>
    <m/>
    <m/>
    <m/>
    <n v="3.4"/>
    <n v="3.7"/>
    <m/>
    <s v="IPPC, 2007, 100 yr"/>
  </r>
  <r>
    <x v="2"/>
    <x v="2"/>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egg"/>
    <m/>
    <s v=""/>
    <s v=""/>
    <n v="2.75"/>
    <s v=""/>
    <m/>
    <m/>
    <m/>
    <m/>
    <m/>
    <m/>
    <m/>
    <m/>
    <m/>
    <m/>
    <m/>
    <m/>
    <m/>
    <m/>
    <m/>
    <m/>
    <m/>
    <m/>
    <m/>
    <m/>
    <m/>
    <m/>
    <n v="2.75"/>
    <n v="2.85"/>
    <m/>
    <s v="IPPC, 2007, 100 yr"/>
  </r>
  <r>
    <x v="1"/>
    <x v="3"/>
    <s v="Fresh or Not Specified"/>
    <s v="normal operation"/>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482758620689651"/>
    <s v=""/>
    <m/>
    <m/>
    <m/>
    <m/>
    <m/>
    <m/>
    <m/>
    <m/>
    <m/>
    <m/>
    <m/>
    <m/>
    <m/>
    <m/>
    <m/>
    <m/>
    <m/>
    <m/>
    <m/>
    <m/>
    <m/>
    <m/>
    <n v="34.482758620689651"/>
    <m/>
    <m/>
    <s v="ReCiPe midpoint"/>
  </r>
  <r>
    <x v="1"/>
    <x v="3"/>
    <s v="Fresh or Not Specified"/>
    <s v="early wean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131934032983509"/>
    <s v=""/>
    <m/>
    <m/>
    <m/>
    <m/>
    <m/>
    <m/>
    <m/>
    <m/>
    <m/>
    <m/>
    <m/>
    <m/>
    <m/>
    <m/>
    <m/>
    <m/>
    <m/>
    <m/>
    <m/>
    <m/>
    <m/>
    <m/>
    <n v="36.131934032983509"/>
    <m/>
    <m/>
    <s v="ReCiPe midpoint"/>
  </r>
  <r>
    <x v="1"/>
    <x v="3"/>
    <s v="Fresh or Not Specified"/>
    <s v="fast-track background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332833583208391"/>
    <s v=""/>
    <m/>
    <m/>
    <m/>
    <m/>
    <m/>
    <m/>
    <m/>
    <m/>
    <m/>
    <m/>
    <m/>
    <m/>
    <m/>
    <m/>
    <m/>
    <m/>
    <m/>
    <m/>
    <m/>
    <m/>
    <m/>
    <m/>
    <n v="34.332833583208391"/>
    <m/>
    <m/>
    <s v="ReCiPe midpoint"/>
  </r>
  <r>
    <x v="1"/>
    <x v="3"/>
    <s v="Fresh or Not Specified"/>
    <s v="grassfed"/>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376311844077961"/>
    <s v=""/>
    <m/>
    <m/>
    <m/>
    <m/>
    <m/>
    <m/>
    <m/>
    <m/>
    <m/>
    <m/>
    <m/>
    <m/>
    <m/>
    <m/>
    <m/>
    <m/>
    <m/>
    <m/>
    <m/>
    <m/>
    <m/>
    <m/>
    <n v="47.376311844077961"/>
    <m/>
    <m/>
    <s v="ReCiPe midpoint"/>
  </r>
  <r>
    <x v="1"/>
    <x v="3"/>
    <s v="Fresh or Not Specified"/>
    <s v="feedlot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815920398009951"/>
    <s v=""/>
    <m/>
    <m/>
    <m/>
    <m/>
    <m/>
    <m/>
    <m/>
    <m/>
    <m/>
    <m/>
    <m/>
    <m/>
    <m/>
    <m/>
    <m/>
    <m/>
    <m/>
    <m/>
    <m/>
    <m/>
    <m/>
    <m/>
    <n v="36.815920398009951"/>
    <m/>
    <m/>
    <s v="IPPC, 2007, 100 yr"/>
  </r>
  <r>
    <x v="1"/>
    <x v="3"/>
    <s v="Fresh or Not Specified"/>
    <s v="background/feedlot finish"/>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0.298507462686565"/>
    <s v=""/>
    <m/>
    <m/>
    <m/>
    <m/>
    <m/>
    <m/>
    <m/>
    <m/>
    <m/>
    <m/>
    <m/>
    <m/>
    <m/>
    <m/>
    <m/>
    <m/>
    <m/>
    <m/>
    <m/>
    <m/>
    <m/>
    <m/>
    <n v="40.298507462686565"/>
    <m/>
    <m/>
    <s v="IPPC, 2007, 100 yr"/>
  </r>
  <r>
    <x v="1"/>
    <x v="3"/>
    <s v="Fresh or Not Specified"/>
    <s v="pasture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761194029850742"/>
    <s v=""/>
    <m/>
    <m/>
    <m/>
    <m/>
    <m/>
    <m/>
    <m/>
    <m/>
    <m/>
    <m/>
    <m/>
    <m/>
    <m/>
    <m/>
    <m/>
    <m/>
    <m/>
    <m/>
    <m/>
    <m/>
    <m/>
    <m/>
    <n v="47.761194029850742"/>
    <m/>
    <m/>
    <s v="IPPC, 2007, 100 yr"/>
  </r>
  <r>
    <x v="1"/>
    <x v="3"/>
    <s v="Fresh or Not Specified"/>
    <s v="feedlot finishing (ave of 2002 &amp; 2004 data)"/>
    <s v="No"/>
    <s v="Australia (New South Wales)"/>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8605697151421"/>
    <s v=""/>
    <m/>
    <m/>
    <m/>
    <m/>
    <m/>
    <m/>
    <m/>
    <m/>
    <m/>
    <m/>
    <m/>
    <s v="primary energy"/>
    <m/>
    <m/>
    <m/>
    <m/>
    <m/>
    <m/>
    <m/>
    <m/>
    <m/>
    <m/>
    <n v="22.788605697151421"/>
    <m/>
    <m/>
    <m/>
  </r>
  <r>
    <x v="1"/>
    <x v="3"/>
    <s v="Fresh or Not Specified"/>
    <s v="organic (ave of 2002 &amp; 2004 data)"/>
    <s v="No"/>
    <s v="Australia (Victoria)"/>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263868065967014"/>
    <s v=""/>
    <m/>
    <m/>
    <m/>
    <m/>
    <m/>
    <m/>
    <m/>
    <m/>
    <m/>
    <m/>
    <m/>
    <m/>
    <m/>
    <m/>
    <m/>
    <m/>
    <m/>
    <m/>
    <m/>
    <m/>
    <m/>
    <m/>
    <n v="22.263868065967014"/>
    <m/>
    <m/>
    <m/>
  </r>
  <r>
    <x v="1"/>
    <x v="1"/>
    <s v="Fresh or Not Specified"/>
    <s v="(ave of 2002 &amp; 2004 data)"/>
    <s v="No"/>
    <s v="Australia (Western)"/>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957446808510637"/>
    <s v=""/>
    <m/>
    <m/>
    <m/>
    <m/>
    <m/>
    <m/>
    <m/>
    <m/>
    <m/>
    <m/>
    <m/>
    <m/>
    <m/>
    <m/>
    <m/>
    <m/>
    <m/>
    <m/>
    <m/>
    <m/>
    <m/>
    <m/>
    <n v="15.957446808510637"/>
    <m/>
    <m/>
    <m/>
  </r>
  <r>
    <x v="1"/>
    <x v="3"/>
    <s v="Fresh or Not Specified"/>
    <s v="Phase 1 study: on-farm data are representative of the U.S. Department of Agriculture’s Roman L. Hruska Meat Animal Research Center (USMARC) located in Clay Center, Nebraska.  Including only 2011 values here"/>
    <s v="n"/>
    <s v="USA"/>
    <n v="2013"/>
    <s v="Thomas Battagliese, Juliana Andrade, Isabel Schulze, Bruce Uhlman, Cristian Barcan"/>
    <s v="BASF Corporation, 100 Park Avenue, Florham Park, NJ, 07932"/>
    <s v="Industry Based Report"/>
    <s v="Battagliese, T., Andrade, J., Schulze, I., Uhlman, B. and Barcan, C., More Sustainable Beef Optimization Project Phase 1. BASF; 2013."/>
    <s v="Yes"/>
    <s v="No"/>
    <s v="Yes"/>
    <s v="Yes"/>
    <s v="Yes"/>
    <s v="Yes"/>
    <s v="Yes"/>
    <s v="Yes"/>
    <s v="Yes"/>
    <s v="Yes"/>
    <s v="No"/>
    <s v="No"/>
    <m/>
    <m/>
    <s v="Yes"/>
    <s v="Yes"/>
    <s v="1 pound of consumed,boneless, edible beef"/>
    <s v="*0.45359237 to convert to kg"/>
    <n v="43.805851496135176"/>
    <n v="54.828964605379056"/>
    <n v="41.226443028572106"/>
    <n v="41.667367552941862"/>
    <n v="43.805851496135176"/>
    <m/>
    <n v="11.023113109243878"/>
    <n v="17.636980974790205"/>
    <m/>
    <n v="55.115565546219393"/>
    <n v="61.729433411765719"/>
    <m/>
    <m/>
    <n v="43.805851496135176"/>
    <n v="189.31094453815436"/>
    <m/>
    <m/>
    <n v="41.226443028572106"/>
    <m/>
    <n v="0.44092452436975516"/>
    <n v="0.66138678655463268"/>
    <m/>
    <n v="5.4013254235295012"/>
    <n v="4.1887829815126736"/>
    <m/>
    <m/>
    <n v="41.226443028572106"/>
    <n v="52.029093875631112"/>
    <m/>
    <m/>
  </r>
  <r>
    <x v="1"/>
    <x v="3"/>
    <s v="Fresh or Not Specified"/>
    <m/>
    <s v="n"/>
    <s v="Canada"/>
    <n v="2010"/>
    <s v="Karen A. Beauchemin *, H. Henry Janzen, Shannan M. Little, Tim A. McAllister, Sean M. McGinn"/>
    <s v="Agriculture and Agri-Food Canada, Lethbridge, AB, Canada T1J 4B1"/>
    <s v="Peer Reviewed Journal"/>
    <s v="Beauchemin, K. A., Janzen, H. H., Little, S. M., Mcallister, T. A. and Mcginn, S. M., Life cycle assessment of greenhouse gas emissions from beef production in western Canada: A case study. Agricultural Systems 2010, 103 (6), 371-379."/>
    <s v="Yes"/>
    <s v="No"/>
    <s v="No"/>
    <s v="No"/>
    <s v="No"/>
    <s v="No"/>
    <s v="No"/>
    <s v="No"/>
    <s v="No"/>
    <s v="No"/>
    <s v="No"/>
    <s v="No"/>
    <m/>
    <s v="considers cow-calf &amp; feedlot operations; to farm ga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2.53373313343328"/>
    <s v=""/>
    <m/>
    <m/>
    <m/>
    <m/>
    <m/>
    <m/>
    <m/>
    <m/>
    <m/>
    <m/>
    <m/>
    <m/>
    <m/>
    <m/>
    <m/>
    <m/>
    <m/>
    <m/>
    <m/>
    <m/>
    <m/>
    <m/>
    <n v="32.53373313343328"/>
    <m/>
    <m/>
    <s v="IPPC, 2001"/>
  </r>
  <r>
    <x v="1"/>
    <x v="3"/>
    <s v="Fresh or Not Specified"/>
    <s v="suckler cow-calf beef"/>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27.3"/>
    <s v=""/>
    <m/>
    <m/>
    <m/>
    <m/>
    <m/>
    <m/>
    <m/>
    <m/>
    <m/>
    <m/>
    <m/>
    <s v="Impact 2002+"/>
    <m/>
    <m/>
    <m/>
    <m/>
    <m/>
    <m/>
    <m/>
    <m/>
    <m/>
    <m/>
    <n v="27.3"/>
    <m/>
    <m/>
    <s v="IPPC, 2007"/>
  </r>
  <r>
    <x v="1"/>
    <x v="25"/>
    <s v="Fresh or Not Specified"/>
    <s v="dairy bull calf steers, 24 mo. at slaughter"/>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19.899999999999999"/>
    <s v=""/>
    <m/>
    <m/>
    <m/>
    <m/>
    <m/>
    <m/>
    <m/>
    <m/>
    <m/>
    <m/>
    <m/>
    <s v="Impact 2002+"/>
    <m/>
    <m/>
    <m/>
    <m/>
    <m/>
    <m/>
    <m/>
    <m/>
    <m/>
    <m/>
    <n v="19.899999999999999"/>
    <m/>
    <m/>
    <s v="IPPC, 2007"/>
  </r>
  <r>
    <x v="1"/>
    <x v="3"/>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8.620689655172413"/>
    <s v=""/>
    <m/>
    <m/>
    <m/>
    <m/>
    <m/>
    <m/>
    <m/>
    <m/>
    <m/>
    <m/>
    <m/>
    <m/>
    <m/>
    <n v="58.620689655172413"/>
    <m/>
    <m/>
    <n v="7.4962518740629688E-2"/>
    <m/>
    <m/>
    <m/>
    <m/>
    <m/>
    <n v="58.620689655172413"/>
    <n v="59.070464767616187"/>
    <m/>
    <s v="IPPC, 2007, 100 yr"/>
  </r>
  <r>
    <x v="1"/>
    <x v="3"/>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3.478260869565212"/>
    <s v=""/>
    <m/>
    <m/>
    <m/>
    <m/>
    <m/>
    <m/>
    <m/>
    <m/>
    <m/>
    <m/>
    <m/>
    <m/>
    <m/>
    <n v="43.478260869565212"/>
    <m/>
    <m/>
    <n v="7.4962518740629688E-2"/>
    <m/>
    <m/>
    <m/>
    <m/>
    <m/>
    <n v="43.478260869565212"/>
    <n v="43.778110944527732"/>
    <m/>
    <s v="IPPC, 2007, 100 yr"/>
  </r>
  <r>
    <x v="0"/>
    <x v="0"/>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2.61"/>
    <s v=""/>
    <m/>
    <m/>
    <m/>
    <m/>
    <m/>
    <m/>
    <m/>
    <m/>
    <m/>
    <m/>
    <m/>
    <m/>
    <m/>
    <m/>
    <m/>
    <m/>
    <m/>
    <m/>
    <m/>
    <m/>
    <m/>
    <m/>
    <n v="2.61"/>
    <n v="2.79"/>
    <m/>
    <s v="IPPC, 2007, 100 yr"/>
  </r>
  <r>
    <x v="0"/>
    <x v="0"/>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1.41"/>
    <s v=""/>
    <m/>
    <m/>
    <m/>
    <m/>
    <m/>
    <m/>
    <m/>
    <m/>
    <m/>
    <m/>
    <m/>
    <m/>
    <m/>
    <m/>
    <m/>
    <m/>
    <m/>
    <m/>
    <m/>
    <m/>
    <m/>
    <m/>
    <n v="1.41"/>
    <n v="1.69"/>
    <m/>
    <s v="IPPC, 2007, 100 yr"/>
  </r>
  <r>
    <x v="0"/>
    <x v="26"/>
    <s v="Fresh or Not Specified"/>
    <s v="Buffalo Milk, 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3.16"/>
    <s v=""/>
    <m/>
    <m/>
    <m/>
    <m/>
    <m/>
    <m/>
    <m/>
    <m/>
    <m/>
    <m/>
    <m/>
    <m/>
    <m/>
    <m/>
    <m/>
    <m/>
    <m/>
    <m/>
    <m/>
    <m/>
    <m/>
    <m/>
    <n v="3.16"/>
    <n v="3.38"/>
    <m/>
    <s v="IPPC, 2007, 100 yr"/>
  </r>
  <r>
    <x v="1"/>
    <x v="1"/>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n v="6.8389057750759878"/>
    <n v="36.398176291793312"/>
    <s v=""/>
    <m/>
    <m/>
    <n v="6.8389057750759878"/>
    <m/>
    <m/>
    <m/>
    <m/>
    <m/>
    <m/>
    <m/>
    <m/>
    <m/>
    <m/>
    <n v="36.398176291793312"/>
    <m/>
    <m/>
    <n v="7.598784194528875E-2"/>
    <m/>
    <m/>
    <m/>
    <m/>
    <m/>
    <n v="36.398176291793312"/>
    <n v="36.474164133738597"/>
    <m/>
    <s v="IPPC, 2007, 100 yr"/>
  </r>
  <r>
    <x v="0"/>
    <x v="27"/>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8.4"/>
    <m/>
    <s v="IPPC, 2007, 100 yr"/>
  </r>
  <r>
    <x v="1"/>
    <x v="28"/>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assume same as sheep, above"/>
    <s v=""/>
    <s v=""/>
    <s v=""/>
    <s v=""/>
    <m/>
    <m/>
    <m/>
    <m/>
    <m/>
    <m/>
    <m/>
    <m/>
    <m/>
    <m/>
    <m/>
    <m/>
    <m/>
    <m/>
    <m/>
    <m/>
    <m/>
    <m/>
    <m/>
    <m/>
    <m/>
    <m/>
    <m/>
    <n v="35.714285714285715"/>
    <m/>
    <s v="IPPC, 2007, 100 yr"/>
  </r>
  <r>
    <x v="0"/>
    <x v="29"/>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5.2"/>
    <m/>
    <s v="IPPC, 2007, 100 yr"/>
  </r>
  <r>
    <x v="1"/>
    <x v="3"/>
    <s v="Fresh or Not Specified"/>
    <s v="conventional (w hormone growth promotants"/>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3.193403298350825"/>
    <m/>
    <m/>
    <m/>
    <m/>
    <m/>
    <m/>
    <m/>
    <m/>
    <m/>
    <m/>
    <m/>
    <m/>
    <n v="23.988005997001498"/>
    <m/>
    <m/>
  </r>
  <r>
    <x v="1"/>
    <x v="3"/>
    <s v="Fresh or Not Specified"/>
    <s v="natural (W/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5.442278860569715"/>
    <m/>
    <m/>
    <m/>
    <m/>
    <m/>
    <m/>
    <m/>
    <m/>
    <m/>
    <m/>
    <m/>
    <m/>
    <n v="28.18590704647676"/>
    <m/>
    <m/>
  </r>
  <r>
    <x v="1"/>
    <x v="3"/>
    <s v="Fresh or Not Specified"/>
    <s v="grass-fed (n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8.440779610194902"/>
    <m/>
    <m/>
    <m/>
    <m/>
    <m/>
    <m/>
    <m/>
    <m/>
    <m/>
    <m/>
    <m/>
    <m/>
    <n v="40.179910044977511"/>
    <m/>
    <m/>
  </r>
  <r>
    <x v="1"/>
    <x v="3"/>
    <s v="Fresh or Not Specified"/>
    <s v="suckler cow-calf beef with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3.883058470764617"/>
    <s v=""/>
    <m/>
    <m/>
    <m/>
    <m/>
    <m/>
    <m/>
    <m/>
    <m/>
    <m/>
    <m/>
    <m/>
    <m/>
    <m/>
    <m/>
    <m/>
    <m/>
    <m/>
    <m/>
    <m/>
    <m/>
    <m/>
    <m/>
    <n v="33.883058470764617"/>
    <m/>
    <m/>
    <s v="IPPC, 2007, 100 yr"/>
  </r>
  <r>
    <x v="1"/>
    <x v="3"/>
    <s v="Fresh or Not Specified"/>
    <s v="suckler cow-calf beef without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1.934032983508246"/>
    <s v=""/>
    <m/>
    <m/>
    <m/>
    <m/>
    <m/>
    <m/>
    <m/>
    <m/>
    <m/>
    <m/>
    <m/>
    <m/>
    <m/>
    <m/>
    <m/>
    <m/>
    <m/>
    <m/>
    <m/>
    <m/>
    <m/>
    <m/>
    <n v="31.934032983508246"/>
    <m/>
    <m/>
    <s v="IPPC, 2007, 100 yr"/>
  </r>
  <r>
    <x v="1"/>
    <x v="25"/>
    <s v="Fresh or Not Specified"/>
    <s v="dairy beef (holstein)"/>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6.04197901049475"/>
    <s v=""/>
    <m/>
    <m/>
    <m/>
    <m/>
    <m/>
    <m/>
    <m/>
    <m/>
    <m/>
    <m/>
    <m/>
    <m/>
    <m/>
    <m/>
    <m/>
    <m/>
    <m/>
    <m/>
    <m/>
    <m/>
    <m/>
    <m/>
    <n v="16.04197901049475"/>
    <m/>
    <m/>
    <s v="IPPC, 2007, 100 yr"/>
  </r>
  <r>
    <x v="1"/>
    <x v="3"/>
    <s v="Fresh or Not Specified"/>
    <s v="in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632683658170912"/>
    <s v=""/>
    <m/>
    <m/>
    <m/>
    <m/>
    <m/>
    <m/>
    <m/>
    <m/>
    <m/>
    <m/>
    <m/>
    <m/>
    <m/>
    <m/>
    <m/>
    <m/>
    <m/>
    <m/>
    <m/>
    <m/>
    <m/>
    <m/>
    <n v="34.632683658170912"/>
    <m/>
    <m/>
    <m/>
  </r>
  <r>
    <x v="1"/>
    <x v="3"/>
    <s v="Fresh or Not Specified"/>
    <s v="intensive beef breed cow-calf herd"/>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8.080959520239873"/>
    <s v=""/>
    <m/>
    <m/>
    <m/>
    <m/>
    <m/>
    <m/>
    <m/>
    <m/>
    <m/>
    <m/>
    <m/>
    <m/>
    <m/>
    <m/>
    <m/>
    <m/>
    <m/>
    <m/>
    <m/>
    <m/>
    <m/>
    <m/>
    <n v="38.080959520239873"/>
    <m/>
    <m/>
    <m/>
  </r>
  <r>
    <x v="1"/>
    <x v="3"/>
    <s v="Fresh or Not Specified"/>
    <s v="ex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4.527736131934027"/>
    <s v=""/>
    <m/>
    <m/>
    <m/>
    <m/>
    <m/>
    <m/>
    <m/>
    <m/>
    <m/>
    <m/>
    <m/>
    <m/>
    <m/>
    <m/>
    <m/>
    <m/>
    <m/>
    <m/>
    <m/>
    <m/>
    <m/>
    <m/>
    <n v="44.527736131934027"/>
    <m/>
    <m/>
    <m/>
  </r>
  <r>
    <x v="1"/>
    <x v="25"/>
    <s v="Fresh or Not Specified"/>
    <s v="dairy beef, steer (harvested at 25 mo.)"/>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887556221889056"/>
    <s v=""/>
    <m/>
    <m/>
    <m/>
    <m/>
    <m/>
    <m/>
    <m/>
    <m/>
    <m/>
    <m/>
    <m/>
    <m/>
    <m/>
    <m/>
    <m/>
    <m/>
    <m/>
    <m/>
    <m/>
    <m/>
    <m/>
    <m/>
    <n v="24.887556221889056"/>
    <m/>
    <m/>
    <m/>
  </r>
  <r>
    <x v="1"/>
    <x v="25"/>
    <s v="Fresh or Not Specified"/>
    <s v="dairy beef, steer (harvested at 25 mo.)"/>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487256371814091"/>
    <s v=""/>
    <m/>
    <m/>
    <m/>
    <m/>
    <m/>
    <m/>
    <m/>
    <m/>
    <m/>
    <m/>
    <m/>
    <m/>
    <m/>
    <m/>
    <m/>
    <m/>
    <m/>
    <m/>
    <m/>
    <m/>
    <m/>
    <m/>
    <n v="25.487256371814091"/>
    <m/>
    <m/>
    <m/>
  </r>
  <r>
    <x v="1"/>
    <x v="3"/>
    <s v="Fresh or Not Specified"/>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6.1"/>
    <m/>
    <s v="ReCiPe (hierarchic endpoint)"/>
  </r>
  <r>
    <x v="1"/>
    <x v="3"/>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1"/>
    <m/>
    <s v="ReCiPe (hierarchic endpoint)"/>
  </r>
  <r>
    <x v="1"/>
    <x v="3"/>
    <s v="Fresh or Not Specified"/>
    <m/>
    <s v="Yes"/>
    <s v="German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3"/>
    <m/>
    <s v="ReCiPe (hierarchic endpoint)"/>
  </r>
  <r>
    <x v="1"/>
    <x v="3"/>
    <s v="Fresh or Not Specified"/>
    <m/>
    <s v="Yes"/>
    <s v="Ire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6"/>
    <m/>
    <s v="ReCiPe (hierarchic endpoint)"/>
  </r>
  <r>
    <x v="1"/>
    <x v="3"/>
    <s v="Fresh or Not Specified"/>
    <m/>
    <s v="Yes"/>
    <s v="Po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7"/>
    <m/>
    <s v="ReCiPe (hierarchic endpoint)"/>
  </r>
  <r>
    <x v="1"/>
    <x v="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9"/>
    <m/>
    <s v="ReCiPe (hierarchic endpoint)"/>
  </r>
  <r>
    <x v="1"/>
    <x v="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6"/>
    <m/>
    <s v="ReCiPe (hierarchic endpoint)"/>
  </r>
  <r>
    <x v="1"/>
    <x v="3"/>
    <s v="Fresh or Not Specified"/>
    <s v="nature"/>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7"/>
    <m/>
    <s v="ReCiPe (hierarchic endpoint)"/>
  </r>
  <r>
    <x v="1"/>
    <x v="3"/>
    <s v="Fresh or Not Specified"/>
    <s v="Beef Cuts,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6"/>
    <m/>
    <s v="ReCiPe (hierarchic endpoint)"/>
  </r>
  <r>
    <x v="1"/>
    <x v="3"/>
    <s v="Fresh or Not Specified"/>
    <s v="Minced Beef, conventional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1999999999999993"/>
    <m/>
    <s v="ReCiPe (hierarchic endpoint)"/>
  </r>
  <r>
    <x v="1"/>
    <x v="3"/>
    <s v="Fresh or Not Specified"/>
    <s v="Minced Beef, organic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
    <m/>
    <s v="ReCiPe (hierarchic endpoint)"/>
  </r>
  <r>
    <x v="1"/>
    <x v="2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26"/>
    <m/>
    <s v="ReCiPe (hierarchic endpoint)"/>
  </r>
  <r>
    <x v="1"/>
    <x v="23"/>
    <s v="Fresh or Not Specified"/>
    <s v="AH 1 sta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AH 2 star"/>
    <s v="Yes"/>
    <s v="United Kingdo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4"/>
    <m/>
    <s v="ReCiPe (hierarchic endpoint)"/>
  </r>
  <r>
    <x v="1"/>
    <x v="23"/>
    <s v="Fresh or Not Specified"/>
    <s v="Jumbo bewust"/>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Milieukeu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4"/>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5"/>
    <m/>
    <s v="ReCiPe (hierarchic endpoint)"/>
  </r>
  <r>
    <x v="1"/>
    <x v="24"/>
    <s v="Fresh or Not Specified"/>
    <s v="label rouge"/>
    <s v="Yes"/>
    <s v="France"/>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82"/>
    <m/>
    <s v="ReCiPe (hierarchic endpoint)"/>
  </r>
  <r>
    <x v="1"/>
    <x v="24"/>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96"/>
    <m/>
    <s v="ReCiPe (hierarchic endpoint)"/>
  </r>
  <r>
    <x v="1"/>
    <x v="24"/>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8"/>
    <m/>
    <s v="ReCiPe (hierarchic endpoint)"/>
  </r>
  <r>
    <x v="1"/>
    <x v="24"/>
    <s v="Fresh or Not Specified"/>
    <s v="corn"/>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99999999999996"/>
    <m/>
    <s v="ReCiPe (hierarchic endpoint)"/>
  </r>
  <r>
    <x v="1"/>
    <x v="24"/>
    <s v="Fresh or Not Specified"/>
    <s v="scharre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4"/>
    <m/>
    <s v="ReCiPe (hierarchic endpoint)"/>
  </r>
  <r>
    <x v="1"/>
    <x v="24"/>
    <s v="Fresh or Not Specified"/>
    <s v="volwaard"/>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26"/>
    <m/>
    <s v="ReCiPe (hierarchic endpoint)"/>
  </r>
  <r>
    <x v="1"/>
    <x v="30"/>
    <s v="Fresh or Not Specified"/>
    <s v="Duck"/>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11"/>
    <m/>
    <s v="ReCiPe (hierarchic endpoint)"/>
  </r>
  <r>
    <x v="1"/>
    <x v="31"/>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5"/>
    <m/>
    <s v="ReCiPe (hierarchic endpoint)"/>
  </r>
  <r>
    <x v="1"/>
    <x v="31"/>
    <s v="Fresh or Not Specified"/>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4"/>
    <m/>
    <s v="ReCiPe (hierarchic endpoint)"/>
  </r>
  <r>
    <x v="1"/>
    <x v="1"/>
    <m/>
    <s v="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1"/>
    <m/>
    <s v="ReCiPe (hierarchic endpoint)"/>
  </r>
  <r>
    <x v="1"/>
    <x v="1"/>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00000000000001"/>
    <m/>
    <s v="ReCiPe (hierarchic endpoint)"/>
  </r>
  <r>
    <x v="1"/>
    <x v="32"/>
    <m/>
    <s v="rosé,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7.4"/>
    <m/>
    <s v="ReCiPe (hierarchic endpoint)"/>
  </r>
  <r>
    <x v="1"/>
    <x v="32"/>
    <m/>
    <s v="rosé,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8"/>
    <m/>
    <s v="ReCiPe (hierarchic endpoint)"/>
  </r>
  <r>
    <x v="1"/>
    <x v="32"/>
    <m/>
    <s v="rosé, 1 star (van Dri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3"/>
    <m/>
    <s v="ReCiPe (hierarchic endpoint)"/>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14"/>
    <m/>
    <s v="ReCiPe (hierarchic endpoint)"/>
  </r>
  <r>
    <x v="1"/>
    <x v="33"/>
    <m/>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27"/>
    <m/>
    <s v="ReCiPe (hierarchic endpoint)"/>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81"/>
    <m/>
    <s v="ReCiPe (hierarchic endpoint)"/>
  </r>
  <r>
    <x v="6"/>
    <x v="34"/>
    <m/>
    <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099999999999998"/>
    <m/>
    <s v="ReCiPe (hierarchic endpoint)"/>
  </r>
  <r>
    <x v="6"/>
    <x v="35"/>
    <m/>
    <s v="Groentenschijf, Vivera (Veggie Patt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95"/>
    <m/>
    <s v="ReCiPe (hierarchic endpoint)"/>
  </r>
  <r>
    <x v="6"/>
    <x v="36"/>
    <m/>
    <s v="Meatless made from lupine and wheat"/>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29"/>
    <m/>
    <s v="ReCiPe (hierarchic endpoint)"/>
  </r>
  <r>
    <x v="6"/>
    <x v="37"/>
    <m/>
    <s v="Quorn Minc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4"/>
    <m/>
    <s v="ReCiPe (hierarchic endpoint)"/>
  </r>
  <r>
    <x v="6"/>
    <x v="38"/>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4"/>
    <m/>
    <s v="ReCiPe (hierarchic endpoint)"/>
  </r>
  <r>
    <x v="6"/>
    <x v="38"/>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
    <m/>
    <s v="ReCiPe (hierarchic endpoint)"/>
  </r>
  <r>
    <x v="6"/>
    <x v="38"/>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2"/>
    <m/>
    <s v="ReCiPe (hierarchic endpoint)"/>
  </r>
  <r>
    <x v="6"/>
    <x v="38"/>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24"/>
    <m/>
    <s v="ReCiPe (hierarchic endpoint)"/>
  </r>
  <r>
    <x v="6"/>
    <x v="39"/>
    <m/>
    <s v="Valess, Schnitzel made from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9"/>
    <m/>
    <s v="ReCiPe (hierarchic endpoint)"/>
  </r>
  <r>
    <x v="0"/>
    <x v="0"/>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1"/>
    <m/>
    <s v="ReCiPe (hierarchic endpoint)"/>
  </r>
  <r>
    <x v="0"/>
    <x v="0"/>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m/>
    <s v="ReCiPe (hierarchic endpoint)"/>
  </r>
  <r>
    <x v="0"/>
    <x v="0"/>
    <m/>
    <s v="pasture (weidegang),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
    <m/>
    <s v="ReCiPe (hierarchic endpoint)"/>
  </r>
  <r>
    <x v="0"/>
    <x v="0"/>
    <m/>
    <s v="conventional,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1"/>
    <m/>
    <s v="ReCiPe (hierarchic endpoint)"/>
  </r>
  <r>
    <x v="0"/>
    <x v="0"/>
    <m/>
    <s v="organic,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45"/>
    <m/>
    <s v="ReCiPe (hierarchic endpoint)"/>
  </r>
  <r>
    <x v="0"/>
    <x v="0"/>
    <m/>
    <s v="pasture (weidegang),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m/>
    <s v="ReCiPe (hierarchic endpoint)"/>
  </r>
  <r>
    <x v="0"/>
    <x v="0"/>
    <m/>
    <s v="conventional,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
    <m/>
    <s v="ReCiPe (hierarchic endpoint)"/>
  </r>
  <r>
    <x v="0"/>
    <x v="0"/>
    <m/>
    <s v="organic,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m/>
    <s v="ReCiPe (hierarchic endpoint)"/>
  </r>
  <r>
    <x v="0"/>
    <x v="0"/>
    <m/>
    <s v="pasture (weidegang),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
    <m/>
    <s v="ReCiPe (hierarchic endpoint)"/>
  </r>
  <r>
    <x v="0"/>
    <x v="0"/>
    <m/>
    <s v="conventional,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4"/>
    <m/>
    <s v="ReCiPe (hierarchic endpoint)"/>
  </r>
  <r>
    <x v="0"/>
    <x v="0"/>
    <m/>
    <s v="organic,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3"/>
    <m/>
    <s v="ReCiPe (hierarchic endpoint)"/>
  </r>
  <r>
    <x v="0"/>
    <x v="0"/>
    <m/>
    <s v="pasture,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3"/>
    <m/>
    <s v="ReCiPe (hierarchic endpoint)"/>
  </r>
  <r>
    <x v="0"/>
    <x v="29"/>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5"/>
    <m/>
    <s v="ReCiPe (hierarchic endpoint)"/>
  </r>
  <r>
    <x v="0"/>
    <x v="29"/>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6"/>
    <m/>
    <s v="ReCiPe (hierarchic endpoint)"/>
  </r>
  <r>
    <x v="7"/>
    <x v="40"/>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61"/>
    <m/>
    <s v="ReCiPe (hierarchic endpoint)"/>
  </r>
  <r>
    <x v="7"/>
    <x v="40"/>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2"/>
    <m/>
    <s v="ReCiPe (hierarchic endpoint)"/>
  </r>
  <r>
    <x v="7"/>
    <x v="40"/>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89"/>
    <m/>
    <s v="ReCiPe (hierarchic endpoint)"/>
  </r>
  <r>
    <x v="7"/>
    <x v="40"/>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8"/>
    <m/>
    <s v="ReCiPe (hierarchic endpoint)"/>
  </r>
  <r>
    <x v="0"/>
    <x v="4"/>
    <m/>
    <s v="cow,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000000000000007"/>
    <m/>
    <s v="ReCiPe (hierarchic endpoint)"/>
  </r>
  <r>
    <x v="0"/>
    <x v="4"/>
    <m/>
    <s v="cow,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7"/>
    <m/>
    <s v="ReCiPe (hierarchic endpoint)"/>
  </r>
  <r>
    <x v="0"/>
    <x v="4"/>
    <m/>
    <s v="cow, old,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5"/>
    <m/>
    <s v="ReCiPe (hierarchic endpoint)"/>
  </r>
  <r>
    <x v="0"/>
    <x v="4"/>
    <m/>
    <s v="cow,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02"/>
    <m/>
    <s v="ReCiPe (hierarchic endpoint)"/>
  </r>
  <r>
    <x v="0"/>
    <x v="4"/>
    <m/>
    <s v="cow,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2"/>
    <m/>
    <s v="ReCiPe (hierarchic endpoint)"/>
  </r>
  <r>
    <x v="0"/>
    <x v="4"/>
    <m/>
    <s v="cow, medium,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98"/>
    <m/>
    <s v="ReCiPe (hierarchic endpoint)"/>
  </r>
  <r>
    <x v="0"/>
    <x v="4"/>
    <m/>
    <s v="cow,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7"/>
    <m/>
    <s v="ReCiPe (hierarchic endpoint)"/>
  </r>
  <r>
    <x v="0"/>
    <x v="4"/>
    <m/>
    <s v="cow,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2"/>
    <m/>
    <s v="ReCiPe (hierarchic endpoint)"/>
  </r>
  <r>
    <x v="0"/>
    <x v="4"/>
    <m/>
    <s v="cow, young,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2"/>
    <m/>
    <s v="ReCiPe (hierarchic endpoint)"/>
  </r>
  <r>
    <x v="0"/>
    <x v="41"/>
    <m/>
    <s v="goat,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48"/>
    <m/>
    <s v="ReCiPe (hierarchic endpoint)"/>
  </r>
  <r>
    <x v="0"/>
    <x v="41"/>
    <m/>
    <s v="goat,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30000000000001"/>
    <m/>
    <s v="ReCiPe (hierarchic endpoint)"/>
  </r>
  <r>
    <x v="0"/>
    <x v="41"/>
    <m/>
    <s v="goat,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71"/>
    <m/>
    <s v="ReCiPe (hierarchic endpoint)"/>
  </r>
  <r>
    <x v="0"/>
    <x v="41"/>
    <m/>
    <s v="goat,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2899999999999991"/>
    <m/>
    <s v="ReCiPe (hierarchic endpoint)"/>
  </r>
  <r>
    <x v="0"/>
    <x v="41"/>
    <m/>
    <s v="goat,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27"/>
    <m/>
    <s v="ReCiPe (hierarchic endpoint)"/>
  </r>
  <r>
    <x v="0"/>
    <x v="41"/>
    <m/>
    <s v="goat,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899999999999991"/>
    <m/>
    <s v="ReCiPe (hierarchic endpoint)"/>
  </r>
  <r>
    <x v="0"/>
    <x v="42"/>
    <m/>
    <s v="buffalo, mozzarella"/>
    <s v="Yes"/>
    <s v="Ital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99"/>
    <m/>
    <s v="ReCiPe (hierarchic endpoint)"/>
  </r>
  <r>
    <x v="0"/>
    <x v="4"/>
    <m/>
    <s v="cow, mozzarella"/>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89"/>
    <m/>
    <s v="ReCiPe (hierarchic endpoint)"/>
  </r>
  <r>
    <x v="0"/>
    <x v="5"/>
    <m/>
    <s v="conventional,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8"/>
    <m/>
    <s v="ReCiPe (hierarchic endpoint)"/>
  </r>
  <r>
    <x v="0"/>
    <x v="5"/>
    <m/>
    <s v="organic,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6"/>
    <m/>
    <s v="ReCiPe (hierarchic endpoint)"/>
  </r>
  <r>
    <x v="0"/>
    <x v="5"/>
    <m/>
    <s v="pasture,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79"/>
    <m/>
    <s v="ReCiPe (hierarchic endpoint)"/>
  </r>
  <r>
    <x v="0"/>
    <x v="5"/>
    <m/>
    <s v="conventional,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
    <m/>
    <s v="ReCiPe (hierarchic endpoint)"/>
  </r>
  <r>
    <x v="0"/>
    <x v="5"/>
    <m/>
    <s v="organic,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9"/>
    <m/>
    <s v="ReCiPe (hierarchic endpoint)"/>
  </r>
  <r>
    <x v="0"/>
    <x v="5"/>
    <m/>
    <s v="pasture,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5"/>
    <m/>
    <s v="ReCiPe (hierarchic endpoint)"/>
  </r>
  <r>
    <x v="0"/>
    <x v="5"/>
    <m/>
    <s v="conventional,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8"/>
    <m/>
    <s v="ReCiPe (hierarchic endpoint)"/>
  </r>
  <r>
    <x v="0"/>
    <x v="5"/>
    <m/>
    <s v="organic,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7"/>
    <m/>
    <s v="ReCiPe (hierarchic endpoint)"/>
  </r>
  <r>
    <x v="0"/>
    <x v="5"/>
    <m/>
    <s v="pasture,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m/>
    <s v="ReCiPe (hierarchic endpoint)"/>
  </r>
  <r>
    <x v="2"/>
    <x v="2"/>
    <m/>
    <s v="batter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m/>
    <s v="ReCiPe (hierarchic endpoint)"/>
  </r>
  <r>
    <x v="2"/>
    <x v="2"/>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3"/>
    <m/>
    <s v="ReCiPe (hierarchic endpoint)"/>
  </r>
  <r>
    <x v="2"/>
    <x v="2"/>
    <m/>
    <s v="enriched ca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m/>
    <s v="ReCiPe (hierarchic endpoint)"/>
  </r>
  <r>
    <x v="2"/>
    <x v="2"/>
    <m/>
    <s v="barn (scharr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1 star (scharrel +)"/>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ronde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6"/>
    <m/>
    <s v="ReCiPe (hierarchic endpoint)"/>
  </r>
  <r>
    <x v="2"/>
    <x v="2"/>
    <m/>
    <s v="free ran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5599999999999996"/>
    <m/>
    <s v="ReCiPe (hierarchic endpoint)"/>
  </r>
  <r>
    <x v="2"/>
    <x v="2"/>
    <m/>
    <s v="grass"/>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omega-3"/>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2"/>
    <m/>
    <s v="ReCiPe (hierarchic endpoint)"/>
  </r>
  <r>
    <x v="2"/>
    <x v="2"/>
    <m/>
    <s v="60% corn"/>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05"/>
    <m/>
    <s v="ReCiPe (hierarchic endpoint)"/>
  </r>
  <r>
    <x v="4"/>
    <x v="20"/>
    <s v="Fresh or Not Specified"/>
    <s v="fresh bananas"/>
    <s v="No"/>
    <s v="USA"/>
    <n v="2012"/>
    <s v="Anthony J. Craig(a); Yossi Sheffi (a); Edgar E. Blanco (c)"/>
    <s v="(a) Engineering Systems Division Massachusetts Institute of Technology; (b) Center for Transportation &amp; Logistics_x000a_ Massachusetts Institute of Technology"/>
    <s v="NGO Report"/>
    <s v="Craig, A. J., Blanco, E. E. and Sheffi, Y., ESD Working Paper Series A Supply Chain View of Product Carbon Footprints : Results from the Banana Supply Chain 2012,  (ESD-WP-2012-25), ."/>
    <s v="Yes"/>
    <s v="No"/>
    <s v="Yes"/>
    <s v="Yes"/>
    <s v="Yes"/>
    <s v="Yes"/>
    <s v="Yes"/>
    <s v="No"/>
    <s v="No"/>
    <s v="No"/>
    <s v="No"/>
    <s v="No"/>
    <m/>
    <s v="Tracked fro 1 box banana, yet 1 kg impact also reported"/>
    <s v="No"/>
    <s v="Yes"/>
    <s v="1 box banana"/>
    <s v="/18.14 (one box = 18.14 kg)"/>
    <s v=""/>
    <s v=""/>
    <n v="0.20396912899669239"/>
    <s v=""/>
    <m/>
    <m/>
    <m/>
    <m/>
    <m/>
    <m/>
    <m/>
    <m/>
    <m/>
    <m/>
    <m/>
    <m/>
    <m/>
    <n v="0.20396912899669239"/>
    <m/>
    <n v="0"/>
    <n v="7.1664829106945979E-2"/>
    <n v="0.4299889746416759"/>
    <n v="0.19294377067254684"/>
    <m/>
    <m/>
    <m/>
    <n v="0.20396912899669239"/>
    <n v="0.93560814529444125"/>
    <m/>
    <s v="2007 IPCC 100 year"/>
  </r>
  <r>
    <x v="4"/>
    <x v="20"/>
    <s v="Fresh or Not Specified"/>
    <s v="fresh bananas"/>
    <s v="No"/>
    <s v="Costa Rica"/>
    <n v="2013"/>
    <s v="Erik Svanes  (a); Anna K. S. Aronsson (b)"/>
    <s v="(a) Department of Food and Packaging, Ostfold Research,_x000a_ Gamle Bedding vei 2b,_x000a_ 1671 Fredrikstad, Norway; (b) Swedish Institute for Food and Biotechnology, P.O. Box 5401,_x000a_ 40229 Gothenburg, Sweden"/>
    <s v="Peer Reviewed Journal"/>
    <s v="Svanes, E. and Aronsson, A. K. S., Carbon footprint of a Cavendish banana supply chain. The International Journal of Life Cycle Assessment 2013, 18 (8), 1450-1464."/>
    <s v="Yes"/>
    <s v="No"/>
    <s v="Yes"/>
    <s v="Yes"/>
    <s v="Yes"/>
    <s v="Yes"/>
    <s v="Yes"/>
    <s v="Yes"/>
    <s v="No"/>
    <s v="No"/>
    <s v="No"/>
    <s v="No"/>
    <m/>
    <s v="Cradle to grave"/>
    <s v="Yes"/>
    <s v="Yes"/>
    <s v="1 kg banana"/>
    <m/>
    <s v=""/>
    <s v=""/>
    <n v="0.2944"/>
    <n v="0.33119999999999999"/>
    <m/>
    <m/>
    <m/>
    <m/>
    <m/>
    <m/>
    <m/>
    <m/>
    <m/>
    <m/>
    <m/>
    <m/>
    <m/>
    <n v="0.2944"/>
    <m/>
    <n v="3.6799999999999999E-2"/>
    <n v="0.12880000000000003"/>
    <n v="1.2328000000000001"/>
    <n v="5.5199999999999999E-2"/>
    <n v="9.2000000000000012E-2"/>
    <m/>
    <n v="2.3E-3"/>
    <n v="0.2944"/>
    <n v="1.84"/>
    <m/>
    <s v="IPCC 2006"/>
  </r>
  <r>
    <x v="4"/>
    <x v="20"/>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m/>
    <m/>
  </r>
  <r>
    <x v="4"/>
    <x v="20"/>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m/>
    <m/>
  </r>
  <r>
    <x v="4"/>
    <x v="43"/>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43"/>
    <s v="Fresh or Not Specified"/>
    <s v="organic"/>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43"/>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20"/>
    <s v="Fresh or Not Specified"/>
    <s v="conventional"/>
    <s v="No"/>
    <s v="Costa Rica"/>
    <n v="2010"/>
    <s v="Boki Luske"/>
    <s v="Soil &amp; More International Hoofdstraat 24 3972 LA Driebergen The Netherlands"/>
    <s v="Private consulting firm report"/>
    <s v="Luske, B., Comprehensive carbon footprint assessment. Dole bananas. Soil and More International 2010,  (2010), 1-45."/>
    <s v="Yes"/>
    <s v="No"/>
    <s v="Yes"/>
    <s v="Yes"/>
    <s v="Yes"/>
    <s v="Yes"/>
    <s v="No"/>
    <s v="No"/>
    <s v="No"/>
    <s v="No"/>
    <s v="No"/>
    <s v="No"/>
    <m/>
    <s v="Cradle to shelf"/>
    <s v="No"/>
    <s v="Yes"/>
    <s v="1 ton banana"/>
    <s v="/1000"/>
    <s v=""/>
    <s v=""/>
    <n v="0.13783000000000001"/>
    <s v=""/>
    <m/>
    <m/>
    <m/>
    <m/>
    <m/>
    <m/>
    <m/>
    <m/>
    <m/>
    <m/>
    <m/>
    <m/>
    <m/>
    <n v="0.13783000000000001"/>
    <m/>
    <m/>
    <n v="8.9599999999999999E-2"/>
    <n v="0.84267999999999998"/>
    <m/>
    <m/>
    <m/>
    <m/>
    <n v="0.13783000000000001"/>
    <n v="1.1240000000000001"/>
    <m/>
    <s v="IPCC 2006"/>
  </r>
  <r>
    <x v="5"/>
    <x v="22"/>
    <s v="Fresh or Not Specified"/>
    <s v="White Loaf Bread - Industrial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Yes"/>
    <s v="No"/>
    <s v="No"/>
    <s v="No"/>
    <s v="No"/>
    <m/>
    <s v="Cradle to Grave"/>
    <s v="No"/>
    <s v="No"/>
    <s v=" kg bread ready for consumption"/>
    <s v="N/A"/>
    <s v=""/>
    <s v=""/>
    <s v=""/>
    <s v=""/>
    <m/>
    <m/>
    <m/>
    <m/>
    <m/>
    <m/>
    <m/>
    <m/>
    <m/>
    <m/>
    <n v="5252.4000000000005"/>
    <m/>
    <m/>
    <m/>
    <m/>
    <m/>
    <m/>
    <m/>
    <m/>
    <m/>
    <m/>
    <m/>
    <m/>
    <n v="-0.56000000000000005"/>
    <m/>
    <m/>
  </r>
  <r>
    <x v="5"/>
    <x v="22"/>
    <s v="Fresh or Not Specified"/>
    <s v="White Loaf Bread - Home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No"/>
    <s v="No"/>
    <s v="Yes"/>
    <s v="No"/>
    <s v="No"/>
    <m/>
    <s v="Cradle to Grave"/>
    <s v="No"/>
    <s v="No"/>
    <s v=" kg bread ready for consumption"/>
    <s v="N/A"/>
    <s v=""/>
    <s v=""/>
    <s v=""/>
    <s v=""/>
    <m/>
    <m/>
    <m/>
    <m/>
    <m/>
    <m/>
    <m/>
    <m/>
    <m/>
    <m/>
    <n v="7200"/>
    <m/>
    <m/>
    <m/>
    <m/>
    <m/>
    <m/>
    <m/>
    <m/>
    <m/>
    <m/>
    <m/>
    <m/>
    <n v="-0.501"/>
    <m/>
    <m/>
  </r>
  <r>
    <x v="5"/>
    <x v="22"/>
    <s v="Fresh or Not Specified"/>
    <s v="Conventional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3.64"/>
    <n v="14.21"/>
    <s v=""/>
    <n v="10.57"/>
    <n v="3.64"/>
    <m/>
    <n v="10.57"/>
    <n v="0.45"/>
    <n v="0.67"/>
    <m/>
    <m/>
    <m/>
    <m/>
    <n v="3.64"/>
    <n v="15.3"/>
    <m/>
    <m/>
    <m/>
    <m/>
    <n v="10.57"/>
    <n v="0.45"/>
    <n v="0.67"/>
    <m/>
    <m/>
    <m/>
    <m/>
    <m/>
    <m/>
    <m/>
    <m/>
  </r>
  <r>
    <x v="5"/>
    <x v="22"/>
    <s v="Fresh or Not Specified"/>
    <s v="Organic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1.61"/>
    <n v="12.18"/>
    <s v=""/>
    <n v="7.57"/>
    <n v="1.61"/>
    <m/>
    <n v="10.57"/>
    <n v="0.45"/>
    <n v="0.71"/>
    <m/>
    <m/>
    <m/>
    <m/>
    <n v="1.61"/>
    <n v="13.3"/>
    <m/>
    <m/>
    <m/>
    <m/>
    <n v="7.57"/>
    <n v="0.45"/>
    <n v="0.71"/>
    <m/>
    <m/>
    <m/>
    <m/>
    <m/>
    <m/>
    <m/>
    <m/>
  </r>
  <r>
    <x v="0"/>
    <x v="0"/>
    <s v="Fresh or Not Specified"/>
    <s v="Conventional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4.2849000000000004"/>
    <n v="5.3095500000000007"/>
    <s v=""/>
    <n v="1.0246500000000001"/>
    <n v="4.2849000000000004"/>
    <m/>
    <n v="1.0246500000000001"/>
    <n v="1.0349999999999999"/>
    <n v="0.25874999999999998"/>
    <m/>
    <m/>
    <m/>
    <m/>
    <n v="4.2849000000000004"/>
    <n v="6.6139999999999999"/>
    <m/>
    <m/>
    <m/>
    <m/>
    <n v="1.0246500000000001"/>
    <n v="1.0349999999999999"/>
    <n v="0.25874999999999998"/>
    <m/>
    <m/>
    <m/>
    <m/>
    <m/>
    <m/>
    <m/>
    <m/>
  </r>
  <r>
    <x v="0"/>
    <x v="0"/>
    <s v="Fresh or Not Specified"/>
    <s v="Organic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2.2149000000000001"/>
    <n v="3.2395500000000004"/>
    <s v=""/>
    <n v="1.0246500000000001"/>
    <n v="2.2149000000000001"/>
    <m/>
    <n v="1.0246500000000001"/>
    <n v="1.0349999999999999"/>
    <n v="0.30015000000000003"/>
    <m/>
    <m/>
    <m/>
    <m/>
    <n v="2.2149000000000001"/>
    <n v="4.5640000000000001"/>
    <m/>
    <m/>
    <m/>
    <m/>
    <n v="1.0246500000000001"/>
    <n v="1.0349999999999999"/>
    <n v="0.30014999999999997"/>
    <m/>
    <m/>
    <m/>
    <m/>
    <m/>
    <m/>
    <m/>
    <m/>
  </r>
  <r>
    <x v="3"/>
    <x v="4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215"/>
    <s v=""/>
    <m/>
    <m/>
    <m/>
    <m/>
    <m/>
    <m/>
    <m/>
    <m/>
    <m/>
    <m/>
    <m/>
    <m/>
    <m/>
    <m/>
    <m/>
    <m/>
    <m/>
    <m/>
    <m/>
    <m/>
    <m/>
    <m/>
    <n v="0.215"/>
    <m/>
    <m/>
    <m/>
  </r>
  <r>
    <x v="3"/>
    <x v="4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19900000000000001"/>
    <s v=""/>
    <m/>
    <m/>
    <m/>
    <m/>
    <m/>
    <m/>
    <m/>
    <m/>
    <m/>
    <m/>
    <m/>
    <m/>
    <m/>
    <m/>
    <m/>
    <m/>
    <m/>
    <m/>
    <m/>
    <m/>
    <m/>
    <m/>
    <n v="0.19900000000000001"/>
    <m/>
    <m/>
    <m/>
  </r>
  <r>
    <x v="5"/>
    <x v="22"/>
    <s v="Fresh or Not Specified"/>
    <s v="Wheat Bread,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80400000000000005"/>
    <s v=""/>
    <m/>
    <m/>
    <m/>
    <m/>
    <m/>
    <m/>
    <m/>
    <m/>
    <m/>
    <m/>
    <m/>
    <m/>
    <m/>
    <m/>
    <m/>
    <m/>
    <m/>
    <m/>
    <m/>
    <m/>
    <m/>
    <m/>
    <n v="0.80400000000000005"/>
    <m/>
    <m/>
    <m/>
  </r>
  <r>
    <x v="5"/>
    <x v="22"/>
    <s v="Fresh or Not Specified"/>
    <s v="Wheat Bread,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78600000000000003"/>
    <s v=""/>
    <m/>
    <m/>
    <m/>
    <m/>
    <m/>
    <m/>
    <m/>
    <m/>
    <m/>
    <m/>
    <m/>
    <m/>
    <m/>
    <m/>
    <m/>
    <m/>
    <m/>
    <m/>
    <m/>
    <m/>
    <m/>
    <m/>
    <n v="0.78600000000000003"/>
    <m/>
    <m/>
    <m/>
  </r>
  <r>
    <x v="5"/>
    <x v="45"/>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71"/>
    <s v=""/>
    <m/>
    <m/>
    <m/>
    <m/>
    <m/>
    <m/>
    <m/>
    <m/>
    <m/>
    <m/>
    <m/>
    <m/>
    <m/>
    <m/>
    <m/>
    <m/>
    <m/>
    <m/>
    <m/>
    <m/>
    <m/>
    <m/>
    <n v="1.71"/>
    <m/>
    <m/>
    <m/>
  </r>
  <r>
    <x v="5"/>
    <x v="45"/>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62"/>
    <s v=""/>
    <m/>
    <m/>
    <m/>
    <m/>
    <m/>
    <m/>
    <m/>
    <m/>
    <m/>
    <m/>
    <m/>
    <m/>
    <m/>
    <m/>
    <m/>
    <m/>
    <m/>
    <m/>
    <m/>
    <m/>
    <m/>
    <m/>
    <n v="1.62"/>
    <m/>
    <m/>
    <m/>
  </r>
  <r>
    <x v="1"/>
    <x v="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68815592203898"/>
    <s v=""/>
    <m/>
    <m/>
    <m/>
    <m/>
    <m/>
    <m/>
    <m/>
    <m/>
    <m/>
    <m/>
    <m/>
    <m/>
    <m/>
    <m/>
    <m/>
    <m/>
    <m/>
    <m/>
    <m/>
    <m/>
    <m/>
    <m/>
    <n v="23.68815592203898"/>
    <m/>
    <m/>
    <m/>
  </r>
  <r>
    <x v="1"/>
    <x v="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286356821589202"/>
    <s v=""/>
    <m/>
    <m/>
    <m/>
    <m/>
    <m/>
    <m/>
    <m/>
    <m/>
    <m/>
    <m/>
    <m/>
    <m/>
    <m/>
    <m/>
    <m/>
    <m/>
    <m/>
    <m/>
    <m/>
    <m/>
    <m/>
    <m/>
    <n v="27.286356821589202"/>
    <m/>
    <m/>
    <m/>
  </r>
  <r>
    <x v="1"/>
    <x v="3"/>
    <s v="Fresh or Not Specified"/>
    <s v="100% suckler"/>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931034482758619"/>
    <s v=""/>
    <m/>
    <m/>
    <m/>
    <m/>
    <m/>
    <m/>
    <m/>
    <m/>
    <m/>
    <m/>
    <m/>
    <m/>
    <m/>
    <m/>
    <m/>
    <m/>
    <m/>
    <m/>
    <m/>
    <m/>
    <m/>
    <m/>
    <n v="37.931034482758619"/>
    <m/>
    <m/>
    <m/>
  </r>
  <r>
    <x v="1"/>
    <x v="3"/>
    <s v="Fresh or Not Specified"/>
    <s v="Low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38830584707646"/>
    <s v=""/>
    <m/>
    <m/>
    <m/>
    <m/>
    <m/>
    <m/>
    <m/>
    <m/>
    <m/>
    <m/>
    <m/>
    <m/>
    <m/>
    <m/>
    <m/>
    <m/>
    <m/>
    <m/>
    <m/>
    <m/>
    <m/>
    <m/>
    <n v="23.38830584707646"/>
    <m/>
    <m/>
    <m/>
  </r>
  <r>
    <x v="1"/>
    <x v="3"/>
    <s v="Fresh or Not Specified"/>
    <s v="Hill &amp; Up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587706146926532"/>
    <s v=""/>
    <m/>
    <m/>
    <m/>
    <m/>
    <m/>
    <m/>
    <m/>
    <m/>
    <m/>
    <m/>
    <m/>
    <m/>
    <m/>
    <m/>
    <m/>
    <m/>
    <m/>
    <m/>
    <m/>
    <m/>
    <m/>
    <m/>
    <n v="24.587706146926532"/>
    <m/>
    <m/>
    <m/>
  </r>
  <r>
    <x v="1"/>
    <x v="2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7242798353909468"/>
    <s v=""/>
    <m/>
    <m/>
    <m/>
    <m/>
    <m/>
    <m/>
    <m/>
    <m/>
    <m/>
    <m/>
    <m/>
    <m/>
    <m/>
    <m/>
    <m/>
    <m/>
    <m/>
    <m/>
    <m/>
    <m/>
    <m/>
    <m/>
    <n v="8.7242798353909468"/>
    <m/>
    <m/>
    <m/>
  </r>
  <r>
    <x v="1"/>
    <x v="2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7366255144032916"/>
    <s v=""/>
    <m/>
    <m/>
    <m/>
    <m/>
    <m/>
    <m/>
    <m/>
    <m/>
    <m/>
    <m/>
    <m/>
    <m/>
    <m/>
    <m/>
    <m/>
    <m/>
    <m/>
    <m/>
    <m/>
    <m/>
    <m/>
    <m/>
    <n v="7.7366255144032916"/>
    <m/>
    <m/>
    <m/>
  </r>
  <r>
    <x v="1"/>
    <x v="23"/>
    <s v="Fresh or Not Specified"/>
    <s v="Heavier finish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401920438957475"/>
    <s v=""/>
    <m/>
    <m/>
    <m/>
    <m/>
    <m/>
    <m/>
    <m/>
    <m/>
    <m/>
    <m/>
    <m/>
    <m/>
    <m/>
    <m/>
    <m/>
    <m/>
    <m/>
    <m/>
    <m/>
    <m/>
    <m/>
    <m/>
    <n v="8.3401920438957475"/>
    <m/>
    <m/>
    <m/>
  </r>
  <r>
    <x v="1"/>
    <x v="23"/>
    <s v="Fresh or Not Specified"/>
    <s v="In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8065843621399171"/>
    <s v=""/>
    <m/>
    <m/>
    <m/>
    <m/>
    <m/>
    <m/>
    <m/>
    <m/>
    <m/>
    <m/>
    <m/>
    <m/>
    <m/>
    <m/>
    <m/>
    <m/>
    <m/>
    <m/>
    <m/>
    <m/>
    <m/>
    <m/>
    <n v="8.8065843621399171"/>
    <m/>
    <m/>
    <m/>
  </r>
  <r>
    <x v="1"/>
    <x v="23"/>
    <s v="Fresh or Not Specified"/>
    <s v="Out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6831275720164616"/>
    <s v=""/>
    <m/>
    <m/>
    <m/>
    <m/>
    <m/>
    <m/>
    <m/>
    <m/>
    <m/>
    <m/>
    <m/>
    <m/>
    <m/>
    <m/>
    <m/>
    <m/>
    <m/>
    <m/>
    <m/>
    <m/>
    <m/>
    <m/>
    <n v="8.6831275720164616"/>
    <m/>
    <m/>
    <m/>
  </r>
  <r>
    <x v="1"/>
    <x v="2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5.9350649350649354"/>
    <s v=""/>
    <m/>
    <m/>
    <m/>
    <m/>
    <m/>
    <m/>
    <m/>
    <m/>
    <m/>
    <m/>
    <m/>
    <m/>
    <m/>
    <m/>
    <m/>
    <m/>
    <m/>
    <m/>
    <m/>
    <m/>
    <m/>
    <m/>
    <n v="5.9350649350649354"/>
    <m/>
    <m/>
    <m/>
  </r>
  <r>
    <x v="1"/>
    <x v="2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8.6753246753246742"/>
    <s v=""/>
    <m/>
    <m/>
    <m/>
    <m/>
    <m/>
    <m/>
    <m/>
    <m/>
    <m/>
    <m/>
    <m/>
    <m/>
    <m/>
    <m/>
    <m/>
    <m/>
    <m/>
    <m/>
    <m/>
    <m/>
    <m/>
    <m/>
    <n v="8.6753246753246742"/>
    <m/>
    <m/>
    <m/>
  </r>
  <r>
    <x v="1"/>
    <x v="24"/>
    <s v="Fresh or Not Specified"/>
    <s v="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7.116883116883117"/>
    <s v=""/>
    <m/>
    <m/>
    <m/>
    <m/>
    <m/>
    <m/>
    <m/>
    <m/>
    <m/>
    <m/>
    <m/>
    <m/>
    <m/>
    <m/>
    <m/>
    <m/>
    <m/>
    <m/>
    <m/>
    <m/>
    <m/>
    <m/>
    <n v="7.116883116883117"/>
    <m/>
    <m/>
    <m/>
  </r>
  <r>
    <x v="1"/>
    <x v="1"/>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595744680851062"/>
    <s v=""/>
    <m/>
    <m/>
    <m/>
    <m/>
    <m/>
    <m/>
    <m/>
    <m/>
    <m/>
    <m/>
    <m/>
    <m/>
    <m/>
    <m/>
    <m/>
    <m/>
    <m/>
    <m/>
    <m/>
    <m/>
    <m/>
    <m/>
    <n v="26.595744680851062"/>
    <m/>
    <m/>
    <m/>
  </r>
  <r>
    <x v="1"/>
    <x v="1"/>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349544072948326"/>
    <s v=""/>
    <m/>
    <m/>
    <m/>
    <m/>
    <m/>
    <m/>
    <m/>
    <m/>
    <m/>
    <m/>
    <m/>
    <m/>
    <m/>
    <m/>
    <m/>
    <m/>
    <m/>
    <m/>
    <m/>
    <m/>
    <m/>
    <m/>
    <n v="15.349544072948326"/>
    <m/>
    <m/>
    <m/>
  </r>
  <r>
    <x v="2"/>
    <x v="2"/>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53"/>
    <s v=""/>
    <m/>
    <m/>
    <m/>
    <m/>
    <m/>
    <m/>
    <m/>
    <m/>
    <m/>
    <m/>
    <m/>
    <m/>
    <m/>
    <m/>
    <m/>
    <m/>
    <m/>
    <m/>
    <m/>
    <m/>
    <m/>
    <m/>
    <n v="5.53"/>
    <m/>
    <m/>
    <m/>
  </r>
  <r>
    <x v="2"/>
    <x v="2"/>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7"/>
    <s v=""/>
    <m/>
    <m/>
    <m/>
    <m/>
    <m/>
    <m/>
    <m/>
    <m/>
    <m/>
    <m/>
    <m/>
    <m/>
    <m/>
    <m/>
    <m/>
    <m/>
    <m/>
    <m/>
    <m/>
    <m/>
    <m/>
    <m/>
    <n v="7"/>
    <m/>
    <m/>
    <m/>
  </r>
  <r>
    <x v="2"/>
    <x v="2"/>
    <s v="Fresh or Not Specified"/>
    <s v="100% ca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25"/>
    <s v=""/>
    <m/>
    <m/>
    <m/>
    <m/>
    <m/>
    <m/>
    <m/>
    <m/>
    <m/>
    <m/>
    <m/>
    <m/>
    <m/>
    <m/>
    <m/>
    <m/>
    <m/>
    <m/>
    <m/>
    <m/>
    <m/>
    <m/>
    <n v="5.25"/>
    <m/>
    <m/>
    <m/>
  </r>
  <r>
    <x v="2"/>
    <x v="2"/>
    <s v="Fresh or Not Specified"/>
    <s v="100% 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6.18"/>
    <s v=""/>
    <m/>
    <m/>
    <m/>
    <m/>
    <m/>
    <m/>
    <m/>
    <m/>
    <m/>
    <m/>
    <m/>
    <m/>
    <m/>
    <m/>
    <m/>
    <m/>
    <m/>
    <m/>
    <m/>
    <m/>
    <m/>
    <m/>
    <n v="6.18"/>
    <m/>
    <m/>
    <m/>
  </r>
  <r>
    <x v="0"/>
    <x v="0"/>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6"/>
    <s v=""/>
    <m/>
    <m/>
    <m/>
    <m/>
    <m/>
    <m/>
    <m/>
    <m/>
    <m/>
    <m/>
    <m/>
    <m/>
    <m/>
    <m/>
    <m/>
    <m/>
    <m/>
    <m/>
    <m/>
    <m/>
    <m/>
    <m/>
    <n v="10.6"/>
    <m/>
    <m/>
    <m/>
  </r>
  <r>
    <x v="0"/>
    <x v="0"/>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2.3"/>
    <s v=""/>
    <m/>
    <m/>
    <m/>
    <m/>
    <m/>
    <m/>
    <m/>
    <m/>
    <m/>
    <m/>
    <m/>
    <m/>
    <m/>
    <m/>
    <m/>
    <m/>
    <m/>
    <m/>
    <m/>
    <m/>
    <m/>
    <m/>
    <n v="12.3"/>
    <m/>
    <m/>
    <m/>
  </r>
  <r>
    <x v="0"/>
    <x v="0"/>
    <s v="Fresh or Not Specified"/>
    <s v="20% autumn calving her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3"/>
    <s v=""/>
    <m/>
    <m/>
    <m/>
    <m/>
    <m/>
    <m/>
    <m/>
    <m/>
    <m/>
    <m/>
    <m/>
    <m/>
    <m/>
    <m/>
    <m/>
    <m/>
    <m/>
    <m/>
    <m/>
    <m/>
    <m/>
    <m/>
    <n v="10.3"/>
    <m/>
    <m/>
    <m/>
  </r>
  <r>
    <x v="3"/>
    <x v="18"/>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7.5"/>
    <s v=""/>
    <m/>
    <m/>
    <m/>
    <m/>
    <m/>
    <m/>
    <m/>
    <m/>
    <m/>
    <m/>
    <m/>
    <m/>
    <m/>
    <m/>
    <m/>
    <m/>
    <m/>
    <m/>
    <m/>
    <m/>
    <m/>
    <m/>
    <n v="17.5"/>
    <m/>
    <m/>
    <m/>
  </r>
  <r>
    <x v="3"/>
    <x v="18"/>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m/>
    <m/>
  </r>
  <r>
    <x v="3"/>
    <x v="18"/>
    <s v="Fresh or Not Specified"/>
    <s v="Nutrient Film Techniqu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m/>
    <m/>
  </r>
  <r>
    <x v="3"/>
    <x v="18"/>
    <s v="Fresh or Not Specified"/>
    <s v="Rockwool bas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2.2"/>
    <s v=""/>
    <m/>
    <m/>
    <m/>
    <m/>
    <m/>
    <m/>
    <m/>
    <m/>
    <m/>
    <m/>
    <m/>
    <m/>
    <m/>
    <m/>
    <m/>
    <m/>
    <m/>
    <m/>
    <m/>
    <m/>
    <m/>
    <m/>
    <n v="12.2"/>
    <m/>
    <m/>
    <m/>
  </r>
  <r>
    <x v="5"/>
    <x v="22"/>
    <s v="Fresh or Not Specified"/>
    <s v="Rye Bread on Industrial Scale"/>
    <s v="Yes"/>
    <s v="Denmark"/>
    <n v="2014"/>
    <s v="Jan Stentoft Arlbjørn; Jesper Kronborg Jensen"/>
    <s v="University of Southern Denmark, Department of Entrepreneurship and Relationship Management"/>
    <s v="Peer Reviewed Journal"/>
    <s v="Jensen, J. K. and Arlbjørn, J. S., Product carbon footprint of rye bread. Journal of Cleaner Production 2014, 82, 45-57."/>
    <s v="Yes"/>
    <s v="No"/>
    <s v="Yes"/>
    <s v="Yes"/>
    <s v="Yes"/>
    <s v="Yes"/>
    <s v="Yes"/>
    <s v="No"/>
    <s v="No"/>
    <s v="No"/>
    <s v="No"/>
    <s v="No"/>
    <m/>
    <s v="Cradle to Grave"/>
    <s v="Yes"/>
    <s v="No"/>
    <s v="1 kg rye bread"/>
    <s v="N/A"/>
    <s v=""/>
    <s v=""/>
    <s v=""/>
    <s v=""/>
    <m/>
    <m/>
    <m/>
    <m/>
    <m/>
    <m/>
    <m/>
    <m/>
    <m/>
    <m/>
    <m/>
    <m/>
    <m/>
    <m/>
    <m/>
    <m/>
    <m/>
    <m/>
    <m/>
    <m/>
    <m/>
    <m/>
    <m/>
    <n v="0.47799999999999998"/>
    <m/>
    <s v="IPCC (2007)"/>
  </r>
  <r>
    <x v="8"/>
    <x v="46"/>
    <s v="Fresh or Not Specified"/>
    <s v="Palm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m/>
    <s v="Incl. LUC, IPCC (2006)"/>
  </r>
  <r>
    <x v="8"/>
    <x v="47"/>
    <s v="Fresh or Not Specified"/>
    <s v="Soybean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m/>
    <s v="Incl. LUC, IPCC (2006)"/>
  </r>
  <r>
    <x v="8"/>
    <x v="48"/>
    <s v="Fresh or Not Specified"/>
    <s v="Rapeseed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0.05"/>
    <m/>
    <s v="Incl. LUC, IPCC (2006)"/>
  </r>
  <r>
    <x v="8"/>
    <x v="49"/>
    <s v="Fresh or Not Specified"/>
    <s v="Sunflower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3.9"/>
    <m/>
    <s v="Incl. LUC, IPCC (2006)"/>
  </r>
  <r>
    <x v="8"/>
    <x v="50"/>
    <s v="Fresh or Not Specified"/>
    <s v="Peanut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6"/>
    <m/>
    <s v="Incl. LUC, IPCC (2006)"/>
  </r>
  <r>
    <x v="8"/>
    <x v="51"/>
    <s v="Fresh or Not Specified"/>
    <s v="Olive Oil"/>
    <s v="No"/>
    <s v="Cyprus"/>
    <n v="2007"/>
    <s v="M. Avraamides; D. Fatta"/>
    <s v="Department of Civil and Environmental Engineering, University of Cyprus, 75 Kallipoleos Street, 1678 Nicosia, Cyprus"/>
    <s v="Peer Reviewed Journal"/>
    <s v="Avraamides, M. and Fatta, D., Resource consumption and emissions from olive oil production: a life cycle inventory case study in Cyprus. Journal of Cleaner Production 2008, 16 (7), 809-821."/>
    <s v="Yes"/>
    <s v="No"/>
    <s v="Yes"/>
    <s v="Yes"/>
    <s v="No"/>
    <s v="No"/>
    <s v="Yes"/>
    <s v="No"/>
    <s v="No"/>
    <s v="No"/>
    <s v="No"/>
    <s v="No"/>
    <m/>
    <s v="Cradle to Refinery Gate"/>
    <s v="No"/>
    <s v="No"/>
    <s v="1 Liter EVOO extracted"/>
    <s v="reported value / .001 m3 / density of EVOO (920 kg/m3)"/>
    <n v="19.81304347826087"/>
    <n v="22.616086956521741"/>
    <n v="3.9130434782608696"/>
    <n v="4.1706521739130435"/>
    <n v="19.81304347826087"/>
    <m/>
    <n v="2.8030434782608697"/>
    <m/>
    <m/>
    <m/>
    <m/>
    <m/>
    <m/>
    <n v="19.81304347826087"/>
    <n v="22.616086956521741"/>
    <m/>
    <m/>
    <n v="3.9130434782608696"/>
    <m/>
    <n v="0.25760869565217387"/>
    <m/>
    <m/>
    <m/>
    <m/>
    <m/>
    <m/>
    <n v="3.9130434782608696"/>
    <n v="4.1706521739130435"/>
    <m/>
    <m/>
  </r>
  <r>
    <x v="8"/>
    <x v="49"/>
    <s v="Fresh or Not Specified"/>
    <s v="Sunflower Oil"/>
    <s v="No"/>
    <s v="Italy"/>
    <n v="2014"/>
    <s v="(a) Benedetta Nucci; (a) Monica Puccini; (b) Luigi Pelagagge; (a) Sandra Vitolo; (a) Cristiano Nicolella"/>
    <s v="(a) Department of Civil and Industrial Engineering, University of Pisa, Largo Lucio Lazzarino 1, 56122 Pisa, Italy; (b) SALOV e Società Alimentare Lucchese Oli e Vini S.p.A., Via Montramito 1600, 55040 Massarosa, Italy"/>
    <s v="Peer Reviewed Journal"/>
    <s v=" Nucci, B., Puccini, M., Pelagagge, L., Vitolo, S. and Nicolella, C., Improving the environmental performance of vegetable oil processing through LCA. Journal of Cleaner Production 2014, 64, 310-322."/>
    <s v="Yes"/>
    <s v="No"/>
    <s v="Yes"/>
    <s v="Yes"/>
    <s v="Yes"/>
    <s v="Yes"/>
    <s v="Yes"/>
    <s v="No"/>
    <s v="No"/>
    <s v="No"/>
    <s v="Yes"/>
    <s v="No"/>
    <m/>
    <s v="Cradle to Grave"/>
    <s v="No"/>
    <s v="No"/>
    <s v="1 L of sunflower oil refined and packaged"/>
    <s v="reported value / .001 m3 / density of Sun Oil (920 kg/m3)"/>
    <s v=""/>
    <s v=""/>
    <s v=""/>
    <s v=""/>
    <m/>
    <m/>
    <m/>
    <m/>
    <m/>
    <m/>
    <m/>
    <m/>
    <m/>
    <m/>
    <n v="3.2608695652173911"/>
    <m/>
    <m/>
    <m/>
    <m/>
    <m/>
    <m/>
    <m/>
    <m/>
    <m/>
    <m/>
    <m/>
    <m/>
    <m/>
    <m/>
    <m/>
  </r>
  <r>
    <x v="8"/>
    <x v="51"/>
    <s v="Fresh or Not Specified"/>
    <s v="Olive Oil, Scenario 1A"/>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760 liters of oil: reported value*(4000kg/760L)/.001m3/density (920kg/m3)"/>
    <s v=""/>
    <s v=""/>
    <n v="2.5921167048054916"/>
    <n v="2.751716247139588"/>
    <m/>
    <m/>
    <m/>
    <m/>
    <m/>
    <m/>
    <m/>
    <m/>
    <m/>
    <m/>
    <m/>
    <m/>
    <m/>
    <n v="2.5921167048054916"/>
    <m/>
    <n v="0.15959954233409623"/>
    <m/>
    <m/>
    <m/>
    <m/>
    <m/>
    <m/>
    <n v="2.5921167048054916"/>
    <n v="2.751716247139588"/>
    <m/>
    <s v="kg CO2 / kg olive oil, CML 2 baseline 2000"/>
  </r>
  <r>
    <x v="8"/>
    <x v="51"/>
    <s v="Fresh or Not Specified"/>
    <s v="Olive Oil, Scenario 4B"/>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n v="2.3910434782608694"/>
    <n v="2.695652173913043"/>
    <m/>
    <m/>
    <m/>
    <m/>
    <m/>
    <m/>
    <m/>
    <m/>
    <m/>
    <m/>
    <m/>
    <m/>
    <m/>
    <n v="2.3910434782608694"/>
    <m/>
    <n v="0.30460869565217386"/>
    <m/>
    <m/>
    <m/>
    <m/>
    <m/>
    <m/>
    <n v="2.3910434782608694"/>
    <n v="2.6956521739130435"/>
    <m/>
    <s v="kg CO2 / kg olive oil, CML 2 baseline 2003"/>
  </r>
  <r>
    <x v="8"/>
    <x v="51"/>
    <s v="Fresh or Not Specified"/>
    <s v="Olive Oil, Scenario 5C"/>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s v=""/>
    <s v=""/>
    <m/>
    <m/>
    <m/>
    <m/>
    <m/>
    <m/>
    <m/>
    <m/>
    <m/>
    <m/>
    <m/>
    <m/>
    <m/>
    <m/>
    <m/>
    <m/>
    <m/>
    <m/>
    <m/>
    <m/>
    <m/>
    <m/>
    <m/>
    <n v="-2.6739130434782612"/>
    <m/>
    <s v="kg CO2 / kg olive oil, CML 2 baseline 2004"/>
  </r>
  <r>
    <x v="8"/>
    <x v="51"/>
    <s v="Fresh or Not Specified"/>
    <s v="Olive Oil, Scenario 8D"/>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2000kg olives makes 400 liters of oil: reported value*(2000kg/400L)/.001m3/density (920kg/m3)"/>
    <s v=""/>
    <s v=""/>
    <s v=""/>
    <s v=""/>
    <m/>
    <m/>
    <m/>
    <m/>
    <m/>
    <m/>
    <m/>
    <m/>
    <m/>
    <m/>
    <m/>
    <m/>
    <m/>
    <m/>
    <m/>
    <m/>
    <m/>
    <m/>
    <m/>
    <m/>
    <m/>
    <m/>
    <m/>
    <n v="-3.4347826086956519"/>
    <m/>
    <s v="kg CO2 / kg olive oil, CML 2 baseline 2007"/>
  </r>
  <r>
    <x v="1"/>
    <x v="23"/>
    <s v="Fresh or Not Specified"/>
    <s v="National Pork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729*carcass weight"/>
    <s v=""/>
    <s v=""/>
    <n v="4.6639231824417013"/>
    <s v=""/>
    <m/>
    <m/>
    <m/>
    <m/>
    <m/>
    <m/>
    <m/>
    <m/>
    <m/>
    <m/>
    <m/>
    <m/>
    <m/>
    <m/>
    <m/>
    <m/>
    <m/>
    <m/>
    <m/>
    <m/>
    <m/>
    <m/>
    <n v="4.6639231824417013"/>
    <m/>
    <m/>
    <s v="IPCC 2006"/>
  </r>
  <r>
    <x v="1"/>
    <x v="3"/>
    <s v="Fresh or Not Specified"/>
    <s v="National Beef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9.685157421289354"/>
    <s v=""/>
    <m/>
    <m/>
    <m/>
    <m/>
    <m/>
    <m/>
    <m/>
    <m/>
    <m/>
    <m/>
    <m/>
    <m/>
    <m/>
    <m/>
    <m/>
    <m/>
    <m/>
    <m/>
    <m/>
    <m/>
    <m/>
    <m/>
    <n v="29.685157421289354"/>
    <m/>
    <m/>
    <s v="IPCC 2006"/>
  </r>
  <r>
    <x v="0"/>
    <x v="0"/>
    <s v="Fresh or Not Specified"/>
    <s v="Energy Corrected Milk, Sweden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milk"/>
    <m/>
    <s v=""/>
    <s v=""/>
    <n v="1.02"/>
    <s v=""/>
    <m/>
    <m/>
    <m/>
    <m/>
    <m/>
    <m/>
    <m/>
    <m/>
    <m/>
    <m/>
    <m/>
    <m/>
    <m/>
    <m/>
    <m/>
    <m/>
    <m/>
    <m/>
    <m/>
    <m/>
    <m/>
    <m/>
    <n v="1.02"/>
    <m/>
    <m/>
    <s v="IPCC 2006"/>
  </r>
  <r>
    <x v="1"/>
    <x v="24"/>
    <s v="Fresh or Not Specified"/>
    <s v="National Chicken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8485757121439277"/>
    <s v=""/>
    <m/>
    <m/>
    <m/>
    <m/>
    <m/>
    <m/>
    <m/>
    <m/>
    <m/>
    <m/>
    <m/>
    <m/>
    <m/>
    <m/>
    <m/>
    <m/>
    <m/>
    <m/>
    <m/>
    <m/>
    <m/>
    <m/>
    <n v="2.8485757121439277"/>
    <m/>
    <m/>
    <s v="IPCC 2006"/>
  </r>
  <r>
    <x v="9"/>
    <x v="52"/>
    <s v="Fresh or Not Specified"/>
    <s v="Honey Production in the US"/>
    <s v="No"/>
    <s v="USA"/>
    <n v="2012"/>
    <s v="(a) Alissa Kendall; (b) Juhong Yuan; (c) Sonja B. Brodt"/>
    <s v="(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
    <m/>
    <s v="Kendall, A., Yuan, J. and Brodt, S. B., Carbon footprint and air emissions inventories for US honey production: Case studies. International Journal of Life Cycle Assessment 2013, 18 (2), 392-400."/>
    <s v="Yes"/>
    <s v="No"/>
    <s v="Yes"/>
    <s v="Yes"/>
    <s v="No"/>
    <s v="No"/>
    <s v="No"/>
    <s v="No"/>
    <s v="No"/>
    <s v="No"/>
    <s v="No"/>
    <s v="No"/>
    <m/>
    <s v="Starts at hive management (not construction) through processing"/>
    <s v="No"/>
    <s v="No"/>
    <s v="1 kg of processed honey"/>
    <s v="None"/>
    <s v=""/>
    <s v=""/>
    <s v=""/>
    <s v=""/>
    <m/>
    <m/>
    <m/>
    <m/>
    <m/>
    <m/>
    <m/>
    <m/>
    <m/>
    <m/>
    <m/>
    <m/>
    <m/>
    <m/>
    <m/>
    <m/>
    <m/>
    <m/>
    <m/>
    <m/>
    <m/>
    <m/>
    <m/>
    <n v="0.81"/>
    <s v="Range 0.39 - 1.39"/>
    <s v="IPCC, 2007"/>
  </r>
  <r>
    <x v="4"/>
    <x v="53"/>
    <s v="Fresh or Not Specified"/>
    <s v="Wine Grapes in Napa California"/>
    <s v="Yes"/>
    <s v="USA, Napa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6.5289999999999999"/>
    <m/>
    <m/>
    <m/>
    <m/>
    <m/>
    <m/>
    <m/>
    <m/>
    <m/>
    <m/>
    <m/>
    <m/>
    <n v="0.45600000000000002"/>
    <m/>
    <s v="IPCC, 2006"/>
  </r>
  <r>
    <x v="4"/>
    <x v="53"/>
    <s v="Fresh or Not Specified"/>
    <s v="Wine Grapes in Lodi California"/>
    <s v="Yes"/>
    <s v="USA, Lodi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2.7589999999999999"/>
    <m/>
    <m/>
    <m/>
    <m/>
    <m/>
    <m/>
    <m/>
    <m/>
    <m/>
    <m/>
    <m/>
    <m/>
    <n v="0.20300000000000001"/>
    <m/>
    <s v="IPCC, 2006"/>
  </r>
  <r>
    <x v="3"/>
    <x v="44"/>
    <s v="Fresh or Not Specified"/>
    <s v="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26"/>
    <s v=""/>
    <m/>
    <m/>
    <m/>
    <m/>
    <m/>
    <m/>
    <m/>
    <m/>
    <m/>
    <m/>
    <m/>
    <m/>
    <m/>
    <n v="0.126"/>
    <m/>
    <m/>
    <m/>
    <n v="6.8000000000000005E-2"/>
    <m/>
    <m/>
    <m/>
    <m/>
    <n v="0.126"/>
    <n v="0.19400000000000001"/>
    <m/>
    <m/>
  </r>
  <r>
    <x v="3"/>
    <x v="44"/>
    <s v="Fresh or Not Specified"/>
    <s v="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4499999999999999"/>
    <s v=""/>
    <m/>
    <m/>
    <m/>
    <m/>
    <m/>
    <m/>
    <m/>
    <m/>
    <m/>
    <m/>
    <m/>
    <m/>
    <m/>
    <n v="0.14499999999999999"/>
    <m/>
    <m/>
    <m/>
    <n v="4.2000000000000003E-2"/>
    <m/>
    <m/>
    <m/>
    <m/>
    <n v="0.14499999999999999"/>
    <n v="0.187"/>
    <m/>
    <m/>
  </r>
  <r>
    <x v="3"/>
    <x v="54"/>
    <s v="Fresh or Not Specified"/>
    <s v="Peel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51"/>
    <n v="0.17799999999999999"/>
    <m/>
    <m/>
    <m/>
    <m/>
    <m/>
    <m/>
    <m/>
    <m/>
    <m/>
    <m/>
    <m/>
    <m/>
    <m/>
    <n v="0.151"/>
    <m/>
    <n v="2.7E-2"/>
    <m/>
    <n v="6.9000000000000006E-2"/>
    <m/>
    <m/>
    <m/>
    <m/>
    <n v="0.151"/>
    <n v="0.247"/>
    <m/>
    <m/>
  </r>
  <r>
    <x v="3"/>
    <x v="54"/>
    <s v="Fresh or Not Specified"/>
    <s v="Peel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7399999999999999"/>
    <n v="0.20099999999999998"/>
    <m/>
    <m/>
    <m/>
    <m/>
    <m/>
    <m/>
    <m/>
    <m/>
    <m/>
    <m/>
    <m/>
    <m/>
    <m/>
    <n v="0.17399999999999999"/>
    <m/>
    <n v="2.7E-2"/>
    <m/>
    <n v="6.0999999999999999E-2"/>
    <m/>
    <m/>
    <m/>
    <m/>
    <n v="0.17399999999999999"/>
    <n v="0.26200000000000001"/>
    <m/>
    <m/>
  </r>
  <r>
    <x v="3"/>
    <x v="55"/>
    <s v="Fresh or Not Specified"/>
    <s v="Mash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82899999999999996"/>
    <n v="2.7759999999999998"/>
    <m/>
    <m/>
    <m/>
    <m/>
    <m/>
    <m/>
    <m/>
    <m/>
    <m/>
    <m/>
    <m/>
    <m/>
    <m/>
    <n v="0.82899999999999996"/>
    <m/>
    <n v="1.9470000000000001"/>
    <m/>
    <n v="0.41499999999999998"/>
    <m/>
    <m/>
    <m/>
    <m/>
    <n v="0.82899999999999996"/>
    <n v="3.1920000000000002"/>
    <m/>
    <m/>
  </r>
  <r>
    <x v="3"/>
    <x v="55"/>
    <s v="Fresh or Not Specified"/>
    <s v="Mash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95499999999999996"/>
    <n v="2.9020000000000001"/>
    <m/>
    <m/>
    <m/>
    <m/>
    <m/>
    <m/>
    <m/>
    <m/>
    <m/>
    <m/>
    <m/>
    <m/>
    <m/>
    <n v="0.95499999999999996"/>
    <m/>
    <n v="1.9470000000000001"/>
    <m/>
    <n v="0.29899999999999999"/>
    <m/>
    <m/>
    <m/>
    <m/>
    <n v="0.95499999999999996"/>
    <n v="3.2010000000000001"/>
    <m/>
    <m/>
  </r>
  <r>
    <x v="10"/>
    <x v="56"/>
    <s v="Fresh or Not Specified"/>
    <s v="Potato chips - organic"/>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44"/>
    <n v="1.72"/>
    <m/>
    <m/>
    <m/>
    <m/>
    <m/>
    <m/>
    <m/>
    <m/>
    <m/>
    <m/>
    <m/>
    <m/>
    <m/>
    <n v="0.44"/>
    <m/>
    <n v="1.28"/>
    <m/>
    <n v="0.55200000000000005"/>
    <m/>
    <m/>
    <m/>
    <m/>
    <n v="0.44"/>
    <n v="2.2709999999999999"/>
    <m/>
    <m/>
  </r>
  <r>
    <x v="3"/>
    <x v="44"/>
    <s v="Fresh or Not Specified"/>
    <s v="Potato chips - conventional"/>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50600000000000001"/>
    <n v="1.786"/>
    <m/>
    <m/>
    <m/>
    <m/>
    <m/>
    <m/>
    <m/>
    <m/>
    <m/>
    <m/>
    <m/>
    <m/>
    <m/>
    <n v="0.50600000000000001"/>
    <m/>
    <n v="1.28"/>
    <m/>
    <n v="0.28599999999999998"/>
    <m/>
    <m/>
    <m/>
    <m/>
    <n v="0.50600000000000001"/>
    <n v="2.0720000000000001"/>
    <m/>
    <m/>
  </r>
  <r>
    <x v="3"/>
    <x v="44"/>
    <s v="Fresh or Not Specified"/>
    <s v="King Edward table potatoes, Ostergotland"/>
    <s v="No"/>
    <s v="Sweden"/>
    <n v="2010"/>
    <s v="Elin Röös; Cecilia Sundberg; Per-Anders Hansson"/>
    <s v="Department of Energy and Technology, Swedish University of Agricultural Sciences, P.O. Box 7032, 750 07 Uppsala, Sweden"/>
    <s v="Peer Reviewed Journal"/>
    <s v="Röös, E., Sundberg, C. and Hansson, P. A., Uncertainties in the carbon footprint of food products: A case study on table potatoes. International Journal of Life Cycle Assessment 2010, 15 (5), 478-488."/>
    <s v="Yes"/>
    <s v="No"/>
    <s v="Yes"/>
    <s v="No"/>
    <s v="Yes"/>
    <s v="Yes"/>
    <s v="No"/>
    <s v="No"/>
    <s v="No"/>
    <s v="No"/>
    <s v="No"/>
    <s v="Yes"/>
    <m/>
    <s v="Cradle to Retail"/>
    <s v="Yes"/>
    <s v="No"/>
    <s v="1 kg table potatoes in 2 kg bag"/>
    <s v="none"/>
    <s v=""/>
    <s v=""/>
    <s v=""/>
    <s v=""/>
    <m/>
    <m/>
    <m/>
    <m/>
    <m/>
    <m/>
    <m/>
    <m/>
    <m/>
    <m/>
    <m/>
    <m/>
    <m/>
    <m/>
    <m/>
    <m/>
    <m/>
    <m/>
    <m/>
    <m/>
    <m/>
    <m/>
    <m/>
    <n v="0.12"/>
    <s v="0.1-0.16"/>
    <s v="IPCC 2006, Ecoinvent 2007"/>
  </r>
  <r>
    <x v="3"/>
    <x v="57"/>
    <s v="Fresh or Not Specified"/>
    <s v="Organic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0"/>
    <s v=""/>
    <s v=""/>
    <n v="0.12819999999999998"/>
    <s v=""/>
    <m/>
    <m/>
    <m/>
    <m/>
    <m/>
    <m/>
    <m/>
    <m/>
    <m/>
    <m/>
    <m/>
    <m/>
    <m/>
    <m/>
    <m/>
    <m/>
    <m/>
    <m/>
    <m/>
    <m/>
    <m/>
    <m/>
    <n v="0.12819999999999998"/>
    <m/>
    <m/>
    <s v="IPCC 2013"/>
  </r>
  <r>
    <x v="3"/>
    <x v="57"/>
    <s v="Fresh or Not Specified"/>
    <s v="Conventional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1"/>
    <s v=""/>
    <s v=""/>
    <n v="6.3100000000000003E-2"/>
    <s v=""/>
    <m/>
    <m/>
    <m/>
    <m/>
    <m/>
    <m/>
    <m/>
    <m/>
    <m/>
    <m/>
    <m/>
    <m/>
    <m/>
    <m/>
    <m/>
    <m/>
    <m/>
    <m/>
    <m/>
    <m/>
    <m/>
    <m/>
    <n v="6.3100000000000003E-2"/>
    <m/>
    <m/>
    <s v="IPCC 2013"/>
  </r>
  <r>
    <x v="5"/>
    <x v="58"/>
    <s v="Fresh or Not Specified"/>
    <s v="Open Field Barley"/>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barley"/>
    <m/>
    <s v=""/>
    <s v=""/>
    <n v="0.17100000000000001"/>
    <s v=""/>
    <m/>
    <m/>
    <m/>
    <m/>
    <m/>
    <m/>
    <m/>
    <m/>
    <m/>
    <m/>
    <m/>
    <m/>
    <m/>
    <m/>
    <m/>
    <m/>
    <m/>
    <m/>
    <m/>
    <m/>
    <m/>
    <m/>
    <n v="0.17100000000000001"/>
    <m/>
    <m/>
    <s v="IPCC 2006, Eccoinvent v3.1, Hischier et. al., Ga Bi software"/>
  </r>
  <r>
    <x v="3"/>
    <x v="59"/>
    <s v="Fresh or Not Specified"/>
    <s v="Standard Greenhouse"/>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2500000000000001"/>
    <s v=""/>
    <m/>
    <m/>
    <m/>
    <m/>
    <m/>
    <m/>
    <m/>
    <m/>
    <m/>
    <m/>
    <m/>
    <m/>
    <m/>
    <m/>
    <m/>
    <m/>
    <m/>
    <m/>
    <m/>
    <m/>
    <m/>
    <m/>
    <n v="0.22500000000000001"/>
    <m/>
    <m/>
    <s v="IPCC 2006, Eccoinvent v3.1, Hischier et. al., Ga Bi software"/>
  </r>
  <r>
    <x v="3"/>
    <x v="57"/>
    <s v="Fresh or Not Specified"/>
    <s v="Open Field Lettuc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4299999999999999"/>
    <s v=""/>
    <m/>
    <m/>
    <m/>
    <m/>
    <m/>
    <m/>
    <m/>
    <m/>
    <m/>
    <m/>
    <m/>
    <m/>
    <m/>
    <m/>
    <m/>
    <m/>
    <m/>
    <m/>
    <m/>
    <m/>
    <m/>
    <m/>
    <n v="0.24299999999999999"/>
    <m/>
    <m/>
    <s v="IPCC 2006, Eccoinvent v3.1, Hischier et. al., Ga Bi software"/>
  </r>
  <r>
    <x v="3"/>
    <x v="59"/>
    <s v="Fresh or Not Specified"/>
    <s v="Standard Greenhous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0499999999999999"/>
    <s v=""/>
    <m/>
    <m/>
    <m/>
    <m/>
    <m/>
    <m/>
    <m/>
    <m/>
    <m/>
    <m/>
    <m/>
    <m/>
    <m/>
    <m/>
    <m/>
    <m/>
    <m/>
    <m/>
    <m/>
    <m/>
    <m/>
    <m/>
    <n v="0.20499999999999999"/>
    <m/>
    <m/>
    <s v="IPCC 2006, Eccoinvent v3.1, Hischier et. al., Ga Bi software"/>
  </r>
  <r>
    <x v="3"/>
    <x v="57"/>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s v="/1000"/>
    <s v=""/>
    <s v=""/>
    <n v="2.5000000000000001E-2"/>
    <s v=""/>
    <m/>
    <m/>
    <m/>
    <m/>
    <m/>
    <m/>
    <m/>
    <m/>
    <m/>
    <m/>
    <m/>
    <m/>
    <m/>
    <m/>
    <m/>
    <m/>
    <m/>
    <m/>
    <m/>
    <m/>
    <m/>
    <m/>
    <n v="2.5000000000000001E-2"/>
    <m/>
    <m/>
    <m/>
  </r>
  <r>
    <x v="3"/>
    <x v="57"/>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6700000000000003E-2"/>
    <s v=""/>
    <m/>
    <m/>
    <m/>
    <m/>
    <m/>
    <m/>
    <m/>
    <m/>
    <m/>
    <m/>
    <m/>
    <m/>
    <m/>
    <m/>
    <m/>
    <m/>
    <m/>
    <m/>
    <m/>
    <m/>
    <m/>
    <m/>
    <n v="3.6700000000000003E-2"/>
    <m/>
    <m/>
    <m/>
  </r>
  <r>
    <x v="3"/>
    <x v="57"/>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5799999999999998E-2"/>
    <s v=""/>
    <m/>
    <m/>
    <m/>
    <m/>
    <m/>
    <m/>
    <m/>
    <m/>
    <m/>
    <m/>
    <m/>
    <m/>
    <m/>
    <m/>
    <m/>
    <m/>
    <m/>
    <m/>
    <m/>
    <m/>
    <m/>
    <m/>
    <n v="3.5799999999999998E-2"/>
    <m/>
    <m/>
    <m/>
  </r>
  <r>
    <x v="3"/>
    <x v="59"/>
    <s v="Fresh or Not Specified"/>
    <s v="greenhouse grown"/>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0.20899999999999999"/>
    <s v=""/>
    <m/>
    <m/>
    <m/>
    <m/>
    <m/>
    <m/>
    <m/>
    <m/>
    <m/>
    <m/>
    <m/>
    <m/>
    <m/>
    <m/>
    <m/>
    <m/>
    <m/>
    <m/>
    <m/>
    <m/>
    <m/>
    <m/>
    <n v="0.20899999999999999"/>
    <m/>
    <m/>
    <m/>
  </r>
  <r>
    <x v="3"/>
    <x v="60"/>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0.74"/>
    <s v=""/>
    <n v="5.7299999999999997E-2"/>
    <s v=""/>
    <m/>
    <m/>
    <m/>
    <m/>
    <m/>
    <m/>
    <m/>
    <m/>
    <m/>
    <n v="0.74"/>
    <m/>
    <m/>
    <m/>
    <m/>
    <m/>
    <m/>
    <m/>
    <m/>
    <m/>
    <m/>
    <m/>
    <m/>
    <n v="5.7299999999999997E-2"/>
    <m/>
    <m/>
    <m/>
  </r>
  <r>
    <x v="3"/>
    <x v="60"/>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29"/>
    <s v=""/>
    <n v="5.8299999999999998E-2"/>
    <s v=""/>
    <m/>
    <m/>
    <m/>
    <m/>
    <m/>
    <m/>
    <m/>
    <m/>
    <m/>
    <n v="1.29"/>
    <m/>
    <m/>
    <m/>
    <m/>
    <m/>
    <m/>
    <m/>
    <m/>
    <m/>
    <m/>
    <m/>
    <m/>
    <n v="5.8299999999999998E-2"/>
    <m/>
    <m/>
    <m/>
  </r>
  <r>
    <x v="3"/>
    <x v="60"/>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1499999999999999"/>
    <s v=""/>
    <n v="5.1400000000000001E-2"/>
    <s v=""/>
    <m/>
    <m/>
    <m/>
    <m/>
    <m/>
    <m/>
    <m/>
    <m/>
    <m/>
    <n v="1.1499999999999999"/>
    <m/>
    <m/>
    <m/>
    <m/>
    <m/>
    <m/>
    <m/>
    <m/>
    <m/>
    <m/>
    <m/>
    <m/>
    <n v="5.1400000000000001E-2"/>
    <m/>
    <m/>
    <m/>
  </r>
  <r>
    <x v="3"/>
    <x v="61"/>
    <s v="Fresh or Not Specified"/>
    <s v="Greenhous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5.22"/>
    <s v=""/>
    <n v="0.30299999999999999"/>
    <s v=""/>
    <m/>
    <m/>
    <m/>
    <m/>
    <m/>
    <m/>
    <m/>
    <m/>
    <m/>
    <n v="5.22"/>
    <m/>
    <m/>
    <m/>
    <m/>
    <m/>
    <m/>
    <m/>
    <m/>
    <m/>
    <m/>
    <m/>
    <m/>
    <n v="0.30299999999999999"/>
    <m/>
    <m/>
    <m/>
  </r>
  <r>
    <x v="3"/>
    <x v="62"/>
    <s v="Fresh or Not Specified"/>
    <s v="Romaine/co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nutritional energy"/>
    <s v="CO2 emitted in g/1.38g lettuce per kJ"/>
    <s v=""/>
    <s v=""/>
    <n v="2.2971014492753623"/>
    <n v="2.4130434782608692"/>
    <m/>
    <m/>
    <m/>
    <m/>
    <m/>
    <m/>
    <m/>
    <m/>
    <m/>
    <m/>
    <m/>
    <m/>
    <m/>
    <n v="2.2898550724637676"/>
    <n v="0.12318840579710147"/>
    <m/>
    <n v="0.66304347826086962"/>
    <n v="0.66304347826086962"/>
    <m/>
    <m/>
    <m/>
    <m/>
    <n v="2.2971014492753623"/>
    <n v="3.760869565217392"/>
    <m/>
    <m/>
  </r>
  <r>
    <x v="3"/>
    <x v="63"/>
    <s v="Fresh or Not Specified"/>
    <s v="Button mushroom"/>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1.09 g mushrooms per kJ"/>
    <s v=""/>
    <s v=""/>
    <n v="2.1467889908256876"/>
    <n v="2.2935779816513762"/>
    <m/>
    <m/>
    <m/>
    <m/>
    <m/>
    <m/>
    <m/>
    <m/>
    <m/>
    <m/>
    <m/>
    <m/>
    <m/>
    <n v="2.1376146788990824"/>
    <n v="0.15596330275229359"/>
    <m/>
    <n v="0.2293577981651376"/>
    <n v="0.2293577981651376"/>
    <m/>
    <m/>
    <m/>
    <m/>
    <n v="2.1467889908256876"/>
    <n v="2.7614678899082565"/>
    <m/>
    <m/>
  </r>
  <r>
    <x v="4"/>
    <x v="64"/>
    <s v="Fresh or Not Specified"/>
    <s v="Generic Strawberrie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0.746 g strawberries per kJ"/>
    <s v=""/>
    <s v=""/>
    <n v="2.2252010723860591"/>
    <n v="2.4530831099195711"/>
    <m/>
    <m/>
    <m/>
    <m/>
    <m/>
    <m/>
    <m/>
    <m/>
    <m/>
    <m/>
    <m/>
    <m/>
    <m/>
    <n v="2.2252010723860591"/>
    <n v="0.22788203753351208"/>
    <m/>
    <n v="0.42225201072386059"/>
    <n v="0.42225201072386059"/>
    <m/>
    <m/>
    <m/>
    <m/>
    <n v="2.2252010723860591"/>
    <n v="3.2975871313672922"/>
    <m/>
    <m/>
  </r>
  <r>
    <x v="7"/>
    <x v="65"/>
    <s v="Other (Specify)"/>
    <s v="NFC Orange juic"/>
    <s v="No"/>
    <s v="Spain"/>
    <n v="2012"/>
    <s v="Geneviève Doublet _x000a_(a); Niels Jungbluth (a); Matthias Stucki (a); Salome Schori"/>
    <s v="(a) ESU-services Ltd."/>
    <s v="Industry Based Report"/>
    <s v="Doublet, G., Jungbluth, N., Flury, K., Stucki, M. and Schori, S., Life cycle assessment of orange juice. SENSE-Harmonised Environmental Sustainability in the European food and drink chain, Zürich: ESU-services Ltd; 2013."/>
    <s v="Yes"/>
    <s v="Yes"/>
    <s v="Yes"/>
    <s v="Yes"/>
    <s v="Yes"/>
    <s v="No"/>
    <s v="No"/>
    <s v="No"/>
    <s v="No"/>
    <s v="No"/>
    <s v="No"/>
    <s v="Yes"/>
    <m/>
    <s v="Farm to finished product, transport to retail and downstream not included"/>
    <s v="Yes"/>
    <s v="Yes"/>
    <s v="1 litre orange juice"/>
    <s v="*1.048 kg/l"/>
    <s v=""/>
    <s v=""/>
    <n v="0.15744274809160305"/>
    <n v="0.29580152671755722"/>
    <m/>
    <m/>
    <m/>
    <m/>
    <m/>
    <m/>
    <m/>
    <m/>
    <m/>
    <m/>
    <m/>
    <m/>
    <m/>
    <n v="0.15744274809160305"/>
    <m/>
    <n v="0.13835877862595419"/>
    <n v="0.32347328244274809"/>
    <m/>
    <m/>
    <m/>
    <m/>
    <m/>
    <n v="0.15744274809160305"/>
    <n v="0.63740458015267176"/>
    <m/>
    <s v="Bern Model – IPCC 2007"/>
  </r>
  <r>
    <x v="7"/>
    <x v="65"/>
    <s v="Other (Specify)"/>
    <s v="NFC, without resetting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54616135235076602"/>
    <n v="0.8129553523507661"/>
    <m/>
    <m/>
    <m/>
    <m/>
    <m/>
    <m/>
    <m/>
    <m/>
    <m/>
    <m/>
    <m/>
    <m/>
    <m/>
    <n v="0.54616135235076602"/>
    <n v="2.6800000000000001E-2"/>
    <n v="0.23999400000000001"/>
    <n v="4.6626000000000001E-2"/>
    <n v="2.2255E-2"/>
    <n v="8.8413000000000005E-2"/>
    <m/>
    <m/>
    <m/>
    <n v="0.54616135235076602"/>
    <n v="0.9732614896988907"/>
    <m/>
    <s v="ISO 14040"/>
  </r>
  <r>
    <x v="7"/>
    <x v="65"/>
    <s v="Other (Specify)"/>
    <s v="NFC, with resetting of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45408904384574755"/>
    <n v="0.71617304384574754"/>
    <m/>
    <m/>
    <m/>
    <m/>
    <m/>
    <m/>
    <m/>
    <m/>
    <m/>
    <m/>
    <m/>
    <m/>
    <m/>
    <n v="0.45408904384574755"/>
    <n v="2.2089999999999999E-2"/>
    <n v="0.23999400000000001"/>
    <n v="4.6626000000000001E-2"/>
    <n v="2.2255E-2"/>
    <n v="8.8413000000000005E-2"/>
    <m/>
    <m/>
    <m/>
    <n v="0.45408904384574755"/>
    <n v="0.87693185419968311"/>
    <m/>
    <s v="ISO 14040"/>
  </r>
  <r>
    <x v="4"/>
    <x v="66"/>
    <s v="Fresh or Not Specified"/>
    <s v="Swedish IP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5.5E-2"/>
    <s v=""/>
    <m/>
    <m/>
    <m/>
    <m/>
    <m/>
    <m/>
    <m/>
    <m/>
    <m/>
    <m/>
    <m/>
    <m/>
    <m/>
    <n v="5.5E-2"/>
    <m/>
    <m/>
    <n v="0.23400000000000001"/>
    <n v="4.1000000000000002E-2"/>
    <m/>
    <m/>
    <m/>
    <m/>
    <n v="5.5E-2"/>
    <n v="0.32900000000000001"/>
    <m/>
    <m/>
  </r>
  <r>
    <x v="4"/>
    <x v="66"/>
    <s v="Fresh or Not Specified"/>
    <s v="Swedish organic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No"/>
    <s v="No"/>
    <s v="No"/>
    <s v="No"/>
    <s v="No"/>
    <s v="No"/>
    <s v="No"/>
    <s v="No"/>
    <s v="No"/>
    <s v="No"/>
    <m/>
    <s v="Only production"/>
    <s v="No"/>
    <s v="Yes"/>
    <s v="1 kg apples"/>
    <m/>
    <s v=""/>
    <s v=""/>
    <n v="1.04"/>
    <s v=""/>
    <m/>
    <m/>
    <m/>
    <m/>
    <m/>
    <m/>
    <m/>
    <m/>
    <m/>
    <m/>
    <m/>
    <m/>
    <m/>
    <m/>
    <m/>
    <m/>
    <m/>
    <m/>
    <m/>
    <m/>
    <m/>
    <m/>
    <n v="1.04"/>
    <n v="1.0409999999999999"/>
    <m/>
    <m/>
  </r>
  <r>
    <x v="4"/>
    <x v="66"/>
    <s v="Fresh or Not Specified"/>
    <s v="Italian IP certified"/>
    <s v="Yes"/>
    <s v="Italy"/>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0.24399999999999999"/>
    <s v=""/>
    <m/>
    <m/>
    <m/>
    <m/>
    <m/>
    <m/>
    <m/>
    <m/>
    <m/>
    <m/>
    <m/>
    <m/>
    <m/>
    <n v="0.24399999999999999"/>
    <m/>
    <m/>
    <n v="0"/>
    <n v="0.21099999999999999"/>
    <m/>
    <m/>
    <m/>
    <m/>
    <n v="0.24399999999999999"/>
    <n v="0.45700000000000002"/>
    <m/>
    <s v="EcoInvent 2015"/>
  </r>
  <r>
    <x v="4"/>
    <x v="66"/>
    <s v="Fresh or Not Specified"/>
    <s v="Hawkes Bay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4.0909000000000001E-2"/>
    <s v=""/>
    <m/>
    <m/>
    <m/>
    <m/>
    <m/>
    <m/>
    <m/>
    <m/>
    <m/>
    <m/>
    <m/>
    <m/>
    <m/>
    <m/>
    <m/>
    <m/>
    <m/>
    <m/>
    <m/>
    <m/>
    <m/>
    <m/>
    <n v="4.0909000000000001E-2"/>
    <m/>
    <m/>
    <s v="ISO 2000a"/>
  </r>
  <r>
    <x v="4"/>
    <x v="66"/>
    <s v="Fresh or Not Specified"/>
    <s v="Central Otago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6.3182000000000002E-2"/>
    <s v=""/>
    <m/>
    <m/>
    <m/>
    <m/>
    <m/>
    <m/>
    <m/>
    <m/>
    <m/>
    <m/>
    <m/>
    <m/>
    <m/>
    <m/>
    <m/>
    <m/>
    <m/>
    <m/>
    <m/>
    <m/>
    <m/>
    <m/>
    <n v="6.3182000000000002E-2"/>
    <m/>
    <m/>
    <s v="ISO 2000a"/>
  </r>
  <r>
    <x v="4"/>
    <x v="66"/>
    <s v="Fresh or Not Specified"/>
    <s v="Fresh Fruit"/>
    <s v="No"/>
    <s v="Switzerland"/>
    <n v="2006"/>
    <s v="Patrik Mouron (a); Thomas Nemecek (b)_x000a_; Roland W. Scholz (a); Olaf Weber (a)"/>
    <s v="(a) Swiss Federal Institute of Technology, Department of Environmental Sciences, Institute for Human-Environment Systems, ETH Zentrum, CHN J76.1, CH-8092 Zurich, Switzerland (b) Agroscope FAL Reckenholz, Swiss Federal Research Station of Agroecology and Agriculture, CH-8046 Zurich, Switzerland"/>
    <s v="Peer Reviewed Journal"/>
    <s v="Mouron, P., Nemecek, T., Scholz, R. W. and Weber, O., Management influence on environmental impacts in an apple production system on Swiss fruit farms: Combining life cycle assessment with statistical risk assessment. Agriculture, Ecosystems and Environment 2006, 114 (2-4), 311-322."/>
    <s v="Yes"/>
    <s v="No"/>
    <s v="No"/>
    <s v="No"/>
    <s v="No"/>
    <s v="No"/>
    <s v="No"/>
    <s v="No"/>
    <s v="No"/>
    <s v="No"/>
    <s v="No"/>
    <s v="Yes"/>
    <m/>
    <s v="Only average values reported in paper are transferred here. Compares management practices on different farms, but has more of a manager/people focus than process focus."/>
    <s v="No"/>
    <s v="Yes"/>
    <s v="1 ha tilled"/>
    <s v="Avg yield = 31.4 t/ha. Conversion = /31400 (assumed metric ton)"/>
    <s v=""/>
    <s v=""/>
    <n v="8.2802547770700632E-2"/>
    <s v=""/>
    <m/>
    <m/>
    <m/>
    <m/>
    <m/>
    <m/>
    <m/>
    <m/>
    <m/>
    <m/>
    <m/>
    <s v="SALCA database Version 031a"/>
    <m/>
    <m/>
    <m/>
    <m/>
    <m/>
    <m/>
    <m/>
    <m/>
    <m/>
    <m/>
    <n v="8.2802547770700632E-2"/>
    <m/>
    <s v="0.051 to 0.121"/>
    <s v="SALCA database Version 031a"/>
  </r>
  <r>
    <x v="4"/>
    <x v="66"/>
    <s v="Fresh or Not Specified"/>
    <s v="Conventional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1000000000000001"/>
    <n v="1.1576000000000002"/>
    <n v="6.4100000000000004E-2"/>
    <n v="6.787E-2"/>
    <n v="1.1000000000000001"/>
    <n v="5.7599999999999998E-2"/>
    <n v="0"/>
    <n v="2.665"/>
    <n v="0.28299999999999997"/>
    <m/>
    <m/>
    <m/>
    <n v="0"/>
    <n v="1.1000000000000001"/>
    <n v="4.0999999999999996"/>
    <m/>
    <m/>
    <n v="6.4100000000000004E-2"/>
    <n v="3.7699999999999999E-3"/>
    <n v="0"/>
    <n v="0.19299999999999998"/>
    <n v="1.4500000000000001E-2"/>
    <m/>
    <m/>
    <m/>
    <n v="4.9499999999999995E-3"/>
    <n v="6.4100000000000004E-2"/>
    <n v="0.27600000000000002"/>
    <m/>
    <s v="Recipe H"/>
  </r>
  <r>
    <x v="4"/>
    <x v="66"/>
    <s v="Fresh or Not Specified"/>
    <s v="Organic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76"/>
    <n v="1.591"/>
    <n v="7.3200000000000001E-2"/>
    <n v="7.5020000000000003E-2"/>
    <n v="1.56"/>
    <n v="3.1E-2"/>
    <n v="0"/>
    <n v="2.6350000000000002"/>
    <n v="0.23300000000000001"/>
    <m/>
    <m/>
    <m/>
    <n v="0.29959999999999998"/>
    <n v="1.76"/>
    <n v="4.82"/>
    <m/>
    <m/>
    <n v="7.3200000000000001E-2"/>
    <n v="1.82E-3"/>
    <n v="0"/>
    <n v="0.19299999999999998"/>
    <n v="1.4500000000000001E-2"/>
    <m/>
    <m/>
    <m/>
    <n v="1.17363E-2"/>
    <n v="7.3200000000000001E-2"/>
    <n v="0.28299999999999997"/>
    <m/>
    <s v="Recipe H"/>
  </r>
  <r>
    <x v="3"/>
    <x v="44"/>
    <s v="Fresh or Not Specified"/>
    <s v="Table potatoe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potatoes"/>
    <s v="/1000"/>
    <s v=""/>
    <s v=""/>
    <n v="0.17"/>
    <n v="0.21000000000000002"/>
    <m/>
    <m/>
    <m/>
    <m/>
    <m/>
    <m/>
    <m/>
    <m/>
    <m/>
    <m/>
    <m/>
    <m/>
    <m/>
    <n v="0.17"/>
    <n v="0.04"/>
    <m/>
    <m/>
    <m/>
    <m/>
    <n v="0.30499999999999999"/>
    <m/>
    <m/>
    <n v="0.17"/>
    <n v="0.52"/>
    <m/>
    <s v="IPCC 2006"/>
  </r>
  <r>
    <x v="10"/>
    <x v="56"/>
    <s v="Fresh or Not Specified"/>
    <s v="Potato Chip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frozen chips"/>
    <s v="/1000"/>
    <s v=""/>
    <s v=""/>
    <n v="0.25"/>
    <n v="0.92999999999999994"/>
    <m/>
    <m/>
    <m/>
    <m/>
    <m/>
    <m/>
    <m/>
    <m/>
    <m/>
    <m/>
    <m/>
    <m/>
    <m/>
    <n v="0.25"/>
    <n v="0.04"/>
    <n v="0.64"/>
    <m/>
    <m/>
    <m/>
    <n v="1.1199999999999997"/>
    <m/>
    <m/>
    <n v="0.25"/>
    <n v="2.06"/>
    <m/>
    <s v="IPCC 2006"/>
  </r>
  <r>
    <x v="5"/>
    <x v="67"/>
    <s v="Fresh or Not Specified"/>
    <s v="Winter wheat - small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4800000000000001"/>
    <s v=""/>
    <m/>
    <m/>
    <m/>
    <m/>
    <m/>
    <m/>
    <m/>
    <m/>
    <m/>
    <m/>
    <m/>
    <m/>
    <m/>
    <m/>
    <m/>
    <m/>
    <m/>
    <m/>
    <m/>
    <m/>
    <m/>
    <m/>
    <n v="0.44800000000000001"/>
    <m/>
    <m/>
    <s v="IPCC 2007"/>
  </r>
  <r>
    <x v="5"/>
    <x v="67"/>
    <s v="Fresh or Not Specified"/>
    <s v="Winter wheat - medium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8099999999999998"/>
    <s v=""/>
    <m/>
    <m/>
    <m/>
    <m/>
    <m/>
    <m/>
    <m/>
    <m/>
    <m/>
    <m/>
    <m/>
    <m/>
    <m/>
    <m/>
    <m/>
    <m/>
    <m/>
    <m/>
    <m/>
    <m/>
    <m/>
    <m/>
    <n v="0.48099999999999998"/>
    <m/>
    <m/>
    <s v="IPCC 2007"/>
  </r>
  <r>
    <x v="5"/>
    <x v="67"/>
    <s v="Fresh or Not Specified"/>
    <s v="Winter wheat - large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1099999999999998"/>
    <s v=""/>
    <m/>
    <m/>
    <m/>
    <m/>
    <m/>
    <m/>
    <m/>
    <m/>
    <m/>
    <m/>
    <m/>
    <m/>
    <m/>
    <m/>
    <m/>
    <m/>
    <m/>
    <m/>
    <m/>
    <m/>
    <m/>
    <m/>
    <n v="0.41099999999999998"/>
    <m/>
    <m/>
    <s v="IPCC 2007"/>
  </r>
  <r>
    <x v="3"/>
    <x v="63"/>
    <s v="Fresh or Not Specified"/>
    <s v="Mushroom"/>
    <s v="No"/>
    <s v="Spain"/>
    <n v="2015"/>
    <s v="F.J. Leivaa(a); J.C. Saenz-Díez (b); E. Martínez (a); E. Jiménez (b); J. Blancoa (a);"/>
    <s v="(a) Department of Mechanical Engineering, University of la Rioja, Edificio Departamental—C/Luis de Ulloa, 20, 26004 Logro ̃no, La Rioja, Spain (b) Department of Electrical Engineering, University of la Rioja, Edificio Departamental—C/Luis de Ulloa, 20, 26004 Logro ̃no, La Rioja, Spain"/>
    <s v="Peer Reviewed Journal"/>
    <s v="Leiva, F. J., Saenz-Díez, J. C., Martínez, E., Jiménez, E. and Blanco, J., Environmental impact of Agaricus bisporus cultivation process. European Journal of Agronomy 2015, 71, 141-148."/>
    <s v="Yes"/>
    <s v="No"/>
    <s v="No"/>
    <s v="No"/>
    <s v="Yes"/>
    <s v="No"/>
    <s v="No"/>
    <s v="Yes"/>
    <s v="No"/>
    <s v="No"/>
    <s v="No"/>
    <s v="No"/>
    <m/>
    <s v="Assumed all produce is distributed as soon as it is grown. Cradle to farm gate to consumer"/>
    <s v="Yes"/>
    <s v="Yes"/>
    <s v="1 kg mushroom"/>
    <m/>
    <s v=""/>
    <s v=""/>
    <n v="4.42"/>
    <s v=""/>
    <m/>
    <m/>
    <m/>
    <m/>
    <m/>
    <m/>
    <m/>
    <m/>
    <m/>
    <m/>
    <m/>
    <m/>
    <m/>
    <m/>
    <m/>
    <m/>
    <m/>
    <m/>
    <m/>
    <m/>
    <m/>
    <m/>
    <n v="4.42"/>
    <m/>
    <m/>
    <s v="CML Leiden 2000"/>
  </r>
  <r>
    <x v="4"/>
    <x v="68"/>
    <s v="Fresh or Not Specified"/>
    <s v="Seasonal - May supply"/>
    <s v="Yes"/>
    <s v="Spain, 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3"/>
    <m/>
    <s v="IPCC 2006, PAS 2050:2008."/>
  </r>
  <r>
    <x v="4"/>
    <x v="68"/>
    <s v="Fresh or Not Specified"/>
    <s v="Seasonal - July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4"/>
    <m/>
    <s v="IPCC 2006, PAS 2050:2008."/>
  </r>
  <r>
    <x v="4"/>
    <x v="68"/>
    <s v="Fresh or Not Specified"/>
    <s v="Seasonal - November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7"/>
    <m/>
    <s v="IPCC 2006, PAS 2050:2008."/>
  </r>
  <r>
    <x v="4"/>
    <x v="69"/>
    <s v="Fresh or Not Specified"/>
    <s v="Conventional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4699999999999999"/>
    <s v=""/>
    <m/>
    <m/>
    <m/>
    <m/>
    <m/>
    <m/>
    <m/>
    <m/>
    <m/>
    <m/>
    <m/>
    <m/>
    <m/>
    <n v="0.14699999999999999"/>
    <m/>
    <m/>
    <m/>
    <m/>
    <m/>
    <m/>
    <m/>
    <n v="6.0000000000000001E-3"/>
    <n v="0.14699999999999999"/>
    <m/>
    <m/>
    <s v="IPCC 2006"/>
  </r>
  <r>
    <x v="4"/>
    <x v="70"/>
    <s v="Fresh or Not Specified"/>
    <s v="Conventional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799999999999999"/>
    <s v=""/>
    <m/>
    <m/>
    <m/>
    <m/>
    <m/>
    <m/>
    <m/>
    <m/>
    <m/>
    <m/>
    <m/>
    <m/>
    <m/>
    <n v="0.11799999999999999"/>
    <m/>
    <m/>
    <m/>
    <m/>
    <m/>
    <m/>
    <m/>
    <n v="8.9999999999999993E-3"/>
    <n v="0.11799999999999999"/>
    <m/>
    <m/>
    <s v="IPCC 2006"/>
  </r>
  <r>
    <x v="4"/>
    <x v="71"/>
    <s v="Fresh or Not Specified"/>
    <s v="Conventional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0099999999999999"/>
    <s v=""/>
    <m/>
    <m/>
    <m/>
    <m/>
    <m/>
    <m/>
    <m/>
    <m/>
    <m/>
    <m/>
    <m/>
    <m/>
    <m/>
    <n v="0.30099999999999999"/>
    <m/>
    <m/>
    <m/>
    <m/>
    <m/>
    <m/>
    <m/>
    <n v="1.4999999999999999E-2"/>
    <n v="0.30099999999999999"/>
    <m/>
    <m/>
    <s v="IPCC 2006"/>
  </r>
  <r>
    <x v="11"/>
    <x v="72"/>
    <s v="Fresh or Not Specified"/>
    <s v="Conventional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7199999999999998"/>
    <s v=""/>
    <m/>
    <m/>
    <m/>
    <m/>
    <m/>
    <m/>
    <m/>
    <m/>
    <m/>
    <m/>
    <m/>
    <m/>
    <m/>
    <n v="0.97199999999999998"/>
    <m/>
    <m/>
    <m/>
    <m/>
    <m/>
    <m/>
    <m/>
    <n v="0.109"/>
    <n v="0.97199999999999998"/>
    <m/>
    <m/>
    <s v="IPCC 2006"/>
  </r>
  <r>
    <x v="4"/>
    <x v="53"/>
    <s v="Fresh or Not Specified"/>
    <s v="Conventional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58"/>
    <s v=""/>
    <m/>
    <m/>
    <m/>
    <m/>
    <m/>
    <m/>
    <m/>
    <m/>
    <m/>
    <m/>
    <m/>
    <m/>
    <m/>
    <n v="0.158"/>
    <m/>
    <m/>
    <m/>
    <m/>
    <m/>
    <m/>
    <m/>
    <n v="6.0000000000000001E-3"/>
    <n v="0.158"/>
    <m/>
    <m/>
    <s v="IPCC 2006"/>
  </r>
  <r>
    <x v="4"/>
    <x v="73"/>
    <s v="Fresh or Not Specified"/>
    <s v="Conventional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2400000000000001"/>
    <s v=""/>
    <m/>
    <m/>
    <m/>
    <m/>
    <m/>
    <m/>
    <m/>
    <m/>
    <m/>
    <m/>
    <m/>
    <m/>
    <m/>
    <n v="0.32400000000000001"/>
    <m/>
    <m/>
    <m/>
    <m/>
    <m/>
    <m/>
    <m/>
    <n v="0.01"/>
    <n v="0.32400000000000001"/>
    <m/>
    <m/>
    <s v="IPCC 2006"/>
  </r>
  <r>
    <x v="4"/>
    <x v="69"/>
    <s v="Fresh or Not Specified"/>
    <s v="organic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83"/>
    <s v=""/>
    <m/>
    <m/>
    <m/>
    <m/>
    <m/>
    <m/>
    <m/>
    <m/>
    <m/>
    <m/>
    <m/>
    <m/>
    <m/>
    <n v="0.83"/>
    <m/>
    <m/>
    <m/>
    <m/>
    <m/>
    <m/>
    <m/>
    <n v="1.2999999999999999E-2"/>
    <n v="0.83"/>
    <m/>
    <m/>
    <s v="IPCC 2006"/>
  </r>
  <r>
    <x v="4"/>
    <x v="70"/>
    <s v="Fresh or Not Specified"/>
    <s v="Organic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4"/>
    <s v=""/>
    <m/>
    <m/>
    <m/>
    <m/>
    <m/>
    <m/>
    <m/>
    <m/>
    <m/>
    <m/>
    <m/>
    <m/>
    <m/>
    <n v="0.94"/>
    <m/>
    <m/>
    <m/>
    <m/>
    <m/>
    <m/>
    <m/>
    <n v="1.7000000000000001E-2"/>
    <n v="0.94"/>
    <m/>
    <m/>
    <s v="IPCC 2006"/>
  </r>
  <r>
    <x v="4"/>
    <x v="71"/>
    <s v="Fresh or Not Specified"/>
    <s v="Organic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3"/>
    <s v=""/>
    <m/>
    <m/>
    <m/>
    <m/>
    <m/>
    <m/>
    <m/>
    <m/>
    <m/>
    <m/>
    <m/>
    <m/>
    <m/>
    <n v="0.113"/>
    <m/>
    <m/>
    <m/>
    <m/>
    <m/>
    <m/>
    <m/>
    <n v="1.4999999999999999E-2"/>
    <n v="0.113"/>
    <m/>
    <m/>
    <s v="IPCC 2006"/>
  </r>
  <r>
    <x v="11"/>
    <x v="72"/>
    <s v="Fresh or Not Specified"/>
    <s v="organic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5499999999999996"/>
    <s v=""/>
    <m/>
    <m/>
    <m/>
    <m/>
    <m/>
    <m/>
    <m/>
    <m/>
    <m/>
    <m/>
    <m/>
    <m/>
    <m/>
    <n v="0.95499999999999996"/>
    <m/>
    <m/>
    <m/>
    <m/>
    <m/>
    <m/>
    <m/>
    <n v="0.121"/>
    <n v="0.95499999999999996"/>
    <m/>
    <m/>
    <s v="IPCC 2006"/>
  </r>
  <r>
    <x v="4"/>
    <x v="53"/>
    <s v="Fresh or Not Specified"/>
    <s v="Organic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06"/>
    <s v=""/>
    <m/>
    <m/>
    <m/>
    <m/>
    <m/>
    <m/>
    <m/>
    <m/>
    <m/>
    <m/>
    <m/>
    <m/>
    <m/>
    <n v="0.106"/>
    <m/>
    <m/>
    <m/>
    <m/>
    <m/>
    <m/>
    <m/>
    <n v="8.0000000000000002E-3"/>
    <n v="0.106"/>
    <m/>
    <m/>
    <s v="IPCC 2006"/>
  </r>
  <r>
    <x v="4"/>
    <x v="74"/>
    <s v="Fresh or Not Specified"/>
    <s v="Organic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01"/>
    <s v=""/>
    <m/>
    <m/>
    <m/>
    <m/>
    <m/>
    <m/>
    <m/>
    <m/>
    <m/>
    <m/>
    <m/>
    <m/>
    <m/>
    <n v="-0.01"/>
    <m/>
    <m/>
    <m/>
    <m/>
    <m/>
    <m/>
    <m/>
    <n v="8.9999999999999993E-3"/>
    <n v="-0.01"/>
    <m/>
    <m/>
    <s v="IPCC 2006"/>
  </r>
  <r>
    <x v="3"/>
    <x v="75"/>
    <s v="Fresh or Not Specified"/>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m/>
    <s v="Capital goods - Machinery included but not buildings. Land Use reported in sq. m. includes cropping, retail, transport, waste disposal, etc."/>
    <s v="Yes"/>
    <s v="Yes"/>
    <s v="1 kg broccoli on plate"/>
    <m/>
    <n v="4.05"/>
    <n v="4.8499999999999996"/>
    <n v="0.4"/>
    <n v="0.42000000000000004"/>
    <n v="4.05"/>
    <m/>
    <n v="0.8"/>
    <m/>
    <n v="2"/>
    <m/>
    <n v="24.05"/>
    <n v="0.8"/>
    <m/>
    <n v="4.05"/>
    <n v="31.6"/>
    <m/>
    <m/>
    <n v="0.4"/>
    <m/>
    <n v="0.02"/>
    <m/>
    <n v="0.15"/>
    <m/>
    <n v="1.3"/>
    <n v="0.2"/>
    <m/>
    <n v="0.4"/>
    <n v="2.0700000000000003"/>
    <m/>
    <s v="CML 2001 method"/>
  </r>
  <r>
    <x v="3"/>
    <x v="75"/>
    <s v="Frozen"/>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3.45"/>
    <n v="5.5500000000000007"/>
    <n v="0.2"/>
    <n v="0.35"/>
    <n v="3.45"/>
    <m/>
    <n v="2.1"/>
    <m/>
    <n v="15.1"/>
    <m/>
    <n v="25.45"/>
    <n v="0.9"/>
    <m/>
    <n v="3.45"/>
    <n v="46.9"/>
    <m/>
    <m/>
    <n v="0.2"/>
    <m/>
    <n v="0.15"/>
    <m/>
    <n v="0.75"/>
    <m/>
    <n v="1.3"/>
    <n v="0.2"/>
    <m/>
    <n v="0.2"/>
    <n v="2.6000000000000005"/>
    <m/>
    <s v="CML 2001 method"/>
  </r>
  <r>
    <x v="3"/>
    <x v="75"/>
    <s v="Fresh or Not Specified"/>
    <s v="Spanish grown broccoli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7.15"/>
    <n v="9.3000000000000007"/>
    <n v="0.2"/>
    <n v="0.37"/>
    <n v="7.15"/>
    <m/>
    <n v="2.15"/>
    <m/>
    <n v="4.7"/>
    <m/>
    <n v="24.1"/>
    <n v="1.05"/>
    <m/>
    <n v="7.15"/>
    <n v="39.107140000000001"/>
    <m/>
    <m/>
    <n v="0.2"/>
    <m/>
    <n v="0.17"/>
    <m/>
    <n v="0.37"/>
    <m/>
    <n v="1.4"/>
    <n v="0.2"/>
    <m/>
    <n v="0.2"/>
    <n v="2.34"/>
    <m/>
    <s v="CML 2001 method"/>
  </r>
  <r>
    <x v="3"/>
    <x v="57"/>
    <s v="Fresh or Not Specified"/>
    <s v="UK out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at market"/>
    <m/>
    <n v="3.7"/>
    <n v="4.45"/>
    <n v="0.28899999999999998"/>
    <n v="0.34499999999999997"/>
    <n v="3.7"/>
    <m/>
    <n v="0.75"/>
    <m/>
    <n v="1.85"/>
    <m/>
    <n v="0.1"/>
    <n v="0.05"/>
    <m/>
    <n v="3.7"/>
    <n v="6.52"/>
    <m/>
    <m/>
    <n v="0.28899999999999998"/>
    <m/>
    <n v="5.6000000000000001E-2"/>
    <m/>
    <n v="0.108"/>
    <m/>
    <n v="9.6699999999999994E-2"/>
    <n v="8.5000000000000006E-2"/>
    <m/>
    <n v="0.28899999999999998"/>
    <n v="0.63469999999999993"/>
    <m/>
    <s v="CML 2001 method"/>
  </r>
  <r>
    <x v="3"/>
    <x v="59"/>
    <s v="Fresh or Not Specified"/>
    <s v="UK in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64.099999999999994"/>
    <n v="65.75"/>
    <n v="2.9725000000000001"/>
    <n v="2.9975000000000001"/>
    <n v="64.099999999999994"/>
    <m/>
    <n v="1.65"/>
    <m/>
    <n v="2.25"/>
    <m/>
    <n v="0.05"/>
    <n v="2.5000000000000001E-2"/>
    <m/>
    <n v="64.099999999999994"/>
    <n v="68"/>
    <m/>
    <m/>
    <n v="2.9725000000000001"/>
    <m/>
    <n v="2.5000000000000001E-2"/>
    <m/>
    <n v="0.29799999999999999"/>
    <m/>
    <n v="8.1000000000000003E-2"/>
    <n v="8.5000000000000006E-2"/>
    <m/>
    <n v="2.9725000000000001"/>
    <n v="3.4615"/>
    <m/>
    <s v="CML 2001 method"/>
  </r>
  <r>
    <x v="3"/>
    <x v="57"/>
    <s v="Fresh or Not Specified"/>
    <s v="Spanish grown lettuce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4.5999999999999996"/>
    <n v="4.8999999999999995"/>
    <n v="0.214"/>
    <n v="0.2205"/>
    <n v="4.5999999999999996"/>
    <m/>
    <n v="0.3"/>
    <m/>
    <n v="5.45"/>
    <m/>
    <n v="0.05"/>
    <n v="2.5000000000000001E-2"/>
    <m/>
    <n v="4.5999999999999996"/>
    <n v="10.36145"/>
    <m/>
    <m/>
    <n v="0.214"/>
    <m/>
    <n v="6.4999999999999997E-3"/>
    <m/>
    <n v="0.52"/>
    <m/>
    <n v="0.104"/>
    <n v="8.5000000000000006E-2"/>
    <m/>
    <n v="0.214"/>
    <n v="0.92949999999999999"/>
    <m/>
    <s v="CML 2001 method"/>
  </r>
  <r>
    <x v="3"/>
    <x v="76"/>
    <s v="Fresh or Not Specified"/>
    <s v="Ugandan lettuce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0.5"/>
    <s v=""/>
    <n v="0.05"/>
    <s v=""/>
    <n v="0.5"/>
    <m/>
    <n v="0"/>
    <m/>
    <n v="147.44"/>
    <m/>
    <n v="0.05"/>
    <n v="2.5000000000000001E-2"/>
    <m/>
    <n v="0.5"/>
    <n v="148.01500000000001"/>
    <m/>
    <m/>
    <n v="0.05"/>
    <m/>
    <n v="0"/>
    <m/>
    <n v="9.9"/>
    <m/>
    <n v="7.3999999999999996E-2"/>
    <n v="8.5000000000000006E-2"/>
    <m/>
    <n v="0.05"/>
    <n v="10.109000000000002"/>
    <m/>
    <s v="CML 2001 method"/>
  </r>
  <r>
    <x v="3"/>
    <x v="77"/>
    <s v="Fresh or Not Specified"/>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6.1"/>
    <n v="7.1"/>
    <n v="0.52"/>
    <n v="0.54"/>
    <n v="6.1"/>
    <m/>
    <n v="1"/>
    <m/>
    <n v="0.95"/>
    <m/>
    <n v="11.8"/>
    <n v="1.05"/>
    <m/>
    <n v="6.1"/>
    <n v="20.828399999999998"/>
    <m/>
    <m/>
    <n v="0.52"/>
    <m/>
    <n v="0.02"/>
    <m/>
    <n v="0.12"/>
    <m/>
    <n v="0.7"/>
    <n v="0.27"/>
    <m/>
    <n v="0.52"/>
    <n v="1.63"/>
    <m/>
    <s v="CML 2001 method"/>
  </r>
  <r>
    <x v="3"/>
    <x v="77"/>
    <s v="Frozen"/>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4.05"/>
    <n v="6.85"/>
    <n v="0.31"/>
    <n v="0.45999999999999996"/>
    <n v="4.05"/>
    <m/>
    <n v="2.8"/>
    <m/>
    <n v="7.5"/>
    <m/>
    <n v="13.1"/>
    <n v="1.05"/>
    <m/>
    <n v="4.05"/>
    <n v="28.402370000000001"/>
    <m/>
    <m/>
    <n v="0.31"/>
    <m/>
    <n v="0.15"/>
    <m/>
    <n v="0.41"/>
    <m/>
    <n v="0.7"/>
    <n v="0.27"/>
    <m/>
    <n v="0.31"/>
    <n v="1.8399999999999999"/>
    <m/>
    <s v="CML 2001 method"/>
  </r>
  <r>
    <x v="3"/>
    <x v="78"/>
    <s v="Fresh or Not Specified"/>
    <s v="Ugandan beans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0.5"/>
    <s v=""/>
    <n v="0.12"/>
    <s v=""/>
    <n v="0.5"/>
    <m/>
    <n v="0"/>
    <m/>
    <n v="145"/>
    <m/>
    <n v="11"/>
    <n v="1.1000000000000001"/>
    <m/>
    <n v="0.5"/>
    <n v="157.15979999999999"/>
    <m/>
    <m/>
    <n v="0.12"/>
    <m/>
    <n v="0"/>
    <m/>
    <n v="9.81"/>
    <m/>
    <n v="0.7"/>
    <n v="0.27"/>
    <m/>
    <n v="0.12"/>
    <n v="10.899999999999999"/>
    <m/>
    <s v="CML 2001 method"/>
  </r>
  <r>
    <x v="3"/>
    <x v="78"/>
    <s v="Fresh or Not Specified"/>
    <s v="Kenyan beans sold in UK"/>
    <s v="Yes"/>
    <s v="Keny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1.1000000000000001"/>
    <s v=""/>
    <n v="0.06"/>
    <s v=""/>
    <n v="1.1000000000000001"/>
    <m/>
    <n v="0"/>
    <m/>
    <n v="144.9"/>
    <m/>
    <n v="11"/>
    <n v="1.1000000000000001"/>
    <m/>
    <n v="1.1000000000000001"/>
    <n v="158.10650000000001"/>
    <m/>
    <m/>
    <n v="0.06"/>
    <m/>
    <n v="0"/>
    <m/>
    <n v="9.6999999999999993"/>
    <m/>
    <n v="0.7"/>
    <n v="0.27"/>
    <m/>
    <n v="0.06"/>
    <n v="10.729999999999999"/>
    <m/>
    <s v="CML 2001 method"/>
  </r>
  <r>
    <x v="4"/>
    <x v="68"/>
    <s v="Fresh or Not Specified"/>
    <s v="Rasp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6.3972093023255825"/>
    <s v=""/>
    <n v="0.26295652173913026"/>
    <s v=""/>
    <n v="6.3972093023255825"/>
    <m/>
    <m/>
    <n v="2.9525581395348839"/>
    <n v="0.24604651162790703"/>
    <n v="0.24604651162790703"/>
    <m/>
    <m/>
    <m/>
    <n v="6.3972093023255825"/>
    <n v="9.8418604651162802"/>
    <m/>
    <m/>
    <n v="0.26295652173913026"/>
    <m/>
    <m/>
    <n v="0.15026086956521728"/>
    <n v="9.3913043478260801E-3"/>
    <n v="1.408695652173912E-2"/>
    <m/>
    <n v="1.408695652173912E-2"/>
    <m/>
    <n v="0.26295652173913026"/>
    <n v="0.4507826086956519"/>
    <m/>
    <s v="ISO 14040 (2006)"/>
  </r>
  <r>
    <x v="4"/>
    <x v="79"/>
    <s v="Fresh or Not Specified"/>
    <s v="Blue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3.4533333333333345"/>
    <s v=""/>
    <n v="0.16947368421052647"/>
    <s v=""/>
    <n v="3.4533333333333345"/>
    <m/>
    <m/>
    <n v="4.9333333333333353"/>
    <n v="0.2960000000000001"/>
    <n v="1.1840000000000004"/>
    <m/>
    <m/>
    <m/>
    <n v="3.4533333333333345"/>
    <n v="9.8666666666666671"/>
    <m/>
    <m/>
    <n v="0.16947368421052647"/>
    <m/>
    <m/>
    <n v="0.19368421052631601"/>
    <n v="1.45263157894737E-2"/>
    <n v="8.23157894736843E-2"/>
    <m/>
    <n v="2.4210526315789502E-2"/>
    <m/>
    <n v="0.16947368421052647"/>
    <n v="0.48421052631578998"/>
    <m/>
    <s v="ISO 14040 (2006)"/>
  </r>
  <r>
    <x v="4"/>
    <x v="79"/>
    <s v="Fresh or Not Specified"/>
    <s v="Conventional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82899999999999996"/>
    <s v=""/>
    <m/>
    <m/>
    <m/>
    <m/>
    <m/>
    <m/>
    <m/>
    <m/>
    <m/>
    <m/>
    <m/>
    <m/>
    <m/>
    <m/>
    <m/>
    <m/>
    <m/>
    <m/>
    <m/>
    <m/>
    <m/>
    <m/>
    <n v="0.82899999999999996"/>
    <m/>
    <m/>
    <m/>
  </r>
  <r>
    <x v="4"/>
    <x v="79"/>
    <s v="Fresh or Not Specified"/>
    <s v="Organic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2299999999999998"/>
    <s v=""/>
    <m/>
    <m/>
    <m/>
    <m/>
    <m/>
    <m/>
    <m/>
    <m/>
    <m/>
    <m/>
    <m/>
    <m/>
    <m/>
    <m/>
    <m/>
    <m/>
    <m/>
    <m/>
    <m/>
    <m/>
    <m/>
    <m/>
    <n v="0.72299999999999998"/>
    <m/>
    <m/>
    <m/>
  </r>
  <r>
    <x v="4"/>
    <x v="66"/>
    <s v="Fresh or Not Specified"/>
    <s v="Conventional - Fuji"/>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88"/>
    <s v=""/>
    <m/>
    <m/>
    <m/>
    <m/>
    <m/>
    <m/>
    <m/>
    <m/>
    <m/>
    <m/>
    <m/>
    <m/>
    <m/>
    <m/>
    <m/>
    <m/>
    <m/>
    <m/>
    <m/>
    <m/>
    <m/>
    <m/>
    <n v="0.188"/>
    <m/>
    <m/>
    <m/>
  </r>
  <r>
    <x v="4"/>
    <x v="66"/>
    <s v="Fresh or Not Specified"/>
    <s v="Organic - McIntos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700000000000002"/>
    <s v=""/>
    <m/>
    <m/>
    <m/>
    <m/>
    <m/>
    <m/>
    <m/>
    <m/>
    <m/>
    <m/>
    <m/>
    <m/>
    <m/>
    <m/>
    <m/>
    <m/>
    <m/>
    <m/>
    <m/>
    <m/>
    <m/>
    <m/>
    <n v="0.26700000000000002"/>
    <m/>
    <m/>
    <m/>
  </r>
  <r>
    <x v="4"/>
    <x v="66"/>
    <s v="Fresh or Not Specified"/>
    <s v="Conventional - Granny Smit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08"/>
    <s v=""/>
    <m/>
    <m/>
    <m/>
    <m/>
    <m/>
    <m/>
    <m/>
    <m/>
    <m/>
    <m/>
    <m/>
    <m/>
    <m/>
    <m/>
    <m/>
    <m/>
    <m/>
    <m/>
    <m/>
    <m/>
    <m/>
    <m/>
    <n v="0.108"/>
    <m/>
    <m/>
    <m/>
  </r>
  <r>
    <x v="4"/>
    <x v="66"/>
    <s v="Fresh or Not Specified"/>
    <s v="Organic - Granny Smit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599999999999999"/>
    <s v=""/>
    <m/>
    <m/>
    <m/>
    <m/>
    <m/>
    <m/>
    <m/>
    <m/>
    <m/>
    <m/>
    <m/>
    <m/>
    <m/>
    <m/>
    <m/>
    <m/>
    <m/>
    <m/>
    <m/>
    <m/>
    <m/>
    <m/>
    <n v="0.17599999999999999"/>
    <m/>
    <m/>
    <m/>
  </r>
  <r>
    <x v="4"/>
    <x v="53"/>
    <s v="Fresh or Not Specified"/>
    <s v="Conventional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7200000000000002"/>
    <s v=""/>
    <m/>
    <m/>
    <m/>
    <m/>
    <m/>
    <m/>
    <m/>
    <m/>
    <m/>
    <m/>
    <m/>
    <m/>
    <m/>
    <m/>
    <m/>
    <m/>
    <m/>
    <m/>
    <m/>
    <m/>
    <m/>
    <m/>
    <n v="0.27200000000000002"/>
    <m/>
    <m/>
    <m/>
  </r>
  <r>
    <x v="4"/>
    <x v="53"/>
    <s v="Fresh or Not Specified"/>
    <s v="Organic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24399999999999999"/>
    <s v=""/>
    <m/>
    <m/>
    <m/>
    <m/>
    <m/>
    <m/>
    <m/>
    <m/>
    <m/>
    <m/>
    <m/>
    <m/>
    <m/>
    <m/>
    <m/>
    <m/>
    <m/>
    <m/>
    <m/>
    <m/>
    <m/>
    <m/>
    <n v="0.24399999999999999"/>
    <m/>
    <m/>
    <m/>
  </r>
  <r>
    <x v="4"/>
    <x v="53"/>
    <s v="Fresh or Not Specified"/>
    <s v="Convenetional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0499999999999999"/>
    <s v=""/>
    <m/>
    <m/>
    <m/>
    <m/>
    <m/>
    <m/>
    <m/>
    <m/>
    <m/>
    <m/>
    <m/>
    <m/>
    <m/>
    <m/>
    <m/>
    <m/>
    <m/>
    <m/>
    <m/>
    <m/>
    <m/>
    <m/>
    <n v="0.20499999999999999"/>
    <m/>
    <m/>
    <m/>
  </r>
  <r>
    <x v="4"/>
    <x v="53"/>
    <s v="Fresh or Not Specified"/>
    <s v="Organic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899999999999999"/>
    <s v=""/>
    <m/>
    <m/>
    <m/>
    <m/>
    <m/>
    <m/>
    <m/>
    <m/>
    <m/>
    <m/>
    <m/>
    <m/>
    <m/>
    <m/>
    <m/>
    <m/>
    <m/>
    <m/>
    <m/>
    <m/>
    <m/>
    <m/>
    <n v="0.17899999999999999"/>
    <m/>
    <m/>
    <m/>
  </r>
  <r>
    <x v="4"/>
    <x v="80"/>
    <s v="Fresh or Not Specified"/>
    <s v="Conventional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66700000000000004"/>
    <s v=""/>
    <m/>
    <m/>
    <m/>
    <m/>
    <m/>
    <m/>
    <m/>
    <m/>
    <m/>
    <m/>
    <m/>
    <m/>
    <m/>
    <m/>
    <m/>
    <m/>
    <m/>
    <m/>
    <m/>
    <m/>
    <m/>
    <m/>
    <n v="0.66700000000000004"/>
    <m/>
    <m/>
    <m/>
  </r>
  <r>
    <x v="4"/>
    <x v="80"/>
    <s v="Fresh or Not Specified"/>
    <s v="Organic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
    <s v=""/>
    <m/>
    <m/>
    <m/>
    <m/>
    <m/>
    <m/>
    <m/>
    <m/>
    <m/>
    <m/>
    <m/>
    <m/>
    <m/>
    <m/>
    <m/>
    <m/>
    <m/>
    <m/>
    <m/>
    <m/>
    <m/>
    <m/>
    <n v="0.7"/>
    <m/>
    <m/>
    <m/>
  </r>
  <r>
    <x v="4"/>
    <x v="81"/>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3700000000000002"/>
    <s v=""/>
    <m/>
    <m/>
    <m/>
    <m/>
    <m/>
    <m/>
    <m/>
    <m/>
    <m/>
    <m/>
    <m/>
    <m/>
    <m/>
    <m/>
    <m/>
    <m/>
    <m/>
    <m/>
    <m/>
    <m/>
    <m/>
    <m/>
    <n v="0.33700000000000002"/>
    <m/>
    <m/>
    <m/>
  </r>
  <r>
    <x v="4"/>
    <x v="81"/>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3400000000000001"/>
    <s v=""/>
    <m/>
    <m/>
    <m/>
    <m/>
    <m/>
    <m/>
    <m/>
    <m/>
    <m/>
    <m/>
    <m/>
    <m/>
    <m/>
    <m/>
    <m/>
    <m/>
    <m/>
    <m/>
    <m/>
    <m/>
    <m/>
    <m/>
    <n v="0.23400000000000001"/>
    <m/>
    <m/>
    <m/>
  </r>
  <r>
    <x v="11"/>
    <x v="82"/>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2.4790000000000001"/>
    <s v=""/>
    <m/>
    <m/>
    <m/>
    <m/>
    <m/>
    <m/>
    <m/>
    <m/>
    <m/>
    <m/>
    <m/>
    <m/>
    <m/>
    <m/>
    <m/>
    <m/>
    <m/>
    <m/>
    <m/>
    <m/>
    <m/>
    <m/>
    <n v="2.4790000000000001"/>
    <m/>
    <m/>
    <m/>
  </r>
  <r>
    <x v="11"/>
    <x v="82"/>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3.7709999999999999"/>
    <s v=""/>
    <m/>
    <m/>
    <m/>
    <m/>
    <m/>
    <m/>
    <m/>
    <m/>
    <m/>
    <m/>
    <m/>
    <m/>
    <m/>
    <m/>
    <m/>
    <m/>
    <m/>
    <m/>
    <m/>
    <m/>
    <m/>
    <m/>
    <n v="3.7709999999999999"/>
    <m/>
    <m/>
    <m/>
  </r>
  <r>
    <x v="11"/>
    <x v="83"/>
    <s v="Fresh or Not Specified"/>
    <s v="Conventional - Chandler"/>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499"/>
    <s v=""/>
    <m/>
    <m/>
    <m/>
    <m/>
    <m/>
    <m/>
    <m/>
    <m/>
    <m/>
    <m/>
    <m/>
    <m/>
    <m/>
    <m/>
    <m/>
    <m/>
    <m/>
    <m/>
    <m/>
    <m/>
    <m/>
    <m/>
    <n v="0.499"/>
    <m/>
    <m/>
    <m/>
  </r>
  <r>
    <x v="11"/>
    <x v="83"/>
    <s v="Fresh or Not Specified"/>
    <s v="Organic - Terminal bearin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2.9420000000000002"/>
    <s v=""/>
    <m/>
    <m/>
    <m/>
    <m/>
    <m/>
    <m/>
    <m/>
    <m/>
    <m/>
    <m/>
    <m/>
    <m/>
    <m/>
    <m/>
    <m/>
    <m/>
    <m/>
    <m/>
    <m/>
    <m/>
    <m/>
    <m/>
    <n v="2.9420000000000002"/>
    <m/>
    <m/>
    <m/>
  </r>
  <r>
    <x v="3"/>
    <x v="75"/>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5299999999999998"/>
    <s v=""/>
    <m/>
    <m/>
    <m/>
    <m/>
    <m/>
    <m/>
    <m/>
    <m/>
    <m/>
    <m/>
    <m/>
    <m/>
    <m/>
    <m/>
    <m/>
    <m/>
    <m/>
    <m/>
    <m/>
    <m/>
    <m/>
    <m/>
    <n v="0.35299999999999998"/>
    <m/>
    <m/>
    <m/>
  </r>
  <r>
    <x v="3"/>
    <x v="75"/>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40899999999999997"/>
    <s v=""/>
    <m/>
    <m/>
    <m/>
    <m/>
    <m/>
    <m/>
    <m/>
    <m/>
    <m/>
    <m/>
    <m/>
    <m/>
    <m/>
    <m/>
    <m/>
    <m/>
    <m/>
    <m/>
    <m/>
    <m/>
    <m/>
    <m/>
    <n v="0.40899999999999997"/>
    <m/>
    <m/>
    <m/>
  </r>
  <r>
    <x v="3"/>
    <x v="57"/>
    <s v="Fresh or Not Specified"/>
    <s v="Conventional - Iceber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92"/>
    <s v=""/>
    <m/>
    <m/>
    <m/>
    <m/>
    <m/>
    <m/>
    <m/>
    <m/>
    <m/>
    <m/>
    <m/>
    <m/>
    <m/>
    <m/>
    <m/>
    <m/>
    <m/>
    <m/>
    <m/>
    <m/>
    <m/>
    <m/>
    <n v="0.192"/>
    <m/>
    <m/>
    <m/>
  </r>
  <r>
    <x v="3"/>
    <x v="57"/>
    <s v="Fresh or Not Specified"/>
    <s v="Organic - Leaf"/>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800000000000002"/>
    <s v=""/>
    <m/>
    <m/>
    <m/>
    <m/>
    <m/>
    <m/>
    <m/>
    <m/>
    <m/>
    <m/>
    <m/>
    <m/>
    <m/>
    <m/>
    <m/>
    <m/>
    <m/>
    <m/>
    <m/>
    <m/>
    <m/>
    <m/>
    <n v="0.26800000000000002"/>
    <m/>
    <m/>
    <m/>
  </r>
  <r>
    <x v="4"/>
    <x v="43"/>
    <s v="Fresh or Not Specified"/>
    <s v="Pineapple"/>
    <s v="No"/>
    <s v="Costa Rica"/>
    <n v="2012"/>
    <s v="Wesley W. Ingwersen;"/>
    <s v="US Environmental Protection Agency, National Risk Management Research Laboratory, Sustainable Technology Division;"/>
    <s v="Peer Reviewed Journal"/>
    <s v="Ingwersen, W. W., Life cycle assessment of fresh pineapple from Costa Rica. Journal of Cleaner Production 2012, 35, 152-163."/>
    <s v="Yes"/>
    <s v="Yes"/>
    <s v="Yes"/>
    <s v="Yes"/>
    <s v="Yes"/>
    <s v="Yes"/>
    <s v="Yes"/>
    <s v="No"/>
    <s v="No"/>
    <s v="No"/>
    <s v="No"/>
    <s v="No"/>
    <m/>
    <s v="Cradle to shelf"/>
    <s v="No"/>
    <s v="Yes"/>
    <s v="1 serving of fruit"/>
    <s v="reported value/0.165 (1 serving pineapple = 165 g)"/>
    <n v="2.8666666666666667"/>
    <s v=""/>
    <n v="0.32727272727272722"/>
    <s v=""/>
    <n v="2.8666666666666667"/>
    <m/>
    <m/>
    <n v="1.9393939392999999"/>
    <n v="1.2121212100000001"/>
    <m/>
    <m/>
    <m/>
    <m/>
    <n v="2.8666666666666667"/>
    <n v="6.0606060606060606"/>
    <m/>
    <m/>
    <n v="0.32727272727272722"/>
    <m/>
    <m/>
    <n v="0.13636363000000001"/>
    <n v="8.1818181000000004E-2"/>
    <m/>
    <m/>
    <m/>
    <m/>
    <n v="0.32727272727272722"/>
    <n v="0.54545454545454541"/>
    <n v="0.43"/>
    <m/>
  </r>
  <r>
    <x v="3"/>
    <x v="84"/>
    <s v="Fresh or Not Specified"/>
    <s v="asparagu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8.8699999999999992"/>
    <s v="0.75to 13.49"/>
    <s v="SimaPro 7 &amp; Ecoinvent v2.0.1"/>
  </r>
  <r>
    <x v="3"/>
    <x v="57"/>
    <s v="Fresh or Not Specified"/>
    <s v="lettuc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3.24"/>
    <s v="0.32to 4.37"/>
    <s v="SimaPro 7 &amp; Ecoinvent v2.0.1"/>
  </r>
  <r>
    <x v="4"/>
    <x v="20"/>
    <s v="Fresh or Not Specified"/>
    <s v="banana"/>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5"/>
    <s v="0.37to 0.47"/>
    <s v="SimaPro 7 &amp; Ecoinvent v2.0.1"/>
  </r>
  <r>
    <x v="3"/>
    <x v="19"/>
    <s v="Fresh or Not Specified"/>
    <s v="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9"/>
    <s v="0.31to 1.07"/>
    <s v="SimaPro 7 &amp; Ecoinvent v2.0.1"/>
  </r>
  <r>
    <x v="4"/>
    <x v="85"/>
    <s v="Fresh or Not Specified"/>
    <s v="pea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s v="0.25to 0.62"/>
    <s v="SimaPro 7 &amp; Ecoinvent v2.0.1"/>
  </r>
  <r>
    <x v="4"/>
    <x v="69"/>
    <s v="Fresh or Not Specified"/>
    <s v="Citrus Fruit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1"/>
    <s v="0.25to 0.61"/>
    <s v="SimaPro 7 &amp; Ecoinvent v2.0.1"/>
  </r>
  <r>
    <x v="3"/>
    <x v="86"/>
    <s v="Fresh or Not Specified"/>
    <s v="cucumb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n v="1.25"/>
    <s v=""/>
    <m/>
    <m/>
    <m/>
    <m/>
    <m/>
    <m/>
    <m/>
    <m/>
    <m/>
    <m/>
    <m/>
    <m/>
    <m/>
    <m/>
    <m/>
    <m/>
    <m/>
    <m/>
    <m/>
    <m/>
    <m/>
    <m/>
    <n v="1.25"/>
    <m/>
    <s v="0.31to 2.13"/>
    <s v="SimaPro 7 &amp; Ecoinvent v2.0.1"/>
  </r>
  <r>
    <x v="4"/>
    <x v="66"/>
    <s v="Fresh or Not Specified"/>
    <s v="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s v="0.22to 0.65"/>
    <s v="SimaPro 7 &amp; Ecoinvent v2.0.1"/>
  </r>
  <r>
    <x v="3"/>
    <x v="19"/>
    <s v="Fresh or Not Specified"/>
    <s v="vine 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7"/>
    <s v="0.31to 1.03"/>
    <s v="SimaPro 7 &amp; Ecoinvent v2.0.1"/>
  </r>
  <r>
    <x v="4"/>
    <x v="87"/>
    <s v="Fresh or Not Specified"/>
    <s v="grape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s v="0.23to 0.49"/>
    <s v="SimaPro 7 &amp; Ecoinvent v2.0.1"/>
  </r>
  <r>
    <x v="3"/>
    <x v="88"/>
    <s v="Fresh or Not Specified"/>
    <s v="bell pepp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88"/>
    <s v="0.57to 1.67"/>
    <s v="SimaPro 7 &amp; Ecoinvent v2.0.1"/>
  </r>
  <r>
    <x v="3"/>
    <x v="44"/>
    <s v="Fresh or Not Specified"/>
    <s v="pot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6"/>
    <s v="0.13to 0.47"/>
    <s v="SimaPro 7 &amp; Ecoinvent v2.0.1"/>
  </r>
  <r>
    <x v="4"/>
    <x v="89"/>
    <s v="Fresh or Not Specified"/>
    <s v="avocad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27"/>
    <s v="0.65to 1.56"/>
    <s v="SimaPro 7 &amp; Ecoinvent v2.0.1"/>
  </r>
  <r>
    <x v="4"/>
    <x v="90"/>
    <s v="Fresh or Not Specified"/>
    <s v="mel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s v="0.19to 0.45"/>
    <s v="SimaPro 7 &amp; Ecoinvent v2.0.1"/>
  </r>
  <r>
    <x v="4"/>
    <x v="91"/>
    <s v="Fresh or Not Specified"/>
    <s v="kiw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
    <s v="0.46to 0.77"/>
    <s v="SimaPro 7 &amp; Ecoinvent v2.0.1"/>
  </r>
  <r>
    <x v="4"/>
    <x v="81"/>
    <s v="Fresh or Not Specified"/>
    <s v="strawberry"/>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000000000000003"/>
    <s v="0.16to 0.36"/>
    <s v="SimaPro 7 &amp; Ecoinvent v2.0.1"/>
  </r>
  <r>
    <x v="3"/>
    <x v="92"/>
    <s v="Fresh or Not Specified"/>
    <s v="leek"/>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3"/>
    <s v="Fresh or Not Specified"/>
    <s v="oni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4"/>
    <s v="Fresh or Not Specified"/>
    <s v="carro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5"/>
    <s v="Fresh or Not Specified"/>
    <s v="cauliflow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9"/>
    <s v="0.33to 0.47"/>
    <s v="SimaPro 7 &amp; Ecoinvent v2.0.1"/>
  </r>
  <r>
    <x v="4"/>
    <x v="43"/>
    <s v="Fresh or Not Specified"/>
    <s v="pine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4"/>
    <s v="0.29to 0.45"/>
    <s v="SimaPro 7 &amp; Ecoinvent v2.0.1"/>
  </r>
  <r>
    <x v="3"/>
    <x v="96"/>
    <s v="Fresh or Not Specified"/>
    <s v="fennel"/>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37to 0.56"/>
    <s v="SimaPro 7 &amp; Ecoinvent v2.0.1"/>
  </r>
  <r>
    <x v="3"/>
    <x v="75"/>
    <s v="Fresh or Not Specified"/>
    <s v="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38to 0.51"/>
    <s v="SimaPro 7 &amp; Ecoinvent v2.0.1"/>
  </r>
  <r>
    <x v="3"/>
    <x v="97"/>
    <s v="Fresh or Not Specified"/>
    <s v="eggplan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3"/>
    <s v="0.64to 2.92"/>
    <s v="SimaPro 7 &amp; Ecoinvent v2.0.1"/>
  </r>
  <r>
    <x v="3"/>
    <x v="98"/>
    <s v="Fresh or Not Specified"/>
    <s v="fennel, cauliflower, 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8"/>
    <s v="0.37to 0.53"/>
    <s v="SimaPro 7 &amp; Ecoinvent v2.0.1"/>
  </r>
  <r>
    <x v="3"/>
    <x v="99"/>
    <s v="Fresh or Not Specified"/>
    <s v="zucchin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
    <s v="0.19to 0.34"/>
    <s v="SimaPro 7 &amp; Ecoinvent v2.0.1"/>
  </r>
  <r>
    <x v="3"/>
    <x v="100"/>
    <s v="Fresh or Not Specified"/>
    <s v="spinach"/>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3"/>
    <s v="0.11to 0.27"/>
    <s v="SimaPro 7 &amp; Ecoinvent v2.0.1"/>
  </r>
  <r>
    <x v="1"/>
    <x v="23"/>
    <s v="Fresh or Not Specified"/>
    <s v="scan level, average US"/>
    <s v="Yes"/>
    <s v="US"/>
    <n v="2011"/>
    <s v="Thoma, Greg; Nutter, Darin; Ulrich, Rick; Maxwell, Charles; Frank, Jason; East, Cashion"/>
    <s v="University of Arkansas"/>
    <s v="Industry Based Report"/>
    <s v="Thoma, G., Martin, R. E., Nutter, D., Ulrich, R., Maxwell, C., Frank, J. and East, C., National Life Cycle Carbon Footprint Study for Production of US Swine. National Pork Board; 2011."/>
    <s v="Yes"/>
    <s v="No"/>
    <s v="Yes"/>
    <s v="Yes"/>
    <s v="Yes"/>
    <s v="Yes"/>
    <s v="Yes"/>
    <s v="Yes"/>
    <s v="Yes"/>
    <s v="Yes"/>
    <s v="No"/>
    <s v="No"/>
    <m/>
    <s v="cradle to grave, although farm gate reported explicitly"/>
    <s v="Yes"/>
    <s v="Yes"/>
    <s v="4 oz boneless serving"/>
    <s v="4 oz = 0.113 kg"/>
    <s v=""/>
    <s v=""/>
    <n v="6.2640707964601781"/>
    <n v="6.8240707964601786"/>
    <m/>
    <m/>
    <m/>
    <m/>
    <m/>
    <m/>
    <m/>
    <m/>
    <m/>
    <m/>
    <m/>
    <m/>
    <m/>
    <n v="6.2640707964601781"/>
    <m/>
    <n v="0.56000000000000005"/>
    <n v="0.13182300884955753"/>
    <m/>
    <n v="0.71957522123893813"/>
    <n v="2.2499115044247793"/>
    <m/>
    <m/>
    <n v="6.2640707964601781"/>
    <n v="9.9115044247787623"/>
    <s v="95% CI: 8.84 - 11.65"/>
    <s v="100yr IPCC 2007"/>
  </r>
  <r>
    <x v="1"/>
    <x v="23"/>
    <s v="Fresh or Not Specified"/>
    <s v="Northern Germany, 2010/2011"/>
    <s v="No"/>
    <s v="Germany"/>
    <n v="2013"/>
    <s v="K, Reckmann; I. Traulsen; J. Krieter"/>
    <s v="Institute of Animal Breeding and Husbandry, Christian-Albrechts-University, Olshausenstraße 40, D-24098 Kiel, Germany"/>
    <s v="Peer Reviewed Journal"/>
    <s v="Reckmann, K., Traulsen, I. and Krieter, J., Life Cycle Assessment of pork production: A data inventory for the case of Germany. Livestock Science 2013, 157 (2-3), 586-596."/>
    <s v="Yes"/>
    <s v="No"/>
    <s v="Yes"/>
    <s v="Yes"/>
    <s v="No"/>
    <s v="No"/>
    <s v="No"/>
    <s v="No"/>
    <s v="No"/>
    <s v="No"/>
    <s v="No"/>
    <s v="No"/>
    <m/>
    <m/>
    <s v="No"/>
    <m/>
    <s v="1 kg slaughter weight pork"/>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3.319615912208505"/>
    <n v="26.748970912208506"/>
    <n v="4.1289437585733877"/>
    <n v="4.4170097585733874"/>
    <n v="23.319615912208505"/>
    <m/>
    <n v="3.4293550000000002"/>
    <m/>
    <m/>
    <m/>
    <m/>
    <m/>
    <m/>
    <n v="23.319615912208505"/>
    <n v="26.748971193415638"/>
    <m/>
    <m/>
    <n v="4.1289437585733877"/>
    <m/>
    <n v="0.28806599999999999"/>
    <m/>
    <m/>
    <m/>
    <m/>
    <m/>
    <m/>
    <n v="4.1289437585733877"/>
    <n v="4.4170096021947876"/>
    <m/>
    <s v="CML 2 Baseline 200 (IPCC 2006)"/>
  </r>
  <r>
    <x v="1"/>
    <x v="23"/>
    <s v="Fresh or Not Specified"/>
    <s v="Flanders"/>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s v="Yes"/>
    <m/>
    <s v="Yes"/>
    <s v="Yes"/>
    <m/>
    <m/>
    <m/>
    <m/>
    <m/>
    <m/>
    <m/>
    <m/>
    <m/>
    <m/>
    <m/>
    <m/>
    <s v="1 kg deboned pig meat"/>
    <m/>
    <s v=""/>
    <s v=""/>
    <s v=""/>
    <s v=""/>
    <m/>
    <m/>
    <m/>
    <m/>
    <m/>
    <m/>
    <m/>
    <m/>
    <m/>
    <m/>
    <m/>
    <m/>
    <m/>
    <m/>
    <m/>
    <m/>
    <m/>
    <m/>
    <m/>
    <m/>
    <m/>
    <m/>
    <m/>
    <n v="4.8"/>
    <m/>
    <m/>
  </r>
  <r>
    <x v="1"/>
    <x v="23"/>
    <s v="Fresh or Not Specified"/>
    <m/>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m/>
    <m/>
    <m/>
    <m/>
    <m/>
    <m/>
    <m/>
    <m/>
    <m/>
    <m/>
    <m/>
    <m/>
    <m/>
    <s v="crop production to delivery of pork to Antwerp in Belgium"/>
    <m/>
    <m/>
    <s v="1 kg carcass weight pig mea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4979423868312756"/>
    <m/>
    <m/>
  </r>
  <r>
    <x v="1"/>
    <x v="23"/>
    <s v="Fresh or Not Specified"/>
    <s v="organic; indoor fattening"/>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5324405641573637"/>
    <s v=""/>
    <m/>
    <m/>
    <m/>
    <m/>
    <m/>
    <m/>
    <m/>
    <m/>
    <m/>
    <m/>
    <m/>
    <m/>
    <m/>
    <m/>
    <m/>
    <m/>
    <m/>
    <m/>
    <m/>
    <m/>
    <m/>
    <m/>
    <n v="5.5324405641573637"/>
    <m/>
    <s v="EDIP 97"/>
    <m/>
  </r>
  <r>
    <x v="1"/>
    <x v="23"/>
    <s v="Fresh or Not Specified"/>
    <s v="organic; free range"/>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6.2903091345898794"/>
    <s v=""/>
    <m/>
    <m/>
    <m/>
    <m/>
    <m/>
    <m/>
    <m/>
    <m/>
    <m/>
    <m/>
    <m/>
    <m/>
    <m/>
    <m/>
    <m/>
    <m/>
    <m/>
    <m/>
    <m/>
    <m/>
    <m/>
    <m/>
    <n v="6.2903091345898794"/>
    <m/>
    <s v="EDIP 97"/>
    <m/>
  </r>
  <r>
    <x v="1"/>
    <x v="23"/>
    <s v="Fresh or Not Specified"/>
    <s v="organic; tent system"/>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3619201358100481"/>
    <s v=""/>
    <m/>
    <m/>
    <m/>
    <m/>
    <m/>
    <m/>
    <m/>
    <m/>
    <m/>
    <m/>
    <m/>
    <m/>
    <m/>
    <m/>
    <m/>
    <m/>
    <m/>
    <m/>
    <m/>
    <m/>
    <m/>
    <m/>
    <n v="5.3619201358100481"/>
    <m/>
    <s v="EDIP 97"/>
    <m/>
  </r>
  <r>
    <x v="1"/>
    <x v="23"/>
    <s v="Fresh or Not Specified"/>
    <s v="commodity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18.378312832988502"/>
    <s v=""/>
    <n v="4.6798384224207838"/>
    <s v=""/>
    <m/>
    <m/>
    <m/>
    <m/>
    <m/>
    <m/>
    <m/>
    <m/>
    <m/>
    <n v="18.378312832988502"/>
    <m/>
    <m/>
    <m/>
    <m/>
    <m/>
    <m/>
    <m/>
    <m/>
    <m/>
    <m/>
    <m/>
    <m/>
    <n v="4.6798384224207838"/>
    <m/>
    <m/>
    <m/>
  </r>
  <r>
    <x v="1"/>
    <x v="23"/>
    <s v="Fresh or Not Specified"/>
    <s v="commodity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2.546589970367343"/>
    <s v=""/>
    <n v="5.7787478495479316"/>
    <s v=""/>
    <m/>
    <m/>
    <m/>
    <m/>
    <m/>
    <m/>
    <m/>
    <m/>
    <m/>
    <n v="22.546589970367343"/>
    <m/>
    <m/>
    <m/>
    <m/>
    <m/>
    <m/>
    <m/>
    <m/>
    <m/>
    <m/>
    <m/>
    <m/>
    <n v="5.7787478495479316"/>
    <m/>
    <m/>
    <m/>
  </r>
  <r>
    <x v="1"/>
    <x v="23"/>
    <s v="Fresh or Not Specified"/>
    <s v="deep bedded niche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1.599254257326695"/>
    <s v=""/>
    <n v="4.774571993724849"/>
    <s v=""/>
    <m/>
    <m/>
    <m/>
    <m/>
    <m/>
    <m/>
    <m/>
    <m/>
    <m/>
    <n v="21.599254257326695"/>
    <m/>
    <m/>
    <m/>
    <m/>
    <m/>
    <m/>
    <m/>
    <m/>
    <m/>
    <m/>
    <m/>
    <m/>
    <n v="4.774571993724849"/>
    <m/>
    <m/>
    <m/>
  </r>
  <r>
    <x v="1"/>
    <x v="23"/>
    <s v="Fresh or Not Specified"/>
    <s v="deep bedded niche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7.283268535570564"/>
    <s v=""/>
    <n v="6.3092558488506931"/>
    <s v=""/>
    <m/>
    <m/>
    <m/>
    <m/>
    <m/>
    <m/>
    <m/>
    <m/>
    <m/>
    <n v="27.283268535570564"/>
    <m/>
    <m/>
    <m/>
    <m/>
    <m/>
    <m/>
    <m/>
    <m/>
    <m/>
    <m/>
    <m/>
    <m/>
    <n v="6.3092558488506931"/>
    <m/>
    <m/>
    <m/>
  </r>
  <r>
    <x v="1"/>
    <x v="23"/>
    <s v="Fresh or Not Specified"/>
    <s v="southern Australia (deep litter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4.554183813443071"/>
    <n v="35.880089163237308"/>
    <n v="3.614540466392318"/>
    <n v="4.252400548696845"/>
    <n v="24.554183813443071"/>
    <n v="7.5750000000000002"/>
    <n v="3.7509053497942384"/>
    <m/>
    <m/>
    <m/>
    <m/>
    <m/>
    <m/>
    <n v="24.554183813443071"/>
    <n v="27.846364883401922"/>
    <m/>
    <m/>
    <n v="3.614540466392318"/>
    <m/>
    <n v="0.63786008230452673"/>
    <m/>
    <m/>
    <m/>
    <m/>
    <m/>
    <m/>
    <n v="3.614540466392318"/>
    <n v="4.252400548696845"/>
    <m/>
    <m/>
  </r>
  <r>
    <x v="1"/>
    <x v="23"/>
    <s v="Fresh or Not Specified"/>
    <s v="northern Australia (conventional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0.8641975308642"/>
    <n v="39.165943827160497"/>
    <n v="7.0919067215363505"/>
    <n v="7.544581618655692"/>
    <n v="30.8641975308642"/>
    <n v="5.274"/>
    <n v="3.0277462962962969"/>
    <m/>
    <m/>
    <m/>
    <m/>
    <m/>
    <m/>
    <n v="30.8641975308642"/>
    <n v="33.607681755829908"/>
    <m/>
    <m/>
    <n v="7.0919067215363505"/>
    <m/>
    <n v="0.45267489711934156"/>
    <m/>
    <m/>
    <m/>
    <m/>
    <m/>
    <m/>
    <n v="7.0919067215363505"/>
    <n v="7.5445816186556929"/>
    <m/>
    <m/>
  </r>
  <r>
    <x v="1"/>
    <x v="23"/>
    <s v="Fresh or Not Specified"/>
    <s v="ave of 27 farms"/>
    <s v="Yes"/>
    <s v="Netherlands"/>
    <n v="2012"/>
    <s v="M.A. Dolman a,b,n, H.C.J.Vrolijk a, I.J.M.deBoer b"/>
    <s v="a Agricultural EconomicsResearchInstitute,WageningenUniversityandResearchCentre,POBox29703,NL-2502LS,TheNetherlands_x000a_b Animal ProductionSystemsGroup,WageningenUniversity,TheNetherlands"/>
    <s v="Peer Reviewed Journal"/>
    <s v="Dolman, M. A., Vrolijk, H. C. J. and De Boer, I. J. M., Exploring variation in economic, environmental and societal performance among Dutch fattening pig farms. Livestock Science 2012, 149 (1-2), 143-154."/>
    <s v="Yes"/>
    <s v="No"/>
    <s v="No"/>
    <s v="No"/>
    <s v="No"/>
    <s v="No"/>
    <s v="No"/>
    <s v="No"/>
    <s v="No"/>
    <s v="No"/>
    <s v="No"/>
    <s v="No"/>
    <m/>
    <s v="cradle to farm gate"/>
    <s v="No"/>
    <s v="No"/>
    <s v="100 kg slaughter weight"/>
    <s v="/100/.729"/>
    <n v="38.436213991769549"/>
    <s v=""/>
    <n v="7.4897119341563787"/>
    <s v=""/>
    <m/>
    <m/>
    <m/>
    <m/>
    <m/>
    <m/>
    <m/>
    <m/>
    <m/>
    <n v="38.436213991769549"/>
    <m/>
    <m/>
    <m/>
    <m/>
    <m/>
    <m/>
    <m/>
    <m/>
    <m/>
    <m/>
    <m/>
    <m/>
    <n v="7.4897119341563787"/>
    <m/>
    <m/>
    <m/>
  </r>
  <r>
    <x v="1"/>
    <x v="23"/>
    <s v="Fresh or Not Specified"/>
    <m/>
    <s v="No"/>
    <s v="EU"/>
    <n v="2012"/>
    <s v="Thu Lan T. Nguyen*, John E. Hermansen, Lisbeth Mogensen"/>
    <s v="Department of Agroecology, Aarhus University, Tjele, Denmark"/>
    <s v="Peer Reviewed Journal"/>
    <s v="Nguyen, T. L. T., Hermansen, J. E. and Mogensen, L., Environmental costs of meat production: the case of typical EU pork production. Journal of Cleaner Production 2012, 28, 168-176."/>
    <s v="Yes"/>
    <s v="No"/>
    <s v="No"/>
    <s v="No"/>
    <s v="No"/>
    <s v="No"/>
    <s v="No"/>
    <s v="No"/>
    <s v="No"/>
    <s v="No"/>
    <s v="No"/>
    <s v="No"/>
    <m/>
    <s v="cradle to farm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6.886145404663925"/>
    <s v=""/>
    <n v="6.5843621399176957"/>
    <s v=""/>
    <m/>
    <m/>
    <m/>
    <m/>
    <m/>
    <m/>
    <m/>
    <m/>
    <m/>
    <n v="26.886145404663925"/>
    <m/>
    <m/>
    <m/>
    <m/>
    <m/>
    <m/>
    <m/>
    <m/>
    <m/>
    <m/>
    <m/>
    <m/>
    <n v="6.5843621399176957"/>
    <m/>
    <m/>
    <m/>
  </r>
  <r>
    <x v="1"/>
    <x v="23"/>
    <s v="Fresh or Not Specified"/>
    <s v="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0.731570531038503"/>
    <s v=""/>
    <n v="4.2630107086829003"/>
    <s v=""/>
    <m/>
    <m/>
    <m/>
    <m/>
    <m/>
    <m/>
    <m/>
    <m/>
    <m/>
    <n v="30.731570531038503"/>
    <m/>
    <m/>
    <m/>
    <m/>
    <m/>
    <m/>
    <m/>
    <m/>
    <m/>
    <m/>
    <m/>
    <m/>
    <n v="4.2630107086829003"/>
    <m/>
    <s v="SD=.085"/>
    <s v="100 yr IPCC 2006"/>
  </r>
  <r>
    <x v="1"/>
    <x v="23"/>
    <s v="Fresh or Not Specified"/>
    <s v="adapted 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1.26207853034127"/>
    <s v=""/>
    <n v="4.8693055650289123"/>
    <s v=""/>
    <m/>
    <m/>
    <m/>
    <m/>
    <m/>
    <m/>
    <m/>
    <m/>
    <m/>
    <n v="31.26207853034127"/>
    <m/>
    <m/>
    <m/>
    <m/>
    <m/>
    <m/>
    <m/>
    <m/>
    <m/>
    <m/>
    <m/>
    <m/>
    <n v="4.8693055650289123"/>
    <m/>
    <s v="SD=0.602"/>
    <s v="100 yr IPCC 2006"/>
  </r>
  <r>
    <x v="1"/>
    <x v="23"/>
    <s v="Fresh or Not Specified"/>
    <s v="organic"/>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4.255659383549705"/>
    <s v=""/>
    <n v="4.6040515653775325"/>
    <s v=""/>
    <m/>
    <m/>
    <m/>
    <m/>
    <m/>
    <m/>
    <m/>
    <m/>
    <m/>
    <n v="34.255659383549705"/>
    <m/>
    <m/>
    <m/>
    <m/>
    <m/>
    <m/>
    <m/>
    <m/>
    <m/>
    <m/>
    <m/>
    <m/>
    <n v="4.6040515653775325"/>
    <m/>
    <s v="SD=0.228"/>
    <s v="100 yr IPCC 2006"/>
  </r>
  <r>
    <x v="1"/>
    <x v="23"/>
    <s v="Fresh or Not Specified"/>
    <s v="tradi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46.002622225253702"/>
    <s v=""/>
    <n v="6.574509848502073"/>
    <s v=""/>
    <m/>
    <m/>
    <m/>
    <m/>
    <m/>
    <m/>
    <m/>
    <m/>
    <m/>
    <n v="46.002622225253702"/>
    <m/>
    <m/>
    <m/>
    <m/>
    <m/>
    <m/>
    <m/>
    <m/>
    <m/>
    <m/>
    <m/>
    <m/>
    <n v="6.574509848502073"/>
    <m/>
    <s v="SD=1.086"/>
    <s v="100 yr IPCC 2006"/>
  </r>
  <r>
    <x v="1"/>
    <x v="23"/>
    <s v="Fresh or Not Specified"/>
    <s v="comparison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6.4471879286694103"/>
    <m/>
    <s v="IPCC 2007"/>
  </r>
  <r>
    <x v="1"/>
    <x v="23"/>
    <s v="Fresh or Not Specified"/>
    <s v="eco-designed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0178326474622774"/>
    <m/>
    <s v="IPCC 2008"/>
  </r>
  <r>
    <x v="1"/>
    <x v="24"/>
    <s v="Fresh or Not Specified"/>
    <m/>
    <s v="No"/>
    <s v="US"/>
    <n v="2008"/>
    <s v="N. Pelletier"/>
    <s v="School for Resource and Environmental Studies, Dalhousie University, Kenneth C. Rowe Management Building, 6100 University Avenue, Suite 5010, Halifax,Nova Scotia, Canada, B3H 3J5"/>
    <s v="Peer Reviewed Journal"/>
    <s v="Pelletier, N., Environmental performance in the US broiler poultry sector: Life cycle energy use and greenhouse gas, ozone depleting, acidifying and eutrophying emissions. Agricultural Systems 2008, 98 (2), 67-73."/>
    <s v="Yes"/>
    <s v="No"/>
    <s v="No"/>
    <s v="No"/>
    <s v="No"/>
    <s v="No"/>
    <s v="No"/>
    <s v="No"/>
    <s v="No"/>
    <s v="No"/>
    <s v="No"/>
    <s v="No"/>
    <m/>
    <s v="cradle to farm gate"/>
    <s v="No"/>
    <s v="Yes"/>
    <s v="1 tonne live weight broiler poultry"/>
    <s v="/1000/.56  (paper estimates 56% of live weight is edible)"/>
    <n v="26.712499999999995"/>
    <s v=""/>
    <n v="2.4910714285714284"/>
    <s v=""/>
    <m/>
    <m/>
    <m/>
    <m/>
    <m/>
    <m/>
    <m/>
    <m/>
    <m/>
    <n v="26.712499999999995"/>
    <m/>
    <s v="CED v 1.03"/>
    <m/>
    <m/>
    <m/>
    <m/>
    <m/>
    <m/>
    <m/>
    <m/>
    <m/>
    <m/>
    <n v="2.4910714285714284"/>
    <m/>
    <m/>
    <s v="CML 2 Baseline 2000"/>
  </r>
  <r>
    <x v="1"/>
    <x v="24"/>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1.7857142857142856"/>
    <s v=""/>
    <m/>
    <m/>
    <m/>
    <m/>
    <m/>
    <m/>
    <m/>
    <m/>
    <m/>
    <m/>
    <m/>
    <m/>
    <m/>
    <m/>
    <m/>
    <m/>
    <m/>
    <m/>
    <m/>
    <m/>
    <m/>
    <m/>
    <n v="1.7857142857142856"/>
    <m/>
    <m/>
    <m/>
  </r>
  <r>
    <x v="1"/>
    <x v="31"/>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2.5714285714285712"/>
    <s v=""/>
    <m/>
    <m/>
    <m/>
    <m/>
    <m/>
    <m/>
    <m/>
    <m/>
    <m/>
    <m/>
    <m/>
    <m/>
    <m/>
    <m/>
    <m/>
    <m/>
    <m/>
    <m/>
    <m/>
    <m/>
    <m/>
    <m/>
    <n v="2.5714285714285712"/>
    <m/>
    <m/>
    <m/>
  </r>
  <r>
    <x v="1"/>
    <x v="24"/>
    <s v="Fresh or Not Specified"/>
    <s v="standard indoor"/>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37"/>
    <s v=""/>
    <n v="4.41"/>
    <s v=""/>
    <m/>
    <m/>
    <m/>
    <m/>
    <m/>
    <m/>
    <m/>
    <m/>
    <m/>
    <n v="25.37"/>
    <m/>
    <m/>
    <m/>
    <m/>
    <m/>
    <m/>
    <m/>
    <m/>
    <m/>
    <m/>
    <m/>
    <m/>
    <n v="4.41"/>
    <m/>
    <s v="SD=.44"/>
    <s v="IPCC 2006"/>
  </r>
  <r>
    <x v="1"/>
    <x v="24"/>
    <s v="Fresh or Not Specified"/>
    <s v="free range"/>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65"/>
    <s v=""/>
    <n v="5.13"/>
    <s v=""/>
    <m/>
    <m/>
    <m/>
    <m/>
    <m/>
    <m/>
    <m/>
    <m/>
    <m/>
    <n v="25.65"/>
    <m/>
    <m/>
    <m/>
    <m/>
    <m/>
    <m/>
    <m/>
    <m/>
    <m/>
    <m/>
    <m/>
    <m/>
    <n v="5.13"/>
    <m/>
    <s v="SD=.52"/>
    <s v="IPCC 2007"/>
  </r>
  <r>
    <x v="1"/>
    <x v="24"/>
    <s v="Fresh or Not Specified"/>
    <s v="organic"/>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40.340000000000003"/>
    <s v=""/>
    <n v="5.66"/>
    <s v=""/>
    <m/>
    <m/>
    <m/>
    <m/>
    <m/>
    <m/>
    <m/>
    <m/>
    <m/>
    <n v="40.340000000000003"/>
    <m/>
    <m/>
    <m/>
    <m/>
    <m/>
    <m/>
    <m/>
    <m/>
    <m/>
    <m/>
    <m/>
    <m/>
    <n v="5.66"/>
    <m/>
    <s v="SD=.62"/>
    <s v="IPCC 2008"/>
  </r>
  <r>
    <x v="12"/>
    <x v="101"/>
    <s v="Frozen"/>
    <s v="weighted ave of Atlantic, Indian &amp; Pacific ocean captures"/>
    <s v="No"/>
    <s v="Spain"/>
    <n v="2005"/>
    <s v="A. Hospido; P. Tyedmers"/>
    <s v="a Chemical Engineering Department, Institute of Technology, University of Santiago de Compostela,15782Santia go de Compostela, Spain b School for Resource and Environmental Studies (SRES), Faculty of Management, Dalhousie University, Halifax, NS, Canada "/>
    <s v="Peer Reviewed Journal"/>
    <s v="Hospido, A. and Tyedmers, P., Life cycle environmental impacts of Spanish tuna fisheries. Fisheries Research 2005, 76 (2), 174-186."/>
    <s v="Yes"/>
    <s v="No"/>
    <s v="Yes"/>
    <s v="No"/>
    <s v="No"/>
    <s v="No"/>
    <s v="No"/>
    <s v="No"/>
    <s v="No"/>
    <s v="No"/>
    <s v="No"/>
    <s v="No"/>
    <m/>
    <s v="delivered to Galician port"/>
    <s v="No"/>
    <s v="No"/>
    <s v="1 tonne frozen unprocessed tuna"/>
    <s v="/1000/.58 from http://www.fao.org/docrep/003/t0219e/T0219E01.htm#ch1"/>
    <s v=""/>
    <s v=""/>
    <s v=""/>
    <s v=""/>
    <m/>
    <m/>
    <m/>
    <m/>
    <m/>
    <m/>
    <m/>
    <m/>
    <m/>
    <m/>
    <m/>
    <m/>
    <m/>
    <m/>
    <m/>
    <m/>
    <m/>
    <m/>
    <m/>
    <m/>
    <m/>
    <m/>
    <m/>
    <n v="3.1034482758620694"/>
    <m/>
    <m/>
  </r>
  <r>
    <x v="12"/>
    <x v="102"/>
    <s v="Fresh or Not Specified"/>
    <s v="Farmed trout, flow through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53.644615384615385"/>
    <s v=""/>
    <n v="3.1"/>
    <s v=""/>
    <m/>
    <m/>
    <m/>
    <m/>
    <m/>
    <m/>
    <m/>
    <m/>
    <m/>
    <n v="53.644615384615385"/>
    <m/>
    <m/>
    <m/>
    <m/>
    <m/>
    <m/>
    <m/>
    <m/>
    <m/>
    <m/>
    <m/>
    <m/>
    <n v="3.1"/>
    <m/>
    <m/>
    <m/>
  </r>
  <r>
    <x v="12"/>
    <x v="102"/>
    <s v="Fresh or Not Specified"/>
    <s v="Farmed Trout, recirculation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97.233846153846144"/>
    <s v=""/>
    <n v="3.1430769230769231"/>
    <s v=""/>
    <m/>
    <m/>
    <m/>
    <m/>
    <m/>
    <m/>
    <m/>
    <m/>
    <m/>
    <n v="97.233846153846144"/>
    <m/>
    <m/>
    <m/>
    <m/>
    <m/>
    <m/>
    <m/>
    <m/>
    <m/>
    <m/>
    <m/>
    <m/>
    <n v="3.1430769230769231"/>
    <m/>
    <m/>
    <m/>
  </r>
  <r>
    <x v="12"/>
    <x v="103"/>
    <s v="Fresh or Not Specified"/>
    <s v="fresh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2.5019999999999998"/>
    <n v="13.622"/>
    <m/>
    <m/>
    <m/>
    <m/>
    <m/>
    <m/>
    <m/>
    <m/>
    <m/>
    <m/>
    <m/>
    <m/>
    <m/>
    <n v="2.5019999999999998"/>
    <n v="11.120000000000001"/>
    <m/>
    <m/>
    <m/>
    <m/>
    <n v="0.27800000000000002"/>
    <m/>
    <m/>
    <n v="2.5019999999999998"/>
    <n v="13.9"/>
    <m/>
    <s v="CML 2001"/>
  </r>
  <r>
    <x v="12"/>
    <x v="103"/>
    <s v="Canned"/>
    <s v="cann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6.0023999999999997"/>
    <n v="9.84"/>
    <m/>
    <m/>
    <m/>
    <m/>
    <m/>
    <m/>
    <m/>
    <m/>
    <m/>
    <m/>
    <m/>
    <m/>
    <m/>
    <n v="6.0023999999999997"/>
    <n v="3.8376000000000001"/>
    <m/>
    <m/>
    <m/>
    <m/>
    <m/>
    <m/>
    <m/>
    <n v="6.0023999999999997"/>
    <n v="9.84"/>
    <m/>
    <s v="CML 2001"/>
  </r>
  <r>
    <x v="12"/>
    <x v="103"/>
    <s v="Frozen"/>
    <s v="frozen boil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5.8010999999999999"/>
    <n v="9.51"/>
    <m/>
    <m/>
    <m/>
    <m/>
    <m/>
    <m/>
    <m/>
    <m/>
    <m/>
    <m/>
    <m/>
    <m/>
    <m/>
    <n v="5.8010999999999999"/>
    <n v="3.7088999999999999"/>
    <m/>
    <m/>
    <m/>
    <m/>
    <m/>
    <m/>
    <m/>
    <n v="5.8010999999999999"/>
    <n v="9.51"/>
    <m/>
    <s v="CML 2001"/>
  </r>
  <r>
    <x v="12"/>
    <x v="104"/>
    <s v="Fresh or Not Specified"/>
    <s v="Horse Mackerel, captured by purse sein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1.5307692307692309"/>
    <m/>
    <s v="CML 2000"/>
  </r>
  <r>
    <x v="12"/>
    <x v="104"/>
    <s v="Fresh or Not Specified"/>
    <s v="Horse Mackerel, captured by bottom trawl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4.3807692307692303"/>
    <m/>
    <s v="CML 2000"/>
  </r>
  <r>
    <x v="12"/>
    <x v="104"/>
    <s v="Fresh or Not Specified"/>
    <s v="Hake Fillets, captured by offshore long lin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7.66"/>
    <m/>
    <s v="CML 2000"/>
  </r>
  <r>
    <x v="12"/>
    <x v="104"/>
    <s v="Fresh or Not Specified"/>
    <s v="Hake Fillets, captured by offshore trawl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11.48"/>
    <m/>
    <s v="CML 2000"/>
  </r>
  <r>
    <x v="4"/>
    <x v="53"/>
    <s v="Fresh or Not Specified"/>
    <s v="Biodynamic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7.6490909090909096E-2"/>
    <m/>
    <s v="IPCC 2006b."/>
  </r>
  <r>
    <x v="4"/>
    <x v="53"/>
    <s v="Fresh or Not Specified"/>
    <s v="Intermediate Biodynamic-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10678181818181817"/>
    <m/>
    <s v="IPCC 2006b."/>
  </r>
  <r>
    <x v="4"/>
    <x v="53"/>
    <s v="Fresh or Not Specified"/>
    <s v="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29942272727272728"/>
    <m/>
    <s v="IPCC 2006b."/>
  </r>
  <r>
    <x v="7"/>
    <x v="105"/>
    <s v="Fresh or Not Specified"/>
    <s v="Spray Dried Soluble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of instant coffee powder; 2 g powder per cup coffee"/>
    <n v="115"/>
    <n v="175"/>
    <n v="7.75"/>
    <n v="11.35"/>
    <n v="115"/>
    <n v="10"/>
    <n v="50"/>
    <n v="45"/>
    <n v="15"/>
    <m/>
    <n v="349.99999999999994"/>
    <n v="-2.5"/>
    <n v="45"/>
    <n v="115"/>
    <n v="627.5"/>
    <m/>
    <m/>
    <n v="7.75"/>
    <n v="0.05"/>
    <n v="3.55"/>
    <n v="3.85"/>
    <n v="0.8"/>
    <m/>
    <n v="17.5"/>
    <n v="-1.1000000000000001"/>
    <n v="2.5999999999999996"/>
    <n v="7.75"/>
    <n v="35"/>
    <m/>
    <s v="IPCC 2006"/>
  </r>
  <r>
    <x v="7"/>
    <x v="106"/>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13.5g roasted bean/cup. "/>
    <n v="44.444444444444443"/>
    <n v="55.55555555555555"/>
    <n v="2.8740740740740738"/>
    <n v="3.2888888888888888"/>
    <n v="44.444444444444443"/>
    <n v="4.4444444444444446"/>
    <n v="6.6666666666666661"/>
    <n v="4.4444444444444446"/>
    <n v="5.9259259259259265"/>
    <m/>
    <n v="96.296296296296305"/>
    <n v="-5.185185185185186"/>
    <n v="71.111111111111114"/>
    <n v="44.444444444444443"/>
    <n v="228.14814814814815"/>
    <m/>
    <m/>
    <n v="2.8740740740740738"/>
    <n v="0.1851851851851852"/>
    <n v="0.22962962962962963"/>
    <n v="0.1851851851851852"/>
    <n v="0.2"/>
    <m/>
    <n v="4.7407407407407405"/>
    <n v="-0.25925925925925924"/>
    <n v="0.44444444444444448"/>
    <n v="2.8740740740740738"/>
    <n v="8.6"/>
    <m/>
    <s v="IPCC 2006"/>
  </r>
  <r>
    <x v="7"/>
    <x v="106"/>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6.5g roasted bean/cup. Capturing impacts only through roasting and grinding"/>
    <n v="73.846153846153854"/>
    <n v="84.615384615384627"/>
    <n v="4.2615384615384615"/>
    <n v="4.8769230769230765"/>
    <n v="73.846153846153854"/>
    <n v="4.6153846153846159"/>
    <n v="6.1538461538461542"/>
    <n v="76.92307692307692"/>
    <n v="12.307692307692308"/>
    <m/>
    <n v="107.69230769230769"/>
    <n v="-7.6923076923076934"/>
    <n v="23.07692307692308"/>
    <n v="73.846153846153854"/>
    <n v="296.92307692307696"/>
    <m/>
    <m/>
    <n v="4.2615384615384615"/>
    <n v="0.27692307692307694"/>
    <n v="0.33846153846153848"/>
    <n v="3.2307692307692313"/>
    <n v="0.6461538461538463"/>
    <m/>
    <n v="5.6923076923076925"/>
    <n v="0.9538461538461539"/>
    <n v="1.276923076923077"/>
    <n v="4.2615384615384615"/>
    <n v="16.676923076923075"/>
    <m/>
    <s v="IPCC 2006"/>
  </r>
  <r>
    <x v="7"/>
    <x v="106"/>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roasted bean.  7g coffee/cup."/>
    <s v=""/>
    <n v="53.571428571428569"/>
    <s v=""/>
    <n v="10.671428571428571"/>
    <m/>
    <m/>
    <n v="53.571428571428569"/>
    <n v="3.7571428571428571"/>
    <m/>
    <m/>
    <n v="34.142857142857139"/>
    <m/>
    <m/>
    <m/>
    <n v="91.471428571428561"/>
    <m/>
    <m/>
    <m/>
    <m/>
    <n v="10.671428571428571"/>
    <n v="0.17571428571428571"/>
    <m/>
    <m/>
    <n v="1.7000000000000002"/>
    <m/>
    <m/>
    <m/>
    <n v="12.547142857142855"/>
    <m/>
    <m/>
  </r>
  <r>
    <x v="7"/>
    <x v="107"/>
    <s v="Fresh or Not Specified"/>
    <s v="Black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6.0019950293336946"/>
    <m/>
    <m/>
    <m/>
    <m/>
    <m/>
    <m/>
    <m/>
    <m/>
    <m/>
    <m/>
    <m/>
    <m/>
    <n v="0.52834463286388156"/>
    <m/>
    <m/>
  </r>
  <r>
    <x v="7"/>
    <x v="105"/>
    <s v="Fresh or Not Specified"/>
    <s v="Black Instant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instant coffee.  2 g powder/cup"/>
    <s v=""/>
    <n v="187.5"/>
    <s v=""/>
    <n v="27.05"/>
    <m/>
    <m/>
    <n v="187.5"/>
    <n v="63"/>
    <m/>
    <m/>
    <n v="167"/>
    <m/>
    <m/>
    <m/>
    <n v="417.5"/>
    <m/>
    <m/>
    <m/>
    <m/>
    <n v="27.05"/>
    <n v="3.5"/>
    <m/>
    <m/>
    <n v="8.9"/>
    <m/>
    <m/>
    <m/>
    <n v="39.450000000000003"/>
    <m/>
    <m/>
  </r>
  <r>
    <x v="7"/>
    <x v="108"/>
    <s v="Fresh or Not Specified"/>
    <s v="Kenyan Tea, Large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07"/>
    <n v="1.1300000000000001"/>
    <m/>
    <m/>
    <m/>
    <m/>
    <m/>
    <m/>
    <m/>
    <m/>
    <m/>
    <m/>
    <m/>
    <m/>
    <m/>
    <n v="1.07"/>
    <m/>
    <n v="0.06"/>
    <m/>
    <n v="0.49"/>
    <m/>
    <n v="10.46"/>
    <m/>
    <m/>
    <n v="1.07"/>
    <n v="12.08"/>
    <m/>
    <m/>
  </r>
  <r>
    <x v="7"/>
    <x v="108"/>
    <s v="Fresh or Not Specified"/>
    <s v="Kenyan Tea, Small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42"/>
    <n v="1.48"/>
    <m/>
    <m/>
    <m/>
    <m/>
    <m/>
    <m/>
    <m/>
    <m/>
    <m/>
    <m/>
    <m/>
    <m/>
    <m/>
    <n v="1.42"/>
    <m/>
    <n v="0.06"/>
    <m/>
    <n v="0.51"/>
    <m/>
    <n v="10.46"/>
    <m/>
    <m/>
    <n v="1.42"/>
    <n v="12.45"/>
    <m/>
    <m/>
  </r>
  <r>
    <x v="7"/>
    <x v="108"/>
    <s v="Fresh or Not Specified"/>
    <s v="Darjeeling Tea, organic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1.428571428571423"/>
    <n v="51.999999999999993"/>
    <n v="2.9142857142857146"/>
    <n v="6.6857142857142859"/>
    <n v="51.428571428571423"/>
    <n v="0.5714285714285714"/>
    <m/>
    <n v="1.7142857142857142"/>
    <n v="0"/>
    <m/>
    <n v="377.14285714285717"/>
    <m/>
    <m/>
    <n v="51.428571428571423"/>
    <n v="430.85714285714289"/>
    <m/>
    <m/>
    <n v="2.9142857142857146"/>
    <m/>
    <n v="3.7714285714285714"/>
    <n v="2.2857142857142856"/>
    <n v="5.1428571428571423"/>
    <n v="0.62857142857142856"/>
    <n v="1.8857142857142857"/>
    <m/>
    <m/>
    <n v="2.9142857142857146"/>
    <n v="16.628571428571426"/>
    <m/>
    <m/>
  </r>
  <r>
    <x v="7"/>
    <x v="109"/>
    <s v="Fresh or Not Specified"/>
    <s v="Darjeeling Tea, organic tea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259702922855775"/>
    <m/>
    <m/>
    <m/>
    <m/>
    <m/>
    <m/>
    <m/>
    <m/>
    <m/>
    <m/>
    <m/>
    <m/>
    <n v="0.20603737422137039"/>
    <m/>
    <m/>
  </r>
  <r>
    <x v="7"/>
    <x v="108"/>
    <s v="Fresh or Not Specified"/>
    <s v="Darjeeling Tea, conventional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7.142857142857146"/>
    <n v="57.714285714285715"/>
    <n v="1.7142857142857142"/>
    <n v="5.4857142857142858"/>
    <n v="57.142857142857146"/>
    <n v="0.5714285714285714"/>
    <m/>
    <n v="1.7142857142857142"/>
    <n v="5.7142857142857144"/>
    <m/>
    <n v="377.14285714285717"/>
    <m/>
    <m/>
    <n v="57.142857142857146"/>
    <n v="442.28571428571433"/>
    <m/>
    <m/>
    <n v="1.7142857142857142"/>
    <m/>
    <n v="3.7714285714285714"/>
    <n v="2.2857142857142856"/>
    <n v="5.1428571428571423"/>
    <n v="0.62857142857142856"/>
    <n v="1.8857142857142857"/>
    <m/>
    <m/>
    <n v="1.7142857142857142"/>
    <n v="15.428571428571429"/>
    <m/>
    <m/>
  </r>
  <r>
    <x v="7"/>
    <x v="109"/>
    <s v="Fresh or Not Specified"/>
    <s v="Darjeeling Tea, conventional tea 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539210988659961"/>
    <m/>
    <m/>
    <m/>
    <m/>
    <m/>
    <m/>
    <m/>
    <m/>
    <m/>
    <m/>
    <m/>
    <m/>
    <n v="0.1964542405366555"/>
    <m/>
    <m/>
  </r>
  <r>
    <x v="7"/>
    <x v="109"/>
    <s v="Fresh or Not Specified"/>
    <s v="Darjeeling Tea, organic loose w/o distribu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No"/>
    <s v="No"/>
    <s v="No"/>
    <s v="No"/>
    <s v="Yes"/>
    <s v="No"/>
    <s v="No"/>
    <m/>
    <s v="Cradle to Grave"/>
    <s v="No"/>
    <s v="No"/>
    <s v="250ml of tea ready for consumption (reference flow = 1.75g dry tea leaves)"/>
    <s v="reported value / density (250.44g/250ml) --&gt; (RV x 1000g/kg)/(250.44g/250ml)"/>
    <s v=""/>
    <s v=""/>
    <s v=""/>
    <s v=""/>
    <m/>
    <m/>
    <m/>
    <m/>
    <m/>
    <m/>
    <m/>
    <m/>
    <m/>
    <m/>
    <n v="3.0346590001597189"/>
    <m/>
    <m/>
    <m/>
    <m/>
    <m/>
    <m/>
    <m/>
    <m/>
    <m/>
    <m/>
    <m/>
    <m/>
    <n v="0.18367672895703563"/>
    <m/>
    <m/>
  </r>
  <r>
    <x v="7"/>
    <x v="110"/>
    <s v="Fresh or Not Specified"/>
    <s v="Carbonated Beverages, Glass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33205374280227"/>
    <n v="2.5492322456813814"/>
    <n v="3.8387715930902108E-2"/>
    <n v="9.2130518234165071E-2"/>
    <n v="1.4733205374280227"/>
    <m/>
    <n v="1.0759117082533587"/>
    <n v="6.6784069097888663"/>
    <n v="0.13570057581573894"/>
    <m/>
    <m/>
    <n v="0.32955854126679462"/>
    <m/>
    <n v="1.4733205374280227"/>
    <n v="9.6928982725527817"/>
    <m/>
    <m/>
    <n v="3.8387715930902108E-2"/>
    <m/>
    <n v="5.3742802303262956E-2"/>
    <n v="0.39731285988483683"/>
    <n v="7.677543186180422E-3"/>
    <m/>
    <m/>
    <n v="3.5508637236084453E-2"/>
    <m/>
    <n v="3.8387715930902108E-2"/>
    <n v="0.53262955854126681"/>
    <m/>
    <s v="CML 2001"/>
  </r>
  <r>
    <x v="7"/>
    <x v="110"/>
    <s v="Fresh or Not Specified"/>
    <s v="Carbonated Beverages, Aluminum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00575815738961"/>
    <n v="4.2380038387715917"/>
    <n v="3.8387715930902108E-2"/>
    <n v="4.9904030710172742E-2"/>
    <n v="1.4700575815738961"/>
    <m/>
    <n v="0.20748560460652588"/>
    <n v="2.5604606525911699"/>
    <n v="9.270633397312858E-2"/>
    <m/>
    <m/>
    <n v="8.3877159309021093E-2"/>
    <m/>
    <n v="1.4700575815738961"/>
    <n v="4.4145873320537419"/>
    <m/>
    <m/>
    <n v="3.8387715930902108E-2"/>
    <m/>
    <n v="1.1516314779270634E-2"/>
    <n v="0.23800383877159309"/>
    <n v="4.7984644913627635E-3"/>
    <m/>
    <m/>
    <n v="6.7178502879078695E-3"/>
    <m/>
    <n v="3.8387715930902108E-2"/>
    <n v="0.29942418426103651"/>
    <m/>
    <s v="CML 2001"/>
  </r>
  <r>
    <x v="7"/>
    <x v="110"/>
    <s v="Fresh or Not Specified"/>
    <s v="Carbonated Beverages, PET 0.5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2.0596928982725524"/>
    <n v="2.7231381957773508"/>
    <n v="3.8387715930902108E-2"/>
    <n v="7.4856046065259113E-2"/>
    <n v="2.0596928982725524"/>
    <m/>
    <n v="0.66344529750479841"/>
    <n v="4.0633397312859882"/>
    <n v="7.9165067178502871E-2"/>
    <m/>
    <m/>
    <n v="0.14011516314779271"/>
    <m/>
    <n v="2.0596928982725524"/>
    <n v="7.0057581573896348"/>
    <m/>
    <m/>
    <n v="3.8387715930902108E-2"/>
    <m/>
    <n v="3.6468330134357005E-2"/>
    <n v="0.16698656429942416"/>
    <n v="5.7581573896353169E-3"/>
    <m/>
    <m/>
    <n v="3.358925143953935E-2"/>
    <m/>
    <n v="3.8387715930902108E-2"/>
    <n v="0.28119001919385794"/>
    <m/>
    <s v="CML 2001"/>
  </r>
  <r>
    <x v="7"/>
    <x v="110"/>
    <s v="Fresh or Not Specified"/>
    <s v="Carbonated Beverages, PET 2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1568138195777349"/>
    <n v="1.5294337811900189"/>
    <n v="3.8387715930902108E-2"/>
    <n v="5.4702495201535507E-2"/>
    <n v="1.1568138195777349"/>
    <m/>
    <n v="0.37261996161228406"/>
    <n v="2.2821497120921301"/>
    <n v="4.4462571976967361E-2"/>
    <m/>
    <m/>
    <n v="7.869481765834932E-2"/>
    <m/>
    <n v="1.1568138195777349"/>
    <n v="3.9347408829174659"/>
    <m/>
    <m/>
    <n v="3.8387715930902108E-2"/>
    <m/>
    <n v="1.6314779270633399E-2"/>
    <n v="7.1017274472168906E-2"/>
    <n v="4.7984644913627635E-3"/>
    <m/>
    <m/>
    <n v="1.3435700575815739E-2"/>
    <m/>
    <n v="3.8387715930902108E-2"/>
    <n v="0.14395393474088292"/>
    <m/>
    <s v="CML 2001"/>
  </r>
  <r>
    <x v="12"/>
    <x v="103"/>
    <s v="Frozen"/>
    <s v="Common Octopus, delivered to import ports; average of 3 reported"/>
    <s v="No"/>
    <s v="Mauritania (Spanish fleet)"/>
    <n v="2012"/>
    <s v="Ian Va´zquez-Rowe n, Marı´a TeresaMoreira,GumersindoFeijoo"/>
    <s v="Department ofChemicalEngineering,SchoolofEngineering,UniversityofSantiagodeCompostela.15782–SantiagodeCompostela,Spain"/>
    <s v="Peer Reviewed Journal"/>
    <s v="Vázquez-Rowe, I., Moreira, M. T. and Feijoo, G., Environmental assessment of frozen common octopus (Octopus vulgaris) captured by Spanish fishing vessels in the Mauritanian EEZ. Marine Policy 2012, 36, 180-188."/>
    <s v="Yes"/>
    <s v="No"/>
    <s v="Yes"/>
    <s v="No"/>
    <s v="Yes"/>
    <s v="No"/>
    <s v="No"/>
    <s v="No"/>
    <s v="No"/>
    <s v="No"/>
    <s v="No"/>
    <s v="No"/>
    <m/>
    <s v="delivered to port"/>
    <s v="No"/>
    <s v="No"/>
    <s v="24 kg frozen octopus"/>
    <s v="/24/.79  79% meats from http://www.fao.org/docrep/003/t0219e/T0219E01.htm#ch1"/>
    <s v=""/>
    <s v=""/>
    <s v=""/>
    <s v=""/>
    <m/>
    <m/>
    <m/>
    <m/>
    <m/>
    <m/>
    <m/>
    <m/>
    <m/>
    <m/>
    <m/>
    <m/>
    <m/>
    <m/>
    <m/>
    <m/>
    <m/>
    <m/>
    <m/>
    <m/>
    <m/>
    <m/>
    <m/>
    <n v="9.9096343178621655"/>
    <m/>
    <s v="CML 2001"/>
  </r>
  <r>
    <x v="12"/>
    <x v="111"/>
    <s v="Fresh or Not Specified"/>
    <s v="fresh Tasmanian Southern Rock lobster airfreighted; recording basecase here"/>
    <s v="Yes"/>
    <s v="Tasmania"/>
    <n v="2014"/>
    <s v="Anna Farmery a,*, Caleb Gardner a,1, Bridget S. Green a,2, Sarah Jennings b,3"/>
    <s v="a Institute for Marine and Antarctic Studies, University of Tasmania, Hobart, Tasmania 7001, Australia; b School of Economics and Finance, University of Tasmania, Hobart, Tasmania 7001, Australia"/>
    <s v="Peer Reviewed Journal"/>
    <s v="Farmery, A. K., Gardner, C., Green, B. S. and Jennings, S., Managing fisheries for environmental performance: the effects of marine resource decision-making on the footprint of seafood. Journal of Cleaner Production 2014, 64, 368-376."/>
    <s v="Yes"/>
    <s v="No"/>
    <s v="Yes"/>
    <s v="No"/>
    <s v="Yes"/>
    <s v="No"/>
    <s v="No"/>
    <s v="No"/>
    <s v="No"/>
    <s v="No"/>
    <s v="No"/>
    <s v="No"/>
    <m/>
    <s v="delivered to Beijing, China"/>
    <s v="No"/>
    <s v="Yes"/>
    <s v="1 kg of live lobster at the point of arrival in the main export market of Beijing, China"/>
    <s v="/.31 ~31% meat yield, from DOI:10.1021/jf900237g"/>
    <n v="609.67741935483866"/>
    <s v=""/>
    <n v="40.645161290322577"/>
    <s v=""/>
    <n v="609.67741935483866"/>
    <m/>
    <m/>
    <n v="100"/>
    <n v="854.83870967741939"/>
    <m/>
    <m/>
    <m/>
    <m/>
    <n v="609.67741935483866"/>
    <n v="1564.516129032258"/>
    <s v="CML Baseline 2000"/>
    <m/>
    <n v="40.645161290322577"/>
    <m/>
    <m/>
    <n v="2.967741935483871"/>
    <n v="56.451612903225808"/>
    <m/>
    <m/>
    <m/>
    <m/>
    <n v="40.645161290322577"/>
    <n v="100"/>
    <m/>
    <s v="CML Baseline 2000"/>
  </r>
  <r>
    <x v="12"/>
    <x v="102"/>
    <s v="Fresh (Raw)"/>
    <s v="Salmon, farmed, gutted, head on, trucked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6"/>
    <m/>
    <s v="IPCC, 2007"/>
  </r>
  <r>
    <x v="12"/>
    <x v="102"/>
    <s v="Fresh (Raw)"/>
    <s v="Salmon, farmed, gutted, head on, trucked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29"/>
    <m/>
    <s v="IPCC, 2007"/>
  </r>
  <r>
    <x v="12"/>
    <x v="102"/>
    <s v="Fresh (Raw)"/>
    <s v="Salmon, farmed, gutted, head on, trucked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16"/>
    <m/>
    <s v="IPCC, 2007"/>
  </r>
  <r>
    <x v="12"/>
    <x v="102"/>
    <s v="Fresh (Raw)"/>
    <s v="Salmon, farmed, gutted, head on, ai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13.9"/>
    <m/>
    <s v="IPCC, 2007"/>
  </r>
  <r>
    <x v="12"/>
    <x v="102"/>
    <s v="Frozen"/>
    <s v="Salmon, farmed, container freight to Shanghai"/>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08"/>
    <m/>
    <s v="IPCC, 2007"/>
  </r>
  <r>
    <x v="12"/>
    <x v="102"/>
    <s v="Fresh or Not Specified"/>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52"/>
    <m/>
    <s v="IPCC, 2007"/>
  </r>
  <r>
    <x v="12"/>
    <x v="102"/>
    <s v="Frozen"/>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4700000000000002"/>
    <m/>
    <s v="IPCC, 2007"/>
  </r>
  <r>
    <x v="12"/>
    <x v="103"/>
    <s v="Fresh (Live)"/>
    <s v="Mussels, farmed,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16900000000000001"/>
    <s v=""/>
    <m/>
    <m/>
    <m/>
    <m/>
    <m/>
    <m/>
    <m/>
    <m/>
    <m/>
    <m/>
    <m/>
    <m/>
    <m/>
    <m/>
    <m/>
    <m/>
    <m/>
    <m/>
    <m/>
    <m/>
    <m/>
    <m/>
    <n v="0.16900000000000001"/>
    <n v="2.5499999999999998"/>
    <m/>
    <s v="IPCC, 2007"/>
  </r>
  <r>
    <x v="12"/>
    <x v="104"/>
    <s v="Fresh or Not Specified"/>
    <s v="Atlantic Cod, wild caught, gutted, head on,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63"/>
    <m/>
    <s v="IPCC, 2007"/>
  </r>
  <r>
    <x v="12"/>
    <x v="104"/>
    <s v="Fresh or Not Specified"/>
    <s v="Atlantic Cod, wild caught, fillet, truck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36"/>
    <m/>
    <s v="IPCC, 2007"/>
  </r>
  <r>
    <x v="12"/>
    <x v="104"/>
    <s v="Fresh or Not Specified"/>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m/>
    <s v="IPCC, 2007"/>
  </r>
  <r>
    <x v="12"/>
    <x v="104"/>
    <s v="Frozen"/>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m/>
    <s v="IPCC, 2007"/>
  </r>
  <r>
    <x v="12"/>
    <x v="104"/>
    <s v="Frozen"/>
    <s v="Atlantic Cod, wild, fillet, truck/container to Paris via processing in China"/>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78"/>
    <m/>
    <s v="IPCC, 2007"/>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1"/>
    <m/>
    <s v="IPCC, 2007"/>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799999999999998"/>
    <m/>
    <s v="IPCC, 2007"/>
  </r>
  <r>
    <x v="12"/>
    <x v="104"/>
    <s v="Saithe, frozen"/>
    <s v="wild, fillet, Truck to Berli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
    <s v=""/>
    <m/>
    <m/>
    <m/>
    <m/>
    <m/>
    <m/>
    <m/>
    <m/>
    <m/>
    <m/>
    <m/>
    <m/>
    <m/>
    <m/>
    <m/>
    <m/>
    <m/>
    <m/>
    <m/>
    <m/>
    <m/>
    <m/>
    <n v="1.3"/>
    <n v="2.57"/>
    <m/>
    <s v="IPCC, 2007"/>
  </r>
  <r>
    <x v="12"/>
    <x v="104"/>
    <s v="Fresh or Not Specified"/>
    <s v="Haddock, wild, gutted, head on, Truck/RoRo vessel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5"/>
    <s v=""/>
    <m/>
    <m/>
    <m/>
    <m/>
    <m/>
    <m/>
    <m/>
    <m/>
    <m/>
    <m/>
    <m/>
    <m/>
    <m/>
    <m/>
    <m/>
    <m/>
    <m/>
    <m/>
    <m/>
    <m/>
    <m/>
    <m/>
    <n v="1.35"/>
    <n v="3.71"/>
    <m/>
    <s v="IPCC, 2007"/>
  </r>
  <r>
    <x v="12"/>
    <x v="104"/>
    <s v="Frozen"/>
    <s v="Haddock, wild, gutted, head on, Truck/bulk freight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3.84"/>
    <m/>
    <s v="IPCC, 2007"/>
  </r>
  <r>
    <x v="12"/>
    <x v="104"/>
    <s v="herring, frozen"/>
    <s v="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0.97"/>
    <m/>
    <s v="IPCC, 2007"/>
  </r>
  <r>
    <x v="12"/>
    <x v="104"/>
    <s v="herring, frozen"/>
    <s v="wild, deskinned fillet, truck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39"/>
    <m/>
    <s v="IPCC, 2007"/>
  </r>
  <r>
    <x v="12"/>
    <x v="104"/>
    <s v="Frozen"/>
    <s v="Mackerel, wild, round, container freighte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93"/>
    <m/>
    <s v="IPCC, 2007"/>
  </r>
  <r>
    <x v="12"/>
    <x v="104"/>
    <s v="Frozen"/>
    <s v="Mackerel, 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
    <m/>
    <s v="IPCC, 2007"/>
  </r>
  <r>
    <x v="12"/>
    <x v="111"/>
    <s v="Fresh (Live)"/>
    <s v="American Lobster, caught in Maine, delivered live to Boston, MA, stored live for 72 hrs"/>
    <s v="No"/>
    <s v="Maine, US"/>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calendar year 2006, delivered to a live storage facility in Boston, Massachusetts, and stored for 72 h."/>
    <s v="/1000/.31  ~31% meat yield, from DOI:10.1021/jf900237g"/>
    <n v="244.11612903225807"/>
    <s v=""/>
    <n v="15.848387096774195"/>
    <s v=""/>
    <n v="244.11612903225807"/>
    <m/>
    <m/>
    <m/>
    <n v="16.896799999999999"/>
    <m/>
    <m/>
    <m/>
    <m/>
    <n v="244.11612903225807"/>
    <n v="261.01290322580644"/>
    <s v="CED v 1.03"/>
    <m/>
    <n v="15.848387096774195"/>
    <m/>
    <m/>
    <m/>
    <n v="0.95483499999999999"/>
    <m/>
    <m/>
    <m/>
    <m/>
    <n v="15.848387096774195"/>
    <n v="16.803225806451611"/>
    <m/>
    <s v="CML 2001"/>
  </r>
  <r>
    <x v="12"/>
    <x v="111"/>
    <s v="Fresh (Live)"/>
    <s v="American Lobster, caught in Lobster Fishing Area 34, delivered to Las Vegas, NV"/>
    <s v="No"/>
    <s v="Nova Scotia, Canada"/>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the 2005–2006 fishing season and delivered to Las Vegas,Nevada"/>
    <s v="/1000/.31  ~31% meat yield, from DOI:10.1021/jf900237g"/>
    <n v="191.96774193548387"/>
    <n v="219.17096193548389"/>
    <n v="13.445161290322581"/>
    <s v=""/>
    <n v="191.96774193548387"/>
    <n v="27.203220000000002"/>
    <m/>
    <m/>
    <n v="224.858"/>
    <m/>
    <m/>
    <m/>
    <m/>
    <n v="191.96774193548387"/>
    <n v="444.03225806451616"/>
    <s v="CED v 1.03"/>
    <m/>
    <n v="13.445161290322581"/>
    <m/>
    <m/>
    <m/>
    <n v="16.22258064516129"/>
    <m/>
    <m/>
    <m/>
    <m/>
    <n v="13.445161290322581"/>
    <n v="29.667741935483868"/>
    <m/>
    <s v="CML 2001"/>
  </r>
  <r>
    <x v="12"/>
    <x v="104"/>
    <s v="herring, canned "/>
    <s v="herring,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1 kg fish fillet sold in Swiss supermarket"/>
    <m/>
    <s v=""/>
    <s v=""/>
    <n v="0.55000000000000004"/>
    <n v="1.2"/>
    <m/>
    <m/>
    <m/>
    <m/>
    <m/>
    <m/>
    <m/>
    <m/>
    <m/>
    <m/>
    <m/>
    <m/>
    <m/>
    <n v="0.55000000000000004"/>
    <n v="0.2"/>
    <n v="0.45"/>
    <n v="2.3199999999999998"/>
    <n v="0.22"/>
    <m/>
    <m/>
    <m/>
    <m/>
    <n v="0.55000000000000004"/>
    <n v="3.7"/>
    <m/>
    <s v="IPCC 2007"/>
  </r>
  <r>
    <x v="12"/>
    <x v="104"/>
    <s v="canned "/>
    <s v="mackerel,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2 kg fish fillet sold in Swiss supermarket"/>
    <m/>
    <s v=""/>
    <s v=""/>
    <n v="0.45"/>
    <n v="1.1200000000000001"/>
    <m/>
    <m/>
    <m/>
    <m/>
    <m/>
    <m/>
    <m/>
    <m/>
    <m/>
    <m/>
    <m/>
    <m/>
    <m/>
    <n v="0.45"/>
    <n v="0.22"/>
    <n v="0.45"/>
    <n v="2.4"/>
    <n v="0.22"/>
    <m/>
    <m/>
    <m/>
    <m/>
    <n v="0.45"/>
    <n v="3.7"/>
    <m/>
    <s v="IPCC 2007"/>
  </r>
  <r>
    <x v="12"/>
    <x v="104"/>
    <s v="Frozen"/>
    <s v="Atlantic Cod"/>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3 kg fish fillet sold in Swiss supermarket"/>
    <m/>
    <s v=""/>
    <s v=""/>
    <n v="3.73"/>
    <n v="4.4000000000000004"/>
    <m/>
    <m/>
    <m/>
    <m/>
    <m/>
    <m/>
    <m/>
    <m/>
    <m/>
    <m/>
    <m/>
    <m/>
    <m/>
    <n v="3.73"/>
    <n v="0.22"/>
    <n v="0.45"/>
    <n v="0.12"/>
    <n v="0.68"/>
    <m/>
    <m/>
    <m/>
    <m/>
    <n v="3.73"/>
    <n v="5.3"/>
    <m/>
    <s v="IPCC 2007"/>
  </r>
  <r>
    <x v="12"/>
    <x v="102"/>
    <s v="Cured or Pickled"/>
    <s v="Salmon, filleted, brined &amp; smoked"/>
    <s v="No"/>
    <s v="Norway"/>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farmed in Norway, processed &amp; packaged, transported by truck to Switzerland"/>
    <s v="No"/>
    <s v="Yes"/>
    <s v="4 kg fish fillet sold in Swiss supermarket"/>
    <m/>
    <s v=""/>
    <s v=""/>
    <n v="4.5"/>
    <n v="5.0600000000000005"/>
    <m/>
    <m/>
    <m/>
    <m/>
    <m/>
    <m/>
    <m/>
    <m/>
    <m/>
    <m/>
    <m/>
    <m/>
    <m/>
    <n v="4.5"/>
    <n v="0.48"/>
    <n v="0.08"/>
    <n v="0.45"/>
    <n v="1.0900000000000001"/>
    <m/>
    <m/>
    <m/>
    <m/>
    <n v="4.5"/>
    <n v="6.6"/>
    <m/>
    <s v="IPCC 2007"/>
  </r>
  <r>
    <x v="12"/>
    <x v="102"/>
    <s v="Fresh (Raw)"/>
    <s v="Farmed Trout, flow-through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65 assuming 65% fillet yield, ave of high and low FY from http://onlinelibrary.wiley.com/doi/10.1111/j.1745-4573.2010.00214.x/abstract"/>
    <n v="120.35230769230769"/>
    <s v=""/>
    <n v="4.2353846153846151"/>
    <s v=""/>
    <n v="120.35230769230769"/>
    <m/>
    <m/>
    <m/>
    <m/>
    <m/>
    <m/>
    <m/>
    <n v="7.4215384615384608"/>
    <n v="120.35230769230769"/>
    <m/>
    <m/>
    <s v="Only Ag Prod and Capital Goods Reported, not Full LC"/>
    <n v="4.2353846153846151"/>
    <m/>
    <m/>
    <m/>
    <m/>
    <m/>
    <m/>
    <m/>
    <n v="0.37538461538461537"/>
    <n v="4.2353846153846151"/>
    <m/>
    <m/>
    <m/>
  </r>
  <r>
    <x v="12"/>
    <x v="104"/>
    <s v="Fresh (Raw)"/>
    <s v="Farmed Sea Bass, marine-based cages"/>
    <s v="Yes"/>
    <s v="Gree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4 68% round to headed&amp;gutted, 65% headed&amp;gutted to skinless fillet, from http://www.chefs-resources.com/seafood/seafood-yields/"/>
    <n v="124.21818181818182"/>
    <s v=""/>
    <n v="8.1840909090909086"/>
    <s v=""/>
    <n v="124.21818181818182"/>
    <m/>
    <m/>
    <m/>
    <m/>
    <m/>
    <m/>
    <m/>
    <n v="12.520454545454546"/>
    <n v="124.21818181818182"/>
    <m/>
    <m/>
    <s v="Only Ag Prod and Capital Goods Reported, not Full LC"/>
    <n v="8.1840909090909086"/>
    <m/>
    <m/>
    <m/>
    <m/>
    <m/>
    <m/>
    <m/>
    <n v="0.7"/>
    <n v="8.1840909090909086"/>
    <m/>
    <m/>
    <m/>
  </r>
  <r>
    <x v="12"/>
    <x v="104"/>
    <s v="Fresh (Raw)"/>
    <s v="Farmed Turbot, land-based re-circulating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8  from http://www.brownetrading.com/species-spotlight/farm-raised-turbot-from-spain/"/>
    <n v="606.2208333333333"/>
    <s v=""/>
    <n v="12.535416666666668"/>
    <s v=""/>
    <n v="606.2208333333333"/>
    <m/>
    <m/>
    <m/>
    <m/>
    <m/>
    <m/>
    <m/>
    <n v="15.041666666666666"/>
    <n v="606.2208333333333"/>
    <m/>
    <m/>
    <s v="Only Ag Prod and Capital Goods Reported, not Full LC"/>
    <n v="12.535416666666668"/>
    <m/>
    <m/>
    <m/>
    <m/>
    <m/>
    <m/>
    <m/>
    <n v="0.82291666666666674"/>
    <n v="12.535416666666668"/>
    <m/>
    <m/>
    <m/>
  </r>
  <r>
    <x v="12"/>
    <x v="102"/>
    <s v="Fresh (Raw)"/>
    <s v="Salmon, Farmed"/>
    <s v="Yes"/>
    <s v="Norway"/>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36.388888888888886"/>
    <s v=""/>
    <n v="2.4861111111111112"/>
    <s v=""/>
    <m/>
    <m/>
    <m/>
    <m/>
    <m/>
    <m/>
    <m/>
    <m/>
    <m/>
    <n v="36.388888888888886"/>
    <m/>
    <m/>
    <m/>
    <m/>
    <m/>
    <m/>
    <m/>
    <m/>
    <m/>
    <m/>
    <m/>
    <m/>
    <n v="2.4861111111111112"/>
    <m/>
    <m/>
    <m/>
  </r>
  <r>
    <x v="12"/>
    <x v="102"/>
    <s v="Fresh (Raw)"/>
    <s v="Salmon, Farmed"/>
    <s v="Yes"/>
    <s v="UK"/>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66.527777777777771"/>
    <s v=""/>
    <n v="4.541666666666667"/>
    <s v=""/>
    <m/>
    <m/>
    <m/>
    <m/>
    <m/>
    <m/>
    <m/>
    <m/>
    <m/>
    <n v="66.527777777777771"/>
    <m/>
    <m/>
    <m/>
    <m/>
    <m/>
    <m/>
    <m/>
    <m/>
    <m/>
    <m/>
    <m/>
    <m/>
    <n v="4.541666666666667"/>
    <m/>
    <m/>
    <m/>
  </r>
  <r>
    <x v="12"/>
    <x v="102"/>
    <s v="Fresh (Raw)"/>
    <s v="Salmon, Farmed"/>
    <s v="Yes"/>
    <s v="Chile"/>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6.111111111111114"/>
    <s v=""/>
    <n v="3.1944444444444442"/>
    <s v=""/>
    <m/>
    <m/>
    <m/>
    <m/>
    <m/>
    <m/>
    <m/>
    <m/>
    <m/>
    <n v="46.111111111111114"/>
    <m/>
    <m/>
    <m/>
    <m/>
    <m/>
    <m/>
    <m/>
    <m/>
    <m/>
    <m/>
    <m/>
    <m/>
    <n v="3.1944444444444442"/>
    <m/>
    <m/>
    <m/>
  </r>
  <r>
    <x v="12"/>
    <x v="102"/>
    <s v="Fresh (Raw)"/>
    <s v="Salmon, Farmed"/>
    <s v="Yes"/>
    <s v="British Columbia, Canada"/>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3.333333333333336"/>
    <s v=""/>
    <n v="3.291666666666667"/>
    <s v=""/>
    <m/>
    <m/>
    <m/>
    <m/>
    <m/>
    <m/>
    <m/>
    <m/>
    <m/>
    <n v="43.333333333333336"/>
    <m/>
    <m/>
    <m/>
    <m/>
    <m/>
    <m/>
    <m/>
    <m/>
    <m/>
    <m/>
    <m/>
    <m/>
    <n v="3.291666666666667"/>
    <m/>
    <m/>
    <m/>
  </r>
  <r>
    <x v="12"/>
    <x v="102"/>
    <s v="Fresh (Raw)"/>
    <s v="Salmon, Farmed, conventional marine net-pen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37.361111111111107"/>
    <s v=""/>
    <n v="2.8791666666666669"/>
    <s v=""/>
    <m/>
    <m/>
    <m/>
    <m/>
    <m/>
    <m/>
    <m/>
    <m/>
    <m/>
    <n v="37.361111111111107"/>
    <m/>
    <m/>
    <m/>
    <m/>
    <m/>
    <m/>
    <m/>
    <m/>
    <m/>
    <m/>
    <m/>
    <m/>
    <n v="2.8791666666666669"/>
    <m/>
    <m/>
    <m/>
  </r>
  <r>
    <x v="12"/>
    <x v="102"/>
    <s v="Fresh (Raw)"/>
    <s v="Salmon, Farmed, marine floating bag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5.55555555555555"/>
    <s v=""/>
    <n v="2.6388888888888888"/>
    <s v=""/>
    <m/>
    <m/>
    <m/>
    <m/>
    <m/>
    <m/>
    <m/>
    <m/>
    <m/>
    <n v="45.55555555555555"/>
    <m/>
    <m/>
    <m/>
    <m/>
    <m/>
    <m/>
    <m/>
    <m/>
    <m/>
    <m/>
    <m/>
    <m/>
    <n v="2.6388888888888888"/>
    <m/>
    <m/>
    <m/>
  </r>
  <r>
    <x v="12"/>
    <x v="102"/>
    <s v="Fresh (Raw)"/>
    <s v="Salmon, Farmed, land-based saltwater flow-through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135.97222222222223"/>
    <s v=""/>
    <n v="3.8472222222222223"/>
    <s v=""/>
    <m/>
    <m/>
    <m/>
    <m/>
    <m/>
    <m/>
    <m/>
    <m/>
    <m/>
    <n v="135.97222222222223"/>
    <m/>
    <m/>
    <m/>
    <m/>
    <m/>
    <m/>
    <m/>
    <m/>
    <m/>
    <m/>
    <m/>
    <m/>
    <n v="3.8472222222222223"/>
    <m/>
    <m/>
    <m/>
  </r>
  <r>
    <x v="12"/>
    <x v="102"/>
    <s v="Fresh (Raw)"/>
    <s v="Farm Raised Arctic Char, land-based freshwater recirculating system"/>
    <s v="Yes"/>
    <s v="Nova Scot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90.27777777777777"/>
    <s v=""/>
    <n v="39.166666666666664"/>
    <s v=""/>
    <m/>
    <m/>
    <m/>
    <m/>
    <m/>
    <m/>
    <m/>
    <m/>
    <m/>
    <n v="490.27777777777777"/>
    <m/>
    <m/>
    <m/>
    <m/>
    <m/>
    <m/>
    <m/>
    <m/>
    <m/>
    <m/>
    <m/>
    <m/>
    <n v="39.166666666666664"/>
    <m/>
    <m/>
    <m/>
  </r>
  <r>
    <x v="12"/>
    <x v="112"/>
    <s v="Frozen"/>
    <s v="Tilapia, lake-cultured in Indonesia, delivered to Rotterdam"/>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Chicago"/>
    <s v="/1000"/>
    <n v="22.35"/>
    <n v="26.700000000000003"/>
    <n v="1.5708"/>
    <n v="1.9788000000000001"/>
    <n v="22.35"/>
    <m/>
    <n v="4.3499999999999996"/>
    <n v="0"/>
    <n v="3.5329999999999999"/>
    <m/>
    <m/>
    <m/>
    <m/>
    <n v="22.35"/>
    <n v="30.3"/>
    <m/>
    <m/>
    <n v="1.5708"/>
    <m/>
    <n v="0.40800000000000003"/>
    <n v="6.1199999999999997E-2"/>
    <n v="0.25190000000000001"/>
    <m/>
    <m/>
    <m/>
    <m/>
    <n v="1.5708"/>
    <n v="2.29"/>
    <m/>
    <m/>
  </r>
  <r>
    <x v="12"/>
    <x v="112"/>
    <s v="Frozen"/>
    <s v="Tilapia, lake-cultured in Indonesia, delivered to Chicago"/>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Rotterdam"/>
    <s v="/1000"/>
    <n v="22.35"/>
    <n v="23.878999999999998"/>
    <n v="1.5708"/>
    <n v="1.9788000000000001"/>
    <n v="22.15"/>
    <m/>
    <n v="1.7290000000000001"/>
    <n v="2.1210000000000004"/>
    <n v="3.2230000000000003"/>
    <m/>
    <m/>
    <m/>
    <m/>
    <n v="22.35"/>
    <n v="29.3"/>
    <m/>
    <m/>
    <n v="1.5708"/>
    <m/>
    <n v="0.40800000000000003"/>
    <n v="6.1199999999999997E-2"/>
    <n v="0.17982000000000004"/>
    <m/>
    <m/>
    <m/>
    <m/>
    <n v="1.5708"/>
    <n v="2.2200000000000002"/>
    <m/>
    <m/>
  </r>
  <r>
    <x v="10"/>
    <x v="56"/>
    <s v="Fresh or Not Specified"/>
    <s v="Svenska Lantchips Potato Chips (&quot;Crisps&quot;)"/>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200g package of crisps at retailer"/>
    <s v="Reported Value x 5"/>
    <n v="5.5"/>
    <n v="19.75"/>
    <n v="1"/>
    <n v="1.9849999999999999"/>
    <n v="5.5"/>
    <n v="2.25"/>
    <n v="11.999999999999998"/>
    <n v="2.9999999999999996"/>
    <m/>
    <m/>
    <m/>
    <m/>
    <m/>
    <n v="5.5"/>
    <n v="22.75"/>
    <m/>
    <s v="only including non-renewable energy use"/>
    <n v="1"/>
    <n v="0.13499999999999998"/>
    <n v="0.85"/>
    <n v="0.17"/>
    <m/>
    <m/>
    <m/>
    <m/>
    <m/>
    <n v="1"/>
    <n v="2.1549999999999998"/>
    <m/>
    <m/>
  </r>
  <r>
    <x v="10"/>
    <x v="113"/>
    <s v="Fresh or Not Specified"/>
    <s v="Foam Sweet Candy, Ahlgren’s Cars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125g of packaged sweets at retailer"/>
    <s v="Reported Value x 8"/>
    <s v=""/>
    <s v=""/>
    <s v=""/>
    <s v=""/>
    <m/>
    <m/>
    <m/>
    <m/>
    <m/>
    <m/>
    <m/>
    <m/>
    <m/>
    <m/>
    <n v="58.4"/>
    <m/>
    <m/>
    <m/>
    <m/>
    <m/>
    <m/>
    <m/>
    <m/>
    <m/>
    <m/>
    <m/>
    <m/>
    <n v="3.84"/>
    <m/>
    <m/>
  </r>
  <r>
    <x v="10"/>
    <x v="113"/>
    <s v="Fresh or Not Specified"/>
    <s v="Foam Sweet Candy, Stora Zoo jelly sweet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Factory Gate"/>
    <s v="No"/>
    <s v="No"/>
    <s v="2kg of jelly sweets ready for transport to retailer"/>
    <s v="Reported Value / 2"/>
    <s v=""/>
    <s v=""/>
    <s v=""/>
    <s v=""/>
    <m/>
    <m/>
    <m/>
    <m/>
    <m/>
    <m/>
    <m/>
    <m/>
    <m/>
    <m/>
    <n v="34"/>
    <m/>
    <m/>
    <m/>
    <m/>
    <m/>
    <m/>
    <m/>
    <m/>
    <m/>
    <m/>
    <m/>
    <m/>
    <n v="2.4"/>
    <m/>
    <m/>
  </r>
  <r>
    <x v="7"/>
    <x v="110"/>
    <s v="Fresh or Not Specified"/>
    <s v="Nygårda cola soft drink"/>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33cl bottle of cola transported to local retailer"/>
    <s v="Convert to mL, divide by density ((RV x 1000g/kg) / (1.042g/mL x 10ml/cl))"/>
    <s v=""/>
    <s v=""/>
    <s v=""/>
    <s v=""/>
    <m/>
    <m/>
    <m/>
    <m/>
    <m/>
    <m/>
    <m/>
    <m/>
    <m/>
    <m/>
    <n v="1.7158145756994125"/>
    <m/>
    <m/>
    <m/>
    <m/>
    <m/>
    <m/>
    <m/>
    <m/>
    <m/>
    <m/>
    <m/>
    <m/>
    <n v="0.11632641191182458"/>
    <m/>
    <m/>
  </r>
  <r>
    <x v="10"/>
    <x v="114"/>
    <s v="Fresh or Not Specified"/>
    <s v="Cocoa Beans, Cocoa Monoculture"/>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0599999999999996E-2"/>
    <s v=""/>
    <m/>
    <m/>
    <m/>
    <m/>
    <m/>
    <m/>
    <m/>
    <m/>
    <m/>
    <m/>
    <m/>
    <m/>
    <m/>
    <m/>
    <m/>
    <m/>
    <m/>
    <m/>
    <m/>
    <m/>
    <m/>
    <m/>
    <n v="7.0599999999999996E-2"/>
    <m/>
    <m/>
    <m/>
  </r>
  <r>
    <x v="10"/>
    <x v="114"/>
    <s v="Fresh or Not Specified"/>
    <s v="Cocoa Beans, Cocoa-Rubber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6499999999999999E-2"/>
    <s v=""/>
    <m/>
    <m/>
    <m/>
    <m/>
    <m/>
    <m/>
    <m/>
    <m/>
    <m/>
    <m/>
    <m/>
    <m/>
    <m/>
    <m/>
    <m/>
    <m/>
    <m/>
    <m/>
    <m/>
    <m/>
    <m/>
    <m/>
    <n v="7.6499999999999999E-2"/>
    <m/>
    <m/>
    <m/>
  </r>
  <r>
    <x v="10"/>
    <x v="114"/>
    <s v="Fresh or Not Specified"/>
    <s v="Cocoa Beans, Cocoa-Coconut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3.6700000000000003E-2"/>
    <s v=""/>
    <m/>
    <m/>
    <m/>
    <m/>
    <m/>
    <m/>
    <m/>
    <m/>
    <m/>
    <m/>
    <m/>
    <m/>
    <m/>
    <m/>
    <m/>
    <m/>
    <m/>
    <m/>
    <m/>
    <m/>
    <m/>
    <m/>
    <n v="3.6700000000000003E-2"/>
    <m/>
    <m/>
    <m/>
  </r>
  <r>
    <x v="12"/>
    <x v="104"/>
    <s v="Frozen"/>
    <s v="Atlantic Cod, fillet, delivered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83"/>
    <n v="0.56799999999999995"/>
    <s v=""/>
    <n v="8.25"/>
    <m/>
    <n v="1.58"/>
    <n v="1.1599999999999999"/>
    <n v="1.94"/>
    <m/>
    <m/>
    <m/>
    <m/>
    <n v="8.15"/>
    <n v="13"/>
    <s v="Ecoinvent CED"/>
    <m/>
    <n v="0.56799999999999995"/>
    <m/>
    <m/>
    <n v="2.7E-2"/>
    <n v="0.11"/>
    <m/>
    <m/>
    <m/>
    <m/>
    <n v="0.56799999999999995"/>
    <n v="0.7"/>
    <m/>
    <s v="IPCC 2007"/>
  </r>
  <r>
    <x v="12"/>
    <x v="104"/>
    <s v="Fresh or Not Specified"/>
    <s v="Atlantic Cod, fillet, delivered by air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5"/>
    <n v="0.56799999999999995"/>
    <s v=""/>
    <n v="8.0500000000000007"/>
    <m/>
    <n v="1.45"/>
    <n v="1.05"/>
    <n v="31.51"/>
    <m/>
    <m/>
    <m/>
    <m/>
    <n v="8.15"/>
    <n v="42"/>
    <s v="Ecoinvent CED"/>
    <m/>
    <n v="0.56799999999999995"/>
    <m/>
    <m/>
    <n v="2.7E-2"/>
    <n v="1.992"/>
    <m/>
    <m/>
    <m/>
    <m/>
    <n v="0.56799999999999995"/>
    <n v="2.6"/>
    <m/>
    <s v="IPCC 2007"/>
  </r>
  <r>
    <x v="12"/>
    <x v="104"/>
    <s v="Frozen"/>
    <s v="Alaskan Pollock, fillet, trawler/mothership system, processing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7.64"/>
    <n v="11.27"/>
    <n v="0.5"/>
    <n v="0.76800000000000002"/>
    <n v="7.84"/>
    <n v="1.35"/>
    <n v="2.08"/>
    <n v="1.1000000000000001"/>
    <n v="4.0999999999999996"/>
    <m/>
    <m/>
    <m/>
    <m/>
    <n v="7.64"/>
    <n v="16.5"/>
    <s v="Ecoinvent CED"/>
    <m/>
    <n v="0.5"/>
    <n v="8.7999999999999995E-2"/>
    <n v="0.18"/>
    <n v="2.7E-2"/>
    <n v="0.27200000000000002"/>
    <m/>
    <m/>
    <m/>
    <m/>
    <n v="0.5"/>
    <n v="1.1000000000000001"/>
    <m/>
    <s v="IPCC 2007"/>
  </r>
  <r>
    <x v="12"/>
    <x v="104"/>
    <s v="Frozen"/>
    <s v="Alaskan Pollock, fillet, catcher/processor system"/>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5.46"/>
    <s v=""/>
    <n v="0.31"/>
    <s v=""/>
    <n v="5.16"/>
    <m/>
    <m/>
    <n v="0.8"/>
    <n v="3.7"/>
    <m/>
    <m/>
    <m/>
    <m/>
    <n v="5.46"/>
    <n v="9.6"/>
    <s v="Ecoinvent CED"/>
    <m/>
    <n v="0.31"/>
    <m/>
    <m/>
    <n v="2.7E-2"/>
    <n v="0.252"/>
    <m/>
    <m/>
    <m/>
    <m/>
    <n v="0.31"/>
    <n v="0.59"/>
    <m/>
    <s v="IPCC 2007"/>
  </r>
  <r>
    <x v="12"/>
    <x v="104"/>
    <s v="Frozen"/>
    <s v="Alaskan Salmon, fillet, processed in Alask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2799999999999994"/>
    <n v="0.182"/>
    <n v="0.28259999999999996"/>
    <n v="2.5299999999999998"/>
    <m/>
    <n v="1.75"/>
    <n v="1.1000000000000001"/>
    <n v="2.86"/>
    <m/>
    <m/>
    <m/>
    <m/>
    <n v="2.5299999999999998"/>
    <n v="8.1999999999999993"/>
    <s v="Ecoinvent CED"/>
    <m/>
    <n v="0.182"/>
    <m/>
    <n v="0.10059999999999999"/>
    <n v="2.7E-2"/>
    <n v="0.17499999999999999"/>
    <m/>
    <m/>
    <m/>
    <m/>
    <n v="0.182"/>
    <n v="0.48"/>
    <m/>
    <s v="IPCC 2007"/>
  </r>
  <r>
    <x v="12"/>
    <x v="104"/>
    <s v="Frozen"/>
    <s v="Alaskan Salmon, fillet, processed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66"/>
    <n v="0.182"/>
    <n v="0.374"/>
    <n v="2.5299999999999998"/>
    <m/>
    <n v="2.13"/>
    <n v="1.1000000000000001"/>
    <n v="5.18"/>
    <m/>
    <m/>
    <m/>
    <m/>
    <n v="2.5299999999999998"/>
    <n v="11"/>
    <s v="Ecoinvent CED"/>
    <m/>
    <n v="0.182"/>
    <m/>
    <n v="0.192"/>
    <n v="2.7E-2"/>
    <n v="0.318"/>
    <m/>
    <m/>
    <m/>
    <m/>
    <n v="0.182"/>
    <n v="0.72"/>
    <m/>
    <s v="IPCC 2007"/>
  </r>
  <r>
    <x v="12"/>
    <x v="111"/>
    <s v="Fresh (Raw)"/>
    <s v="Farmed shrimp, 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107.89473684210527"/>
    <s v=""/>
    <n v="9.2631578947368425"/>
    <s v=""/>
    <m/>
    <m/>
    <m/>
    <m/>
    <m/>
    <m/>
    <m/>
    <m/>
    <m/>
    <n v="107.89473684210527"/>
    <m/>
    <s v="Ecoinvent CED"/>
    <m/>
    <m/>
    <m/>
    <m/>
    <m/>
    <m/>
    <m/>
    <m/>
    <m/>
    <m/>
    <n v="9.2631578947368425"/>
    <m/>
    <m/>
    <m/>
  </r>
  <r>
    <x v="12"/>
    <x v="111"/>
    <s v="Fresh (Raw)"/>
    <s v="Farmed shrimp, semi-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60.000000000000007"/>
    <s v=""/>
    <n v="4.8245614035087723"/>
    <s v=""/>
    <m/>
    <m/>
    <m/>
    <m/>
    <m/>
    <m/>
    <m/>
    <m/>
    <m/>
    <n v="60.000000000000007"/>
    <m/>
    <s v="Ecoinvent CED"/>
    <m/>
    <m/>
    <m/>
    <m/>
    <m/>
    <m/>
    <m/>
    <m/>
    <m/>
    <m/>
    <n v="4.8245614035087723"/>
    <m/>
    <m/>
    <m/>
  </r>
  <r>
    <x v="12"/>
    <x v="104"/>
    <s v="Frozen"/>
    <s v="Atlantic Cod, Wetpack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retailer in Sweden"/>
    <s v="No"/>
    <s v="Yes"/>
    <s v="1 kg wetpack cod"/>
    <m/>
    <n v="20.100000000000001"/>
    <n v="22.540000000000003"/>
    <n v="1.43"/>
    <n v="1.49"/>
    <n v="20.100000000000001"/>
    <m/>
    <n v="2.44"/>
    <n v="2.4"/>
    <n v="7"/>
    <n v="7"/>
    <m/>
    <m/>
    <m/>
    <n v="20.100000000000001"/>
    <n v="39"/>
    <s v="Ecoinvent CED"/>
    <m/>
    <n v="1.43"/>
    <m/>
    <n v="0.06"/>
    <n v="0.12"/>
    <n v="0.53"/>
    <m/>
    <m/>
    <m/>
    <m/>
    <n v="1.43"/>
    <n v="2.2000000000000002"/>
    <m/>
    <s v="CML 2 baseline 2000"/>
  </r>
  <r>
    <x v="12"/>
    <x v="104"/>
    <s v="Frozen"/>
    <s v="Atlantic Cod, Fishburgers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institutional user in Sweden"/>
    <s v="No"/>
    <s v="Yes"/>
    <s v="1 kg cod fishburger"/>
    <m/>
    <s v=""/>
    <s v=""/>
    <n v="0.98699999999999999"/>
    <n v="1.347"/>
    <m/>
    <m/>
    <m/>
    <m/>
    <m/>
    <m/>
    <m/>
    <m/>
    <m/>
    <m/>
    <n v="27"/>
    <s v="Ecoinvent CED"/>
    <m/>
    <n v="0.98699999999999999"/>
    <m/>
    <n v="0.36"/>
    <n v="0.12"/>
    <n v="0.38"/>
    <m/>
    <m/>
    <m/>
    <m/>
    <n v="0.98699999999999999"/>
    <n v="1.8"/>
    <m/>
    <s v="CML 2 baseline 2000"/>
  </r>
  <r>
    <x v="12"/>
    <x v="104"/>
    <s v="Fresh or Not Specified"/>
    <s v="Atlantic Cod, Loin - autoline fisheries, delivered to UK"/>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distribution center in UK"/>
    <s v="No"/>
    <s v="Yes"/>
    <s v="1 kg processed cod loin"/>
    <m/>
    <s v=""/>
    <s v=""/>
    <n v="1.43"/>
    <n v="4.03"/>
    <m/>
    <m/>
    <m/>
    <m/>
    <m/>
    <m/>
    <m/>
    <m/>
    <m/>
    <m/>
    <n v="68"/>
    <s v="Ecoinvent CED"/>
    <m/>
    <n v="1.43"/>
    <n v="1.56"/>
    <n v="1.04"/>
    <n v="0.19"/>
    <n v="0.08"/>
    <m/>
    <m/>
    <m/>
    <m/>
    <n v="1.43"/>
    <n v="4.4000000000000004"/>
    <m/>
    <s v="CML 2 baseline 2000"/>
  </r>
  <r>
    <x v="12"/>
    <x v="104"/>
    <s v="Fresh (Raw)"/>
    <s v="Farmed Sea Bass, traditional rearing raceways "/>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397.72727272727275"/>
    <s v=""/>
    <n v="25.197727272727271"/>
    <s v=""/>
    <m/>
    <m/>
    <m/>
    <m/>
    <m/>
    <m/>
    <m/>
    <m/>
    <m/>
    <n v="397.72727272727275"/>
    <m/>
    <m/>
    <m/>
    <m/>
    <m/>
    <m/>
    <m/>
    <m/>
    <m/>
    <m/>
    <m/>
    <m/>
    <n v="25.197727272727271"/>
    <m/>
    <m/>
    <s v="CML 2 baseline 2000"/>
  </r>
  <r>
    <x v="12"/>
    <x v="104"/>
    <s v="Fresh (Raw)"/>
    <s v="Farmed Sea Bass, cascade rearing raceways"/>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636.36363636363637"/>
    <s v=""/>
    <n v="39.656818181818188"/>
    <s v=""/>
    <m/>
    <m/>
    <m/>
    <m/>
    <m/>
    <m/>
    <m/>
    <m/>
    <m/>
    <n v="636.36363636363637"/>
    <m/>
    <m/>
    <m/>
    <m/>
    <m/>
    <m/>
    <m/>
    <m/>
    <m/>
    <m/>
    <m/>
    <m/>
    <n v="39.656818181818188"/>
    <m/>
    <m/>
    <s v="CML 2 baseline 2000"/>
  </r>
  <r>
    <x v="11"/>
    <x v="115"/>
    <s v="Fresh or Not Specified"/>
    <s v="Small farms &lt;0.5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2700000000000001"/>
    <s v=""/>
    <m/>
    <m/>
    <m/>
    <m/>
    <m/>
    <m/>
    <m/>
    <m/>
    <m/>
    <m/>
    <m/>
    <m/>
    <m/>
    <m/>
    <m/>
    <m/>
    <m/>
    <m/>
    <m/>
    <m/>
    <m/>
    <m/>
    <n v="0.32700000000000001"/>
    <m/>
    <m/>
    <m/>
  </r>
  <r>
    <x v="11"/>
    <x v="115"/>
    <s v="Fresh or Not Specified"/>
    <s v="Medium farms 0.5-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099999999999999"/>
    <s v=""/>
    <m/>
    <m/>
    <m/>
    <m/>
    <m/>
    <m/>
    <m/>
    <m/>
    <m/>
    <m/>
    <m/>
    <m/>
    <m/>
    <m/>
    <m/>
    <m/>
    <m/>
    <m/>
    <m/>
    <m/>
    <m/>
    <m/>
    <n v="0.30099999999999999"/>
    <m/>
    <m/>
    <m/>
  </r>
  <r>
    <x v="11"/>
    <x v="115"/>
    <s v="Fresh or Not Specified"/>
    <s v="Large farms &gt;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199999999999999"/>
    <s v=""/>
    <m/>
    <m/>
    <m/>
    <m/>
    <m/>
    <m/>
    <m/>
    <m/>
    <m/>
    <m/>
    <m/>
    <m/>
    <m/>
    <m/>
    <m/>
    <m/>
    <m/>
    <m/>
    <m/>
    <m/>
    <m/>
    <m/>
    <n v="0.30199999999999999"/>
    <m/>
    <m/>
    <m/>
  </r>
  <r>
    <x v="11"/>
    <x v="116"/>
    <s v="Fresh or Not Specified"/>
    <s v="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1900000000000004"/>
    <s v=""/>
    <m/>
    <m/>
    <m/>
    <m/>
    <m/>
    <m/>
    <m/>
    <m/>
    <m/>
    <m/>
    <m/>
    <m/>
    <m/>
    <m/>
    <m/>
    <m/>
    <m/>
    <m/>
    <m/>
    <m/>
    <m/>
    <m/>
    <n v="4.1900000000000004"/>
    <m/>
    <m/>
    <s v="Recipe midpoint approach"/>
  </r>
  <r>
    <x v="11"/>
    <x v="116"/>
    <s v="Fresh or Not Specified"/>
    <s v="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8.94"/>
    <s v=""/>
    <m/>
    <m/>
    <m/>
    <m/>
    <m/>
    <m/>
    <m/>
    <m/>
    <m/>
    <m/>
    <m/>
    <m/>
    <m/>
    <m/>
    <m/>
    <m/>
    <m/>
    <m/>
    <m/>
    <m/>
    <m/>
    <m/>
    <n v="8.94"/>
    <m/>
    <m/>
    <s v="Recipe midpoint approach"/>
  </r>
  <r>
    <x v="4"/>
    <x v="117"/>
    <s v="Fresh or Not Specified"/>
    <s v="Cashew Apples, 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2.09"/>
    <s v=""/>
    <m/>
    <m/>
    <m/>
    <m/>
    <m/>
    <m/>
    <m/>
    <m/>
    <m/>
    <m/>
    <m/>
    <m/>
    <m/>
    <m/>
    <m/>
    <m/>
    <m/>
    <m/>
    <m/>
    <m/>
    <m/>
    <m/>
    <n v="2.09"/>
    <m/>
    <m/>
    <s v="Recipe midpoint approach"/>
  </r>
  <r>
    <x v="4"/>
    <x v="117"/>
    <s v="Fresh or Not Specified"/>
    <s v="Cashew Apples, 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47"/>
    <s v=""/>
    <m/>
    <m/>
    <m/>
    <m/>
    <m/>
    <m/>
    <m/>
    <m/>
    <m/>
    <m/>
    <m/>
    <m/>
    <m/>
    <m/>
    <m/>
    <m/>
    <m/>
    <m/>
    <m/>
    <m/>
    <m/>
    <m/>
    <n v="4.47"/>
    <m/>
    <m/>
    <s v="Recipe midpoint approach"/>
  </r>
  <r>
    <x v="11"/>
    <x v="82"/>
    <s v="Fresh or Not Specified"/>
    <s v="Almonds"/>
    <s v="No"/>
    <s v="USA (california)"/>
    <n v="2015"/>
    <s v="Alissa Kendall (a); Elias Marvinney (a); Sonja Brodt (a); and Weiyuan Zhu (a);"/>
    <s v="(a) Department of Civil and Environmental Engineering, University of California–Davis, One Shields Avenue, Davis, CA 95618;"/>
    <s v="Peer Reviewed Journal"/>
    <s v="Kendall, A., Marvinney, E., Brodt, S. B. and Zhu, W., Life Cycle-based Assessment of Energy Use and Greenhouse Gas Emissions in Almond Production, Part I: Analytical Framework and Baseline Results. Journal of Industrial Ecology 2015, 19 (6), 1008-1018."/>
    <s v="Yes"/>
    <s v="No"/>
    <s v="Yes"/>
    <s v="Yes"/>
    <s v="No"/>
    <s v="No"/>
    <s v="No"/>
    <s v="No"/>
    <s v="No"/>
    <s v="No"/>
    <s v="No"/>
    <s v="No"/>
    <s v="Use of co-products for animal feed/biomass fuel/mulching"/>
    <s v="Economic allocation values. Hulling and Shelling included in farm procesing"/>
    <s v="No"/>
    <s v="Yes"/>
    <s v="1 kg almond kernel"/>
    <m/>
    <n v="24"/>
    <n v="29"/>
    <n v="0.79625000000000001"/>
    <n v="0.91"/>
    <n v="24.442857142857143"/>
    <m/>
    <n v="4.5571428571428569"/>
    <m/>
    <m/>
    <m/>
    <m/>
    <m/>
    <m/>
    <n v="24"/>
    <n v="29"/>
    <m/>
    <m/>
    <n v="0.79625000000000001"/>
    <m/>
    <n v="0.11375000000000002"/>
    <m/>
    <m/>
    <m/>
    <m/>
    <m/>
    <m/>
    <n v="0.79625000000000001"/>
    <n v="0.91"/>
    <m/>
    <s v="IPCC 2013"/>
  </r>
  <r>
    <x v="10"/>
    <x v="114"/>
    <s v="Fresh or Not Specified"/>
    <s v="Mil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3.6"/>
    <m/>
    <m/>
  </r>
  <r>
    <x v="10"/>
    <x v="114"/>
    <s v="Fresh or Not Specified"/>
    <s v="Dar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1"/>
    <m/>
    <m/>
  </r>
  <r>
    <x v="10"/>
    <x v="114"/>
    <s v="Fresh or Not Specified"/>
    <s v="White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4.0999999999999996"/>
    <m/>
    <m/>
  </r>
  <r>
    <x v="10"/>
    <x v="114"/>
    <s v="Fresh or Not Specified"/>
    <s v="Chocolate with Saltunas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5"/>
    <m/>
    <m/>
  </r>
  <r>
    <x v="10"/>
    <x v="118"/>
    <s v="Fresh or Not Specified"/>
    <s v="Corn Chips"/>
    <s v="No"/>
    <s v="Australia"/>
    <n v="2006"/>
    <s v="Tim Grant (1) (2); Tom Beer (2)"/>
    <s v="(1) RMIT Centre for Design; (2) CSIRO Marine and Atmospheric Research"/>
    <s v="Conference Proceedings"/>
    <s v="Grant, T. and Beer, T., Life Cycle Assessment of Greenhouse Gas Emissions from Irrigated Maize. 5th Australian Confernce on Life Cycle Assessment 2006, 22-24."/>
    <s v="Yes"/>
    <s v="No"/>
    <s v="Yes"/>
    <s v="Yes"/>
    <s v="Yes"/>
    <s v="Yes"/>
    <s v="No"/>
    <s v="No"/>
    <s v="No"/>
    <s v="No"/>
    <s v="No"/>
    <s v="No"/>
    <m/>
    <s v="Cradle to Grave"/>
    <s v="No"/>
    <s v="No"/>
    <s v="400g packet of corn chips"/>
    <s v="Reported Value x 2.5"/>
    <s v=""/>
    <s v=""/>
    <s v=""/>
    <s v=""/>
    <m/>
    <m/>
    <m/>
    <m/>
    <m/>
    <m/>
    <m/>
    <m/>
    <m/>
    <m/>
    <m/>
    <m/>
    <m/>
    <m/>
    <m/>
    <m/>
    <m/>
    <m/>
    <m/>
    <m/>
    <m/>
    <m/>
    <m/>
    <n v="1.325"/>
    <m/>
    <m/>
  </r>
  <r>
    <x v="10"/>
    <x v="119"/>
    <s v="Fresh or Not Specified"/>
    <s v="Traditional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n v="22.9"/>
    <s v=""/>
    <s v=""/>
    <s v=""/>
    <m/>
    <m/>
    <m/>
    <m/>
    <m/>
    <m/>
    <m/>
    <m/>
    <m/>
    <n v="22.9"/>
    <n v="36.700000000000003"/>
    <m/>
    <m/>
    <m/>
    <m/>
    <m/>
    <m/>
    <m/>
    <m/>
    <m/>
    <m/>
    <m/>
    <m/>
    <n v="2.4900000000000002"/>
    <m/>
    <s v="IPCC 2006"/>
  </r>
  <r>
    <x v="10"/>
    <x v="119"/>
    <s v="Fresh or Not Specified"/>
    <s v="Technified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s v=""/>
    <s v=""/>
    <s v=""/>
    <s v=""/>
    <m/>
    <m/>
    <m/>
    <m/>
    <m/>
    <m/>
    <m/>
    <m/>
    <m/>
    <m/>
    <n v="40.700000000000003"/>
    <m/>
    <m/>
    <m/>
    <m/>
    <m/>
    <m/>
    <m/>
    <m/>
    <m/>
    <m/>
    <m/>
    <m/>
    <n v="2.82"/>
    <m/>
    <s v="IPCC 2006"/>
  </r>
  <r>
    <x v="5"/>
    <x v="120"/>
    <s v="Fresh or Not Specified"/>
    <s v="Breakfast Cereal (minus consumption)"/>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No"/>
    <s v="No"/>
    <s v="No"/>
    <s v="No"/>
    <s v="No"/>
    <s v="No"/>
    <m/>
    <s v="Cradle to Retail"/>
    <s v="Yes"/>
    <s v="No"/>
    <s v="1kg cereal"/>
    <s v="N/A"/>
    <s v=""/>
    <s v=""/>
    <s v=""/>
    <s v=""/>
    <m/>
    <m/>
    <m/>
    <m/>
    <m/>
    <m/>
    <m/>
    <m/>
    <m/>
    <m/>
    <n v="32.39"/>
    <s v="CML 2001, Updated April 2013"/>
    <m/>
    <m/>
    <m/>
    <m/>
    <m/>
    <m/>
    <m/>
    <m/>
    <m/>
    <m/>
    <m/>
    <n v="2.64"/>
    <m/>
    <s v="CML 2001, Updated April 2013"/>
  </r>
  <r>
    <x v="5"/>
    <x v="120"/>
    <s v="Fresh or Not Specified"/>
    <s v="Breakfast Cereal (includes consumption with milk)"/>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Yes"/>
    <s v="Yes"/>
    <s v="No"/>
    <s v="No"/>
    <s v="Yes"/>
    <s v="No"/>
    <m/>
    <s v="Cradle to Grave"/>
    <s v="Yes"/>
    <s v="No"/>
    <s v="1kg cereal"/>
    <s v="N/A"/>
    <s v=""/>
    <s v=""/>
    <s v=""/>
    <s v=""/>
    <m/>
    <m/>
    <m/>
    <m/>
    <m/>
    <m/>
    <m/>
    <m/>
    <m/>
    <m/>
    <n v="77.489999999999995"/>
    <s v="CML 2001, Updated April 2013"/>
    <m/>
    <m/>
    <m/>
    <m/>
    <m/>
    <m/>
    <m/>
    <m/>
    <m/>
    <m/>
    <m/>
    <n v="8.84"/>
    <m/>
    <s v="CML 2001, Updated April 2013"/>
  </r>
  <r>
    <x v="6"/>
    <x v="38"/>
    <s v="Fresh or Not Specified"/>
    <s v="Tofu"/>
    <s v="No"/>
    <s v="Indonesia"/>
    <n v="2014"/>
    <s v="Sidharta Sahirman Ardiansyah"/>
    <s v="Universitas Jenderal Soedirman, Purwokerto, Indonesia"/>
    <s v="Conference Proceedings"/>
    <s v="Ardiansyah, S. S., Assessment of Tofu Carbon Footprint in Banyumas, Indonesia - Towards 'Greener' Tofu. Proceeding of International Conference On Research, Implementation And Education Of Mathematics And Sciences 2014, Yogyakarta State University, 18-20 May 2014 S-97 - S-103."/>
    <s v="Yes"/>
    <s v="No"/>
    <s v="Yes"/>
    <s v="Yes"/>
    <s v="No"/>
    <s v="No"/>
    <s v="No"/>
    <s v="No"/>
    <s v="No"/>
    <s v="No"/>
    <s v="No"/>
    <s v="No"/>
    <m/>
    <s v="Cradle to Processing Gate"/>
    <s v="No"/>
    <s v="No"/>
    <s v="1kg tofu"/>
    <s v="N/A"/>
    <s v=""/>
    <s v=""/>
    <s v=""/>
    <s v=""/>
    <m/>
    <m/>
    <m/>
    <m/>
    <m/>
    <m/>
    <m/>
    <m/>
    <m/>
    <m/>
    <n v="11.44"/>
    <m/>
    <m/>
    <m/>
    <m/>
    <m/>
    <m/>
    <m/>
    <m/>
    <m/>
    <m/>
    <m/>
    <m/>
    <n v="1.6995199999999999"/>
    <m/>
    <s v="IPCC 2006"/>
  </r>
  <r>
    <x v="6"/>
    <x v="121"/>
    <s v="Fresh or Not Specified"/>
    <s v="Soy Burger"/>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50g soy burger"/>
    <s v="Reported Value x (20/3)"/>
    <s v=""/>
    <s v=""/>
    <s v=""/>
    <s v=""/>
    <m/>
    <m/>
    <m/>
    <m/>
    <m/>
    <m/>
    <m/>
    <m/>
    <m/>
    <m/>
    <m/>
    <m/>
    <m/>
    <m/>
    <m/>
    <m/>
    <m/>
    <m/>
    <m/>
    <m/>
    <m/>
    <m/>
    <m/>
    <m/>
    <m/>
    <m/>
  </r>
  <r>
    <x v="7"/>
    <x v="40"/>
    <s v="Fresh or Not Specified"/>
    <s v="Soy Milk"/>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 liter soy milk"/>
    <s v="Reported value / density of soy milk (1.08 kg/L)"/>
    <s v=""/>
    <s v=""/>
    <s v=""/>
    <s v=""/>
    <m/>
    <m/>
    <m/>
    <m/>
    <m/>
    <m/>
    <m/>
    <m/>
    <m/>
    <m/>
    <m/>
    <m/>
    <m/>
    <m/>
    <m/>
    <m/>
    <m/>
    <m/>
    <m/>
    <m/>
    <m/>
    <m/>
    <m/>
    <m/>
    <m/>
    <m/>
  </r>
  <r>
    <x v="5"/>
    <x v="67"/>
    <s v="Fresh or Not Specified"/>
    <s v="Crop Rotation, Wheat after Wheat"/>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0499999999999999"/>
    <s v=""/>
    <m/>
    <m/>
    <m/>
    <m/>
    <m/>
    <m/>
    <m/>
    <m/>
    <m/>
    <m/>
    <m/>
    <m/>
    <m/>
    <m/>
    <m/>
    <m/>
    <m/>
    <m/>
    <m/>
    <m/>
    <m/>
    <m/>
    <n v="0.20499999999999999"/>
    <m/>
    <m/>
    <s v="IPCC 2007"/>
  </r>
  <r>
    <x v="5"/>
    <x v="67"/>
    <s v="Fresh or Not Specified"/>
    <s v="Crop Rotation, Wheat after Canol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899999999999999"/>
    <s v=""/>
    <m/>
    <m/>
    <m/>
    <m/>
    <m/>
    <m/>
    <m/>
    <m/>
    <m/>
    <m/>
    <m/>
    <m/>
    <m/>
    <m/>
    <m/>
    <m/>
    <m/>
    <m/>
    <m/>
    <m/>
    <m/>
    <m/>
    <n v="0.17899999999999999"/>
    <m/>
    <m/>
    <s v="IPCC 2007"/>
  </r>
  <r>
    <x v="5"/>
    <x v="67"/>
    <s v="Fresh or Not Specified"/>
    <s v="Crop Rotation, Wheat after Chickpe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54"/>
    <s v=""/>
    <m/>
    <m/>
    <m/>
    <m/>
    <m/>
    <m/>
    <m/>
    <m/>
    <m/>
    <m/>
    <m/>
    <m/>
    <m/>
    <m/>
    <m/>
    <m/>
    <m/>
    <m/>
    <m/>
    <m/>
    <m/>
    <m/>
    <n v="0.154"/>
    <m/>
    <m/>
    <s v="IPCC 2007"/>
  </r>
  <r>
    <x v="5"/>
    <x v="67"/>
    <s v="Fresh or Not Specified"/>
    <s v="Crop Rotation, Wheat after Wheat"/>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404"/>
    <s v=""/>
    <m/>
    <m/>
    <m/>
    <m/>
    <m/>
    <m/>
    <m/>
    <m/>
    <m/>
    <m/>
    <m/>
    <m/>
    <m/>
    <m/>
    <m/>
    <m/>
    <m/>
    <m/>
    <m/>
    <m/>
    <m/>
    <m/>
    <n v="0.2404"/>
    <m/>
    <m/>
    <s v="IPCC 2007"/>
  </r>
  <r>
    <x v="5"/>
    <x v="67"/>
    <s v="Fresh or Not Specified"/>
    <s v="Crop Rotation, Wheat after Canola"/>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14"/>
    <s v=""/>
    <m/>
    <m/>
    <m/>
    <m/>
    <m/>
    <m/>
    <m/>
    <m/>
    <m/>
    <m/>
    <m/>
    <m/>
    <m/>
    <m/>
    <m/>
    <m/>
    <m/>
    <m/>
    <m/>
    <m/>
    <m/>
    <m/>
    <n v="0.214"/>
    <m/>
    <m/>
    <s v="IPCC 2007"/>
  </r>
  <r>
    <x v="5"/>
    <x v="67"/>
    <s v="Fresh or Not Specified"/>
    <s v="Crop Rotation, Wheat after Field Peas"/>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799999999999999"/>
    <s v=""/>
    <m/>
    <m/>
    <m/>
    <m/>
    <m/>
    <m/>
    <m/>
    <m/>
    <m/>
    <m/>
    <m/>
    <m/>
    <m/>
    <m/>
    <m/>
    <m/>
    <m/>
    <m/>
    <m/>
    <m/>
    <m/>
    <m/>
    <n v="0.17799999999999999"/>
    <m/>
    <m/>
    <s v="IPCC 2007"/>
  </r>
  <r>
    <x v="5"/>
    <x v="122"/>
    <s v="Fresh or Not Specified"/>
    <s v="Rice - Using measured field emissions and GWP_100"/>
    <s v="No"/>
    <s v="California"/>
    <n v="2014"/>
    <s v="Sonja Brodt (1); Alissa Kendall (2); Yaser Mohammadi (1)(3) Aslihan Arslan (1); Juhong Yuan (2); In-Sung Lee (2); Bruce Linquist (3)"/>
    <s v="(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
    <s v="Peer Reviewed Journal"/>
    <s v="Brodt, S. B., Kendall, A., Mohammadi, Y., Arslan, A., Yuan, J., Lee, I.-S. and Linquist, B., Life cycle greenhouse gas emissions in California rice production. Field Crops Research 2014, 169, 89-98."/>
    <s v="Yes"/>
    <s v="No"/>
    <s v="Yes"/>
    <s v="Yes"/>
    <s v="No"/>
    <s v="No"/>
    <s v="No"/>
    <s v="No"/>
    <s v="No"/>
    <s v="No"/>
    <s v="No"/>
    <s v="No"/>
    <m/>
    <s v="Cradle to Processing"/>
    <s v="No"/>
    <s v="Yes"/>
    <s v="1 kg rice"/>
    <s v="N/A"/>
    <s v=""/>
    <n v="0.13930000000000001"/>
    <n v="1.4993100000000001"/>
    <s v=""/>
    <m/>
    <n v="5.7700000000000001E-2"/>
    <n v="8.1600000000000006E-2"/>
    <m/>
    <m/>
    <m/>
    <m/>
    <m/>
    <m/>
    <m/>
    <m/>
    <m/>
    <s v="No Data except tranport and processing"/>
    <n v="1.4993100000000001"/>
    <m/>
    <m/>
    <m/>
    <m/>
    <m/>
    <m/>
    <m/>
    <m/>
    <n v="1.4993100000000001"/>
    <n v="1.55"/>
    <m/>
    <s v="IPCC 2006"/>
  </r>
  <r>
    <x v="8"/>
    <x v="123"/>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oil"/>
    <m/>
    <s v=""/>
    <s v=""/>
    <s v=""/>
    <s v=""/>
    <m/>
    <m/>
    <m/>
    <m/>
    <m/>
    <m/>
    <m/>
    <m/>
    <m/>
    <m/>
    <n v="12.5"/>
    <s v="MJ (net energy)"/>
    <m/>
    <m/>
    <m/>
    <m/>
    <m/>
    <m/>
    <m/>
    <m/>
    <m/>
    <m/>
    <m/>
    <m/>
    <m/>
    <m/>
  </r>
  <r>
    <x v="5"/>
    <x v="124"/>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gluten meal"/>
    <m/>
    <s v=""/>
    <s v=""/>
    <s v=""/>
    <s v=""/>
    <m/>
    <m/>
    <m/>
    <m/>
    <m/>
    <m/>
    <m/>
    <m/>
    <m/>
    <m/>
    <n v="4.2"/>
    <s v="MJ (net energy)"/>
    <m/>
    <m/>
    <m/>
    <m/>
    <m/>
    <m/>
    <m/>
    <m/>
    <m/>
    <m/>
    <m/>
    <m/>
    <m/>
    <m/>
  </r>
  <r>
    <x v="8"/>
    <x v="47"/>
    <s v="Fresh or Not Specified"/>
    <s v="average across US ; accounts for regional variation"/>
    <s v="No"/>
    <s v="US"/>
    <n v="2009"/>
    <s v="Seungdo Kim &amp; Bruce E. Dale"/>
    <s v="Department of Chemical Engineering &amp; Materials Science, Room 2527, Engineering Building, Michigan State University, East Lansing, MI"/>
    <s v="Peer Reviewed Journal"/>
    <s v="Kim, S. and Dale, B. E., Regional variations in greenhouse gas emissions of biobased products in the United States—corn-based ethanol and soybean oil. The International Journal of Life Cycle Assessment 2009, 14 (6), 540-546."/>
    <s v="Yes"/>
    <s v="Yes"/>
    <s v="No"/>
    <s v="Yes"/>
    <s v="No"/>
    <s v="No"/>
    <s v="No"/>
    <s v="No"/>
    <s v="No"/>
    <s v="No"/>
    <s v="No"/>
    <s v="No"/>
    <m/>
    <s v="direct land use change included in the form of changes in soil organic carbon"/>
    <s v="No"/>
    <s v="No"/>
    <s v="kg soybean oil"/>
    <m/>
    <s v=""/>
    <s v=""/>
    <s v=""/>
    <s v=""/>
    <m/>
    <m/>
    <m/>
    <m/>
    <m/>
    <m/>
    <m/>
    <m/>
    <m/>
    <m/>
    <m/>
    <m/>
    <m/>
    <m/>
    <m/>
    <m/>
    <m/>
    <m/>
    <m/>
    <m/>
    <m/>
    <m/>
    <m/>
    <n v="1.2"/>
    <s v="+/-0.5"/>
    <m/>
  </r>
  <r>
    <x v="12"/>
    <x v="104"/>
    <s v="Canned"/>
    <s v="Canned Sardines, purse seine fishery, includes olive oil &amp; salt"/>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Yes"/>
    <s v="1 kg edible"/>
    <m/>
    <n v="8.76"/>
    <s v=""/>
    <n v="1.4169"/>
    <n v="2.0179999999999998"/>
    <n v="8.76"/>
    <m/>
    <m/>
    <n v="41.84"/>
    <n v="0.34"/>
    <m/>
    <m/>
    <m/>
    <m/>
    <n v="8.76"/>
    <n v="51"/>
    <m/>
    <m/>
    <n v="1.4169"/>
    <m/>
    <n v="0.60109999999999997"/>
    <n v="5.5175000000000001"/>
    <n v="2.4E-2"/>
    <m/>
    <m/>
    <m/>
    <m/>
    <n v="1.4169"/>
    <n v="7.6"/>
    <m/>
    <s v="100 y, CML-IA baseline"/>
  </r>
  <r>
    <x v="12"/>
    <x v="104"/>
    <s v="Fresh or Not Specified"/>
    <s v="Fresh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3"/>
    <m/>
    <m/>
    <m/>
    <m/>
    <m/>
    <m/>
    <m/>
    <m/>
    <m/>
    <m/>
    <m/>
    <m/>
    <n v="0.8"/>
    <m/>
    <s v="100 y, CML-IA baseline"/>
  </r>
  <r>
    <x v="12"/>
    <x v="104"/>
    <s v="Frozen"/>
    <s v="Frozen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7"/>
    <m/>
    <m/>
    <m/>
    <m/>
    <m/>
    <m/>
    <m/>
    <m/>
    <m/>
    <m/>
    <m/>
    <m/>
    <n v="0.99"/>
    <m/>
    <s v="100 y, CML-IA baseline"/>
  </r>
  <r>
    <x v="12"/>
    <x v="102"/>
    <s v="Fresh (Live)"/>
    <s v="Atlantic Salmon, copper alloy mesh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43.888888888888893"/>
    <s v=""/>
    <n v="3.0694444444444446"/>
    <s v=""/>
    <m/>
    <m/>
    <m/>
    <m/>
    <m/>
    <m/>
    <m/>
    <m/>
    <m/>
    <n v="43.888888888888893"/>
    <m/>
    <m/>
    <m/>
    <m/>
    <m/>
    <m/>
    <m/>
    <m/>
    <m/>
    <m/>
    <m/>
    <m/>
    <n v="3.0694444444444446"/>
    <m/>
    <m/>
    <s v="100y, ReCiPe"/>
  </r>
  <r>
    <x v="12"/>
    <x v="102"/>
    <s v="Fresh (Live)"/>
    <s v="Atlantic Salmon, nylon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53.472222222222221"/>
    <s v=""/>
    <n v="3.6944444444444446"/>
    <s v=""/>
    <m/>
    <m/>
    <m/>
    <m/>
    <m/>
    <m/>
    <m/>
    <m/>
    <m/>
    <n v="53.472222222222221"/>
    <m/>
    <m/>
    <m/>
    <m/>
    <m/>
    <m/>
    <m/>
    <m/>
    <m/>
    <m/>
    <m/>
    <m/>
    <n v="3.6944444444444446"/>
    <m/>
    <m/>
    <s v="100y, ReCiPe"/>
  </r>
  <r>
    <x v="12"/>
    <x v="111"/>
    <s v="Frozen"/>
    <s v="Tropical Rock Lobster, frozen tail shipped from N. Australia to US"/>
    <s v="No"/>
    <s v="Australia"/>
    <n v="2016"/>
    <s v="Ingrid E. van Putten, Anna K. Farmery, Bridget S. Green, Alistair J. Hobday, Lilly Lim-Camacho, Ana Norman-L´opez, and Robert W. Parker"/>
    <s v="Commonwealth Scientific and Industrial Research Organization, Oceans and Atmosphere, in Hobart, Tasmania, Australia."/>
    <s v="Peer Reviewed Journal"/>
    <s v="Van Putten, I. E., Farmery, A. K., Green, B. S., Hobday, A. J., Lim-Camacho, L., Norman-López, A. and Parker, R. W., The Environmental Impact of Two Australian Rock Lobster Fishery Supply Chains under a Changing Climate. Journal of Industrial Ecology 2016, 20(6), 1384-1398."/>
    <s v="Yes"/>
    <s v="No"/>
    <s v="Yes"/>
    <s v="Yes"/>
    <s v="Yes"/>
    <s v="Yes"/>
    <s v="No"/>
    <s v="No"/>
    <s v="No"/>
    <s v="No"/>
    <s v="No"/>
    <s v="No"/>
    <m/>
    <s v="cradle to import market port in US"/>
    <s v="No"/>
    <s v="Yes"/>
    <s v="1 kg frozen lobster tail"/>
    <m/>
    <n v="244.72"/>
    <n v="246.05"/>
    <n v="18.308"/>
    <n v="18.407499999999999"/>
    <n v="244.72"/>
    <m/>
    <n v="1.33"/>
    <n v="1.33"/>
    <n v="18.62"/>
    <m/>
    <m/>
    <m/>
    <m/>
    <n v="244.72"/>
    <n v="266"/>
    <m/>
    <m/>
    <n v="18.308"/>
    <m/>
    <n v="9.9499999999999991E-2"/>
    <n v="9.9499999999999991E-2"/>
    <n v="1.393"/>
    <m/>
    <m/>
    <m/>
    <m/>
    <n v="18.308"/>
    <n v="19.899999999999999"/>
    <m/>
    <s v="100y, CML"/>
  </r>
  <r>
    <x v="12"/>
    <x v="102"/>
    <s v="Fresh (Live)"/>
    <s v="Farmed Rainbow Trout, flow-through production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1.7846153846153845"/>
    <s v=""/>
    <m/>
    <m/>
    <m/>
    <m/>
    <m/>
    <m/>
    <m/>
    <m/>
    <m/>
    <m/>
    <m/>
    <m/>
    <m/>
    <m/>
    <m/>
    <m/>
    <m/>
    <m/>
    <m/>
    <m/>
    <m/>
    <m/>
    <n v="1.7846153846153845"/>
    <m/>
    <m/>
    <s v="100y, CML 2 Baseline 2000"/>
  </r>
  <r>
    <x v="12"/>
    <x v="102"/>
    <s v="Fresh (Live)"/>
    <s v="Farmed Rainbow Trout, semi-closed recirc.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8153846153846143"/>
    <s v=""/>
    <m/>
    <m/>
    <m/>
    <m/>
    <m/>
    <m/>
    <m/>
    <m/>
    <m/>
    <m/>
    <m/>
    <m/>
    <m/>
    <m/>
    <m/>
    <m/>
    <m/>
    <m/>
    <m/>
    <m/>
    <m/>
    <m/>
    <n v="9.8153846153846143"/>
    <m/>
    <m/>
    <s v="100y, CML 2 Baseline 2000"/>
  </r>
  <r>
    <x v="12"/>
    <x v="102"/>
    <s v="Fresh (Live)"/>
    <s v="Farmed Rainbow Trout, recirculating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3846153846153832"/>
    <s v=""/>
    <m/>
    <m/>
    <m/>
    <m/>
    <m/>
    <m/>
    <m/>
    <m/>
    <m/>
    <m/>
    <m/>
    <m/>
    <m/>
    <m/>
    <m/>
    <m/>
    <m/>
    <m/>
    <m/>
    <m/>
    <m/>
    <m/>
    <n v="9.3846153846153832"/>
    <m/>
    <m/>
    <s v="100y, CML 2 Baseline 2000"/>
  </r>
  <r>
    <x v="5"/>
    <x v="67"/>
    <s v="Dried"/>
    <s v="average US wheat production"/>
    <s v="No"/>
    <s v="US"/>
    <n v="2006"/>
    <s v="Gerhard Piringer and Laura J. Steinberg"/>
    <s v="Department of Civil and Environmental Engineering Tulane University New Orleans, LA 70118"/>
    <s v="Peer Reviewed Journal"/>
    <s v="Piringer, G. and Steinberg, L. J., Reevaluation of energy use in wheat production in the United States. Journal of Industrial Ecology 2006, 10 (1-2), 149-167."/>
    <s v="Yes"/>
    <s v="No"/>
    <s v="No"/>
    <s v="No"/>
    <s v="No"/>
    <s v="No"/>
    <s v="No"/>
    <s v="No"/>
    <s v="No"/>
    <s v="No"/>
    <s v="No"/>
    <s v="No"/>
    <m/>
    <s v="cradle to farm gate"/>
    <s v="No"/>
    <s v="No"/>
    <s v="1 kg wheat grain"/>
    <m/>
    <n v="3.8849999999999998"/>
    <s v=""/>
    <s v=""/>
    <s v=""/>
    <m/>
    <m/>
    <m/>
    <m/>
    <m/>
    <m/>
    <m/>
    <m/>
    <m/>
    <n v="3.8849999999999998"/>
    <m/>
    <m/>
    <m/>
    <m/>
    <m/>
    <m/>
    <m/>
    <m/>
    <m/>
    <m/>
    <m/>
    <m/>
    <m/>
    <m/>
    <m/>
    <m/>
  </r>
  <r>
    <x v="5"/>
    <x v="125"/>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5.2"/>
    <s v=""/>
    <n v="0.69599999999999995"/>
    <s v=""/>
    <m/>
    <m/>
    <m/>
    <m/>
    <m/>
    <m/>
    <m/>
    <m/>
    <m/>
    <n v="5.2"/>
    <m/>
    <s v="CED v. 1.03"/>
    <m/>
    <m/>
    <m/>
    <m/>
    <m/>
    <m/>
    <m/>
    <m/>
    <m/>
    <m/>
    <n v="0.69599999999999995"/>
    <m/>
    <m/>
    <s v="100y CML 2 Baseline 2000"/>
  </r>
  <r>
    <x v="5"/>
    <x v="125"/>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000000000000002"/>
    <s v=""/>
    <n v="0.54100000000000004"/>
    <s v=""/>
    <m/>
    <m/>
    <m/>
    <m/>
    <m/>
    <m/>
    <m/>
    <m/>
    <m/>
    <n v="2.2000000000000002"/>
    <m/>
    <s v="CED v. 1.03"/>
    <m/>
    <m/>
    <m/>
    <m/>
    <m/>
    <m/>
    <m/>
    <m/>
    <m/>
    <m/>
    <n v="0.54100000000000004"/>
    <m/>
    <m/>
    <s v="100y CML 2 Baseline 2000"/>
  </r>
  <r>
    <x v="5"/>
    <x v="126"/>
    <s v="Dried"/>
    <s v="Zea Maize, 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4"/>
    <s v=""/>
    <n v="0.33"/>
    <s v=""/>
    <m/>
    <m/>
    <m/>
    <m/>
    <m/>
    <m/>
    <m/>
    <m/>
    <m/>
    <n v="2.4"/>
    <m/>
    <s v="CED v. 1.03"/>
    <m/>
    <m/>
    <m/>
    <m/>
    <m/>
    <m/>
    <m/>
    <m/>
    <m/>
    <m/>
    <n v="0.33"/>
    <m/>
    <m/>
    <s v="100y CML 2 Baseline 2000"/>
  </r>
  <r>
    <x v="5"/>
    <x v="126"/>
    <s v="Dried"/>
    <s v="Zea Maize, 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3"/>
    <s v=""/>
    <n v="0.25600000000000001"/>
    <s v=""/>
    <m/>
    <m/>
    <m/>
    <m/>
    <m/>
    <m/>
    <m/>
    <m/>
    <m/>
    <n v="1.3"/>
    <m/>
    <s v="CED v. 1.03"/>
    <m/>
    <m/>
    <m/>
    <m/>
    <m/>
    <m/>
    <m/>
    <m/>
    <m/>
    <m/>
    <n v="0.25600000000000001"/>
    <m/>
    <m/>
    <s v="100y CML 2 Baseline 2000"/>
  </r>
  <r>
    <x v="11"/>
    <x v="12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999999999999998"/>
    <s v=""/>
    <n v="0.24759999999999999"/>
    <s v=""/>
    <m/>
    <m/>
    <m/>
    <m/>
    <m/>
    <m/>
    <m/>
    <m/>
    <m/>
    <n v="2.2999999999999998"/>
    <m/>
    <s v="CED v. 1.03"/>
    <m/>
    <m/>
    <m/>
    <m/>
    <m/>
    <m/>
    <m/>
    <m/>
    <m/>
    <m/>
    <n v="0.24759999999999999"/>
    <m/>
    <m/>
    <s v="100y CML 2 Baseline 2000"/>
  </r>
  <r>
    <x v="11"/>
    <x v="12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5"/>
    <s v=""/>
    <n v="0.19"/>
    <s v=""/>
    <m/>
    <m/>
    <m/>
    <m/>
    <m/>
    <m/>
    <m/>
    <m/>
    <m/>
    <n v="1.5"/>
    <m/>
    <s v="CED v. 1.03"/>
    <m/>
    <m/>
    <m/>
    <m/>
    <m/>
    <m/>
    <m/>
    <m/>
    <m/>
    <m/>
    <n v="0.19"/>
    <m/>
    <m/>
    <s v="100y CML 2 Baseline 2000"/>
  </r>
  <r>
    <x v="5"/>
    <x v="6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7"/>
    <s v=""/>
    <n v="0.38200000000000001"/>
    <s v=""/>
    <m/>
    <m/>
    <m/>
    <m/>
    <m/>
    <m/>
    <m/>
    <m/>
    <m/>
    <n v="2.7"/>
    <m/>
    <s v="CED v. 1.03"/>
    <m/>
    <m/>
    <m/>
    <m/>
    <m/>
    <m/>
    <m/>
    <m/>
    <m/>
    <m/>
    <n v="0.38200000000000001"/>
    <m/>
    <m/>
    <s v="100y CML 2 Baseline 2000"/>
  </r>
  <r>
    <x v="5"/>
    <x v="6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0.8"/>
    <s v=""/>
    <n v="0.29099999999999998"/>
    <s v=""/>
    <m/>
    <m/>
    <m/>
    <m/>
    <m/>
    <m/>
    <m/>
    <m/>
    <m/>
    <n v="0.8"/>
    <m/>
    <s v="CED v. 1.03"/>
    <m/>
    <m/>
    <m/>
    <m/>
    <m/>
    <m/>
    <m/>
    <m/>
    <m/>
    <m/>
    <n v="0.29099999999999998"/>
    <m/>
    <m/>
    <s v="100y CML 2 Baseline 2000"/>
  </r>
  <r>
    <x v="5"/>
    <x v="128"/>
    <m/>
    <s v="conventional"/>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8358208955223879"/>
    <s v=""/>
    <m/>
    <m/>
    <m/>
    <m/>
    <m/>
    <m/>
    <m/>
    <m/>
    <m/>
    <m/>
    <n v="4.9253731343283577E-3"/>
    <m/>
    <m/>
    <m/>
    <m/>
    <m/>
    <m/>
    <m/>
    <m/>
    <m/>
    <m/>
    <m/>
    <n v="0.28358208955223879"/>
    <n v="0.4925373134328358"/>
    <m/>
    <s v="100y, IPCC 2001"/>
  </r>
  <r>
    <x v="5"/>
    <x v="128"/>
    <m/>
    <s v="organic"/>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3880597014925373"/>
    <s v=""/>
    <m/>
    <m/>
    <m/>
    <m/>
    <m/>
    <m/>
    <m/>
    <m/>
    <m/>
    <m/>
    <n v="4.0298507462686569E-3"/>
    <m/>
    <m/>
    <m/>
    <m/>
    <m/>
    <m/>
    <m/>
    <m/>
    <m/>
    <m/>
    <m/>
    <n v="0.23880597014925373"/>
    <n v="0.44776119402985071"/>
    <m/>
    <s v="100y, IPCC 2001"/>
  </r>
  <r>
    <x v="5"/>
    <x v="129"/>
    <s v="Cooked"/>
    <s v="10%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59.8% moisture"/>
    <s v=""/>
    <s v=""/>
    <n v="0.23066722408026757"/>
    <n v="0.3213026755852843"/>
    <m/>
    <m/>
    <m/>
    <m/>
    <m/>
    <m/>
    <m/>
    <m/>
    <m/>
    <m/>
    <m/>
    <m/>
    <m/>
    <n v="0.23066722408026757"/>
    <n v="9.0635451505016729E-2"/>
    <m/>
    <n v="6.344481605351171E-3"/>
    <m/>
    <n v="2.49247491638796E-2"/>
    <n v="0.11329431438127091"/>
    <m/>
    <m/>
    <n v="0.23066722408026757"/>
    <n v="0.45317725752508364"/>
    <m/>
    <m/>
  </r>
  <r>
    <x v="5"/>
    <x v="129"/>
    <s v="Cooked"/>
    <s v="2%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7907765451664026"/>
    <n v="0.2494421553090333"/>
    <m/>
    <m/>
    <m/>
    <m/>
    <m/>
    <m/>
    <m/>
    <m/>
    <m/>
    <m/>
    <m/>
    <m/>
    <m/>
    <n v="0.17907765451664026"/>
    <n v="7.0364500792393023E-2"/>
    <m/>
    <n v="4.9255150554675118E-3"/>
    <m/>
    <n v="1.9350237717908083E-2"/>
    <n v="8.7955625990491282E-2"/>
    <m/>
    <m/>
    <n v="0.17907765451664026"/>
    <n v="0.35182250396196513"/>
    <m/>
    <m/>
  </r>
  <r>
    <x v="5"/>
    <x v="129"/>
    <s v="Cooked"/>
    <s v="5%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4.1% moisture"/>
    <s v=""/>
    <s v=""/>
    <n v="0.1889890795631825"/>
    <n v="0.26324804992199685"/>
    <m/>
    <m/>
    <m/>
    <m/>
    <m/>
    <m/>
    <m/>
    <m/>
    <m/>
    <m/>
    <m/>
    <m/>
    <m/>
    <n v="0.1889890795631825"/>
    <n v="7.4258970358814347E-2"/>
    <m/>
    <n v="5.1981279251170041E-3"/>
    <m/>
    <n v="2.0421216848673946E-2"/>
    <n v="9.2823712948517934E-2"/>
    <m/>
    <m/>
    <n v="0.1889890795631825"/>
    <n v="0.37129485179407173"/>
    <m/>
    <m/>
  </r>
  <r>
    <x v="5"/>
    <x v="122"/>
    <s v="Cooked"/>
    <s v="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5% moisture"/>
    <s v=""/>
    <s v=""/>
    <n v="0.15426615384615386"/>
    <n v="0.21488153846153848"/>
    <m/>
    <m/>
    <m/>
    <m/>
    <m/>
    <m/>
    <m/>
    <m/>
    <m/>
    <m/>
    <m/>
    <m/>
    <m/>
    <n v="0.15426615384615386"/>
    <n v="6.061538461538462E-2"/>
    <m/>
    <n v="4.2430769230769232E-3"/>
    <m/>
    <n v="1.666923076923077E-2"/>
    <n v="7.5769230769230769E-2"/>
    <m/>
    <m/>
    <n v="0.15426615384615386"/>
    <n v="0.30307692307692308"/>
    <m/>
    <m/>
  </r>
  <r>
    <x v="5"/>
    <x v="129"/>
    <s v="Cooked"/>
    <s v="parboiled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70.8% moisture"/>
    <s v=""/>
    <s v=""/>
    <n v="0.20129943502824862"/>
    <n v="0.28039548022598876"/>
    <m/>
    <m/>
    <m/>
    <m/>
    <m/>
    <m/>
    <m/>
    <m/>
    <m/>
    <m/>
    <m/>
    <m/>
    <m/>
    <n v="0.20129943502824862"/>
    <n v="7.9096045197740134E-2"/>
    <m/>
    <n v="5.5367231638418094E-3"/>
    <m/>
    <n v="2.1751412429378534E-2"/>
    <n v="9.887005649717516E-2"/>
    <m/>
    <m/>
    <n v="0.20129943502824862"/>
    <n v="0.39548022598870064"/>
    <m/>
    <m/>
  </r>
  <r>
    <x v="5"/>
    <x v="122"/>
    <s v="Cooked"/>
    <s v="germinated 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9763074484944534"/>
    <n v="0.2752852614896989"/>
    <m/>
    <m/>
    <m/>
    <m/>
    <m/>
    <m/>
    <m/>
    <m/>
    <m/>
    <m/>
    <m/>
    <m/>
    <m/>
    <n v="0.19763074484944534"/>
    <n v="7.7654516640253579E-2"/>
    <m/>
    <n v="5.4358161648177502E-3"/>
    <m/>
    <n v="2.135499207606973E-2"/>
    <n v="9.706814580031696E-2"/>
    <m/>
    <m/>
    <n v="0.19763074484944534"/>
    <n v="0.38827258320126784"/>
    <m/>
    <m/>
  </r>
  <r>
    <x v="0"/>
    <x v="0"/>
    <s v="Fresh or Not Specified"/>
    <s v="Fluid Milk and its coproducts"/>
    <s v="yes - allocation method includes 100% emissions from dair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
    <s v=""/>
    <m/>
    <m/>
    <m/>
    <m/>
    <m/>
    <m/>
    <m/>
    <m/>
    <m/>
    <m/>
    <m/>
    <m/>
    <m/>
    <m/>
    <m/>
    <m/>
    <m/>
    <m/>
    <m/>
    <m/>
    <m/>
    <m/>
    <n v="1"/>
    <m/>
    <m/>
    <s v="IPCC 2007"/>
  </r>
  <r>
    <x v="0"/>
    <x v="0"/>
    <s v="Fresh or Not Specified"/>
    <s v="Fluid Milk and its coproducts"/>
    <s v="yes - allocation method includes 100% emissions from dair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599999999999999"/>
    <s v=""/>
    <m/>
    <m/>
    <m/>
    <m/>
    <m/>
    <m/>
    <m/>
    <m/>
    <m/>
    <m/>
    <m/>
    <m/>
    <m/>
    <m/>
    <m/>
    <m/>
    <m/>
    <m/>
    <m/>
    <m/>
    <m/>
    <m/>
    <n v="1.1599999999999999"/>
    <m/>
    <m/>
    <s v="IPCC 2007"/>
  </r>
  <r>
    <x v="0"/>
    <x v="0"/>
    <s v="Fresh or Not Specified"/>
    <s v="Fluid Milk and its coproducts"/>
    <s v="yes - allocation models uses system expansion replacing beef onl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63"/>
    <s v=""/>
    <m/>
    <m/>
    <m/>
    <m/>
    <m/>
    <m/>
    <m/>
    <m/>
    <m/>
    <m/>
    <m/>
    <m/>
    <m/>
    <m/>
    <m/>
    <m/>
    <m/>
    <m/>
    <m/>
    <m/>
    <m/>
    <m/>
    <n v="0.63"/>
    <m/>
    <m/>
    <s v="IPCC 2007"/>
  </r>
  <r>
    <x v="0"/>
    <x v="0"/>
    <s v="Fresh or Not Specified"/>
    <s v="Fluid Milk and its coproducts"/>
    <s v="yes - allocation models uses system expansion replacing beef onl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3"/>
    <s v=""/>
    <m/>
    <m/>
    <m/>
    <m/>
    <m/>
    <m/>
    <m/>
    <m/>
    <m/>
    <m/>
    <m/>
    <m/>
    <m/>
    <m/>
    <m/>
    <m/>
    <m/>
    <m/>
    <m/>
    <m/>
    <m/>
    <m/>
    <n v="0.73"/>
    <m/>
    <m/>
    <s v="IPCC 2007"/>
  </r>
  <r>
    <x v="0"/>
    <x v="0"/>
    <s v="Fresh or Not Specified"/>
    <s v="Fluid Milk and its coproducts"/>
    <s v="yes - allocation models uses system expansion replacing mix of meat"/>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6"/>
    <s v=""/>
    <m/>
    <m/>
    <m/>
    <m/>
    <m/>
    <m/>
    <m/>
    <m/>
    <m/>
    <m/>
    <m/>
    <m/>
    <m/>
    <m/>
    <m/>
    <m/>
    <m/>
    <m/>
    <m/>
    <m/>
    <m/>
    <m/>
    <n v="0.76"/>
    <m/>
    <m/>
    <s v="IPCC 2007"/>
  </r>
  <r>
    <x v="0"/>
    <x v="0"/>
    <s v="Fresh or Not Specified"/>
    <s v="Fluid Milk and its coproducts"/>
    <s v="yes - allocation models uses system expansion replacing mix of meat"/>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5"/>
    <s v=""/>
    <m/>
    <m/>
    <m/>
    <m/>
    <m/>
    <m/>
    <m/>
    <m/>
    <m/>
    <m/>
    <m/>
    <m/>
    <m/>
    <m/>
    <m/>
    <m/>
    <m/>
    <m/>
    <m/>
    <m/>
    <m/>
    <m/>
    <n v="0.85"/>
    <m/>
    <m/>
    <s v="IPCC 2007"/>
  </r>
  <r>
    <x v="0"/>
    <x v="0"/>
    <s v="Fresh or Not Specified"/>
    <s v="Fluid Milk and its coproducts"/>
    <s v="yes - allocation model using physical causality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6"/>
    <s v=""/>
    <m/>
    <m/>
    <m/>
    <m/>
    <m/>
    <m/>
    <m/>
    <m/>
    <m/>
    <m/>
    <m/>
    <m/>
    <m/>
    <m/>
    <m/>
    <m/>
    <m/>
    <m/>
    <m/>
    <m/>
    <m/>
    <m/>
    <n v="0.86"/>
    <m/>
    <m/>
    <s v="IPCC 2007"/>
  </r>
  <r>
    <x v="0"/>
    <x v="0"/>
    <s v="Fresh or Not Specified"/>
    <s v="Fluid Milk and its coproducts"/>
    <s v="yes - allocation model using physical causality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9"/>
    <s v=""/>
    <m/>
    <m/>
    <m/>
    <m/>
    <m/>
    <m/>
    <m/>
    <m/>
    <m/>
    <m/>
    <m/>
    <m/>
    <m/>
    <m/>
    <m/>
    <m/>
    <m/>
    <m/>
    <m/>
    <m/>
    <m/>
    <m/>
    <n v="0.99"/>
    <m/>
    <m/>
    <s v="IPCC 2007"/>
  </r>
  <r>
    <x v="0"/>
    <x v="0"/>
    <s v="Fresh or Not Specified"/>
    <s v="Fluid Milk and its coproducts"/>
    <s v="yes - allocation model using economic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m/>
    <s v="IPCC 2007"/>
  </r>
  <r>
    <x v="0"/>
    <x v="0"/>
    <s v="Fresh or Not Specified"/>
    <s v="Fluid Milk and its coproducts"/>
    <s v="yes - allocation model using economic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2"/>
    <s v=""/>
    <m/>
    <m/>
    <m/>
    <m/>
    <m/>
    <m/>
    <m/>
    <m/>
    <m/>
    <m/>
    <m/>
    <m/>
    <m/>
    <m/>
    <m/>
    <m/>
    <m/>
    <m/>
    <m/>
    <m/>
    <m/>
    <m/>
    <n v="1.02"/>
    <m/>
    <m/>
    <s v="IPCC 2007"/>
  </r>
  <r>
    <x v="0"/>
    <x v="0"/>
    <s v="Fresh or Not Specified"/>
    <s v="Fluid Milk and its coproducts"/>
    <s v="yes - allocation model using protein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m/>
    <s v="IPCC 2007"/>
  </r>
  <r>
    <x v="0"/>
    <x v="0"/>
    <s v="Fresh or Not Specified"/>
    <s v="Fluid Milk and its coproducts"/>
    <s v="yes - allocation model using protein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8"/>
    <s v=""/>
    <m/>
    <m/>
    <m/>
    <m/>
    <m/>
    <m/>
    <m/>
    <m/>
    <m/>
    <m/>
    <m/>
    <m/>
    <m/>
    <m/>
    <m/>
    <m/>
    <m/>
    <m/>
    <m/>
    <m/>
    <m/>
    <m/>
    <n v="1.08"/>
    <m/>
    <m/>
    <s v="IPCC 2007"/>
  </r>
  <r>
    <x v="0"/>
    <x v="0"/>
    <s v="Fresh or Not Specified"/>
    <s v="Fluid Milk and its coproducts"/>
    <s v="yes - allocation model using mass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8"/>
    <s v=""/>
    <m/>
    <m/>
    <m/>
    <m/>
    <m/>
    <m/>
    <m/>
    <m/>
    <m/>
    <m/>
    <m/>
    <m/>
    <m/>
    <m/>
    <m/>
    <m/>
    <m/>
    <m/>
    <m/>
    <m/>
    <m/>
    <m/>
    <n v="0.98"/>
    <m/>
    <m/>
    <s v="IPCC 2007"/>
  </r>
  <r>
    <x v="0"/>
    <x v="0"/>
    <s v="Fresh or Not Specified"/>
    <s v="Fluid Milk and its coproducts"/>
    <s v="yes - allocation model using mass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399999999999999"/>
    <s v=""/>
    <m/>
    <m/>
    <m/>
    <m/>
    <m/>
    <m/>
    <m/>
    <m/>
    <m/>
    <m/>
    <m/>
    <m/>
    <m/>
    <m/>
    <m/>
    <m/>
    <m/>
    <m/>
    <m/>
    <m/>
    <m/>
    <m/>
    <n v="1.1399999999999999"/>
    <m/>
    <m/>
    <s v="IPCC 2007"/>
  </r>
  <r>
    <x v="5"/>
    <x v="67"/>
    <s v="Fresh or Not Specified"/>
    <s v="conventional"/>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2"/>
    <s v=""/>
    <n v="0.34899999999999998"/>
    <s v=""/>
    <m/>
    <m/>
    <m/>
    <m/>
    <m/>
    <m/>
    <m/>
    <m/>
    <n v="0.52"/>
    <n v="2"/>
    <m/>
    <s v="ecoinvent"/>
    <s v="Only Ag Prod and Capital Goods Reported, not Full LC"/>
    <n v="0.34899999999999998"/>
    <m/>
    <m/>
    <m/>
    <m/>
    <m/>
    <m/>
    <m/>
    <n v="3.1409999999999993E-2"/>
    <n v="0.34899999999999998"/>
    <m/>
    <m/>
    <s v="IPCC, 2013"/>
  </r>
  <r>
    <x v="5"/>
    <x v="67"/>
    <s v="Fresh or Not Specified"/>
    <s v="organic"/>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1"/>
    <s v=""/>
    <n v="0.307"/>
    <s v=""/>
    <m/>
    <m/>
    <m/>
    <m/>
    <m/>
    <m/>
    <m/>
    <m/>
    <n v="0.75"/>
    <n v="1"/>
    <m/>
    <s v="ecoinvent"/>
    <s v="Only Ag Prod and Capital Goods Reported, not Full LC"/>
    <n v="0.307"/>
    <m/>
    <m/>
    <m/>
    <m/>
    <m/>
    <m/>
    <m/>
    <n v="7.9820000000000002E-2"/>
    <n v="0.307"/>
    <m/>
    <m/>
    <s v="IPCC, 2013"/>
  </r>
  <r>
    <x v="5"/>
    <x v="129"/>
    <s v="Dried"/>
    <s v="white milled, delivered to local supermarket"/>
    <s v="Yes"/>
    <s v="Italy, Vercelli district"/>
    <n v="2009"/>
    <s v="Gian Andrea Blengini*, Mirko Busto"/>
    <s v="DITAG – Land, Environment and Geo-Engineering Department, Politecnico di Torino, Corso Duca degli Abruzzi 24, 10129 Turin, Italy"/>
    <s v="Peer Reviewed Journal"/>
    <s v="Blengini, G. A. and Busto, M., The life cycle of rice: LCA of alternative agri-food chain management systems in Vercelli (Italy). Journal of environmental management 2009, 90 (3), 1512-22."/>
    <s v="Yes"/>
    <s v="No"/>
    <s v="Yes"/>
    <s v="Yes"/>
    <s v="Yes"/>
    <s v="Yes"/>
    <s v="No"/>
    <s v="No"/>
    <s v="No"/>
    <s v="No"/>
    <s v="No"/>
    <s v="Yes"/>
    <m/>
    <s v="cradle to supermarket"/>
    <s v="No"/>
    <s v="Yes"/>
    <s v="1kg delivered to Italian supermarket"/>
    <m/>
    <n v="6.6530400000000007"/>
    <n v="7.9077800000000007"/>
    <n v="2.32944"/>
    <n v="2.4177599999999999"/>
    <n v="6.6530400000000007"/>
    <m/>
    <n v="1.25474"/>
    <n v="3.2827500000000001"/>
    <n v="2.6116099999999998"/>
    <m/>
    <m/>
    <m/>
    <n v="0.80245"/>
    <n v="6.6530400000000007"/>
    <n v="14.59"/>
    <s v="non-renewable energy"/>
    <m/>
    <n v="2.32944"/>
    <m/>
    <n v="8.8319999999999996E-2"/>
    <n v="0.12972"/>
    <n v="0.16835999999999998"/>
    <m/>
    <m/>
    <m/>
    <n v="4.4159999999999998E-2"/>
    <n v="2.32944"/>
    <n v="2.76"/>
    <m/>
    <s v="100y, IPCC 2001"/>
  </r>
  <r>
    <x v="11"/>
    <x v="130"/>
    <s v="Processed"/>
    <s v="Peanut butter"/>
    <s v="No"/>
    <s v="USA  "/>
    <n v="2012"/>
    <s v="James McCarty (a, b); Heather Sandefur (a, b); Marty Matlock (a, b); Greg Thoma (c); Dae Soo Kim(c)"/>
    <s v="(a) Department of Agricultural and Biological Engineering, University of Arkansas, Fayetteville, AR_x000a_; (b) Center for Agricultural and Rural Sustainability, University of Arkansas, Fayetteville, AR_x000a_;_x000a_ (c) Ralph E. Martin Department of Chemical Engineering, University of Arkansas, Fayetteville, AR;"/>
    <s v="Industry Based Report"/>
    <s v="Mccarty, J., Sandefur, H., Matlock, M., Thoma, G. and Kim, D. S., National Scan-level Life Cycle Assessment for Production of US Peanut Butter. 2012, ."/>
    <s v="Yes"/>
    <s v="Yes"/>
    <s v="Yes"/>
    <s v="Yes"/>
    <s v="Yes"/>
    <s v="Yes"/>
    <s v="Yes"/>
    <s v="Yes"/>
    <s v="Yes"/>
    <s v="No"/>
    <s v="Yes"/>
    <s v="No"/>
    <s v="Waste disposal (packaging to landfill, etc)"/>
    <s v="Cradle to grave, including waste disposal to landfill etc."/>
    <s v="Yes"/>
    <s v="Yes"/>
    <s v="1 kg peanut butter"/>
    <m/>
    <s v=""/>
    <s v=""/>
    <n v="0.51100000000000001"/>
    <n v="1.597"/>
    <m/>
    <m/>
    <m/>
    <m/>
    <m/>
    <m/>
    <m/>
    <m/>
    <m/>
    <m/>
    <n v="26.107200000000002"/>
    <m/>
    <m/>
    <n v="0.51100000000000001"/>
    <n v="1.0859999999999999"/>
    <m/>
    <m/>
    <m/>
    <n v="0.20399999999999999"/>
    <n v="0.76200000000000001"/>
    <m/>
    <m/>
    <n v="0.51100000000000001"/>
    <n v="2.64"/>
    <s v="1.24 to 6.71, std.dev = 1.61"/>
    <s v="IPCC 2007 GWP"/>
  </r>
  <r>
    <x v="0"/>
    <x v="0"/>
    <s v="Fresh or Not Specified"/>
    <s v="Conventional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5"/>
    <s v=""/>
    <n v="1.4"/>
    <s v=""/>
    <m/>
    <m/>
    <m/>
    <m/>
    <m/>
    <m/>
    <m/>
    <m/>
    <m/>
    <n v="5"/>
    <m/>
    <m/>
    <m/>
    <m/>
    <m/>
    <m/>
    <m/>
    <m/>
    <m/>
    <m/>
    <m/>
    <m/>
    <n v="1.4"/>
    <m/>
    <s v="0.1, std. dev."/>
    <s v="IPCC 2006"/>
  </r>
  <r>
    <x v="0"/>
    <x v="0"/>
    <s v="Fresh or Not Specified"/>
    <s v="Organic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3.1"/>
    <s v=""/>
    <n v="1.5"/>
    <s v=""/>
    <m/>
    <m/>
    <m/>
    <m/>
    <m/>
    <m/>
    <m/>
    <m/>
    <m/>
    <n v="3.1"/>
    <m/>
    <m/>
    <m/>
    <m/>
    <m/>
    <m/>
    <m/>
    <m/>
    <m/>
    <m/>
    <m/>
    <m/>
    <n v="1.5"/>
    <m/>
    <s v="0.3, std. dev."/>
    <s v="IPCC 2006"/>
  </r>
  <r>
    <x v="9"/>
    <x v="131"/>
    <s v="Fresh or Not Specified"/>
    <s v="raw canesugar; reporting  &quot;state average&quot; values here"/>
    <s v="Yes"/>
    <s v="Australia"/>
    <n v="2007"/>
    <s v="M.A. RENOUF1,3, M.K. WEGENER2,3"/>
    <s v="1 School of Geography, Planning and Architecture, 2 School of Natural and Rural Systems Management, The University of Queensland, St. Lucia, Qld  3Cooperative Research Centre for Sugar Industry Innovation through Biotechnology"/>
    <s v="Conference Proceedings"/>
    <s v="Renouf, M. A. and Wegener, M., Environmental life cycle assessment (LCA) of sugarcane production and processing in Australia. 385-400."/>
    <s v="Yes"/>
    <s v="No"/>
    <s v="Yes"/>
    <s v="Yes"/>
    <s v="No"/>
    <s v="No"/>
    <s v="No"/>
    <s v="No"/>
    <s v="No"/>
    <s v="No"/>
    <s v="No"/>
    <s v="Yes"/>
    <m/>
    <s v="through to raw sugar"/>
    <s v="No"/>
    <s v="Yes"/>
    <s v="1 tonne raw sugar"/>
    <s v="/1000"/>
    <n v="3.5960999999999999"/>
    <n v="3.5160999999999998"/>
    <n v="0.68779999999999997"/>
    <n v="0.73280000000000001"/>
    <n v="3.4260999999999999"/>
    <m/>
    <n v="0.09"/>
    <m/>
    <m/>
    <m/>
    <m/>
    <m/>
    <n v="9.5000000000000001E-2"/>
    <n v="3.5960999999999999"/>
    <n v="3.5375000000000001"/>
    <m/>
    <m/>
    <n v="0.68779999999999997"/>
    <m/>
    <n v="4.4999999999999998E-2"/>
    <m/>
    <m/>
    <m/>
    <m/>
    <m/>
    <n v="1.7999999999999999E-2"/>
    <n v="0.68779999999999997"/>
    <n v="0.75079999999999991"/>
    <m/>
    <m/>
  </r>
  <r>
    <x v="9"/>
    <x v="52"/>
    <s v="Fresh or Not Specified"/>
    <s v="national average"/>
    <s v="No"/>
    <s v="Argentina"/>
    <n v="2016"/>
    <s v="María Mujica, Gabriel Blanco, Estela Santalla"/>
    <s v="Facultad de Ingeniería. INTELYMEC. Universidad Nacional del Centro de la Provincia_x000a_de Buenos Aires UNCPBA"/>
    <s v="Peer Reviewed Journal"/>
    <s v="Mujica, M., Blanco, G. and Santalla, E., Carbon Footprint of Honey Produced in Argentina. Journal of Cleaner Production 2016, ."/>
    <s v="Yes"/>
    <s v="No"/>
    <s v="Yes"/>
    <s v="Yes"/>
    <s v="No"/>
    <s v="Yes"/>
    <s v="No"/>
    <s v="No"/>
    <s v="No"/>
    <s v="No"/>
    <s v="No"/>
    <s v="No"/>
    <m/>
    <s v="delivered to Buenos Aires seaport"/>
    <s v="No"/>
    <s v="Yes"/>
    <s v="kg honey"/>
    <m/>
    <s v=""/>
    <s v=""/>
    <n v="0.21"/>
    <n v="2.44"/>
    <m/>
    <m/>
    <m/>
    <m/>
    <m/>
    <m/>
    <m/>
    <m/>
    <m/>
    <m/>
    <m/>
    <m/>
    <m/>
    <n v="0.21"/>
    <m/>
    <n v="2.23"/>
    <m/>
    <n v="0.08"/>
    <m/>
    <m/>
    <m/>
    <m/>
    <n v="0.21"/>
    <n v="2.5"/>
    <s v="+/-0.17"/>
    <s v="100 y, IPCC 2007"/>
  </r>
  <r>
    <x v="10"/>
    <x v="132"/>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31948  ; reported inventory gives wt of products from processing of 1 kg cocoa beans; assuming mass allocation"/>
    <s v=""/>
    <s v=""/>
    <s v=""/>
    <s v=""/>
    <m/>
    <m/>
    <m/>
    <m/>
    <m/>
    <m/>
    <m/>
    <m/>
    <m/>
    <m/>
    <m/>
    <m/>
    <m/>
    <m/>
    <m/>
    <m/>
    <m/>
    <m/>
    <m/>
    <m/>
    <m/>
    <m/>
    <m/>
    <n v="1.0105796919994992"/>
    <m/>
    <s v="100y, CML 2001"/>
  </r>
  <r>
    <x v="10"/>
    <x v="133"/>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3125  ; reported inventory gives wt of products from processing of 1 kg cocoa beans; assuming mass allocation"/>
    <s v=""/>
    <s v=""/>
    <s v=""/>
    <s v=""/>
    <m/>
    <m/>
    <m/>
    <m/>
    <m/>
    <m/>
    <m/>
    <m/>
    <m/>
    <m/>
    <m/>
    <m/>
    <m/>
    <m/>
    <m/>
    <m/>
    <m/>
    <m/>
    <m/>
    <m/>
    <m/>
    <m/>
    <m/>
    <n v="1.3961513513513513"/>
    <m/>
    <s v="100y, CML 2001"/>
  </r>
  <r>
    <x v="10"/>
    <x v="134"/>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6875  ; reported inventory gives wt of products from processing of 1 kg cocoa beans; assuming mass allocation"/>
    <s v=""/>
    <s v=""/>
    <s v=""/>
    <s v=""/>
    <m/>
    <m/>
    <m/>
    <m/>
    <m/>
    <m/>
    <m/>
    <m/>
    <m/>
    <m/>
    <m/>
    <m/>
    <m/>
    <m/>
    <m/>
    <m/>
    <m/>
    <m/>
    <m/>
    <m/>
    <m/>
    <m/>
    <m/>
    <n v="1.2013395348837208"/>
    <m/>
    <s v="100y, CML 2001"/>
  </r>
  <r>
    <x v="10"/>
    <x v="135"/>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075  ; reported inventory gives wt of products from processing of 1 kg cocoa beans; assuming mass allocation"/>
    <s v=""/>
    <s v=""/>
    <s v=""/>
    <s v=""/>
    <m/>
    <m/>
    <m/>
    <m/>
    <m/>
    <m/>
    <m/>
    <m/>
    <m/>
    <m/>
    <m/>
    <m/>
    <m/>
    <m/>
    <m/>
    <m/>
    <m/>
    <m/>
    <m/>
    <m/>
    <m/>
    <m/>
    <m/>
    <n v="4.3048000000000002"/>
    <m/>
    <s v="100y, CML 2001"/>
  </r>
  <r>
    <x v="4"/>
    <x v="85"/>
    <s v="Fresh or Not Specified"/>
    <s v="Organic Pear grown in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average of one beijing farm and one liaoning farm taken for hilly land representation"/>
    <s v="No"/>
    <s v="Yes"/>
    <s v="1 tonne of pears"/>
    <s v="/1000"/>
    <n v="1.1120000000000001"/>
    <n v="1.5680000000000001"/>
    <n v="0.06"/>
    <n v="8.2599999999999993E-2"/>
    <n v="1.1120000000000001"/>
    <m/>
    <n v="0.45600000000000002"/>
    <m/>
    <n v="1.25"/>
    <m/>
    <m/>
    <m/>
    <m/>
    <n v="1.1120000000000001"/>
    <n v="2.82"/>
    <m/>
    <m/>
    <n v="5.5599999999999997E-2"/>
    <m/>
    <n v="2.7E-2"/>
    <m/>
    <n v="6.7999999999999996E-3"/>
    <m/>
    <m/>
    <m/>
    <m/>
    <n v="0.06"/>
    <n v="0.09"/>
    <m/>
    <s v="IPCC 2007"/>
  </r>
  <r>
    <x v="4"/>
    <x v="85"/>
    <s v="Fresh or Not Specified"/>
    <s v="Conventional grown pears -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1.32"/>
    <n v="1.5225"/>
    <n v="0.28899999999999998"/>
    <n v="0.30099999999999999"/>
    <n v="1.32"/>
    <m/>
    <n v="0.20250000000000001"/>
    <m/>
    <n v="1.25"/>
    <m/>
    <m/>
    <m/>
    <m/>
    <n v="1.32"/>
    <n v="2.7725"/>
    <m/>
    <m/>
    <n v="0.28899999999999998"/>
    <m/>
    <n v="1.2E-2"/>
    <m/>
    <n v="6.7999999999999996E-3"/>
    <m/>
    <m/>
    <m/>
    <m/>
    <n v="0.28899999999999998"/>
    <n v="0.30779999999999996"/>
    <m/>
    <s v="IPCC 2007"/>
  </r>
  <r>
    <x v="4"/>
    <x v="85"/>
    <s v="Fresh or Not Specified"/>
    <s v="Organic Pear grown in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5470000000000002"/>
    <n v="5.2657000000000007"/>
    <n v="0.2069"/>
    <n v="0.37090000000000001"/>
    <n v="2.5470000000000002"/>
    <m/>
    <n v="2.7187000000000001"/>
    <m/>
    <n v="0.42499999999999999"/>
    <m/>
    <m/>
    <m/>
    <m/>
    <n v="2.5470000000000002"/>
    <n v="5.6906999999999996"/>
    <m/>
    <m/>
    <n v="0.2069"/>
    <m/>
    <n v="0.16400000000000001"/>
    <m/>
    <n v="2.5000000000000001E-3"/>
    <m/>
    <m/>
    <m/>
    <m/>
    <n v="0.2069"/>
    <n v="0.37340000000000001"/>
    <m/>
    <s v="IPCC 2007"/>
  </r>
  <r>
    <x v="4"/>
    <x v="85"/>
    <s v="Fresh or Not Specified"/>
    <s v="Conventional grown pears -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109"/>
    <n v="3.9276999999999997"/>
    <n v="0.379"/>
    <n v="0.48899999999999999"/>
    <n v="2.109"/>
    <m/>
    <n v="1.8187"/>
    <m/>
    <n v="0.57499999999999996"/>
    <m/>
    <m/>
    <m/>
    <m/>
    <n v="2.109"/>
    <n v="4.5026999999999999"/>
    <m/>
    <m/>
    <n v="0.379"/>
    <m/>
    <n v="0.11"/>
    <m/>
    <n v="3.3E-3"/>
    <m/>
    <m/>
    <m/>
    <m/>
    <n v="0.379"/>
    <n v="0.49230000000000002"/>
    <m/>
    <s v="IPCC 2007"/>
  </r>
  <r>
    <x v="4"/>
    <x v="66"/>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0.10333329999999999"/>
    <s v=""/>
    <m/>
    <m/>
    <m/>
    <m/>
    <m/>
    <m/>
    <m/>
    <m/>
    <m/>
    <m/>
    <m/>
    <m/>
    <m/>
    <m/>
    <m/>
    <m/>
    <m/>
    <m/>
    <m/>
    <m/>
    <m/>
    <m/>
    <n v="0.10333329999999999"/>
    <n v="0.19708329999999999"/>
    <m/>
    <s v="IPCC 2006"/>
  </r>
  <r>
    <x v="4"/>
    <x v="85"/>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7.809524000000001E-2"/>
    <s v=""/>
    <m/>
    <m/>
    <m/>
    <m/>
    <m/>
    <m/>
    <m/>
    <m/>
    <m/>
    <m/>
    <m/>
    <m/>
    <m/>
    <m/>
    <m/>
    <m/>
    <m/>
    <m/>
    <m/>
    <m/>
    <m/>
    <m/>
    <n v="7.809524000000001E-2"/>
    <n v="0.17184524000000001"/>
    <m/>
    <s v="IPCC 2006"/>
  </r>
  <r>
    <x v="4"/>
    <x v="66"/>
    <s v="Fresh or Not Specified"/>
    <s v="North Portugal, dedicat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Yes"/>
    <s v="Yes"/>
    <s v="No"/>
    <s v="No"/>
    <s v="No"/>
    <s v="No"/>
    <s v="No"/>
    <s v="No"/>
    <s v="Cold storage included"/>
    <s v="Farm to retail"/>
    <s v="No"/>
    <s v="No"/>
    <s v="1 kg fruit"/>
    <m/>
    <s v=""/>
    <s v=""/>
    <n v="0.1257143"/>
    <s v=""/>
    <m/>
    <m/>
    <m/>
    <m/>
    <m/>
    <m/>
    <m/>
    <m/>
    <m/>
    <m/>
    <m/>
    <m/>
    <m/>
    <m/>
    <m/>
    <m/>
    <m/>
    <m/>
    <m/>
    <m/>
    <m/>
    <m/>
    <n v="0.1257143"/>
    <n v="0.26169330000000002"/>
    <m/>
    <s v="IPCC 2006"/>
  </r>
  <r>
    <x v="7"/>
    <x v="108"/>
    <s v="Fresh or Not Specified"/>
    <s v="Malawian tea"/>
    <s v="No"/>
    <s v="Malawi"/>
    <n v="2015"/>
    <s v="J.L. Taulo; A.B. Sebitosi"/>
    <s v="Department of Mechanical &amp; Mechatronic Engineering, Stellenbosch University, P/Bag X1, Matieland 7602, South Africa"/>
    <s v="Peer Reviewed Journal"/>
    <s v="Taulo, J. L. and Sebitosi, A. B., Material and energy fl ow analysis of the Malawian tea industry. Renewable and Sustainable Energy Reviews 2016, 56, 1337-1350."/>
    <s v="No"/>
    <s v="No"/>
    <s v="No"/>
    <s v="Yes"/>
    <s v="No"/>
    <s v="No"/>
    <s v="No"/>
    <s v="No"/>
    <s v="No"/>
    <s v="No"/>
    <s v="No"/>
    <s v="No"/>
    <m/>
    <s v="Processing Only (withering, rolling, oxidation, drying, sorting)"/>
    <s v="Yes"/>
    <s v="No"/>
    <s v="1 kg dried tea leaves"/>
    <s v="N/A"/>
    <s v=""/>
    <n v="50.580000000000005"/>
    <s v=""/>
    <n v="4.32"/>
    <m/>
    <m/>
    <n v="50.580000000000005"/>
    <m/>
    <m/>
    <m/>
    <m/>
    <m/>
    <m/>
    <m/>
    <n v="50.580000000000005"/>
    <s v="MJ/kg"/>
    <m/>
    <m/>
    <m/>
    <n v="4.32"/>
    <m/>
    <m/>
    <m/>
    <m/>
    <m/>
    <m/>
    <m/>
    <n v="4.32"/>
    <m/>
    <s v="CML 2000, 100 yr"/>
  </r>
  <r>
    <x v="3"/>
    <x v="19"/>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0.86899999999999999"/>
    <s v=""/>
    <n v="6.3E-2"/>
    <s v=""/>
    <m/>
    <m/>
    <m/>
    <m/>
    <m/>
    <m/>
    <m/>
    <m/>
    <m/>
    <n v="0.86899999999999999"/>
    <m/>
    <s v="CML baseline 2 2002"/>
    <m/>
    <m/>
    <m/>
    <m/>
    <m/>
    <m/>
    <m/>
    <m/>
    <m/>
    <m/>
    <n v="6.3E-2"/>
    <m/>
    <m/>
    <s v="IPCC 2007"/>
  </r>
  <r>
    <x v="4"/>
    <x v="66"/>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1.2"/>
    <s v=""/>
    <n v="9.7000000000000003E-2"/>
    <s v=""/>
    <m/>
    <m/>
    <m/>
    <m/>
    <m/>
    <m/>
    <m/>
    <m/>
    <m/>
    <n v="1.2"/>
    <m/>
    <s v="CML baseline 2 2002"/>
    <m/>
    <m/>
    <m/>
    <m/>
    <m/>
    <m/>
    <m/>
    <m/>
    <m/>
    <m/>
    <n v="9.7000000000000003E-2"/>
    <m/>
    <m/>
    <s v="IPCC 2007"/>
  </r>
  <r>
    <x v="4"/>
    <x v="85"/>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6.0720000000000001"/>
    <s v=""/>
    <n v="0.376"/>
    <s v=""/>
    <m/>
    <m/>
    <m/>
    <m/>
    <m/>
    <m/>
    <m/>
    <m/>
    <m/>
    <n v="6.0720000000000001"/>
    <m/>
    <s v="CML baseline 2 2002"/>
    <m/>
    <m/>
    <m/>
    <m/>
    <m/>
    <m/>
    <m/>
    <m/>
    <m/>
    <m/>
    <n v="0.376"/>
    <m/>
    <m/>
    <s v="IPCC 2007"/>
  </r>
  <r>
    <x v="5"/>
    <x v="67"/>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3.0979999999999999"/>
    <s v=""/>
    <n v="0.50900000000000001"/>
    <s v=""/>
    <m/>
    <m/>
    <m/>
    <m/>
    <m/>
    <m/>
    <m/>
    <m/>
    <m/>
    <n v="3.0979999999999999"/>
    <m/>
    <s v="CML baseline 2 2002"/>
    <m/>
    <m/>
    <m/>
    <m/>
    <m/>
    <m/>
    <m/>
    <m/>
    <m/>
    <m/>
    <n v="0.50900000000000001"/>
    <m/>
    <m/>
    <s v="IPCC 2007"/>
  </r>
  <r>
    <x v="3"/>
    <x v="57"/>
    <s v="Fresh or Not Specified"/>
    <s v="Chicory Lettuce, 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4.12"/>
    <s v=""/>
    <n v="0.32700000000000001"/>
    <s v=""/>
    <m/>
    <m/>
    <m/>
    <m/>
    <m/>
    <m/>
    <m/>
    <m/>
    <m/>
    <n v="4.12"/>
    <m/>
    <s v="CML baseline 2 2002"/>
    <m/>
    <m/>
    <m/>
    <m/>
    <m/>
    <m/>
    <m/>
    <m/>
    <m/>
    <m/>
    <n v="0.32700000000000001"/>
    <m/>
    <m/>
    <s v="IPCC 2007"/>
  </r>
  <r>
    <x v="1"/>
    <x v="3"/>
    <s v="Fresh or Not Specified"/>
    <s v="grass-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5.326174122241206"/>
    <s v=""/>
    <m/>
    <m/>
    <m/>
    <m/>
    <m/>
    <m/>
    <m/>
    <m/>
    <m/>
    <m/>
    <m/>
    <m/>
    <m/>
    <m/>
    <m/>
    <m/>
    <m/>
    <m/>
    <m/>
    <m/>
    <m/>
    <m/>
    <n v="45.326174122241206"/>
    <m/>
    <m/>
    <m/>
  </r>
  <r>
    <x v="1"/>
    <x v="3"/>
    <s v="Fresh or Not Specified"/>
    <s v="grass-corn 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816623249836873"/>
    <s v=""/>
    <m/>
    <m/>
    <m/>
    <m/>
    <m/>
    <m/>
    <m/>
    <m/>
    <m/>
    <m/>
    <m/>
    <m/>
    <m/>
    <m/>
    <m/>
    <m/>
    <m/>
    <m/>
    <m/>
    <m/>
    <m/>
    <m/>
    <n v="47.816623249836873"/>
    <m/>
    <m/>
    <m/>
  </r>
  <r>
    <x v="1"/>
    <x v="23"/>
    <s v="Fresh or Not Specified"/>
    <s v="study considers co-product diest; recording only control diet here."/>
    <s v="Yes"/>
    <s v="Canada (Ontario and Quebec)"/>
    <n v="2016"/>
    <s v="S. G. Mackenzie*1, I. Leinonen1, N. Ferguson2 and I. Kyriazakis1"/>
    <s v="School of Agriculture, Food and Rural Development, Newcastle University, Newcastle upon Tyne, NE1 7RU, UK  _x000a_2 Trouw Nutrition Canada, 150 Research Ln, Guelph, ON N1G 4T2, Canada"/>
    <s v="Peer Reviewed Journal"/>
    <s v="Mackenzie, S. G., Leinonen, I., Ferguson, N. and Kyriazakis, I., Can the environmental impact of pig systems be reduced by utilising co-products as feed? Journal of Cleaner Production 2016, 115, 172-181."/>
    <s v="Yes"/>
    <s v="No"/>
    <s v="No"/>
    <s v="No"/>
    <s v="No"/>
    <s v="No"/>
    <s v="No"/>
    <s v="No"/>
    <s v="No"/>
    <s v="No"/>
    <s v="No"/>
    <s v="No"/>
    <m/>
    <m/>
    <s v="No"/>
    <s v="No"/>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1.673525377229083"/>
    <s v=""/>
    <n v="3.0178326474622774"/>
    <s v=""/>
    <m/>
    <m/>
    <m/>
    <m/>
    <m/>
    <m/>
    <m/>
    <m/>
    <m/>
    <n v="21.673525377229083"/>
    <m/>
    <s v="Impact 2002+"/>
    <m/>
    <m/>
    <m/>
    <m/>
    <m/>
    <m/>
    <m/>
    <m/>
    <m/>
    <m/>
    <n v="3.0178326474622774"/>
    <m/>
    <m/>
    <s v="IPCC 2006"/>
  </r>
  <r>
    <x v="1"/>
    <x v="23"/>
    <s v="Fresh or Not Specified"/>
    <m/>
    <s v="No"/>
    <s v="Australia"/>
    <n v="2016"/>
    <s v="Thomas Winklera, Kerstin Schopfa, Ralf Aschemanna,*, Wilfried Winiwarterb"/>
    <s v="a) University of Graz, Institute of Systems Sciences, Innovation and Sustainability Research, Merangasse 18, 8010 Graz, Austria b) International Institute for Applied Systems Analysis, Schlossplatz 1, 2361 Laxenburg, Austria"/>
    <s v="Peer Reviewed Journal"/>
    <s v="Winkler, T., Schopf, K., Aschemann, R. and Winiwarter, W., From farm to fork – A life cycle assessment of fresh Austrian pork. Journal of Cleaner Production 2016, 116, 80-9."/>
    <s v="Yes"/>
    <s v="No"/>
    <s v="Yes"/>
    <s v="Yes"/>
    <s v="Yes"/>
    <s v="Yes"/>
    <s v="Yes"/>
    <s v="Yes"/>
    <s v="Yes"/>
    <s v="Yes"/>
    <s v="No"/>
    <s v="No"/>
    <m/>
    <s v="farm to fork"/>
    <s v="No"/>
    <s v="Yes"/>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6.0123456790123457"/>
    <n v="6.207133058984911"/>
    <m/>
    <m/>
    <m/>
    <m/>
    <m/>
    <m/>
    <m/>
    <m/>
    <m/>
    <m/>
    <m/>
    <m/>
    <m/>
    <n v="6.0123456790123457"/>
    <m/>
    <n v="0.19478737997256515"/>
    <m/>
    <n v="0.23045267489711938"/>
    <m/>
    <n v="6.8587105624142664E-2"/>
    <m/>
    <m/>
    <n v="6.0123456790123457"/>
    <n v="6.5171467764060367"/>
    <m/>
    <s v="IPCC 2013"/>
  </r>
  <r>
    <x v="4"/>
    <x v="6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4"/>
    <s v=""/>
    <m/>
    <m/>
    <m/>
    <m/>
    <m/>
    <m/>
    <m/>
    <m/>
    <m/>
    <m/>
    <m/>
    <m/>
    <m/>
    <m/>
    <m/>
    <m/>
    <m/>
    <m/>
    <m/>
    <m/>
    <m/>
    <m/>
    <n v="0.24"/>
    <m/>
    <m/>
    <s v="IPCC 2006"/>
  </r>
  <r>
    <x v="4"/>
    <x v="20"/>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7"/>
    <s v=""/>
    <m/>
    <m/>
    <m/>
    <m/>
    <m/>
    <m/>
    <m/>
    <m/>
    <m/>
    <m/>
    <m/>
    <m/>
    <m/>
    <m/>
    <m/>
    <m/>
    <m/>
    <m/>
    <m/>
    <m/>
    <m/>
    <m/>
    <n v="0.27"/>
    <m/>
    <m/>
    <s v="IPCC 2006"/>
  </r>
  <r>
    <x v="4"/>
    <x v="13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4000000000000001"/>
    <s v=""/>
    <m/>
    <m/>
    <m/>
    <m/>
    <m/>
    <m/>
    <m/>
    <m/>
    <m/>
    <m/>
    <m/>
    <m/>
    <m/>
    <m/>
    <m/>
    <m/>
    <m/>
    <m/>
    <m/>
    <m/>
    <m/>
    <m/>
    <n v="0.14000000000000001"/>
    <m/>
    <m/>
    <s v="IPCC 2006"/>
  </r>
  <r>
    <x v="4"/>
    <x v="137"/>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37"/>
    <s v=""/>
    <m/>
    <m/>
    <m/>
    <m/>
    <m/>
    <m/>
    <m/>
    <m/>
    <m/>
    <m/>
    <m/>
    <m/>
    <m/>
    <m/>
    <m/>
    <m/>
    <m/>
    <m/>
    <m/>
    <m/>
    <m/>
    <m/>
    <n v="0.37"/>
    <m/>
    <m/>
    <s v="IPCC 2006"/>
  </r>
  <r>
    <x v="4"/>
    <x v="85"/>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8"/>
    <s v=""/>
    <m/>
    <m/>
    <m/>
    <m/>
    <m/>
    <m/>
    <m/>
    <m/>
    <m/>
    <m/>
    <m/>
    <m/>
    <m/>
    <m/>
    <m/>
    <m/>
    <m/>
    <m/>
    <m/>
    <m/>
    <m/>
    <m/>
    <n v="0.18"/>
    <m/>
    <m/>
    <s v="IPCC 2006"/>
  </r>
  <r>
    <x v="5"/>
    <x v="126"/>
    <s v="Fresh or Not Specified"/>
    <s v="Hard Maize"/>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622"/>
    <s v=""/>
    <m/>
    <m/>
    <m/>
    <m/>
    <m/>
    <m/>
    <m/>
    <m/>
    <m/>
    <m/>
    <m/>
    <m/>
    <m/>
    <m/>
    <m/>
    <m/>
    <m/>
    <m/>
    <m/>
    <m/>
    <m/>
    <m/>
    <n v="0.622"/>
    <m/>
    <m/>
    <s v="ReCiPe"/>
  </r>
  <r>
    <x v="4"/>
    <x v="138"/>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5600000000000005"/>
    <s v=""/>
    <m/>
    <m/>
    <m/>
    <m/>
    <m/>
    <m/>
    <m/>
    <m/>
    <m/>
    <m/>
    <m/>
    <m/>
    <m/>
    <m/>
    <m/>
    <m/>
    <m/>
    <m/>
    <m/>
    <m/>
    <m/>
    <m/>
    <n v="0.55600000000000005"/>
    <m/>
    <m/>
    <s v="ReCiPe"/>
  </r>
  <r>
    <x v="3"/>
    <x v="44"/>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1800000000000002"/>
    <s v=""/>
    <m/>
    <m/>
    <m/>
    <m/>
    <m/>
    <m/>
    <m/>
    <m/>
    <m/>
    <m/>
    <m/>
    <m/>
    <m/>
    <m/>
    <m/>
    <m/>
    <m/>
    <m/>
    <m/>
    <m/>
    <m/>
    <m/>
    <n v="0.51800000000000002"/>
    <m/>
    <m/>
    <s v="ReCiPe"/>
  </r>
  <r>
    <x v="4"/>
    <x v="66"/>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8100000000000001"/>
    <s v=""/>
    <m/>
    <m/>
    <m/>
    <m/>
    <m/>
    <m/>
    <m/>
    <m/>
    <m/>
    <m/>
    <m/>
    <m/>
    <m/>
    <m/>
    <m/>
    <m/>
    <m/>
    <m/>
    <m/>
    <m/>
    <m/>
    <m/>
    <n v="0.38100000000000001"/>
    <m/>
    <m/>
    <s v="ReCiPe"/>
  </r>
  <r>
    <x v="4"/>
    <x v="137"/>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9099999999999997"/>
    <s v=""/>
    <m/>
    <m/>
    <m/>
    <m/>
    <m/>
    <m/>
    <m/>
    <m/>
    <m/>
    <m/>
    <m/>
    <m/>
    <m/>
    <m/>
    <m/>
    <m/>
    <m/>
    <m/>
    <m/>
    <m/>
    <m/>
    <m/>
    <n v="0.59099999999999997"/>
    <m/>
    <m/>
    <s v="ReCiPe"/>
  </r>
  <r>
    <x v="4"/>
    <x v="8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
    <s v=""/>
    <m/>
    <m/>
    <m/>
    <m/>
    <m/>
    <m/>
    <m/>
    <m/>
    <m/>
    <m/>
    <m/>
    <m/>
    <m/>
    <m/>
    <m/>
    <m/>
    <m/>
    <m/>
    <m/>
    <m/>
    <m/>
    <m/>
    <n v="0.5"/>
    <m/>
    <m/>
    <s v="ReCiPe"/>
  </r>
  <r>
    <x v="4"/>
    <x v="81"/>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2400000000000001"/>
    <s v=""/>
    <m/>
    <m/>
    <m/>
    <m/>
    <m/>
    <m/>
    <m/>
    <m/>
    <m/>
    <m/>
    <m/>
    <m/>
    <m/>
    <m/>
    <m/>
    <m/>
    <m/>
    <m/>
    <m/>
    <m/>
    <m/>
    <m/>
    <n v="0.32400000000000001"/>
    <m/>
    <m/>
    <s v="ReCiPe"/>
  </r>
  <r>
    <x v="3"/>
    <x v="13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90600000000000003"/>
    <s v=""/>
    <m/>
    <m/>
    <m/>
    <m/>
    <m/>
    <m/>
    <m/>
    <m/>
    <m/>
    <m/>
    <m/>
    <m/>
    <m/>
    <m/>
    <m/>
    <m/>
    <m/>
    <m/>
    <m/>
    <m/>
    <m/>
    <m/>
    <n v="0.90600000000000003"/>
    <m/>
    <m/>
    <s v="ReCiPe"/>
  </r>
  <r>
    <x v="5"/>
    <x v="140"/>
    <s v="Fresh or Not Specified"/>
    <s v="Oatmeal"/>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Yes"/>
    <s v="No"/>
    <s v="No"/>
    <m/>
    <s v="cradle to grave"/>
    <s v="no?"/>
    <s v="Yes"/>
    <s v="1 kg"/>
    <m/>
    <s v=""/>
    <s v=""/>
    <n v="0.65051999999999999"/>
    <s v=""/>
    <m/>
    <m/>
    <m/>
    <m/>
    <m/>
    <m/>
    <m/>
    <m/>
    <m/>
    <m/>
    <m/>
    <m/>
    <m/>
    <n v="0.65051999999999999"/>
    <m/>
    <m/>
    <n v="4.1700000000000001E-2"/>
    <n v="3.3360000000000001E-2"/>
    <n v="5.0039999999999994E-2"/>
    <n v="5.0039999999999994E-2"/>
    <m/>
    <m/>
    <n v="0.65051999999999999"/>
    <n v="0.83399999999999996"/>
    <m/>
    <s v="IPCC, 2001"/>
  </r>
  <r>
    <x v="7"/>
    <x v="141"/>
    <s v="Fresh or Not Specified"/>
    <s v="Medium Strength"/>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10740000000000001"/>
    <s v=""/>
    <m/>
    <m/>
    <m/>
    <m/>
    <m/>
    <m/>
    <m/>
    <m/>
    <m/>
    <m/>
    <m/>
    <m/>
    <m/>
    <n v="0.10740000000000001"/>
    <m/>
    <m/>
    <m/>
    <m/>
    <n v="0.15036000000000002"/>
    <n v="0.27924000000000004"/>
    <m/>
    <m/>
    <n v="0.10740000000000001"/>
    <n v="0.53700000000000003"/>
    <m/>
    <s v="IPCC, 2001"/>
  </r>
  <r>
    <x v="3"/>
    <x v="142"/>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38279999999999997"/>
    <s v=""/>
    <m/>
    <m/>
    <m/>
    <m/>
    <m/>
    <m/>
    <m/>
    <m/>
    <m/>
    <m/>
    <m/>
    <m/>
    <m/>
    <n v="0.38279999999999997"/>
    <m/>
    <m/>
    <n v="5.9400000000000001E-2"/>
    <m/>
    <n v="0.1386"/>
    <n v="1.9800000000000002E-2"/>
    <n v="5.9400000000000001E-2"/>
    <m/>
    <n v="0.38279999999999997"/>
    <n v="0.66"/>
    <m/>
    <s v="IPCC, 2001"/>
  </r>
  <r>
    <x v="3"/>
    <x v="143"/>
    <s v="Fresh or Not Specified"/>
    <s v="greenhouse production"/>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3.8605999999999998"/>
    <s v=""/>
    <m/>
    <m/>
    <m/>
    <m/>
    <m/>
    <m/>
    <m/>
    <m/>
    <m/>
    <m/>
    <m/>
    <m/>
    <m/>
    <n v="3.8605999999999998"/>
    <m/>
    <m/>
    <m/>
    <m/>
    <m/>
    <n v="0.11939999999999999"/>
    <m/>
    <m/>
    <n v="3.8605999999999998"/>
    <n v="3.98"/>
    <m/>
    <s v="IPCC, 2001"/>
  </r>
  <r>
    <x v="0"/>
    <x v="4"/>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11.802700000000002"/>
    <s v=""/>
    <m/>
    <m/>
    <m/>
    <m/>
    <m/>
    <m/>
    <m/>
    <m/>
    <m/>
    <m/>
    <m/>
    <m/>
    <m/>
    <n v="11.791700000000001"/>
    <m/>
    <m/>
    <m/>
    <n v="0.12870000000000001"/>
    <n v="1.0276000000000001"/>
    <n v="0.1217"/>
    <m/>
    <m/>
    <n v="11.802700000000002"/>
    <n v="12.97"/>
    <m/>
    <s v="IPCC, 2001"/>
  </r>
  <r>
    <x v="1"/>
    <x v="144"/>
    <s v="Fresh or Not Specified"/>
    <s v="Snails, semi-intensive rearing system in Southern Italy"/>
    <s v="No"/>
    <s v="Italy"/>
    <n v="2016"/>
    <s v="Annachiara Forte a,⁎, Amalia Zucaro a, Gionata De Vico a, Angelo Fierro a,b"/>
    <s v="a Dipartimento di Biologia, Università di Napoli Federico II, Italy_x000a_b Laboratorio di Urbanistica e di Pianificazione del Territorio (LUPT), Università di Napoli Federico II, Italy"/>
    <s v="Peer Reviewed Journal"/>
    <s v="Forte, A., Zucaro, A., Vico, G. D. and Fierro, A., Carbon footprint of heliciculture : A case study from an Italian experimental farm. AGSY 2016, 142, 99-111."/>
    <s v="Yes"/>
    <s v="No"/>
    <s v="No"/>
    <s v="Yes"/>
    <s v="Yes"/>
    <s v="No"/>
    <s v="No"/>
    <s v="No"/>
    <s v="No"/>
    <s v="No"/>
    <s v="No"/>
    <s v="No"/>
    <m/>
    <s v="cradle to farm gate"/>
    <s v="No"/>
    <s v="Yes"/>
    <s v="1 kg edible snail meat"/>
    <m/>
    <s v=""/>
    <s v=""/>
    <n v="0.7"/>
    <s v=""/>
    <m/>
    <m/>
    <m/>
    <m/>
    <m/>
    <m/>
    <m/>
    <m/>
    <m/>
    <m/>
    <m/>
    <m/>
    <m/>
    <n v="0.7"/>
    <m/>
    <m/>
    <n v="6.9999999999999993E-3"/>
    <m/>
    <m/>
    <m/>
    <m/>
    <m/>
    <n v="0.7"/>
    <m/>
    <m/>
    <s v="IPCC, 2013"/>
  </r>
  <r>
    <x v="10"/>
    <x v="145"/>
    <m/>
    <m/>
    <s v="No"/>
    <s v="Italy"/>
    <n v="2014"/>
    <s v="Fabio Gresta,1 Anna I. De Luca,1 Alfio Strano,1 Giacomo Falcone,1 Carmelo Santonoceto,1 Umberto Anastasi,2 Giovanni Gulisano1"/>
    <s v="1Department of Agriculture (AGRARIA), Mediterranean University of Reggio Calabria;2Department of Agricultural and Food Science (DISPA), University of Catania, Italy"/>
    <s v="Peer Reviewed Journal"/>
    <s v="Gresta, F., De Luca, A. I., Strano, A., Falcone, G., Santonoceto, C., Anastasi, U. and Gulisano, G., Economic and environmental sustainability analysis of guar (Cyamopsis tetragonoloba L.) farming process in a Mediterranean area: two case studies. Italian Journal of Agronomy 2014, 9 (1), 20-20."/>
    <s v="Yes"/>
    <s v="No"/>
    <s v="No"/>
    <s v="No"/>
    <s v="No"/>
    <s v="No"/>
    <s v="No"/>
    <s v="No"/>
    <s v="No"/>
    <s v="No"/>
    <s v="No"/>
    <s v="No"/>
    <m/>
    <s v="cradle to gate"/>
    <s v="No"/>
    <s v="No"/>
    <s v="ha"/>
    <s v="used reported yield to convert to 1 kg guar seed"/>
    <s v=""/>
    <s v=""/>
    <n v="1.4"/>
    <s v=""/>
    <m/>
    <m/>
    <m/>
    <m/>
    <m/>
    <m/>
    <m/>
    <m/>
    <m/>
    <m/>
    <m/>
    <m/>
    <m/>
    <m/>
    <m/>
    <m/>
    <m/>
    <m/>
    <m/>
    <m/>
    <m/>
    <m/>
    <n v="1.4"/>
    <m/>
    <m/>
    <s v="IPCC GWP 100a"/>
  </r>
  <r>
    <x v="4"/>
    <x v="89"/>
    <s v="Fresh or Not Specified"/>
    <s v="organic"/>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5.61"/>
    <s v=""/>
    <n v="0.41399999999999998"/>
    <s v=""/>
    <m/>
    <m/>
    <m/>
    <m/>
    <m/>
    <m/>
    <m/>
    <m/>
    <m/>
    <n v="5.61"/>
    <m/>
    <m/>
    <m/>
    <m/>
    <m/>
    <m/>
    <m/>
    <m/>
    <m/>
    <m/>
    <m/>
    <m/>
    <n v="0.41399999999999998"/>
    <m/>
    <m/>
    <m/>
  </r>
  <r>
    <x v="4"/>
    <x v="89"/>
    <s v="Fresh or Not Specified"/>
    <s v="conventional"/>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8"/>
    <s v=""/>
    <n v="0.53600000000000003"/>
    <s v=""/>
    <m/>
    <m/>
    <m/>
    <m/>
    <m/>
    <m/>
    <m/>
    <m/>
    <m/>
    <n v="8"/>
    <m/>
    <m/>
    <m/>
    <m/>
    <m/>
    <m/>
    <m/>
    <m/>
    <m/>
    <m/>
    <m/>
    <m/>
    <n v="0.53600000000000003"/>
    <m/>
    <m/>
    <m/>
  </r>
  <r>
    <x v="10"/>
    <x v="146"/>
    <s v="Dried"/>
    <s v="ave. of three farms"/>
    <s v="No"/>
    <s v="Thailand"/>
    <n v="2015"/>
    <s v="Phairat Usubharatana and Harnpon Phungrassami"/>
    <s v="Chemical Engineering Dept, Thammasat Univ, Pathumthani, Thailand"/>
    <s v="Peer Reviewed Journal"/>
    <s v="Usubharatana, P. and Phungrassami, H., ScienceDirect Carbon Footprint of Cassava Starch Production in North-Eastern Thailand. Procedia CIRP 2015, 00, 462-467."/>
    <s v="Yes"/>
    <s v="No"/>
    <s v="Yes"/>
    <s v="Yes"/>
    <s v="No"/>
    <s v="No"/>
    <s v="No"/>
    <s v="No"/>
    <s v="No"/>
    <s v="No"/>
    <s v="No"/>
    <s v="No"/>
    <m/>
    <s v="cradle to processor gate"/>
    <s v="No"/>
    <s v="Yes"/>
    <s v="1000 kg dry native starch"/>
    <s v="/1000"/>
    <s v=""/>
    <s v=""/>
    <n v="0.30199999999999999"/>
    <n v="0.59399999999999997"/>
    <m/>
    <m/>
    <m/>
    <m/>
    <m/>
    <m/>
    <m/>
    <m/>
    <m/>
    <m/>
    <m/>
    <m/>
    <m/>
    <n v="0.30199999999999999"/>
    <m/>
    <n v="0.29199999999999998"/>
    <m/>
    <m/>
    <m/>
    <m/>
    <m/>
    <m/>
    <n v="0.30199999999999999"/>
    <n v="0.59399999999999997"/>
    <m/>
    <m/>
  </r>
  <r>
    <x v="8"/>
    <x v="46"/>
    <s v="Fresh or Not Specified"/>
    <m/>
    <s v="No"/>
    <s v="Indonesia/Malays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3.2585000000000002"/>
    <n v="4.2419000000000002"/>
    <m/>
    <m/>
    <m/>
    <m/>
    <m/>
    <m/>
    <m/>
    <m/>
    <m/>
    <m/>
    <m/>
    <m/>
    <m/>
    <n v="3.2585000000000002"/>
    <m/>
    <n v="0.98340000000000005"/>
    <m/>
    <m/>
    <m/>
    <m/>
    <m/>
    <m/>
    <n v="3.2585000000000002"/>
    <n v="4.2418999999999993"/>
    <m/>
    <m/>
  </r>
  <r>
    <x v="8"/>
    <x v="147"/>
    <s v="Fresh or Not Specified"/>
    <m/>
    <s v="No"/>
    <s v="Europ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2469999999999999"/>
    <n v="2.63"/>
    <m/>
    <m/>
    <m/>
    <m/>
    <m/>
    <m/>
    <m/>
    <m/>
    <m/>
    <m/>
    <m/>
    <m/>
    <m/>
    <n v="2.2469999999999999"/>
    <m/>
    <n v="0.38300000000000001"/>
    <m/>
    <m/>
    <m/>
    <m/>
    <m/>
    <m/>
    <n v="2.2469999999999999"/>
    <n v="2.7280000000000002"/>
    <m/>
    <m/>
  </r>
  <r>
    <x v="8"/>
    <x v="49"/>
    <s v="Fresh or Not Specified"/>
    <m/>
    <s v="No"/>
    <s v="Ukrain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1.968"/>
    <n v="2.6459999999999999"/>
    <m/>
    <m/>
    <m/>
    <m/>
    <m/>
    <m/>
    <m/>
    <m/>
    <m/>
    <m/>
    <m/>
    <m/>
    <m/>
    <n v="1.968"/>
    <m/>
    <n v="0.67800000000000005"/>
    <m/>
    <m/>
    <m/>
    <m/>
    <m/>
    <m/>
    <n v="1.968"/>
    <n v="2.6360000000000001"/>
    <m/>
    <m/>
  </r>
  <r>
    <x v="8"/>
    <x v="50"/>
    <s v="Fresh or Not Specified"/>
    <m/>
    <s v="No"/>
    <s v="Ind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714"/>
    <n v="4.9488000000000003"/>
    <m/>
    <m/>
    <m/>
    <m/>
    <m/>
    <m/>
    <m/>
    <m/>
    <m/>
    <m/>
    <m/>
    <m/>
    <m/>
    <n v="2.714"/>
    <m/>
    <n v="2.2347999999999999"/>
    <m/>
    <m/>
    <m/>
    <m/>
    <m/>
    <m/>
    <n v="2.714"/>
    <n v="4.9487999999999994"/>
    <m/>
    <m/>
  </r>
  <r>
    <x v="8"/>
    <x v="51"/>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8.5329999999999995"/>
    <n v="8.8000699999999998"/>
    <s v=""/>
    <s v=""/>
    <n v="8.5329999999999995"/>
    <m/>
    <n v="0.26706999999999997"/>
    <n v="1.0069999999999999"/>
    <n v="0.22209999999999999"/>
    <m/>
    <m/>
    <m/>
    <m/>
    <n v="8.5329999999999995"/>
    <n v="10.029"/>
    <m/>
    <m/>
    <m/>
    <m/>
    <m/>
    <m/>
    <m/>
    <m/>
    <m/>
    <m/>
    <m/>
    <m/>
    <m/>
    <m/>
    <m/>
  </r>
  <r>
    <x v="8"/>
    <x v="49"/>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5.1790000000000003"/>
    <n v="5.7941000000000003"/>
    <s v=""/>
    <s v=""/>
    <n v="5.1790000000000003"/>
    <n v="8.09E-2"/>
    <n v="0.53420000000000001"/>
    <n v="1.4929000000000001"/>
    <n v="0.44419999999999998"/>
    <m/>
    <m/>
    <m/>
    <m/>
    <n v="5.1790000000000003"/>
    <n v="7.7949999999999999"/>
    <m/>
    <m/>
    <m/>
    <m/>
    <m/>
    <m/>
    <m/>
    <m/>
    <m/>
    <m/>
    <m/>
    <m/>
    <m/>
    <m/>
    <m/>
  </r>
  <r>
    <x v="8"/>
    <x v="47"/>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6.0730000000000004"/>
    <n v="6.4828999999999999"/>
    <s v=""/>
    <s v=""/>
    <n v="6.0730000000000004"/>
    <n v="8.09E-2"/>
    <n v="0.32900000000000001"/>
    <n v="0.95889999999999997"/>
    <n v="0.1777"/>
    <m/>
    <m/>
    <m/>
    <m/>
    <n v="6.0730000000000004"/>
    <n v="7.6189999999999998"/>
    <m/>
    <m/>
    <m/>
    <m/>
    <m/>
    <m/>
    <m/>
    <m/>
    <m/>
    <m/>
    <m/>
    <m/>
    <m/>
    <m/>
    <m/>
  </r>
  <r>
    <x v="11"/>
    <x v="148"/>
    <s v="Fresh or Not Specified"/>
    <s v="Hazelnut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64"/>
    <m/>
    <m/>
    <m/>
    <m/>
    <m/>
    <m/>
    <m/>
    <m/>
    <m/>
    <m/>
    <m/>
    <m/>
    <m/>
    <n v="0.52"/>
    <n v="0.03"/>
    <n v="0.09"/>
    <n v="0.36"/>
    <n v="0.2"/>
    <m/>
    <m/>
    <m/>
    <m/>
    <n v="0.52"/>
    <n v="1.2"/>
    <m/>
    <m/>
  </r>
  <r>
    <x v="11"/>
    <x v="115"/>
    <s v="Fresh or Not Specified"/>
    <s v="Peanut in Bag"/>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2"/>
    <m/>
    <m/>
    <m/>
    <m/>
    <m/>
    <m/>
    <m/>
    <m/>
    <m/>
    <m/>
    <m/>
    <m/>
    <m/>
    <n v="0.62"/>
    <n v="0.09"/>
    <n v="0.11"/>
    <n v="0.33"/>
    <n v="0.2"/>
    <m/>
    <m/>
    <m/>
    <m/>
    <n v="0.62"/>
    <n v="1.36"/>
    <m/>
    <m/>
  </r>
  <r>
    <x v="11"/>
    <x v="149"/>
    <s v="Fresh or Not Specified"/>
    <s v="Hazelnut paste in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78"/>
    <n v="7.0000000000000007E-2"/>
    <m/>
    <m/>
    <m/>
    <m/>
    <n v="0.52"/>
    <n v="1.59"/>
    <m/>
    <m/>
  </r>
  <r>
    <x v="11"/>
    <x v="130"/>
    <s v="Fresh or Not Specified"/>
    <s v="Peanut paste in US"/>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78"/>
    <n v="7.0000000000000007E-2"/>
    <m/>
    <m/>
    <m/>
    <m/>
    <n v="0.62"/>
    <n v="1.75"/>
    <m/>
    <m/>
  </r>
  <r>
    <x v="11"/>
    <x v="149"/>
    <s v="Fresh or Not Specified"/>
    <s v="Hazelnut paste in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83"/>
    <n v="0.2"/>
    <m/>
    <m/>
    <m/>
    <m/>
    <n v="0.52"/>
    <n v="1.78"/>
    <m/>
    <m/>
  </r>
  <r>
    <x v="11"/>
    <x v="130"/>
    <s v="Fresh or Not Specified"/>
    <s v="Peanut paste in EU Market"/>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82"/>
    <n v="0.2"/>
    <m/>
    <m/>
    <m/>
    <m/>
    <n v="0.62"/>
    <n v="1.93"/>
    <m/>
    <m/>
  </r>
  <r>
    <x v="11"/>
    <x v="150"/>
    <s v="Fresh or Not Specified"/>
    <s v="Pistachio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74"/>
    <n v="1.84"/>
    <m/>
    <m/>
    <m/>
    <m/>
    <m/>
    <m/>
    <m/>
    <m/>
    <m/>
    <m/>
    <m/>
    <m/>
    <m/>
    <n v="1.74"/>
    <n v="0.04"/>
    <n v="0.06"/>
    <n v="0.3"/>
    <n v="0.2"/>
    <m/>
    <m/>
    <m/>
    <m/>
    <n v="1.74"/>
    <n v="2.33"/>
    <m/>
    <m/>
  </r>
  <r>
    <x v="11"/>
    <x v="82"/>
    <s v="Fresh or Not Specified"/>
    <s v="Almond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5"/>
    <n v="2.08"/>
    <m/>
    <m/>
    <m/>
    <m/>
    <m/>
    <m/>
    <m/>
    <m/>
    <m/>
    <m/>
    <m/>
    <m/>
    <m/>
    <n v="1.95"/>
    <n v="0.03"/>
    <n v="0.1"/>
    <n v="0.34"/>
    <n v="0.2"/>
    <m/>
    <m/>
    <m/>
    <m/>
    <n v="1.95"/>
    <n v="2.61"/>
    <m/>
    <m/>
  </r>
  <r>
    <x v="11"/>
    <x v="151"/>
    <s v="Fresh or Not Specified"/>
    <s v="Hazelnut spread cream in jar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00000000000001"/>
    <n v="1.77"/>
    <m/>
    <m/>
    <m/>
    <m/>
    <m/>
    <m/>
    <m/>
    <m/>
    <m/>
    <m/>
    <m/>
    <m/>
    <m/>
    <n v="1.1300000000000001"/>
    <n v="0.04"/>
    <n v="0.6"/>
    <n v="0.78"/>
    <n v="7.0000000000000007E-2"/>
    <m/>
    <m/>
    <m/>
    <m/>
    <n v="1.1300000000000001"/>
    <n v="2.61"/>
    <m/>
    <m/>
  </r>
  <r>
    <x v="11"/>
    <x v="151"/>
    <s v="Fresh or Not Specified"/>
    <s v="Hazelnut spread cream in jar EU"/>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99999999999999"/>
    <n v="1.7799999999999998"/>
    <m/>
    <m/>
    <m/>
    <m/>
    <m/>
    <m/>
    <m/>
    <m/>
    <m/>
    <m/>
    <m/>
    <m/>
    <m/>
    <n v="1.1399999999999999"/>
    <n v="0.04"/>
    <n v="0.6"/>
    <n v="0.82"/>
    <n v="0.2"/>
    <m/>
    <m/>
    <m/>
    <m/>
    <n v="1.1399999999999999"/>
    <n v="2.81"/>
    <m/>
    <m/>
  </r>
  <r>
    <x v="11"/>
    <x v="82"/>
    <s v="Fresh or Not Specified"/>
    <s v="Almond paste, US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78"/>
    <n v="7.0000000000000007E-2"/>
    <m/>
    <m/>
    <m/>
    <m/>
    <n v="1.93"/>
    <n v="2.89"/>
    <m/>
    <m/>
  </r>
  <r>
    <x v="11"/>
    <x v="82"/>
    <s v="Fresh or Not Specified"/>
    <s v="Almond paste,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83"/>
    <n v="0.2"/>
    <m/>
    <m/>
    <m/>
    <m/>
    <n v="1.93"/>
    <n v="3.07"/>
    <m/>
    <m/>
  </r>
  <r>
    <x v="11"/>
    <x v="152"/>
    <s v="Fresh or Not Specified"/>
    <s v="Chocolate covered hazelnu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2.41"/>
    <n v="2.6100000000000003"/>
    <m/>
    <m/>
    <m/>
    <m/>
    <m/>
    <m/>
    <m/>
    <m/>
    <m/>
    <m/>
    <m/>
    <m/>
    <m/>
    <n v="2.41"/>
    <n v="0.04"/>
    <n v="0.16"/>
    <n v="0.61"/>
    <n v="0.2"/>
    <m/>
    <m/>
    <m/>
    <m/>
    <n v="2.41"/>
    <n v="3.43"/>
    <m/>
    <m/>
  </r>
  <r>
    <x v="11"/>
    <x v="82"/>
    <s v="Fresh or Not Specified"/>
    <s v="Chocolate covered almond"/>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4.16"/>
    <n v="4.3100000000000005"/>
    <m/>
    <m/>
    <m/>
    <m/>
    <m/>
    <m/>
    <m/>
    <m/>
    <m/>
    <m/>
    <m/>
    <m/>
    <m/>
    <n v="4.16"/>
    <n v="0.04"/>
    <n v="0.11"/>
    <n v="0.28999999999999998"/>
    <n v="0.2"/>
    <m/>
    <m/>
    <m/>
    <m/>
    <n v="4.16"/>
    <n v="4.8"/>
    <m/>
    <m/>
  </r>
  <r>
    <x v="11"/>
    <x v="116"/>
    <s v="Fresh or Not Specified"/>
    <s v="small scale mechaniz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41424"/>
    <m/>
    <m/>
    <m/>
    <m/>
    <m/>
    <m/>
    <m/>
    <m/>
    <m/>
    <m/>
    <m/>
    <m/>
    <m/>
    <m/>
    <n v="8.702E-2"/>
    <n v="0.32722000000000001"/>
    <n v="2.1930000000000002E-2"/>
    <n v="0.21873999999999999"/>
    <m/>
    <m/>
    <m/>
    <m/>
    <m/>
    <n v="0.65490999999999999"/>
    <m/>
    <s v="IPCC 2006"/>
  </r>
  <r>
    <x v="11"/>
    <x v="116"/>
    <s v="Fresh or Not Specified"/>
    <s v="large scale mechani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14235"/>
    <m/>
    <m/>
    <m/>
    <m/>
    <m/>
    <m/>
    <m/>
    <m/>
    <m/>
    <m/>
    <m/>
    <m/>
    <m/>
    <m/>
    <n v="8.702E-2"/>
    <n v="5.5329999999999997E-2"/>
    <n v="2.1930000000000002E-2"/>
    <n v="0.21873999999999999"/>
    <m/>
    <m/>
    <m/>
    <m/>
    <m/>
    <n v="0.38302000000000003"/>
    <m/>
    <s v="IPCC 2006"/>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833500000000002"/>
    <m/>
    <m/>
    <m/>
    <m/>
    <m/>
    <m/>
    <m/>
    <m/>
    <m/>
    <m/>
    <m/>
    <m/>
    <m/>
    <m/>
    <n v="8.702E-2"/>
    <n v="1.8963300000000001"/>
    <n v="2.1930000000000002E-2"/>
    <n v="0.21873999999999999"/>
    <m/>
    <m/>
    <m/>
    <m/>
    <m/>
    <n v="2.2240199999999999"/>
    <m/>
    <s v="IPCC 2006"/>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2003399999999997"/>
    <m/>
    <m/>
    <m/>
    <m/>
    <m/>
    <m/>
    <m/>
    <m/>
    <m/>
    <m/>
    <m/>
    <m/>
    <m/>
    <m/>
    <n v="8.702E-2"/>
    <n v="3.1133199999999999"/>
    <n v="2.1930000000000002E-2"/>
    <n v="0.21873999999999999"/>
    <m/>
    <m/>
    <m/>
    <m/>
    <m/>
    <n v="3.4410099999999995"/>
    <m/>
    <s v="IPCC 2006"/>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1412"/>
    <m/>
    <m/>
    <m/>
    <m/>
    <m/>
    <m/>
    <m/>
    <m/>
    <m/>
    <m/>
    <m/>
    <m/>
    <m/>
    <m/>
    <n v="8.702E-2"/>
    <n v="1.0541799999999999"/>
    <n v="2.1930000000000002E-2"/>
    <n v="0.21873999999999999"/>
    <m/>
    <m/>
    <m/>
    <m/>
    <m/>
    <n v="1.3818699999999999"/>
    <m/>
    <s v="IPCC 200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2345999999999999"/>
    <m/>
    <m/>
    <m/>
    <m/>
    <m/>
    <m/>
    <m/>
    <m/>
    <m/>
    <m/>
    <m/>
    <m/>
    <m/>
    <m/>
    <n v="8.702E-2"/>
    <n v="2.14758"/>
    <n v="2.1930000000000002E-2"/>
    <n v="0.21873999999999999"/>
    <m/>
    <m/>
    <m/>
    <m/>
    <m/>
    <n v="2.4752699999999996"/>
    <m/>
    <s v="IPCC 2006"/>
  </r>
  <r>
    <x v="11"/>
    <x v="116"/>
    <s v="Fresh or Not Specified"/>
    <s v="small scale mechaniz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7007"/>
    <m/>
    <m/>
    <m/>
    <m/>
    <m/>
    <m/>
    <m/>
    <m/>
    <m/>
    <m/>
    <m/>
    <m/>
    <m/>
    <m/>
    <n v="1.6428499999999999"/>
    <n v="0.32722000000000001"/>
    <n v="2.0310000000000002E-2"/>
    <n v="0.36062"/>
    <m/>
    <m/>
    <m/>
    <m/>
    <m/>
    <n v="2.351"/>
    <m/>
    <s v="IPCC 2006"/>
  </r>
  <r>
    <x v="11"/>
    <x v="116"/>
    <s v="Fresh or Not Specified"/>
    <s v="large scale mechani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69818"/>
    <m/>
    <m/>
    <m/>
    <m/>
    <m/>
    <m/>
    <m/>
    <m/>
    <m/>
    <m/>
    <m/>
    <m/>
    <m/>
    <m/>
    <n v="1.6428499999999999"/>
    <n v="5.5329999999999997E-2"/>
    <n v="2.0310000000000002E-2"/>
    <n v="0.36062"/>
    <m/>
    <m/>
    <m/>
    <m/>
    <m/>
    <n v="2.07911"/>
    <m/>
    <s v="IPCC 2006"/>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53918"/>
    <m/>
    <m/>
    <m/>
    <m/>
    <m/>
    <m/>
    <m/>
    <m/>
    <m/>
    <m/>
    <m/>
    <m/>
    <m/>
    <m/>
    <n v="1.6428499999999999"/>
    <n v="1.8963300000000001"/>
    <n v="2.0310000000000002E-2"/>
    <n v="0.36062"/>
    <m/>
    <m/>
    <m/>
    <m/>
    <m/>
    <n v="3.9201099999999998"/>
    <m/>
    <s v="IPCC 2006"/>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4.75617"/>
    <m/>
    <m/>
    <m/>
    <m/>
    <m/>
    <m/>
    <m/>
    <m/>
    <m/>
    <m/>
    <m/>
    <m/>
    <m/>
    <m/>
    <n v="1.6428499999999999"/>
    <n v="3.1133199999999999"/>
    <n v="2.0310000000000002E-2"/>
    <n v="0.36062"/>
    <m/>
    <m/>
    <m/>
    <m/>
    <m/>
    <n v="5.1371000000000002"/>
    <m/>
    <s v="IPCC 2006"/>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6970299999999998"/>
    <m/>
    <m/>
    <m/>
    <m/>
    <m/>
    <m/>
    <m/>
    <m/>
    <m/>
    <m/>
    <m/>
    <m/>
    <m/>
    <m/>
    <n v="1.6428499999999999"/>
    <n v="1.0541799999999999"/>
    <n v="2.0310000000000002E-2"/>
    <n v="0.36062"/>
    <m/>
    <m/>
    <m/>
    <m/>
    <m/>
    <n v="3.0779599999999996"/>
    <m/>
    <s v="IPCC 200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7904299999999997"/>
    <m/>
    <m/>
    <m/>
    <m/>
    <m/>
    <m/>
    <m/>
    <m/>
    <m/>
    <m/>
    <m/>
    <m/>
    <m/>
    <m/>
    <n v="1.6428499999999999"/>
    <n v="2.14758"/>
    <n v="2.0310000000000002E-2"/>
    <n v="0.36062"/>
    <m/>
    <m/>
    <m/>
    <m/>
    <m/>
    <n v="4.17136"/>
    <m/>
    <s v="IPCC 2006"/>
  </r>
  <r>
    <x v="10"/>
    <x v="153"/>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6"/>
    <m/>
    <m/>
    <m/>
    <m/>
    <m/>
    <m/>
    <m/>
    <m/>
    <m/>
    <m/>
    <m/>
    <m/>
    <n v="72.5"/>
    <m/>
    <m/>
  </r>
  <r>
    <x v="10"/>
    <x v="154"/>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675"/>
    <m/>
    <m/>
    <m/>
    <m/>
    <m/>
    <m/>
    <m/>
    <m/>
    <m/>
    <m/>
    <m/>
    <m/>
    <n v="43"/>
    <m/>
    <m/>
  </r>
  <r>
    <x v="7"/>
    <x v="65"/>
    <s v="Fresh or Not Specified"/>
    <s v="Natural Orange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5.6"/>
    <n v="8.3999999999999986"/>
    <n v="0.47399999999999998"/>
    <n v="0.55120000000000002"/>
    <n v="5.6"/>
    <m/>
    <n v="2.8"/>
    <m/>
    <n v="5.6"/>
    <m/>
    <m/>
    <m/>
    <m/>
    <n v="5.6"/>
    <n v="14"/>
    <m/>
    <m/>
    <n v="0.47399999999999998"/>
    <m/>
    <n v="7.7200000000000005E-2"/>
    <m/>
    <n v="0.30790000000000001"/>
    <m/>
    <m/>
    <m/>
    <m/>
    <n v="0.47399999999999998"/>
    <n v="0.85909999999999997"/>
    <m/>
    <m/>
  </r>
  <r>
    <x v="7"/>
    <x v="155"/>
    <s v="Fresh or Not Specified"/>
    <s v="Natural Lemon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4"/>
    <n v="6"/>
    <n v="0.26400000000000001"/>
    <n v="0.33160000000000001"/>
    <n v="4"/>
    <m/>
    <n v="2"/>
    <m/>
    <n v="4"/>
    <m/>
    <m/>
    <m/>
    <m/>
    <n v="4"/>
    <n v="9.8000000000000007"/>
    <m/>
    <m/>
    <n v="0.26400000000000001"/>
    <m/>
    <n v="6.7599999999999993E-2"/>
    <m/>
    <n v="0.28999999999999998"/>
    <m/>
    <m/>
    <m/>
    <m/>
    <n v="0.26400000000000001"/>
    <n v="0.62159999999999993"/>
    <m/>
    <m/>
  </r>
  <r>
    <x v="7"/>
    <x v="156"/>
    <s v="Frozen"/>
    <s v="Orange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
    <m/>
    <m/>
    <m/>
    <m/>
    <m/>
    <m/>
    <m/>
    <m/>
    <m/>
    <m/>
    <m/>
    <m/>
    <n v="5.7"/>
    <m/>
    <m/>
  </r>
  <r>
    <x v="7"/>
    <x v="157"/>
    <s v="Frozen"/>
    <s v="Lemon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76"/>
    <m/>
    <m/>
    <m/>
    <m/>
    <m/>
    <m/>
    <m/>
    <m/>
    <m/>
    <m/>
    <m/>
    <m/>
    <n v="4"/>
    <m/>
    <m/>
  </r>
  <r>
    <x v="4"/>
    <x v="73"/>
    <s v="Canned"/>
    <s v="Spanish-style green table, packed in tins, ave. of 3 tin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6.840999999999998"/>
    <m/>
    <m/>
    <m/>
    <m/>
    <m/>
    <m/>
    <m/>
    <m/>
    <m/>
    <m/>
    <m/>
    <n v="0.56869999999999998"/>
    <n v="9.1310000000000002"/>
    <m/>
    <m/>
  </r>
  <r>
    <x v="4"/>
    <x v="73"/>
    <s v="Canned"/>
    <s v="Spanish-style green table, packed in glass jars, ave. of 6 jar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9.774999999999999"/>
    <m/>
    <m/>
    <m/>
    <m/>
    <m/>
    <m/>
    <m/>
    <m/>
    <m/>
    <m/>
    <m/>
    <n v="0.56869999999999998"/>
    <n v="8.3840000000000003"/>
    <m/>
    <m/>
  </r>
  <r>
    <x v="4"/>
    <x v="81"/>
    <s v="Fresh or Not Specified"/>
    <s v="Straw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250kg"/>
    <s v="/0.25"/>
    <n v="9.6999999999999993"/>
    <s v=""/>
    <n v="0.32400000000000001"/>
    <s v=""/>
    <n v="9.6999999999999993"/>
    <m/>
    <m/>
    <n v="4.484"/>
    <n v="0.6"/>
    <m/>
    <m/>
    <n v="0.02"/>
    <m/>
    <n v="9.6999999999999993"/>
    <n v="14.8"/>
    <s v="NRE e Impact 2002 þ v. 2.04:"/>
    <m/>
    <n v="0.32400000000000001"/>
    <m/>
    <m/>
    <n v="0.16400000000000001"/>
    <n v="0.04"/>
    <m/>
    <m/>
    <n v="2.4E-2"/>
    <m/>
    <n v="0.32400000000000001"/>
    <n v="0.55200000000000005"/>
    <m/>
    <s v="IPCC GWP 100a:"/>
  </r>
  <r>
    <x v="4"/>
    <x v="79"/>
    <s v="Fresh or Not Specified"/>
    <s v="Blue 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2320000000000002"/>
    <s v=""/>
    <n v="0.16800000000000001"/>
    <s v=""/>
    <n v="3.2320000000000002"/>
    <m/>
    <m/>
    <n v="4.4880000000000004"/>
    <n v="1.248"/>
    <m/>
    <m/>
    <n v="1.6E-2"/>
    <m/>
    <n v="3.2320000000000002"/>
    <n v="8.984"/>
    <s v="NRE e Impact 2002 þ v. 2.04:"/>
    <m/>
    <n v="0.16800000000000001"/>
    <m/>
    <m/>
    <n v="0.16800000000000001"/>
    <n v="0.08"/>
    <m/>
    <m/>
    <n v="2.4E-2"/>
    <m/>
    <n v="0.16800000000000001"/>
    <n v="0.44"/>
    <m/>
    <s v="IPCC GWP 100a:"/>
  </r>
  <r>
    <x v="4"/>
    <x v="68"/>
    <s v="Fresh or Not Specified"/>
    <s v="Raspberry"/>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8479999999999999"/>
    <s v=""/>
    <n v="0.192"/>
    <s v=""/>
    <n v="3.8479999999999999"/>
    <m/>
    <m/>
    <n v="4.4880000000000004"/>
    <n v="0.6"/>
    <m/>
    <m/>
    <n v="1.6E-2"/>
    <m/>
    <n v="3.8479999999999999"/>
    <n v="8.952"/>
    <s v="NRE e Impact 2002 þ v. 2.04:"/>
    <m/>
    <n v="0.192"/>
    <m/>
    <m/>
    <n v="0.16800000000000001"/>
    <n v="3.2000000000000001E-2"/>
    <m/>
    <m/>
    <n v="2.4E-2"/>
    <m/>
    <n v="0.192"/>
    <n v="0.41599999999999998"/>
    <m/>
    <s v="IPCC GWP 100a:"/>
  </r>
  <r>
    <x v="11"/>
    <x v="148"/>
    <s v="Fresh or Not Specified"/>
    <s v="Small farms &lt;1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7522999999999997"/>
    <m/>
    <s v="CML method;"/>
  </r>
  <r>
    <x v="11"/>
    <x v="148"/>
    <s v="Fresh or Not Specified"/>
    <s v="Medium farms 1&lt;ha&lt;3"/>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66598999999999997"/>
    <m/>
    <s v="CML method;"/>
  </r>
  <r>
    <x v="11"/>
    <x v="148"/>
    <s v="Fresh or Not Specified"/>
    <s v="Large farms &gt;3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5046000000000002"/>
    <m/>
    <s v="CML method;"/>
  </r>
  <r>
    <x v="7"/>
    <x v="65"/>
    <s v="Processed"/>
    <s v="large scale organic orange juice"/>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retail, residue use included"/>
    <s v="No"/>
    <s v="Yes"/>
    <s v="1 tonne oranges at farm gate"/>
    <s v="/1000"/>
    <n v="0.95199999999999996"/>
    <s v=""/>
    <n v="0.114"/>
    <s v=""/>
    <m/>
    <m/>
    <m/>
    <m/>
    <m/>
    <m/>
    <m/>
    <m/>
    <m/>
    <n v="0.95199999999999996"/>
    <m/>
    <m/>
    <m/>
    <m/>
    <m/>
    <m/>
    <m/>
    <m/>
    <m/>
    <m/>
    <m/>
    <m/>
    <n v="0.114"/>
    <m/>
    <m/>
    <s v="EDIP97, IPCC 2007"/>
  </r>
  <r>
    <x v="7"/>
    <x v="65"/>
    <s v="Fresh or Not Specified"/>
    <s v="Small scale organic orange orchard"/>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Yes"/>
    <s v="Yes"/>
    <s v="Yes"/>
    <s v="Yes"/>
    <s v="No"/>
    <s v="No"/>
    <s v="No"/>
    <s v="No"/>
    <s v="No"/>
    <s v="No"/>
    <m/>
    <s v="Cradle to farm gate only"/>
    <s v="No"/>
    <s v="No"/>
    <s v="1 tonne oranges at farm gate and 1 litre of OJ sold to denmark"/>
    <s v="/1000 until farm gate, then (*1.048)kg/L"/>
    <n v="0.89312977099236635"/>
    <n v="2.7452290076335877"/>
    <n v="0.10305343511450381"/>
    <n v="0.17080152671755722"/>
    <n v="0.89312977099236635"/>
    <m/>
    <n v="1.8520992366412214"/>
    <m/>
    <n v="3.646946564885496"/>
    <m/>
    <m/>
    <m/>
    <m/>
    <n v="0.89312977099236635"/>
    <n v="6.3921755725190836"/>
    <m/>
    <m/>
    <n v="0.10305343511450381"/>
    <m/>
    <n v="6.7748091603053423E-2"/>
    <m/>
    <n v="0.23282442748091603"/>
    <m/>
    <m/>
    <m/>
    <m/>
    <n v="0.10305343511450381"/>
    <n v="0.40458015267175568"/>
    <m/>
    <s v="EDIP97, IPCC 2007"/>
  </r>
  <r>
    <x v="7"/>
    <x v="65"/>
    <s v="Fresh or Not Specified"/>
    <s v="Small scale conventional orange orchards"/>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farm gate only"/>
    <s v="No"/>
    <s v="No"/>
    <s v="1 tonne oranges at farm gate"/>
    <s v="/1000"/>
    <n v="1.2649999999999999"/>
    <s v=""/>
    <n v="0.112"/>
    <s v=""/>
    <m/>
    <m/>
    <m/>
    <m/>
    <m/>
    <m/>
    <m/>
    <m/>
    <m/>
    <n v="1.2649999999999999"/>
    <m/>
    <m/>
    <m/>
    <m/>
    <m/>
    <m/>
    <m/>
    <m/>
    <m/>
    <m/>
    <m/>
    <m/>
    <n v="0.112"/>
    <m/>
    <m/>
    <s v="EDIP97, IPCC 2007"/>
  </r>
  <r>
    <x v="4"/>
    <x v="137"/>
    <s v="Fresh or Not Specified"/>
    <s v="Growth"/>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2.38"/>
    <s v=""/>
    <n v="0.125"/>
    <s v=""/>
    <m/>
    <m/>
    <m/>
    <m/>
    <m/>
    <m/>
    <m/>
    <m/>
    <m/>
    <n v="2.38"/>
    <m/>
    <m/>
    <m/>
    <m/>
    <m/>
    <m/>
    <m/>
    <m/>
    <m/>
    <m/>
    <m/>
    <m/>
    <n v="0.125"/>
    <m/>
    <m/>
    <m/>
  </r>
  <r>
    <x v="4"/>
    <x v="137"/>
    <s v="Fresh or Not Specified"/>
    <s v="Low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76"/>
    <s v=""/>
    <n v="0.183"/>
    <s v=""/>
    <m/>
    <m/>
    <m/>
    <m/>
    <m/>
    <m/>
    <m/>
    <m/>
    <m/>
    <n v="1.76"/>
    <m/>
    <m/>
    <m/>
    <m/>
    <m/>
    <m/>
    <m/>
    <m/>
    <m/>
    <m/>
    <m/>
    <m/>
    <n v="0.183"/>
    <m/>
    <m/>
    <m/>
  </r>
  <r>
    <x v="4"/>
    <x v="137"/>
    <s v="Fresh or Not Specified"/>
    <s v="Moderate"/>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0900000000000001"/>
    <s v=""/>
    <n v="0.125"/>
    <s v=""/>
    <m/>
    <m/>
    <m/>
    <m/>
    <m/>
    <m/>
    <m/>
    <m/>
    <m/>
    <n v="1.0900000000000001"/>
    <m/>
    <m/>
    <m/>
    <m/>
    <m/>
    <m/>
    <m/>
    <m/>
    <m/>
    <m/>
    <m/>
    <m/>
    <n v="0.125"/>
    <m/>
    <m/>
    <m/>
  </r>
  <r>
    <x v="4"/>
    <x v="137"/>
    <s v="Fresh or Not Specified"/>
    <s v="High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62"/>
    <s v=""/>
    <n v="0.16200000000000001"/>
    <s v=""/>
    <m/>
    <m/>
    <m/>
    <m/>
    <m/>
    <m/>
    <m/>
    <m/>
    <m/>
    <n v="1.62"/>
    <m/>
    <m/>
    <m/>
    <m/>
    <m/>
    <m/>
    <m/>
    <m/>
    <m/>
    <m/>
    <m/>
    <m/>
    <n v="0.16200000000000001"/>
    <m/>
    <m/>
    <m/>
  </r>
  <r>
    <x v="4"/>
    <x v="158"/>
    <s v="Fresh or Not Specified"/>
    <s v="Andean Black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m/>
    <m/>
  </r>
  <r>
    <x v="4"/>
    <x v="159"/>
    <s v="Fresh or Not Specified"/>
    <s v="Lul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8700000000000001"/>
    <s v=""/>
    <m/>
    <m/>
    <m/>
    <m/>
    <m/>
    <m/>
    <m/>
    <m/>
    <m/>
    <m/>
    <m/>
    <m/>
    <m/>
    <m/>
    <m/>
    <m/>
    <m/>
    <m/>
    <m/>
    <m/>
    <m/>
    <m/>
    <n v="0.38700000000000001"/>
    <m/>
    <m/>
    <m/>
  </r>
  <r>
    <x v="4"/>
    <x v="160"/>
    <s v="Fresh or Not Specified"/>
    <s v="Passion Fruit"/>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25"/>
    <s v=""/>
    <m/>
    <m/>
    <m/>
    <m/>
    <m/>
    <m/>
    <m/>
    <m/>
    <m/>
    <m/>
    <m/>
    <m/>
    <m/>
    <m/>
    <m/>
    <m/>
    <m/>
    <m/>
    <m/>
    <m/>
    <m/>
    <m/>
    <n v="0.125"/>
    <m/>
    <m/>
    <m/>
  </r>
  <r>
    <x v="4"/>
    <x v="161"/>
    <s v="Fresh or Not Specified"/>
    <s v="Tree Tomat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4499999999999997"/>
    <s v=""/>
    <m/>
    <m/>
    <m/>
    <m/>
    <m/>
    <m/>
    <m/>
    <m/>
    <m/>
    <m/>
    <m/>
    <m/>
    <m/>
    <m/>
    <m/>
    <m/>
    <m/>
    <m/>
    <m/>
    <m/>
    <m/>
    <m/>
    <n v="0.34499999999999997"/>
    <m/>
    <m/>
    <m/>
  </r>
  <r>
    <x v="4"/>
    <x v="162"/>
    <s v="Fresh or Not Specified"/>
    <s v="Golden 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89"/>
    <s v=""/>
    <m/>
    <m/>
    <m/>
    <m/>
    <m/>
    <m/>
    <m/>
    <m/>
    <m/>
    <m/>
    <m/>
    <m/>
    <m/>
    <m/>
    <m/>
    <m/>
    <m/>
    <m/>
    <m/>
    <m/>
    <m/>
    <m/>
    <n v="0.189"/>
    <m/>
    <m/>
    <m/>
  </r>
  <r>
    <x v="4"/>
    <x v="43"/>
    <s v="Fresh or Not Specified"/>
    <s v="Pineapple"/>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60499999999999998"/>
    <s v=""/>
    <m/>
    <m/>
    <m/>
    <m/>
    <m/>
    <m/>
    <m/>
    <m/>
    <m/>
    <m/>
    <m/>
    <m/>
    <m/>
    <m/>
    <m/>
    <m/>
    <m/>
    <m/>
    <m/>
    <m/>
    <m/>
    <m/>
    <n v="0.60499999999999998"/>
    <m/>
    <m/>
    <m/>
  </r>
  <r>
    <x v="4"/>
    <x v="89"/>
    <s v="Fresh or Not Specified"/>
    <s v="Avacad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m/>
    <m/>
  </r>
  <r>
    <x v="4"/>
    <x v="163"/>
    <s v="Fresh or Not Specified"/>
    <s v="Mang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441"/>
    <s v=""/>
    <m/>
    <m/>
    <m/>
    <m/>
    <m/>
    <m/>
    <m/>
    <m/>
    <m/>
    <m/>
    <m/>
    <m/>
    <m/>
    <m/>
    <m/>
    <m/>
    <m/>
    <m/>
    <m/>
    <m/>
    <m/>
    <m/>
    <n v="0.441"/>
    <m/>
    <m/>
    <m/>
  </r>
  <r>
    <x v="4"/>
    <x v="66"/>
    <s v="Fresh or Not Specified"/>
    <s v="Appl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m/>
    <s v="DEFRA 2013"/>
  </r>
  <r>
    <x v="4"/>
    <x v="164"/>
    <s v="Fresh or Not Specified"/>
    <s v="Cherri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m/>
    <s v="DEFRA 2013"/>
  </r>
  <r>
    <x v="4"/>
    <x v="81"/>
    <s v="Fresh or Not Specified"/>
    <s v="Strawberrie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4"/>
    <s v=""/>
    <m/>
    <m/>
    <m/>
    <m/>
    <m/>
    <m/>
    <m/>
    <m/>
    <m/>
    <m/>
    <m/>
    <m/>
    <m/>
    <m/>
    <m/>
    <m/>
    <m/>
    <m/>
    <m/>
    <m/>
    <m/>
    <m/>
    <n v="0.84"/>
    <n v="0.93799999999999994"/>
    <m/>
    <s v="DEFRA 2013"/>
  </r>
  <r>
    <x v="3"/>
    <x v="165"/>
    <s v="Fresh or Not Specified"/>
    <s v="Garlic,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56999999999999995"/>
    <s v=""/>
    <m/>
    <m/>
    <m/>
    <m/>
    <m/>
    <m/>
    <m/>
    <m/>
    <m/>
    <m/>
    <m/>
    <m/>
    <m/>
    <m/>
    <m/>
    <m/>
    <m/>
    <m/>
    <m/>
    <m/>
    <m/>
    <m/>
    <n v="0.56999999999999995"/>
    <n v="0.66800000000000004"/>
    <m/>
    <s v="DEFRA 2013"/>
  </r>
  <r>
    <x v="3"/>
    <x v="166"/>
    <s v="Fresh or Not Specified"/>
    <s v="Pea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28999999999999998"/>
    <s v=""/>
    <m/>
    <m/>
    <m/>
    <m/>
    <m/>
    <m/>
    <m/>
    <m/>
    <m/>
    <m/>
    <m/>
    <m/>
    <m/>
    <m/>
    <m/>
    <m/>
    <m/>
    <m/>
    <m/>
    <m/>
    <m/>
    <m/>
    <n v="0.28999999999999998"/>
    <n v="0.38800000000000001"/>
    <m/>
    <s v="DEFRA 2013"/>
  </r>
  <r>
    <x v="4"/>
    <x v="66"/>
    <s v="Fresh or Not Specified"/>
    <s v="Appl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55000000000000004"/>
    <m/>
    <s v="DEFRA 2013"/>
  </r>
  <r>
    <x v="4"/>
    <x v="164"/>
    <s v="Fresh or Not Specified"/>
    <s v="Ch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67600000000000005"/>
    <m/>
    <s v="DEFRA 2013"/>
  </r>
  <r>
    <x v="4"/>
    <x v="81"/>
    <s v="Fresh or Not Specified"/>
    <s v="Strawb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06"/>
    <s v=""/>
    <m/>
    <m/>
    <m/>
    <m/>
    <m/>
    <m/>
    <m/>
    <m/>
    <m/>
    <m/>
    <m/>
    <m/>
    <m/>
    <m/>
    <m/>
    <m/>
    <m/>
    <m/>
    <m/>
    <m/>
    <m/>
    <m/>
    <n v="1.06"/>
    <n v="1.2270000000000001"/>
    <m/>
    <s v="DEFRA 2013"/>
  </r>
  <r>
    <x v="3"/>
    <x v="165"/>
    <s v="Fresh or Not Specified"/>
    <s v="Garlic,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
    <s v=""/>
    <m/>
    <m/>
    <m/>
    <m/>
    <m/>
    <m/>
    <m/>
    <m/>
    <m/>
    <m/>
    <m/>
    <m/>
    <m/>
    <m/>
    <m/>
    <m/>
    <m/>
    <m/>
    <m/>
    <m/>
    <m/>
    <m/>
    <n v="0.68"/>
    <n v="0.874"/>
    <m/>
    <s v="DEFRA 2013"/>
  </r>
  <r>
    <x v="3"/>
    <x v="166"/>
    <s v="Fresh or Not Specified"/>
    <s v="Pea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0.59699999999999998"/>
    <m/>
    <s v="DEFRA 2013"/>
  </r>
  <r>
    <x v="4"/>
    <x v="66"/>
    <s v="Fresh or Not Specified"/>
    <s v="Appl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3.093"/>
    <m/>
    <s v="DEFRA 2013"/>
  </r>
  <r>
    <x v="4"/>
    <x v="164"/>
    <s v="Fresh or Not Specified"/>
    <s v="Ch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2.157"/>
    <m/>
    <s v="DEFRA 2013"/>
  </r>
  <r>
    <x v="4"/>
    <x v="81"/>
    <s v="Fresh or Not Specified"/>
    <s v="Strawb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39"/>
    <s v=""/>
    <m/>
    <m/>
    <m/>
    <m/>
    <m/>
    <m/>
    <m/>
    <m/>
    <m/>
    <m/>
    <m/>
    <m/>
    <m/>
    <m/>
    <m/>
    <m/>
    <m/>
    <m/>
    <m/>
    <m/>
    <m/>
    <m/>
    <n v="1.39"/>
    <n v="7.3520000000000003"/>
    <m/>
    <s v="DEFRA 2013"/>
  </r>
  <r>
    <x v="3"/>
    <x v="165"/>
    <s v="Fresh or Not Specified"/>
    <s v="Garlic,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700000000000006"/>
    <s v=""/>
    <m/>
    <m/>
    <m/>
    <m/>
    <m/>
    <m/>
    <m/>
    <m/>
    <m/>
    <m/>
    <m/>
    <m/>
    <m/>
    <m/>
    <m/>
    <m/>
    <m/>
    <m/>
    <m/>
    <m/>
    <m/>
    <m/>
    <n v="0.68700000000000006"/>
    <n v="11.420999999999999"/>
    <m/>
    <s v="DEFRA 2013"/>
  </r>
  <r>
    <x v="3"/>
    <x v="166"/>
    <s v="Fresh or Not Specified"/>
    <s v="Pea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10.635"/>
    <m/>
    <s v="DEFRA 2013"/>
  </r>
  <r>
    <x v="4"/>
    <x v="91"/>
    <s v="Fresh or Not Specified"/>
    <s v="Gold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17"/>
    <s v=""/>
    <m/>
    <m/>
    <m/>
    <m/>
    <m/>
    <m/>
    <m/>
    <m/>
    <m/>
    <m/>
    <m/>
    <m/>
    <m/>
    <m/>
    <m/>
    <m/>
    <m/>
    <m/>
    <m/>
    <m/>
    <m/>
    <m/>
    <n v="0.217"/>
    <m/>
    <s v="0.058, std err"/>
    <s v="IPCC 2013"/>
  </r>
  <r>
    <x v="4"/>
    <x v="91"/>
    <s v="Fresh or Not Specified"/>
    <s v="Green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3500000000000001"/>
    <s v=""/>
    <m/>
    <m/>
    <m/>
    <m/>
    <m/>
    <m/>
    <m/>
    <m/>
    <m/>
    <m/>
    <m/>
    <m/>
    <m/>
    <m/>
    <m/>
    <m/>
    <m/>
    <m/>
    <m/>
    <m/>
    <m/>
    <m/>
    <n v="0.13500000000000001"/>
    <m/>
    <s v="0.013, std err"/>
    <s v="IPCC 2013"/>
  </r>
  <r>
    <x v="4"/>
    <x v="91"/>
    <s v="Fresh or Not Specified"/>
    <s v="Green Kiwi, Integrated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4599999999999999"/>
    <s v=""/>
    <m/>
    <m/>
    <m/>
    <m/>
    <m/>
    <m/>
    <m/>
    <m/>
    <m/>
    <m/>
    <m/>
    <m/>
    <m/>
    <m/>
    <m/>
    <m/>
    <m/>
    <m/>
    <m/>
    <m/>
    <m/>
    <m/>
    <n v="0.14599999999999999"/>
    <m/>
    <s v="0.017, std err"/>
    <s v="IPCC 2013"/>
  </r>
  <r>
    <x v="4"/>
    <x v="91"/>
    <s v="Fresh or Not Specified"/>
    <s v="Green Kiwi, Organic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0399999999999999"/>
    <s v=""/>
    <m/>
    <m/>
    <m/>
    <m/>
    <m/>
    <m/>
    <m/>
    <m/>
    <m/>
    <m/>
    <m/>
    <m/>
    <m/>
    <m/>
    <m/>
    <m/>
    <m/>
    <m/>
    <m/>
    <m/>
    <m/>
    <m/>
    <n v="0.20399999999999999"/>
    <m/>
    <s v="0.055, std err"/>
    <s v="IPCC 2013"/>
  </r>
  <r>
    <x v="2"/>
    <x v="2"/>
    <s v="Fresh or Not Specified"/>
    <s v="Cag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6.88"/>
    <s v=""/>
    <n v="2.92"/>
    <s v=""/>
    <m/>
    <m/>
    <m/>
    <m/>
    <m/>
    <m/>
    <m/>
    <m/>
    <m/>
    <n v="16.88"/>
    <m/>
    <m/>
    <m/>
    <m/>
    <m/>
    <m/>
    <m/>
    <m/>
    <m/>
    <m/>
    <m/>
    <m/>
    <n v="2.92"/>
    <m/>
    <s v="0.21, std. dev."/>
    <s v="IPCC 2006"/>
  </r>
  <r>
    <x v="2"/>
    <x v="2"/>
    <s v="Fresh or Not Specified"/>
    <s v="Barn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2.2"/>
    <s v=""/>
    <n v="3.45"/>
    <s v=""/>
    <m/>
    <m/>
    <m/>
    <m/>
    <m/>
    <m/>
    <m/>
    <m/>
    <m/>
    <n v="22.2"/>
    <m/>
    <m/>
    <m/>
    <m/>
    <m/>
    <m/>
    <m/>
    <m/>
    <m/>
    <m/>
    <m/>
    <m/>
    <n v="3.45"/>
    <m/>
    <s v="0.26, std. dev."/>
    <s v="IPCC 2006"/>
  </r>
  <r>
    <x v="2"/>
    <x v="2"/>
    <s v="Fresh or Not Specified"/>
    <s v="Free Range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8.78"/>
    <s v=""/>
    <n v="3.38"/>
    <s v=""/>
    <m/>
    <m/>
    <m/>
    <m/>
    <m/>
    <m/>
    <m/>
    <m/>
    <m/>
    <n v="18.78"/>
    <m/>
    <m/>
    <m/>
    <m/>
    <m/>
    <m/>
    <m/>
    <m/>
    <m/>
    <m/>
    <m/>
    <m/>
    <n v="3.38"/>
    <m/>
    <s v="0.27, std. dev."/>
    <s v="IPCC 2006"/>
  </r>
  <r>
    <x v="2"/>
    <x v="2"/>
    <s v="Fresh or Not Specified"/>
    <s v="Organic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6.41"/>
    <s v=""/>
    <n v="3.42"/>
    <s v=""/>
    <m/>
    <m/>
    <m/>
    <m/>
    <m/>
    <m/>
    <m/>
    <m/>
    <m/>
    <n v="26.41"/>
    <m/>
    <m/>
    <m/>
    <m/>
    <m/>
    <m/>
    <m/>
    <m/>
    <m/>
    <m/>
    <m/>
    <m/>
    <n v="3.42"/>
    <m/>
    <s v="0.34, std. dev."/>
    <s v="IPCC 2006"/>
  </r>
  <r>
    <x v="3"/>
    <x v="19"/>
    <s v="Fresh or Not Specified"/>
    <s v="Whole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0088000000000001"/>
    <n v="8.9300000000000004E-2"/>
    <n v="9.0400000000000008E-2"/>
    <n v="0.93"/>
    <n v="7.8799999999999995E-2"/>
    <m/>
    <n v="0.59219999999999995"/>
    <n v="0.80810000000000004"/>
    <m/>
    <m/>
    <n v="3.5000000000000001E-3"/>
    <m/>
    <n v="0.93"/>
    <n v="2.4127999999999998"/>
    <m/>
    <m/>
    <n v="8.9300000000000004E-2"/>
    <n v="1.1000000000000001E-3"/>
    <m/>
    <n v="8.0399999999999999E-2"/>
    <n v="1.12E-2"/>
    <m/>
    <m/>
    <n v="6.8500000000000002E-3"/>
    <m/>
    <n v="8.9300000000000004E-2"/>
    <n v="0.18940000000000001"/>
    <m/>
    <m/>
  </r>
  <r>
    <x v="3"/>
    <x v="17"/>
    <s v="Fresh or Not Specified"/>
    <s v="Tomato Past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4378"/>
    <n v="8.9300000000000004E-2"/>
    <n v="0.11840000000000001"/>
    <n v="0.93"/>
    <n v="0.1613"/>
    <n v="0.34649999999999997"/>
    <n v="0.1772"/>
    <n v="3.1339999999999999"/>
    <m/>
    <m/>
    <m/>
    <m/>
    <n v="0.93"/>
    <n v="4.7489999999999997"/>
    <m/>
    <m/>
    <n v="8.9300000000000004E-2"/>
    <n v="2.3E-3"/>
    <n v="2.6800000000000001E-2"/>
    <n v="2.07E-2"/>
    <n v="4.3499999999999997E-2"/>
    <m/>
    <m/>
    <m/>
    <m/>
    <n v="8.9300000000000004E-2"/>
    <n v="0.18260000000000001"/>
    <m/>
    <m/>
  </r>
  <r>
    <x v="3"/>
    <x v="16"/>
    <s v="Fresh or Not Specified"/>
    <s v="Whole Peel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0800000000001"/>
    <m/>
    <m/>
    <n v="8.9300000000000004E-2"/>
    <n v="2.3E-3"/>
    <n v="1.1000000000000001E-3"/>
    <n v="0.106"/>
    <n v="0.22189999999999999"/>
    <m/>
    <m/>
    <n v="1.1000000000000001E-3"/>
    <m/>
    <n v="8.9300000000000004E-2"/>
    <n v="0.40920000000000001"/>
    <m/>
    <m/>
  </r>
  <r>
    <x v="3"/>
    <x v="15"/>
    <s v="Fresh or Not Specified"/>
    <s v="Dic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27"/>
    <m/>
    <m/>
    <n v="8.9300000000000004E-2"/>
    <n v="2.3E-3"/>
    <n v="1.1000000000000001E-3"/>
    <n v="0.106"/>
    <n v="0.22189999999999999"/>
    <m/>
    <m/>
    <n v="1.1000000000000001E-3"/>
    <m/>
    <n v="8.9300000000000004E-2"/>
    <n v="0.40920000000000001"/>
    <m/>
    <m/>
  </r>
  <r>
    <x v="3"/>
    <x v="167"/>
    <s v="Fresh or Not Specified"/>
    <s v="Tomato Juic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6705000000000001"/>
    <n v="8.9300000000000004E-2"/>
    <n v="0.1002"/>
    <n v="0.93"/>
    <n v="0.1613"/>
    <n v="0.57920000000000005"/>
    <n v="1.1700999999999999"/>
    <n v="9.4019999999999992"/>
    <m/>
    <m/>
    <m/>
    <m/>
    <n v="0.93"/>
    <n v="12.242599999999999"/>
    <m/>
    <m/>
    <n v="8.9300000000000004E-2"/>
    <n v="2.3E-3"/>
    <n v="8.6E-3"/>
    <n v="0.3412"/>
    <n v="0.1305"/>
    <m/>
    <m/>
    <n v="8.0000000000000004E-4"/>
    <m/>
    <n v="8.9300000000000004E-2"/>
    <n v="0.57269999999999999"/>
    <m/>
    <m/>
  </r>
  <r>
    <x v="3"/>
    <x v="19"/>
    <s v="Fresh or Not Specified"/>
    <s v="cultivation in open-field with compost plus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9775999999999998"/>
    <s v=""/>
    <n v="0.28916999999999998"/>
    <s v=""/>
    <m/>
    <m/>
    <m/>
    <m/>
    <m/>
    <m/>
    <m/>
    <m/>
    <m/>
    <n v="3.9775999999999998"/>
    <m/>
    <m/>
    <m/>
    <m/>
    <m/>
    <m/>
    <m/>
    <m/>
    <m/>
    <m/>
    <m/>
    <m/>
    <n v="0.28916999999999998"/>
    <m/>
    <m/>
    <s v="ISO 2006"/>
  </r>
  <r>
    <x v="3"/>
    <x v="19"/>
    <s v="Fresh or Not Specified"/>
    <s v="cultivation in open-field with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2599999999999998"/>
    <s v=""/>
    <n v="0.15606"/>
    <s v=""/>
    <m/>
    <m/>
    <m/>
    <m/>
    <m/>
    <m/>
    <m/>
    <m/>
    <m/>
    <n v="2.2599999999999998"/>
    <m/>
    <m/>
    <m/>
    <m/>
    <m/>
    <m/>
    <m/>
    <m/>
    <m/>
    <m/>
    <m/>
    <m/>
    <n v="0.15606"/>
    <m/>
    <m/>
    <s v="ISO 2006"/>
  </r>
  <r>
    <x v="3"/>
    <x v="19"/>
    <s v="Fresh or Not Specified"/>
    <s v="cultivation under greenhouse with compost plus_x000a_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1414"/>
    <s v=""/>
    <n v="0.18207000000000001"/>
    <s v=""/>
    <m/>
    <m/>
    <m/>
    <m/>
    <m/>
    <m/>
    <m/>
    <m/>
    <m/>
    <n v="3.1414"/>
    <m/>
    <m/>
    <m/>
    <m/>
    <m/>
    <m/>
    <m/>
    <m/>
    <m/>
    <m/>
    <m/>
    <m/>
    <n v="0.18207000000000001"/>
    <m/>
    <m/>
    <s v="ISO 2006"/>
  </r>
  <r>
    <x v="3"/>
    <x v="19"/>
    <s v="Fresh or Not Specified"/>
    <s v="cultivation under greenhouse with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5537999999999998"/>
    <s v=""/>
    <n v="0.153"/>
    <s v=""/>
    <m/>
    <m/>
    <m/>
    <m/>
    <m/>
    <m/>
    <m/>
    <m/>
    <m/>
    <n v="2.5537999999999998"/>
    <m/>
    <m/>
    <m/>
    <m/>
    <m/>
    <m/>
    <m/>
    <m/>
    <m/>
    <m/>
    <m/>
    <m/>
    <n v="0.153"/>
    <m/>
    <m/>
    <s v="ISO 2006"/>
  </r>
  <r>
    <x v="3"/>
    <x v="57"/>
    <s v="Fresh or Not Specified"/>
    <s v="Winter Lettuce cultivated in a hoop house in Michigan and consumed in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19800000000000001"/>
    <m/>
    <s v="GHG Protocol and Eco-Indicator 99"/>
  </r>
  <r>
    <x v="3"/>
    <x v="57"/>
    <s v="Fresh or Not Specified"/>
    <s v="Winter Lettuce cultivated outdoors in CA then transported to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85699999999999998"/>
    <m/>
    <s v="GHG Protocol and Eco-Indicator 99"/>
  </r>
  <r>
    <x v="4"/>
    <x v="137"/>
    <s v="Fresh or Not Specified"/>
    <s v="peaches"/>
    <s v="No"/>
    <s v="Italy"/>
    <n v="2014"/>
    <s v="Carlo Ingrao (a, b); Donald Huisingh (c); Agata Matarazzo (b_x000a_); Caterina Tricase (a); Maria Teresa Clasadonte (b);"/>
    <s v="(a) Department of Economics, University of Foggia, Via Romolo Caggese, 1, 71121 Foggia Italy_x000a_; (b) Department of Economics and Business, University of Catania, Corso Italia, 55, 95129 Catania Italy_x000a_; (c) University of Tennessee, Institute for a Secure and Sustainable Environment, 311 Conference Centre Building, Knoxville, TN 37996-4134, USA"/>
    <s v="Peer Reviewed Journal"/>
    <s v="Lo Giudice, A., Mbohwa, C., Clasadonte, M. and Ingrao, C., Life cycle assessment interpretation and improvement of the Sicilian artichokes production. International Journal of Environmental Research 2014, 8 (2), 305-316."/>
    <s v="Yes"/>
    <s v="Yes"/>
    <s v="No"/>
    <s v="No"/>
    <s v="No"/>
    <s v="No"/>
    <s v="No"/>
    <s v="No"/>
    <s v="No"/>
    <s v="No"/>
    <s v="No"/>
    <s v="Yes"/>
    <s v="waste disposal - plastic boxes for fertiliser transport"/>
    <s v="Production only"/>
    <s v="No"/>
    <s v="No"/>
    <s v="1 ha of peach orchard"/>
    <s v="Conversion = 31500kg/ha.yr (mentioned in paper)"/>
    <s v=""/>
    <s v=""/>
    <s v=""/>
    <s v=""/>
    <m/>
    <m/>
    <m/>
    <m/>
    <m/>
    <m/>
    <m/>
    <m/>
    <m/>
    <m/>
    <n v="8.6666666666666661"/>
    <m/>
    <m/>
    <m/>
    <m/>
    <m/>
    <m/>
    <m/>
    <m/>
    <m/>
    <m/>
    <m/>
    <m/>
    <n v="0.23428571428571429"/>
    <m/>
    <m/>
  </r>
  <r>
    <x v="4"/>
    <x v="136"/>
    <s v="Fresh or Not Specified"/>
    <s v="Orange fruit"/>
    <s v="No"/>
    <s v="Brazil"/>
    <n v="2009"/>
    <s v="Leda Coltro (a); Anna Lúcia Mourad (a); Rojane M. Kletecke (a); Taíssa A. Mendonça (a); Sílvia P. M. Germer (a);"/>
    <s v="(a) CETEA—Packaging Technology Center,_x000a_ ITAL—Institute of Food Technology,_x000a_ P.O. Box 139, 13070-178 Campinas, SP, Brazil"/>
    <s v="Peer Reviewed Journal"/>
    <s v="Coltro, L., Mourad, A. L., Kletecke, R. M., Mendonça, T. A. and Germer, S. P. M., Assessing the environmental profile of orange production in Brazil. The International Journal of Life Cycle Assessment 2009, 14 (7), 656-664."/>
    <s v="Yes"/>
    <s v="Yes"/>
    <s v="Yes"/>
    <s v="No"/>
    <s v="No"/>
    <s v="No"/>
    <s v="No"/>
    <s v="No"/>
    <s v="No"/>
    <s v="No"/>
    <s v="No"/>
    <s v="No"/>
    <m/>
    <s v="Cradle to gate"/>
    <s v="No"/>
    <s v="No"/>
    <s v="1000 kg of orange"/>
    <s v="/1000"/>
    <s v=""/>
    <s v=""/>
    <s v=""/>
    <s v=""/>
    <m/>
    <m/>
    <m/>
    <m/>
    <m/>
    <m/>
    <m/>
    <m/>
    <m/>
    <m/>
    <n v="1.54"/>
    <m/>
    <m/>
    <m/>
    <m/>
    <m/>
    <m/>
    <m/>
    <m/>
    <m/>
    <m/>
    <m/>
    <m/>
    <m/>
    <m/>
    <m/>
  </r>
  <r>
    <x v="4"/>
    <x v="168"/>
    <s v="Fresh or Not Specified"/>
    <s v="Greenhouse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69499999999999995"/>
    <m/>
    <s v="CML method"/>
  </r>
  <r>
    <x v="4"/>
    <x v="81"/>
    <s v="Fresh or Not Specified"/>
    <s v="Open field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58499999999999996"/>
    <m/>
    <s v="CML method"/>
  </r>
  <r>
    <x v="3"/>
    <x v="94"/>
    <s v="Fresh or Not Specified"/>
    <s v="Organic Carrots"/>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33"/>
    <m/>
    <m/>
    <m/>
    <m/>
    <m/>
    <m/>
    <m/>
    <m/>
    <m/>
    <m/>
    <m/>
    <m/>
    <n v="4.0000000000000001E-3"/>
    <m/>
    <s v="CML2001"/>
  </r>
  <r>
    <x v="3"/>
    <x v="94"/>
    <s v="Fresh or Not Specified"/>
    <s v="Conventional grown"/>
    <s v="Yes"/>
    <s v="Italy"/>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3.68"/>
    <m/>
    <m/>
    <m/>
    <m/>
    <m/>
    <m/>
    <m/>
    <m/>
    <m/>
    <m/>
    <m/>
    <m/>
    <n v="0.28000000000000003"/>
    <m/>
    <s v="CML2001"/>
  </r>
  <r>
    <x v="3"/>
    <x v="94"/>
    <s v="Fresh or Not Specified"/>
    <s v="Conventional grown"/>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88"/>
    <m/>
    <m/>
    <m/>
    <m/>
    <m/>
    <m/>
    <m/>
    <m/>
    <m/>
    <m/>
    <m/>
    <m/>
    <n v="0.14199999999999999"/>
    <m/>
    <s v="CML2001"/>
  </r>
  <r>
    <x v="4"/>
    <x v="136"/>
    <s v="Fresh or Not Specified"/>
    <s v="Integrated production"/>
    <s v="No"/>
    <s v="Italy"/>
    <n v="2013"/>
    <s v="A. Lo Giudice (a); C. Mbohwa (a); M.T. Clasadonte (b); C. Ingrao (c);"/>
    <s v="(a) Department of Quality and Operations Management Faculty of Engineering and the Built Environment, University of Johannesburg South Africa Doornfontein 2028, Johannesburg, South Africa; (b)Department of Economics and Business, University of Catania, Corso Italia 55, 95129, Catania, Italy"/>
    <s v="Peer Reviewed Journal"/>
    <s v="Giudice, A. L., Mbohwa, C., Clasadonte, M. and Incrao, C., Environmental assessment of the citrus fruit production in Sicily using LCA. Italian Journal of Food Science 2013, 25 (2), 202."/>
    <s v="Yes"/>
    <s v="No"/>
    <s v="Yes"/>
    <s v="Yes"/>
    <s v="Yes"/>
    <s v="Yes"/>
    <s v="No"/>
    <s v="No"/>
    <s v="No"/>
    <s v="No"/>
    <s v="No"/>
    <s v="Yes"/>
    <m/>
    <s v="Cradle to retail"/>
    <s v="No"/>
    <s v="No"/>
    <s v="1 ton oranges"/>
    <s v="/1000"/>
    <s v=""/>
    <s v=""/>
    <s v=""/>
    <s v=""/>
    <m/>
    <m/>
    <m/>
    <m/>
    <m/>
    <m/>
    <m/>
    <m/>
    <m/>
    <m/>
    <n v="5.53"/>
    <m/>
    <m/>
    <m/>
    <m/>
    <m/>
    <m/>
    <m/>
    <m/>
    <m/>
    <m/>
    <m/>
    <m/>
    <n v="0.25700000000000001"/>
    <m/>
    <s v="Impact 2002+"/>
  </r>
  <r>
    <x v="3"/>
    <x v="18"/>
    <s v="Fresh or Not Specified"/>
    <s v="Waste volatisation -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22.352170000000001"/>
    <s v=""/>
    <n v="0.812253"/>
    <s v=""/>
    <n v="22.352170000000001"/>
    <m/>
    <m/>
    <n v="4.7519999999999998"/>
    <m/>
    <m/>
    <m/>
    <m/>
    <n v="7.8029999999999999"/>
    <n v="22.352170000000001"/>
    <n v="35"/>
    <m/>
    <m/>
    <n v="0.812253"/>
    <m/>
    <m/>
    <n v="5.0326999999999997E-2"/>
    <m/>
    <m/>
    <m/>
    <m/>
    <n v="0.49769999999999998"/>
    <n v="0.812253"/>
    <n v="1.37"/>
    <m/>
    <m/>
  </r>
  <r>
    <x v="3"/>
    <x v="18"/>
    <s v="Fresh or Not Specified"/>
    <s v="Natural gas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50.963999999999999"/>
    <s v=""/>
    <n v="3.0140340000000001"/>
    <s v=""/>
    <n v="50.963999999999999"/>
    <m/>
    <m/>
    <n v="4.7519999999999998"/>
    <m/>
    <m/>
    <m/>
    <m/>
    <n v="7.8029999999999999"/>
    <n v="50.963999999999999"/>
    <n v="63.6"/>
    <m/>
    <m/>
    <n v="3.0140340000000001"/>
    <m/>
    <m/>
    <n v="5.0326999999999997E-2"/>
    <m/>
    <m/>
    <m/>
    <m/>
    <n v="0.49769999999999998"/>
    <n v="3.0140340000000001"/>
    <n v="3.59"/>
    <m/>
    <m/>
  </r>
  <r>
    <x v="3"/>
    <x v="18"/>
    <s v="Fresh or Not Specified"/>
    <s v="Cogeneration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31.48611"/>
    <s v=""/>
    <n v="2.1017410000000001"/>
    <s v=""/>
    <n v="31.48611"/>
    <m/>
    <m/>
    <n v="4.7519999999999998"/>
    <m/>
    <m/>
    <m/>
    <m/>
    <n v="7.8029999999999999"/>
    <n v="31.48611"/>
    <n v="44"/>
    <m/>
    <m/>
    <n v="2.1017410000000001"/>
    <m/>
    <m/>
    <n v="5.0326999999999997E-2"/>
    <m/>
    <m/>
    <m/>
    <m/>
    <n v="0.49769999999999998"/>
    <n v="2.1017410000000001"/>
    <n v="2.69"/>
    <m/>
    <m/>
  </r>
  <r>
    <x v="3"/>
    <x v="63"/>
    <s v="Fresh or Not Specified"/>
    <s v="Sajor-Caju Mushrooms, Small Farm (&lt; 2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9137899999999997"/>
    <s v=""/>
    <n v="3.0145179999999998"/>
    <s v=""/>
    <m/>
    <m/>
    <m/>
    <m/>
    <m/>
    <m/>
    <m/>
    <m/>
    <m/>
    <n v="4.9137899999999997"/>
    <m/>
    <m/>
    <m/>
    <m/>
    <m/>
    <m/>
    <m/>
    <m/>
    <m/>
    <m/>
    <m/>
    <m/>
    <n v="3.0145179999999998"/>
    <m/>
    <m/>
    <s v="IPCC 2006"/>
  </r>
  <r>
    <x v="3"/>
    <x v="63"/>
    <s v="Fresh or Not Specified"/>
    <s v="Sajor-Caju Mushrooms, Medium Farm (20,000-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5.2694879999999999"/>
    <s v=""/>
    <n v="5.0029450000000004"/>
    <s v=""/>
    <m/>
    <m/>
    <m/>
    <m/>
    <m/>
    <m/>
    <m/>
    <m/>
    <m/>
    <n v="5.2694879999999999"/>
    <m/>
    <m/>
    <m/>
    <m/>
    <m/>
    <m/>
    <m/>
    <m/>
    <m/>
    <m/>
    <m/>
    <m/>
    <n v="5.0029450000000004"/>
    <m/>
    <m/>
    <s v="IPCC 2006"/>
  </r>
  <r>
    <x v="3"/>
    <x v="63"/>
    <s v="Fresh or Not Specified"/>
    <s v="Sajor-Caju Mushrooms, Large Farm (&gt; 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3407419999999997"/>
    <s v=""/>
    <n v="3.371086"/>
    <s v=""/>
    <m/>
    <m/>
    <m/>
    <m/>
    <m/>
    <m/>
    <m/>
    <m/>
    <m/>
    <n v="4.3407419999999997"/>
    <m/>
    <m/>
    <m/>
    <m/>
    <m/>
    <m/>
    <m/>
    <m/>
    <m/>
    <m/>
    <m/>
    <m/>
    <n v="3.371086"/>
    <m/>
    <m/>
    <s v="IPCC 2006"/>
  </r>
  <r>
    <x v="3"/>
    <x v="86"/>
    <s v="Fresh or Not Specified"/>
    <s v="Cucumber,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12938999999999998"/>
    <s v=""/>
    <m/>
    <m/>
    <m/>
    <m/>
    <m/>
    <m/>
    <m/>
    <m/>
    <m/>
    <m/>
    <m/>
    <m/>
    <m/>
    <m/>
    <m/>
    <m/>
    <m/>
    <m/>
    <m/>
    <m/>
    <m/>
    <m/>
    <n v="0.12938999999999998"/>
    <m/>
    <m/>
    <m/>
  </r>
  <r>
    <x v="3"/>
    <x v="18"/>
    <s v="Fresh or Not Specified"/>
    <s v="Tomato,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24493000000000001"/>
    <s v=""/>
    <m/>
    <m/>
    <m/>
    <m/>
    <m/>
    <m/>
    <m/>
    <m/>
    <m/>
    <m/>
    <m/>
    <m/>
    <m/>
    <m/>
    <m/>
    <m/>
    <m/>
    <m/>
    <m/>
    <m/>
    <m/>
    <m/>
    <n v="0.24493000000000001"/>
    <m/>
    <m/>
    <m/>
  </r>
  <r>
    <x v="0"/>
    <x v="0"/>
    <s v="Fresh or Not Specified"/>
    <s v="Fluid Milk"/>
    <s v="No"/>
    <s v="Portugal"/>
    <n v="2010"/>
    <s v="É.G. Castanheira (a); A.C. Dias (b); L. Arroja (b); R. Amaro (c)"/>
    <s v="(a) ADAI, Department of Mechanical Engineering – University of Coimbra, 3030-788 Coimbra, Portugal; (b) CESAM, Department of Environment and Planning – University of Aveiro, 3810-193 Aveiro, Portugal; (c) CERNAS, Escola Superior Agrária, Instituto Politécnico de Coimbra, 3040-316 Coimbra, Portugal"/>
    <s v="Peer Reviewed Journal"/>
    <s v="Castanheira, É. G., Dias, A. C., Arroja, L. and Amaro, R., The environmental performance of milk production on a typical Portuguese dairy farm. Agricultural Systems 2010, 103 (7), 498-507."/>
    <s v="Yes"/>
    <s v="No"/>
    <s v="No"/>
    <s v="No"/>
    <s v="No"/>
    <s v="No"/>
    <s v="No"/>
    <s v="No"/>
    <s v="No"/>
    <s v="No"/>
    <s v="No"/>
    <s v="No"/>
    <m/>
    <s v="Cradle to Farm Gate"/>
    <s v="No"/>
    <s v="No"/>
    <s v="1 tonne raw milk delivered to farm gate"/>
    <s v="RV / 1000"/>
    <s v=""/>
    <s v=""/>
    <n v="1.02078"/>
    <s v=""/>
    <m/>
    <m/>
    <m/>
    <m/>
    <m/>
    <m/>
    <m/>
    <m/>
    <m/>
    <m/>
    <m/>
    <m/>
    <m/>
    <m/>
    <m/>
    <m/>
    <m/>
    <m/>
    <m/>
    <m/>
    <m/>
    <m/>
    <n v="1.02078"/>
    <m/>
    <m/>
    <s v="IPCC 2007"/>
  </r>
  <r>
    <x v="0"/>
    <x v="0"/>
    <s v="Fresh or Not Specified"/>
    <s v="Fluid Milk"/>
    <s v="No"/>
    <s v="UK"/>
    <n v="2012"/>
    <s v="DairyCo"/>
    <s v="Agriculture and Horticulture_x000a_ Development Board, UK"/>
    <s v="Government Report"/>
    <s v="DairyCo. Greenhouse gas emissions on British dairy farms: Agriculture and Horticulture Development Board; 2012."/>
    <s v="Yes"/>
    <s v="No"/>
    <s v="No"/>
    <s v="No"/>
    <s v="No"/>
    <s v="No"/>
    <s v="No"/>
    <s v="No"/>
    <s v="No"/>
    <s v="No"/>
    <s v="No"/>
    <s v="No"/>
    <m/>
    <s v="Cradle to Farm Gate"/>
    <s v="No"/>
    <s v="No"/>
    <s v="1 liter of FCMP"/>
    <s v="RV x (1000L/1m^3) x (1m^3/1035kg)"/>
    <s v=""/>
    <s v=""/>
    <n v="1.2647342995169082"/>
    <s v=""/>
    <m/>
    <m/>
    <m/>
    <m/>
    <m/>
    <m/>
    <m/>
    <m/>
    <m/>
    <m/>
    <m/>
    <m/>
    <m/>
    <m/>
    <m/>
    <m/>
    <m/>
    <m/>
    <m/>
    <m/>
    <m/>
    <m/>
    <n v="1.2647342995169082"/>
    <m/>
    <s v="0.266, std. dev."/>
    <s v="IPCC 2006"/>
  </r>
  <r>
    <x v="4"/>
    <x v="66"/>
    <s v="Fresh or Not Specified"/>
    <s v="European consumption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2.4875000000000003"/>
    <s v=""/>
    <s v=""/>
    <n v="1.25"/>
    <n v="1.2375000000000003"/>
    <m/>
    <n v="0.65"/>
    <n v="0.2"/>
    <m/>
    <m/>
    <m/>
    <m/>
    <n v="1.25"/>
    <n v="3.3499999999999996"/>
    <m/>
    <m/>
    <m/>
    <m/>
    <m/>
    <m/>
    <m/>
    <m/>
    <m/>
    <m/>
    <m/>
    <m/>
    <m/>
    <m/>
    <m/>
  </r>
  <r>
    <x v="4"/>
    <x v="66"/>
    <s v="Fresh or Not Specified"/>
    <s v="European consumption, European production, not consumed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3.7475000000000001"/>
    <s v=""/>
    <s v=""/>
    <n v="1.25"/>
    <n v="2.4975000000000001"/>
    <m/>
    <n v="0.65"/>
    <n v="0.2"/>
    <m/>
    <m/>
    <m/>
    <m/>
    <n v="1.25"/>
    <n v="4.625"/>
    <m/>
    <m/>
    <m/>
    <m/>
    <m/>
    <m/>
    <m/>
    <m/>
    <m/>
    <m/>
    <m/>
    <m/>
    <m/>
    <m/>
    <m/>
  </r>
  <r>
    <x v="4"/>
    <x v="66"/>
    <s v="Fresh or Not Specified"/>
    <s v="European consumption, New Zealand production"/>
    <s v="No"/>
    <s v="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0.54749999999999999"/>
    <n v="4.6150000000000002"/>
    <s v=""/>
    <s v=""/>
    <n v="0.54749999999999999"/>
    <n v="4.0674999999999999"/>
    <m/>
    <n v="0.65"/>
    <n v="0.2"/>
    <m/>
    <m/>
    <m/>
    <m/>
    <n v="0.54749999999999999"/>
    <n v="5.4499999999999993"/>
    <m/>
    <m/>
    <m/>
    <m/>
    <m/>
    <m/>
    <m/>
    <m/>
    <m/>
    <m/>
    <m/>
    <m/>
    <m/>
    <m/>
    <m/>
  </r>
  <r>
    <x v="4"/>
    <x v="66"/>
    <s v="Fresh or Not Specified"/>
    <s v="European consumption, other southern hemisphere country production"/>
    <m/>
    <s v="Southern Hemisphere, not 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
    <n v="3.8875000000000002"/>
    <s v=""/>
    <s v=""/>
    <n v="1.2"/>
    <n v="2.6875"/>
    <m/>
    <n v="0.65"/>
    <n v="0.2"/>
    <m/>
    <m/>
    <m/>
    <m/>
    <n v="1.2"/>
    <n v="4.7250000000000005"/>
    <m/>
    <m/>
    <m/>
    <m/>
    <m/>
    <m/>
    <m/>
    <m/>
    <m/>
    <m/>
    <m/>
    <m/>
    <m/>
    <m/>
    <m/>
  </r>
  <r>
    <x v="7"/>
    <x v="110"/>
    <s v="bottled"/>
    <s v="Coca-Cola,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9438725062525446"/>
    <m/>
    <m/>
  </r>
  <r>
    <x v="7"/>
    <x v="110"/>
    <s v="bottled"/>
    <s v="Coca-Cola,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1.0469377072064212"/>
    <m/>
    <m/>
  </r>
  <r>
    <x v="7"/>
    <x v="110"/>
    <s v="bottled"/>
    <s v="Coca-Cola,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23992322456813819"/>
    <m/>
    <m/>
  </r>
  <r>
    <x v="7"/>
    <x v="110"/>
    <s v="bottled"/>
    <s v="Diet Coke,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m/>
    <m/>
  </r>
  <r>
    <x v="7"/>
    <x v="110"/>
    <s v="bottled"/>
    <s v="Diet Coke,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m/>
    <m/>
  </r>
  <r>
    <x v="7"/>
    <x v="110"/>
    <s v="bottled"/>
    <s v="Diet Coke,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m/>
    <m/>
  </r>
  <r>
    <x v="7"/>
    <x v="110"/>
    <s v="bottled"/>
    <s v="Coke Zero,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m/>
    <m/>
  </r>
  <r>
    <x v="7"/>
    <x v="110"/>
    <s v="bottled"/>
    <s v="Coke Zero,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m/>
    <m/>
  </r>
  <r>
    <x v="7"/>
    <x v="110"/>
    <s v="bottled"/>
    <s v="Coke Zero,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m/>
    <m/>
  </r>
  <r>
    <x v="7"/>
    <x v="110"/>
    <s v="bottled"/>
    <s v="Oasis, 375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87012156110044792"/>
    <m/>
    <m/>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5940594059405928"/>
    <m/>
    <m/>
    <m/>
    <m/>
    <m/>
    <m/>
    <m/>
    <m/>
    <m/>
    <m/>
    <m/>
    <m/>
    <m/>
    <n v="0.15445544554455445"/>
    <n v="1.782178217821782E-2"/>
    <n v="0.68712871287128707"/>
    <n v="0.52772277227722775"/>
    <m/>
    <m/>
    <m/>
    <m/>
    <m/>
    <n v="0.15445544554455445"/>
    <n v="1.387128712871287"/>
    <m/>
    <m/>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3960396039603957"/>
    <m/>
    <m/>
    <m/>
    <m/>
    <m/>
    <m/>
    <m/>
    <m/>
    <m/>
    <m/>
    <m/>
    <m/>
    <m/>
    <n v="0.15445544554455445"/>
    <m/>
    <n v="0.68514851485148509"/>
    <n v="6.3366336633663367E-2"/>
    <n v="0.14653465346534653"/>
    <m/>
    <m/>
    <m/>
    <m/>
    <n v="0.15445544554455445"/>
    <n v="1.0485148514851486"/>
    <m/>
    <m/>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64356435643561"/>
    <n v="0.82178217821782173"/>
    <m/>
    <m/>
    <m/>
    <m/>
    <m/>
    <m/>
    <m/>
    <m/>
    <m/>
    <m/>
    <m/>
    <m/>
    <m/>
    <n v="0.33564356435643561"/>
    <n v="0.36336633663366336"/>
    <n v="0.12277227722772277"/>
    <n v="0.17722772277227722"/>
    <m/>
    <m/>
    <m/>
    <m/>
    <m/>
    <n v="0.33564356435643561"/>
    <n v="1.0138613861386139"/>
    <m/>
    <m/>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89108910891086"/>
    <n v="0.82351485148514847"/>
    <m/>
    <m/>
    <m/>
    <m/>
    <m/>
    <m/>
    <m/>
    <m/>
    <m/>
    <m/>
    <m/>
    <m/>
    <m/>
    <n v="0.33589108910891086"/>
    <n v="0.3636138613861386"/>
    <n v="0.12400990099009901"/>
    <n v="0.19133663366336634"/>
    <m/>
    <m/>
    <m/>
    <m/>
    <m/>
    <n v="0.33589108910891086"/>
    <n v="1"/>
    <m/>
    <m/>
  </r>
  <r>
    <x v="7"/>
    <x v="141"/>
    <m/>
    <m/>
    <m/>
    <m/>
    <n v="2010"/>
    <s v="Henrik Saxe"/>
    <s v="Institute of Food and Resource Economics, Copenhagen"/>
    <s v="NGO Report"/>
    <s v="Saxe H. LCA-based comparison of the climate footprint of beer vs. wine &amp; spirits: Fødevareøkonomisk Institut, Københavns Universitet; 2010."/>
    <m/>
    <m/>
    <m/>
    <m/>
    <m/>
    <m/>
    <m/>
    <m/>
    <m/>
    <m/>
    <m/>
    <m/>
    <m/>
    <m/>
    <m/>
    <m/>
    <s v="g per litre beer"/>
    <s v="/1000/1.01 (assumed density of beer in kg/L)"/>
    <s v=""/>
    <s v=""/>
    <n v="0.29273927392739274"/>
    <n v="0.40033003300330033"/>
    <m/>
    <m/>
    <m/>
    <m/>
    <m/>
    <m/>
    <m/>
    <m/>
    <m/>
    <m/>
    <m/>
    <m/>
    <m/>
    <n v="0.29273927392739274"/>
    <m/>
    <n v="0.10759075907590759"/>
    <n v="0.36996699669966993"/>
    <n v="0.14125412541254126"/>
    <n v="0.43333333333333329"/>
    <n v="0.13828382838283829"/>
    <m/>
    <m/>
    <n v="0.29273927392739274"/>
    <n v="1.4831683168316832"/>
    <m/>
    <m/>
  </r>
  <r>
    <x v="7"/>
    <x v="141"/>
    <s v="ave bottles &amp; cans"/>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Yes"/>
    <s v="No"/>
    <s v="Yes"/>
    <m/>
    <m/>
    <m/>
    <m/>
    <s v="includes refrigeration in use phase"/>
    <m/>
    <m/>
    <s v="g per litre beer"/>
    <s v="/1000/1.01 (assumed density of beer in kg/L)"/>
    <s v=""/>
    <s v=""/>
    <s v=""/>
    <s v=""/>
    <m/>
    <m/>
    <m/>
    <m/>
    <m/>
    <m/>
    <m/>
    <m/>
    <m/>
    <m/>
    <m/>
    <m/>
    <m/>
    <m/>
    <m/>
    <m/>
    <m/>
    <m/>
    <m/>
    <m/>
    <m/>
    <m/>
    <m/>
    <m/>
    <m/>
    <m/>
  </r>
  <r>
    <x v="7"/>
    <x v="141"/>
    <s v="bottles"/>
    <s v="New Belgium Fat Tire in 6 pack bottles"/>
    <m/>
    <m/>
    <n v="2008"/>
    <s v="The Climate Conservancy"/>
    <m/>
    <s v="NGO Report"/>
    <s v="The Climate Conservancy, The Carbon Footprint of Fat Tire® Amber Ale. 2008, ."/>
    <s v="Yes"/>
    <s v="No"/>
    <s v="Yes"/>
    <s v="Yes"/>
    <s v="Yes"/>
    <s v="Yes"/>
    <s v="Yes"/>
    <s v="Yes"/>
    <s v="Yes"/>
    <s v="No"/>
    <s v="No"/>
    <s v="No"/>
    <m/>
    <m/>
    <s v="No"/>
    <m/>
    <s v="g per 6 pack"/>
    <s v="/1000/72 oz.(=2.129 L)/1.05"/>
    <s v=""/>
    <s v=""/>
    <n v="0.28101438189178912"/>
    <n v="0.38514661477554857"/>
    <m/>
    <m/>
    <m/>
    <m/>
    <m/>
    <m/>
    <m/>
    <m/>
    <m/>
    <m/>
    <m/>
    <m/>
    <m/>
    <n v="0.28101438189178912"/>
    <m/>
    <n v="0.10413223288375942"/>
    <n v="0.3566172359032857"/>
    <n v="0.13551454964324858"/>
    <n v="0.41652893153503773"/>
    <n v="0.13266161175602229"/>
    <m/>
    <m/>
    <n v="0.28101438189178912"/>
    <n v="1.4829627631621782"/>
    <m/>
    <m/>
  </r>
  <r>
    <x v="7"/>
    <x v="141"/>
    <s v="bottled"/>
    <s v="European format, 33cL bottle"/>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16176237623762377"/>
    <n v="0.26572277227722774"/>
    <m/>
    <m/>
    <m/>
    <m/>
    <m/>
    <m/>
    <m/>
    <m/>
    <m/>
    <m/>
    <m/>
    <m/>
    <m/>
    <n v="0.16176237623762377"/>
    <m/>
    <n v="0.10396039603960396"/>
    <n v="5.4475247524752475E-2"/>
    <n v="5.1980198019801978E-2"/>
    <n v="2.1207920792079206E-2"/>
    <m/>
    <m/>
    <m/>
    <n v="0.16176237623762377"/>
    <n v="0.41584158415841582"/>
    <m/>
    <m/>
  </r>
  <r>
    <x v="7"/>
    <x v="141"/>
    <s v="Canned"/>
    <s v="North American format, 255mL can"/>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29584158415841588"/>
    <n v="0.40099009900990101"/>
    <m/>
    <m/>
    <m/>
    <m/>
    <m/>
    <m/>
    <m/>
    <m/>
    <m/>
    <m/>
    <m/>
    <m/>
    <m/>
    <n v="0.29584158415841588"/>
    <m/>
    <n v="0.10514851485148514"/>
    <n v="0.37603960396039604"/>
    <n v="6.8613861386138619E-2"/>
    <n v="2.9405940594059408E-2"/>
    <m/>
    <m/>
    <m/>
    <n v="0.29584158415841588"/>
    <n v="0.8910891089108911"/>
    <m/>
    <m/>
  </r>
  <r>
    <x v="7"/>
    <x v="141"/>
    <s v="bottled"/>
    <s v="0.33 L glass bottle"/>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5.7364150943396197"/>
    <n v="7.0594339622641495"/>
    <n v="0.19801980198019803"/>
    <n v="0.27326732673267329"/>
    <n v="5.7364150943396197"/>
    <m/>
    <n v="1.3230188679245301"/>
    <n v="7.4056603773584904"/>
    <n v="0.29622641509433961"/>
    <m/>
    <m/>
    <n v="0.14811320754716981"/>
    <m/>
    <n v="5.7364150943396197"/>
    <n v="14.811320754716981"/>
    <m/>
    <m/>
    <n v="0.19801980198019803"/>
    <m/>
    <n v="7.5247524752475245E-2"/>
    <n v="0.36732673267326732"/>
    <n v="2.3762376237623763E-2"/>
    <n v="0.15247524752475247"/>
    <m/>
    <n v="5.0495049504950491E-2"/>
    <m/>
    <n v="0.19801980198019803"/>
    <n v="0.86732673267326732"/>
    <m/>
    <s v="CML 2001"/>
  </r>
  <r>
    <x v="7"/>
    <x v="141"/>
    <s v="Canned"/>
    <s v="0.44 L aluminum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3962264150943389"/>
    <n v="7.9952830188679238"/>
    <n v="0.19702970297029704"/>
    <n v="0.26930693069306932"/>
    <n v="6.3962264150943389"/>
    <m/>
    <n v="1.5990566037735847"/>
    <n v="2.45188679245283"/>
    <n v="0.10660377358490566"/>
    <m/>
    <m/>
    <n v="0.10660377358490566"/>
    <m/>
    <n v="6.3962264150943389"/>
    <n v="10.660377358490566"/>
    <m/>
    <m/>
    <n v="0.19702970297029704"/>
    <m/>
    <n v="7.2277227722772272E-2"/>
    <n v="0.24158415841584158"/>
    <n v="8.9108910891089101E-3"/>
    <n v="0.1"/>
    <m/>
    <n v="4.8514851485148516E-2"/>
    <m/>
    <n v="0.19702970297029704"/>
    <n v="0.66930693069306935"/>
    <m/>
    <s v="CML 2001"/>
  </r>
  <r>
    <x v="7"/>
    <x v="141"/>
    <s v="Canned"/>
    <s v="0.44 L steel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4132075471698116"/>
    <n v="7.9679245283018867"/>
    <n v="0.19702970297029704"/>
    <n v="0.26930693069306932"/>
    <n v="6.4132075471698116"/>
    <m/>
    <n v="1.5547169811320753"/>
    <n v="1.5547169811320753"/>
    <n v="9.7169811320754709E-2"/>
    <m/>
    <m/>
    <n v="9.7169811320754709E-2"/>
    <m/>
    <n v="6.4132075471698116"/>
    <n v="9.7169811320754711"/>
    <m/>
    <m/>
    <n v="0.19702970297029704"/>
    <m/>
    <n v="7.2277227722772272E-2"/>
    <n v="0.17623762376237623"/>
    <n v="9.9009900990099011E-3"/>
    <n v="0.1"/>
    <m/>
    <n v="4.8514851485148516E-2"/>
    <m/>
    <n v="0.19702970297029704"/>
    <n v="0.60495049504950493"/>
    <m/>
    <s v="CML 2001"/>
  </r>
  <r>
    <x v="7"/>
    <x v="169"/>
    <s v="bottled"/>
    <s v="column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67304964539007084"/>
    <n v="2.0805673758865249"/>
    <m/>
    <m/>
    <m/>
    <m/>
    <m/>
    <m/>
    <m/>
    <m/>
    <m/>
    <m/>
    <m/>
    <m/>
    <m/>
    <n v="0.67304964539007084"/>
    <m/>
    <n v="1.4075177304964539"/>
    <n v="0.98042553191489357"/>
    <n v="0.66524822695035457"/>
    <n v="8.8085106382978728E-2"/>
    <m/>
    <m/>
    <m/>
    <n v="0.67304964539007084"/>
    <n v="3.9007092198581561"/>
    <m/>
    <m/>
  </r>
  <r>
    <x v="7"/>
    <x v="169"/>
    <s v="bottled"/>
    <s v="pot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70382978723404255"/>
    <n v="2.8019858156028374"/>
    <m/>
    <m/>
    <m/>
    <m/>
    <m/>
    <m/>
    <m/>
    <m/>
    <m/>
    <m/>
    <m/>
    <m/>
    <m/>
    <n v="0.70382978723404255"/>
    <m/>
    <n v="2.0981560283687948"/>
    <n v="0.98042553191489357"/>
    <n v="0.26312056737588652"/>
    <n v="8.8085106382978728E-2"/>
    <m/>
    <m/>
    <m/>
    <n v="0.70382978723404255"/>
    <n v="4.212765957446809"/>
    <m/>
    <m/>
  </r>
  <r>
    <x v="7"/>
    <x v="169"/>
    <s v="bottled"/>
    <s v="Scotch whisky"/>
    <m/>
    <s v="Scotland"/>
    <n v="2010"/>
    <s v="Henrik Saxe"/>
    <s v="Institute of Food and Resource Economics, Copenhagen"/>
    <s v="NGO Report"/>
    <s v="Saxe, H., LCA-based comparison of the climate footprint of beer vs. wine &amp; spirits. 2010, ."/>
    <s v="Yes"/>
    <s v="No"/>
    <s v="Yes"/>
    <s v="Yes"/>
    <s v="Yes"/>
    <s v="Yes"/>
    <s v="No"/>
    <s v="No"/>
    <s v="No"/>
    <s v="No"/>
    <s v="No"/>
    <s v="No"/>
    <m/>
    <m/>
    <s v="No"/>
    <m/>
    <s v="g/L"/>
    <m/>
    <s v=""/>
    <s v=""/>
    <n v="0.65957446808510645"/>
    <n v="1.6308510638297875"/>
    <m/>
    <m/>
    <m/>
    <m/>
    <m/>
    <m/>
    <m/>
    <m/>
    <m/>
    <m/>
    <m/>
    <m/>
    <m/>
    <n v="0.65957446808510645"/>
    <m/>
    <n v="0.97127659574468095"/>
    <n v="0.50425531914893618"/>
    <n v="0.26382978723404255"/>
    <m/>
    <m/>
    <m/>
    <m/>
    <n v="0.65957446808510645"/>
    <n v="2.3989361702127661"/>
    <m/>
    <m/>
  </r>
  <r>
    <x v="8"/>
    <x v="47"/>
    <s v="Fresh or Not Specified"/>
    <s v="Soybean Oil"/>
    <s v="No"/>
    <s v="USA"/>
    <n v="2008"/>
    <s v="Loijos, A."/>
    <m/>
    <s v="Industry Based Report"/>
    <s v="Barilla Center for Food &amp; Nutrition. Database for the double pyramid construction; 2015."/>
    <s v="Yes"/>
    <s v="No"/>
    <s v="No"/>
    <s v="Yes"/>
    <s v="No"/>
    <s v="No"/>
    <s v="No"/>
    <s v="No"/>
    <s v="No"/>
    <s v="No"/>
    <s v="No"/>
    <s v="No"/>
    <m/>
    <s v="Cradle to Refinery"/>
    <s v="No"/>
    <s v="No"/>
    <s v="serving size (14 g oil)"/>
    <s v="reported value / 14"/>
    <s v=""/>
    <s v=""/>
    <s v=""/>
    <s v=""/>
    <m/>
    <m/>
    <m/>
    <m/>
    <m/>
    <m/>
    <m/>
    <m/>
    <m/>
    <m/>
    <m/>
    <m/>
    <m/>
    <m/>
    <m/>
    <m/>
    <m/>
    <m/>
    <m/>
    <m/>
    <m/>
    <m/>
    <m/>
    <n v="1.103"/>
    <m/>
    <s v="(From Barilla Data)"/>
  </r>
  <r>
    <x v="8"/>
    <x v="47"/>
    <s v="Fresh or Not Specified"/>
    <s v="Soybean Oil"/>
    <s v="No"/>
    <s v="World"/>
    <n v="2015"/>
    <s v="Schmidt, J. H."/>
    <m/>
    <s v="Peer Reviewed Journal"/>
    <s v="Barilla Center for Food &amp; Nutrition. Database for the double pyramid construction; 2015."/>
    <s v="Yes"/>
    <s v="No"/>
    <s v="No"/>
    <s v="Yes"/>
    <s v="No"/>
    <s v="No"/>
    <s v="No"/>
    <s v="No"/>
    <s v="No"/>
    <s v="No"/>
    <s v="No"/>
    <s v="No"/>
    <m/>
    <s v="Cradle to Refinery"/>
    <s v="No"/>
    <s v="No"/>
    <s v="1 tonne oil"/>
    <s v="reported value / 1000"/>
    <s v=""/>
    <s v=""/>
    <s v=""/>
    <s v=""/>
    <m/>
    <m/>
    <m/>
    <m/>
    <m/>
    <m/>
    <m/>
    <m/>
    <m/>
    <m/>
    <m/>
    <m/>
    <m/>
    <m/>
    <m/>
    <m/>
    <m/>
    <m/>
    <m/>
    <m/>
    <m/>
    <m/>
    <m/>
    <n v="2.024"/>
    <m/>
    <s v="IPCC 2007 (From Barilla Data)"/>
  </r>
  <r>
    <x v="8"/>
    <x v="47"/>
    <s v="Fresh or Not Specified"/>
    <s v="Soybean Oil"/>
    <s v="No"/>
    <s v="Argentina"/>
    <n v="2008"/>
    <s v="Dalgaard, R., J. Schmidt, N. Halberg, P.Christensen, M. Thrane, W. A. Pengue."/>
    <m/>
    <s v="Peer Reviewed Journal"/>
    <s v="Barilla Center for Food &amp; Nutrition. Database for the double pyramid construction; 2015."/>
    <s v="Yes"/>
    <s v="No"/>
    <s v="No"/>
    <s v="Yes"/>
    <s v="No"/>
    <s v="Yes"/>
    <s v="No"/>
    <s v="No"/>
    <s v="No"/>
    <s v="No"/>
    <s v="No"/>
    <s v="No"/>
    <m/>
    <s v="Cradle to Refinery"/>
    <s v="No"/>
    <s v="No"/>
    <s v="kg soybean meal"/>
    <s v="paper converts to kg oil, no adjustment necessary"/>
    <s v=""/>
    <s v=""/>
    <s v=""/>
    <s v=""/>
    <m/>
    <m/>
    <m/>
    <m/>
    <m/>
    <m/>
    <m/>
    <m/>
    <m/>
    <m/>
    <m/>
    <m/>
    <m/>
    <m/>
    <m/>
    <m/>
    <m/>
    <m/>
    <m/>
    <m/>
    <m/>
    <m/>
    <m/>
    <n v="1.36"/>
    <m/>
    <s v="EDIP 97, (From Barilla Data), is the average of economic and mass based allocation methods"/>
  </r>
  <r>
    <x v="4"/>
    <x v="170"/>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4"/>
    <s v=""/>
    <m/>
    <m/>
    <m/>
    <m/>
    <m/>
    <m/>
    <m/>
    <m/>
    <m/>
    <m/>
    <m/>
    <m/>
    <m/>
    <m/>
    <m/>
    <m/>
    <m/>
    <m/>
    <m/>
    <m/>
    <m/>
    <m/>
    <n v="0.84"/>
    <m/>
    <m/>
    <m/>
  </r>
  <r>
    <x v="4"/>
    <x v="17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9"/>
    <s v=""/>
    <m/>
    <m/>
    <m/>
    <m/>
    <m/>
    <m/>
    <m/>
    <m/>
    <m/>
    <m/>
    <m/>
    <m/>
    <m/>
    <m/>
    <m/>
    <m/>
    <m/>
    <m/>
    <m/>
    <m/>
    <m/>
    <m/>
    <n v="1.39"/>
    <m/>
    <m/>
    <m/>
  </r>
  <r>
    <x v="3"/>
    <x v="172"/>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5"/>
    <s v=""/>
    <m/>
    <m/>
    <m/>
    <m/>
    <m/>
    <m/>
    <m/>
    <m/>
    <m/>
    <m/>
    <m/>
    <m/>
    <m/>
    <m/>
    <m/>
    <m/>
    <m/>
    <m/>
    <m/>
    <m/>
    <m/>
    <m/>
    <n v="0.35"/>
    <m/>
    <m/>
    <m/>
  </r>
  <r>
    <x v="3"/>
    <x v="17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6"/>
    <s v=""/>
    <m/>
    <m/>
    <m/>
    <m/>
    <m/>
    <m/>
    <m/>
    <m/>
    <m/>
    <m/>
    <m/>
    <m/>
    <m/>
    <m/>
    <m/>
    <m/>
    <m/>
    <m/>
    <m/>
    <m/>
    <m/>
    <m/>
    <n v="0.46"/>
    <m/>
    <m/>
    <m/>
  </r>
  <r>
    <x v="4"/>
    <x v="173"/>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5"/>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
    <s v=""/>
    <m/>
    <m/>
    <m/>
    <m/>
    <m/>
    <m/>
    <m/>
    <m/>
    <m/>
    <m/>
    <m/>
    <m/>
    <m/>
    <m/>
    <m/>
    <m/>
    <m/>
    <m/>
    <m/>
    <m/>
    <m/>
    <m/>
    <n v="0.7"/>
    <m/>
    <m/>
    <m/>
  </r>
  <r>
    <x v="5"/>
    <x v="17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7"/>
    <s v=""/>
    <m/>
    <m/>
    <m/>
    <m/>
    <m/>
    <m/>
    <m/>
    <m/>
    <m/>
    <m/>
    <m/>
    <m/>
    <m/>
    <m/>
    <m/>
    <m/>
    <m/>
    <m/>
    <m/>
    <m/>
    <m/>
    <m/>
    <n v="0.47"/>
    <m/>
    <m/>
    <m/>
  </r>
  <r>
    <x v="11"/>
    <x v="17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05"/>
    <s v=""/>
    <m/>
    <m/>
    <m/>
    <m/>
    <m/>
    <m/>
    <m/>
    <m/>
    <m/>
    <m/>
    <m/>
    <m/>
    <m/>
    <m/>
    <m/>
    <m/>
    <m/>
    <m/>
    <m/>
    <m/>
    <m/>
    <m/>
    <n v="1.05"/>
    <m/>
    <m/>
    <m/>
  </r>
  <r>
    <x v="11"/>
    <x v="178"/>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10"/>
    <x v="17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10"/>
    <x v="180"/>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n v="0"/>
    <s v=""/>
    <n v="0.87"/>
    <s v=""/>
    <m/>
    <m/>
    <m/>
    <m/>
    <m/>
    <m/>
    <m/>
    <m/>
    <m/>
    <m/>
    <m/>
    <m/>
    <m/>
    <m/>
    <m/>
    <m/>
    <m/>
    <m/>
    <m/>
    <m/>
    <m/>
    <m/>
    <n v="0.87"/>
    <m/>
    <m/>
    <m/>
  </r>
  <r>
    <x v="4"/>
    <x v="181"/>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m/>
    <m/>
  </r>
  <r>
    <x v="4"/>
    <x v="181"/>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4"/>
    <x v="18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4"/>
    <x v="182"/>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78"/>
    <s v=""/>
    <m/>
    <m/>
    <m/>
    <m/>
    <m/>
    <m/>
    <m/>
    <m/>
    <m/>
    <m/>
    <m/>
    <m/>
    <m/>
    <m/>
    <m/>
    <m/>
    <m/>
    <m/>
    <m/>
    <m/>
    <m/>
    <m/>
    <n v="1.78"/>
    <m/>
    <m/>
    <m/>
  </r>
  <r>
    <x v="3"/>
    <x v="183"/>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11"/>
    <x v="18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61"/>
    <s v=""/>
    <m/>
    <m/>
    <m/>
    <m/>
    <m/>
    <m/>
    <m/>
    <m/>
    <m/>
    <m/>
    <m/>
    <m/>
    <m/>
    <m/>
    <m/>
    <m/>
    <m/>
    <m/>
    <m/>
    <m/>
    <m/>
    <m/>
    <n v="0.61"/>
    <m/>
    <m/>
    <m/>
  </r>
  <r>
    <x v="4"/>
    <x v="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2"/>
    <s v=""/>
    <m/>
    <m/>
    <m/>
    <m/>
    <m/>
    <m/>
    <m/>
    <m/>
    <m/>
    <m/>
    <m/>
    <m/>
    <m/>
    <m/>
    <m/>
    <m/>
    <m/>
    <m/>
    <m/>
    <m/>
    <m/>
    <m/>
    <n v="0.42"/>
    <m/>
    <m/>
    <m/>
  </r>
  <r>
    <x v="4"/>
    <x v="87"/>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5"/>
    <s v=""/>
    <m/>
    <m/>
    <m/>
    <m/>
    <m/>
    <m/>
    <m/>
    <m/>
    <m/>
    <m/>
    <m/>
    <m/>
    <m/>
    <m/>
    <m/>
    <m/>
    <m/>
    <m/>
    <m/>
    <m/>
    <m/>
    <m/>
    <n v="0.75"/>
    <m/>
    <m/>
    <m/>
  </r>
  <r>
    <x v="4"/>
    <x v="185"/>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m/>
    <m/>
  </r>
  <r>
    <x v="4"/>
    <x v="18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4"/>
    <x v="18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3"/>
    <x v="1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8"/>
    <s v=""/>
    <m/>
    <m/>
    <m/>
    <m/>
    <m/>
    <m/>
    <m/>
    <m/>
    <m/>
    <m/>
    <m/>
    <m/>
    <m/>
    <m/>
    <m/>
    <m/>
    <m/>
    <m/>
    <m/>
    <m/>
    <m/>
    <m/>
    <n v="0.48"/>
    <m/>
    <m/>
    <m/>
  </r>
  <r>
    <x v="8"/>
    <x v="188"/>
    <m/>
    <m/>
    <m/>
    <s v="US"/>
    <m/>
    <s v="Ecoinvent 3 process: (Cottonseed oil, refined {US}| cottonseed oil refinery operation | Alloc Def, U)"/>
    <m/>
    <m/>
    <s v="Swiss Center for Life Cycle Inventories, Ecoinvent Database version 3.3. 2016, 2016, ."/>
    <s v="Yes"/>
    <s v="Yes"/>
    <s v="Yes"/>
    <s v="Yes"/>
    <s v="No"/>
    <s v="No"/>
    <s v="No"/>
    <s v="No"/>
    <s v="No"/>
    <s v="No"/>
    <s v="No"/>
    <s v="No"/>
    <m/>
    <s v="at oil refinery gate"/>
    <m/>
    <m/>
    <m/>
    <m/>
    <s v=""/>
    <n v="24.8"/>
    <s v=""/>
    <n v="2.14"/>
    <m/>
    <m/>
    <n v="24.8"/>
    <m/>
    <m/>
    <m/>
    <m/>
    <m/>
    <m/>
    <m/>
    <n v="24.8"/>
    <m/>
    <m/>
    <m/>
    <m/>
    <n v="2.14"/>
    <m/>
    <m/>
    <m/>
    <m/>
    <m/>
    <m/>
    <m/>
    <n v="2.14"/>
    <m/>
    <m/>
  </r>
  <r>
    <x v="11"/>
    <x v="189"/>
    <m/>
    <m/>
    <m/>
    <s v="AU"/>
    <m/>
    <s v="Agrifootprint processes: Pea, at farm/XX Mass"/>
    <m/>
    <m/>
    <s v="Blonk Consultants. Agri-Footprint 2.0. 2015 [cited 2015] Available from: http://www.agrifootprint."/>
    <m/>
    <m/>
    <m/>
    <m/>
    <m/>
    <m/>
    <m/>
    <m/>
    <m/>
    <m/>
    <m/>
    <m/>
    <m/>
    <m/>
    <m/>
    <m/>
    <m/>
    <m/>
    <n v="7.1159132999999999"/>
    <s v=""/>
    <n v="0.74203154000000004"/>
    <s v=""/>
    <m/>
    <m/>
    <m/>
    <m/>
    <m/>
    <m/>
    <m/>
    <m/>
    <m/>
    <n v="7.1159132999999999"/>
    <m/>
    <m/>
    <m/>
    <m/>
    <m/>
    <m/>
    <m/>
    <m/>
    <m/>
    <m/>
    <m/>
    <m/>
    <n v="0.74203154000000004"/>
    <m/>
    <m/>
    <m/>
  </r>
  <r>
    <x v="11"/>
    <x v="189"/>
    <m/>
    <m/>
    <m/>
    <s v="CZ"/>
    <m/>
    <s v="Agrifootprint processes: Pea, at farm/XX Mass"/>
    <m/>
    <m/>
    <s v="Blonk Consultants. Agri-Footprint 2.0. 2015 [cited 2015] Available from: http://www.agrifootprint."/>
    <m/>
    <m/>
    <m/>
    <m/>
    <m/>
    <m/>
    <m/>
    <m/>
    <m/>
    <m/>
    <m/>
    <m/>
    <m/>
    <m/>
    <m/>
    <m/>
    <m/>
    <m/>
    <n v="3.0132927999999999"/>
    <s v=""/>
    <n v="0.40359191"/>
    <s v=""/>
    <m/>
    <m/>
    <m/>
    <m/>
    <m/>
    <m/>
    <m/>
    <m/>
    <m/>
    <n v="3.0132927999999999"/>
    <m/>
    <m/>
    <m/>
    <m/>
    <m/>
    <m/>
    <m/>
    <m/>
    <m/>
    <m/>
    <m/>
    <m/>
    <n v="0.40359191"/>
    <m/>
    <m/>
    <m/>
  </r>
  <r>
    <x v="11"/>
    <x v="189"/>
    <m/>
    <m/>
    <m/>
    <s v="DE"/>
    <m/>
    <s v="Agrifootprint processes: Pea, at farm/XX Mass"/>
    <m/>
    <m/>
    <s v="Blonk Consultants. Agri-Footprint 2.0. 2015 [cited 2015] Available from: http://www.agrifootprint."/>
    <m/>
    <m/>
    <m/>
    <m/>
    <m/>
    <m/>
    <m/>
    <m/>
    <m/>
    <m/>
    <m/>
    <m/>
    <m/>
    <m/>
    <m/>
    <m/>
    <m/>
    <m/>
    <n v="2.9477362"/>
    <s v=""/>
    <n v="0.50794855000000005"/>
    <s v=""/>
    <m/>
    <m/>
    <m/>
    <m/>
    <m/>
    <m/>
    <m/>
    <m/>
    <m/>
    <n v="2.9477362"/>
    <m/>
    <m/>
    <m/>
    <m/>
    <m/>
    <m/>
    <m/>
    <m/>
    <m/>
    <m/>
    <m/>
    <m/>
    <n v="0.50794855000000005"/>
    <m/>
    <m/>
    <m/>
  </r>
  <r>
    <x v="11"/>
    <x v="189"/>
    <m/>
    <m/>
    <m/>
    <s v="ES"/>
    <m/>
    <s v="Agrifootprint processes: Pea, at farm/XX Mass"/>
    <m/>
    <m/>
    <s v="Blonk Consultants. Agri-Footprint 2.0. 2015 [cited 2015] Available from: http://www.agrifootprint."/>
    <m/>
    <m/>
    <m/>
    <m/>
    <m/>
    <m/>
    <m/>
    <m/>
    <m/>
    <m/>
    <m/>
    <m/>
    <m/>
    <m/>
    <m/>
    <m/>
    <m/>
    <m/>
    <n v="6.1614000999999998"/>
    <s v=""/>
    <n v="2.0447562000000001"/>
    <s v=""/>
    <m/>
    <m/>
    <m/>
    <m/>
    <m/>
    <m/>
    <m/>
    <m/>
    <m/>
    <n v="6.1614000999999998"/>
    <m/>
    <m/>
    <m/>
    <m/>
    <m/>
    <m/>
    <m/>
    <m/>
    <m/>
    <m/>
    <m/>
    <m/>
    <n v="2.0447562000000001"/>
    <m/>
    <m/>
    <m/>
  </r>
  <r>
    <x v="11"/>
    <x v="189"/>
    <m/>
    <m/>
    <m/>
    <s v="FR"/>
    <m/>
    <s v="Agrifootprint processes: Pea, at farm/XX Mass"/>
    <m/>
    <m/>
    <s v="Blonk Consultants. Agri-Footprint 2.0. 2015 [cited 2015] Available from: http://www.agrifootprint."/>
    <m/>
    <m/>
    <m/>
    <m/>
    <m/>
    <m/>
    <m/>
    <m/>
    <m/>
    <m/>
    <m/>
    <m/>
    <m/>
    <m/>
    <m/>
    <m/>
    <m/>
    <m/>
    <n v="2.2760601"/>
    <s v=""/>
    <n v="0.26357739000000002"/>
    <s v=""/>
    <m/>
    <m/>
    <m/>
    <m/>
    <m/>
    <m/>
    <m/>
    <m/>
    <m/>
    <n v="2.2760601"/>
    <m/>
    <m/>
    <m/>
    <m/>
    <m/>
    <m/>
    <m/>
    <m/>
    <m/>
    <m/>
    <m/>
    <m/>
    <n v="0.26357739000000002"/>
    <m/>
    <m/>
    <m/>
  </r>
  <r>
    <x v="11"/>
    <x v="189"/>
    <m/>
    <m/>
    <m/>
    <s v="IT"/>
    <m/>
    <s v="Agrifootprint processes: Pea, at farm/XX Mass"/>
    <m/>
    <m/>
    <s v="Blonk Consultants. Agri-Footprint 2.0. 2015 [cited 2015] Available from: http://www.agrifootprint."/>
    <m/>
    <m/>
    <m/>
    <m/>
    <m/>
    <m/>
    <m/>
    <m/>
    <m/>
    <m/>
    <m/>
    <m/>
    <m/>
    <m/>
    <m/>
    <m/>
    <m/>
    <m/>
    <n v="3.0091594000000002"/>
    <s v=""/>
    <n v="0.44686640999999999"/>
    <s v=""/>
    <m/>
    <m/>
    <m/>
    <m/>
    <m/>
    <m/>
    <m/>
    <m/>
    <m/>
    <n v="3.0091594000000002"/>
    <m/>
    <m/>
    <m/>
    <m/>
    <m/>
    <m/>
    <m/>
    <m/>
    <m/>
    <m/>
    <m/>
    <m/>
    <n v="0.44686640999999999"/>
    <m/>
    <m/>
    <m/>
  </r>
  <r>
    <x v="11"/>
    <x v="189"/>
    <m/>
    <m/>
    <m/>
    <s v="RO"/>
    <m/>
    <s v="Agrifootprint processes: Pea, at farm/XX Mass"/>
    <m/>
    <m/>
    <s v="Blonk Consultants. Agri-Footprint 2.0. 2015 [cited 2015] Available from: http://www.agrifootprint."/>
    <m/>
    <m/>
    <m/>
    <m/>
    <m/>
    <m/>
    <m/>
    <m/>
    <m/>
    <m/>
    <m/>
    <m/>
    <m/>
    <m/>
    <m/>
    <m/>
    <m/>
    <m/>
    <n v="3.9729307999999999"/>
    <s v=""/>
    <n v="0.53576064000000001"/>
    <s v=""/>
    <m/>
    <m/>
    <m/>
    <m/>
    <m/>
    <m/>
    <m/>
    <m/>
    <m/>
    <n v="3.9729307999999999"/>
    <m/>
    <m/>
    <m/>
    <m/>
    <m/>
    <m/>
    <m/>
    <m/>
    <m/>
    <m/>
    <m/>
    <m/>
    <n v="0.53576064000000001"/>
    <m/>
    <m/>
    <m/>
  </r>
  <r>
    <x v="11"/>
    <x v="189"/>
    <m/>
    <m/>
    <m/>
    <s v="SE"/>
    <m/>
    <s v="Agrifootprint processes: Pea, at farm/XX Mass"/>
    <m/>
    <m/>
    <s v="Blonk Consultants. Agri-Footprint 2.0. 2015 [cited 2015] Available from: http://www.agrifootprint."/>
    <m/>
    <m/>
    <m/>
    <m/>
    <m/>
    <m/>
    <m/>
    <m/>
    <m/>
    <m/>
    <m/>
    <m/>
    <m/>
    <m/>
    <m/>
    <m/>
    <m/>
    <m/>
    <n v="2.2949158000000001"/>
    <s v=""/>
    <n v="0.32196740000000001"/>
    <s v=""/>
    <m/>
    <m/>
    <m/>
    <m/>
    <m/>
    <m/>
    <m/>
    <m/>
    <m/>
    <n v="2.2949158000000001"/>
    <m/>
    <m/>
    <m/>
    <m/>
    <m/>
    <m/>
    <m/>
    <m/>
    <m/>
    <m/>
    <m/>
    <m/>
    <n v="0.32196740000000001"/>
    <m/>
    <m/>
    <m/>
  </r>
  <r>
    <x v="11"/>
    <x v="189"/>
    <m/>
    <m/>
    <m/>
    <s v="UK"/>
    <m/>
    <s v="Agrifootprint processes: Pea, at farm/XX Mass"/>
    <m/>
    <m/>
    <s v="Blonk Consultants. Agri-Footprint 2.0. 2015 [cited 2015] Available from: http://www.agrifootprint."/>
    <m/>
    <m/>
    <m/>
    <m/>
    <m/>
    <m/>
    <m/>
    <m/>
    <m/>
    <m/>
    <m/>
    <m/>
    <m/>
    <m/>
    <m/>
    <m/>
    <m/>
    <m/>
    <n v="2.0325096999999999"/>
    <s v=""/>
    <n v="0.2892537"/>
    <s v=""/>
    <m/>
    <m/>
    <m/>
    <m/>
    <m/>
    <m/>
    <m/>
    <m/>
    <m/>
    <n v="2.0325096999999999"/>
    <m/>
    <m/>
    <m/>
    <m/>
    <m/>
    <m/>
    <m/>
    <m/>
    <m/>
    <m/>
    <m/>
    <m/>
    <n v="0.2892537"/>
    <m/>
    <m/>
    <m/>
  </r>
  <r>
    <x v="11"/>
    <x v="190"/>
    <m/>
    <m/>
    <m/>
    <s v="AR"/>
    <m/>
    <s v="Agrifootprint processes: Sunflower seed, at farm/XX Mass"/>
    <m/>
    <m/>
    <s v="Blonk Consultants. Agri-Footprint 2.0. 2015 [cited 2015] Available from: http://www.agrifootprint."/>
    <m/>
    <m/>
    <m/>
    <m/>
    <m/>
    <m/>
    <m/>
    <m/>
    <m/>
    <m/>
    <m/>
    <m/>
    <m/>
    <m/>
    <m/>
    <m/>
    <m/>
    <m/>
    <n v="6.0645585000000004"/>
    <s v=""/>
    <n v="0.58053664999999999"/>
    <s v=""/>
    <m/>
    <m/>
    <m/>
    <m/>
    <m/>
    <m/>
    <m/>
    <m/>
    <m/>
    <n v="6.0645585000000004"/>
    <m/>
    <m/>
    <m/>
    <m/>
    <m/>
    <m/>
    <m/>
    <m/>
    <m/>
    <m/>
    <m/>
    <m/>
    <n v="0.58053664999999999"/>
    <m/>
    <m/>
    <m/>
  </r>
  <r>
    <x v="11"/>
    <x v="190"/>
    <m/>
    <m/>
    <m/>
    <s v="BG"/>
    <m/>
    <s v="Agrifootprint processes: Sunflower seed, at farm/XX Mass"/>
    <m/>
    <m/>
    <s v="Blonk Consultants. Agri-Footprint 2.0. 2015 [cited 2015] Available from: http://www.agrifootprint."/>
    <m/>
    <m/>
    <m/>
    <m/>
    <m/>
    <m/>
    <m/>
    <m/>
    <m/>
    <m/>
    <m/>
    <m/>
    <m/>
    <m/>
    <m/>
    <m/>
    <m/>
    <m/>
    <n v="6.3242871000000003"/>
    <s v=""/>
    <n v="0.94865215000000003"/>
    <s v=""/>
    <m/>
    <m/>
    <m/>
    <m/>
    <m/>
    <m/>
    <m/>
    <m/>
    <m/>
    <n v="6.3242871000000003"/>
    <m/>
    <m/>
    <m/>
    <m/>
    <m/>
    <m/>
    <m/>
    <m/>
    <m/>
    <m/>
    <m/>
    <m/>
    <n v="0.94865215000000003"/>
    <m/>
    <m/>
    <m/>
  </r>
  <r>
    <x v="11"/>
    <x v="190"/>
    <m/>
    <m/>
    <m/>
    <s v="CN"/>
    <m/>
    <s v="Agrifootprint processes: Sunflower seed, at farm/XX Mass"/>
    <m/>
    <m/>
    <s v="Blonk Consultants. Agri-Footprint 2.0. 2015 [cited 2015] Available from: http://www.agrifootprint."/>
    <m/>
    <m/>
    <m/>
    <m/>
    <m/>
    <m/>
    <m/>
    <m/>
    <m/>
    <m/>
    <m/>
    <m/>
    <m/>
    <m/>
    <m/>
    <m/>
    <m/>
    <m/>
    <n v="7.8457853999999996"/>
    <s v=""/>
    <n v="0.91692832999999996"/>
    <s v=""/>
    <m/>
    <m/>
    <m/>
    <m/>
    <m/>
    <m/>
    <m/>
    <m/>
    <m/>
    <n v="7.8457853999999996"/>
    <m/>
    <m/>
    <m/>
    <m/>
    <m/>
    <m/>
    <m/>
    <m/>
    <m/>
    <m/>
    <m/>
    <m/>
    <n v="0.91692832999999996"/>
    <m/>
    <m/>
    <m/>
  </r>
  <r>
    <x v="11"/>
    <x v="190"/>
    <m/>
    <m/>
    <m/>
    <s v="CZ"/>
    <m/>
    <s v="Agrifootprint processes: Sunflower seed, at farm/XX Mass"/>
    <m/>
    <m/>
    <s v="Blonk Consultants. Agri-Footprint 2.0. 2015 [cited 2015] Available from: http://www.agrifootprint."/>
    <m/>
    <m/>
    <m/>
    <m/>
    <m/>
    <m/>
    <m/>
    <m/>
    <m/>
    <m/>
    <m/>
    <m/>
    <m/>
    <m/>
    <m/>
    <m/>
    <m/>
    <m/>
    <n v="5.8051529999999998"/>
    <s v=""/>
    <n v="0.74121219000000005"/>
    <s v=""/>
    <m/>
    <m/>
    <m/>
    <m/>
    <m/>
    <m/>
    <m/>
    <m/>
    <m/>
    <n v="5.8051529999999998"/>
    <m/>
    <m/>
    <m/>
    <m/>
    <m/>
    <m/>
    <m/>
    <m/>
    <m/>
    <m/>
    <m/>
    <m/>
    <n v="0.74121219000000005"/>
    <m/>
    <m/>
    <m/>
  </r>
  <r>
    <x v="11"/>
    <x v="190"/>
    <m/>
    <m/>
    <m/>
    <s v="ES"/>
    <m/>
    <s v="Agrifootprint processes: Sunflower seed, at farm/XX Mass"/>
    <m/>
    <m/>
    <s v="Blonk Consultants. Agri-Footprint 2.0. 2015 [cited 2015] Available from: http://www.agrifootprint."/>
    <m/>
    <m/>
    <m/>
    <m/>
    <m/>
    <m/>
    <m/>
    <m/>
    <m/>
    <m/>
    <m/>
    <m/>
    <m/>
    <m/>
    <m/>
    <m/>
    <m/>
    <m/>
    <n v="9.4524524999999997"/>
    <s v=""/>
    <n v="0.97667108000000002"/>
    <s v=""/>
    <m/>
    <m/>
    <m/>
    <m/>
    <m/>
    <m/>
    <m/>
    <m/>
    <m/>
    <n v="9.4524524999999997"/>
    <m/>
    <m/>
    <m/>
    <m/>
    <m/>
    <m/>
    <m/>
    <m/>
    <m/>
    <m/>
    <m/>
    <m/>
    <n v="0.97667108000000002"/>
    <m/>
    <m/>
    <m/>
  </r>
  <r>
    <x v="11"/>
    <x v="190"/>
    <m/>
    <m/>
    <m/>
    <s v="FR"/>
    <m/>
    <s v="Agrifootprint processes: Sunflower seed, at farm/XX Mass"/>
    <m/>
    <m/>
    <s v="Blonk Consultants. Agri-Footprint 2.0. 2015 [cited 2015] Available from: http://www.agrifootprint."/>
    <m/>
    <m/>
    <m/>
    <m/>
    <m/>
    <m/>
    <m/>
    <m/>
    <m/>
    <m/>
    <m/>
    <m/>
    <m/>
    <m/>
    <m/>
    <m/>
    <m/>
    <m/>
    <n v="5.3033666000000004"/>
    <s v=""/>
    <n v="0.47313101000000002"/>
    <s v=""/>
    <m/>
    <m/>
    <m/>
    <m/>
    <m/>
    <m/>
    <m/>
    <m/>
    <m/>
    <n v="5.3033666000000004"/>
    <m/>
    <m/>
    <m/>
    <m/>
    <m/>
    <m/>
    <m/>
    <m/>
    <m/>
    <m/>
    <m/>
    <m/>
    <n v="0.47313101000000002"/>
    <m/>
    <m/>
    <m/>
  </r>
  <r>
    <x v="11"/>
    <x v="190"/>
    <m/>
    <m/>
    <m/>
    <s v="GR"/>
    <m/>
    <s v="Agrifootprint processes: Sunflower seed, at farm/XX Mass"/>
    <m/>
    <m/>
    <s v="Blonk Consultants. Agri-Footprint 2.0. 2015 [cited 2015] Available from: http://www.agrifootprint."/>
    <m/>
    <m/>
    <m/>
    <m/>
    <m/>
    <m/>
    <m/>
    <m/>
    <m/>
    <m/>
    <m/>
    <m/>
    <m/>
    <m/>
    <m/>
    <m/>
    <m/>
    <m/>
    <n v="4.1808379000000002"/>
    <s v=""/>
    <n v="0.81226721999999996"/>
    <s v=""/>
    <m/>
    <m/>
    <m/>
    <m/>
    <m/>
    <m/>
    <m/>
    <m/>
    <m/>
    <n v="4.1808379000000002"/>
    <m/>
    <m/>
    <m/>
    <m/>
    <m/>
    <m/>
    <m/>
    <m/>
    <m/>
    <m/>
    <m/>
    <m/>
    <n v="0.81226721999999996"/>
    <m/>
    <m/>
    <m/>
  </r>
  <r>
    <x v="11"/>
    <x v="190"/>
    <m/>
    <m/>
    <m/>
    <s v="HU"/>
    <m/>
    <s v="Agrifootprint processes: Sunflower seed, at farm/XX Mass"/>
    <m/>
    <m/>
    <s v="Blonk Consultants. Agri-Footprint 2.0. 2015 [cited 2015] Available from: http://www.agrifootprint."/>
    <m/>
    <m/>
    <m/>
    <m/>
    <m/>
    <m/>
    <m/>
    <m/>
    <m/>
    <m/>
    <m/>
    <m/>
    <m/>
    <m/>
    <m/>
    <m/>
    <m/>
    <m/>
    <n v="5.6055684000000001"/>
    <s v=""/>
    <n v="0.79245741999999997"/>
    <s v=""/>
    <m/>
    <m/>
    <m/>
    <m/>
    <m/>
    <m/>
    <m/>
    <m/>
    <m/>
    <n v="5.6055684000000001"/>
    <m/>
    <m/>
    <m/>
    <m/>
    <m/>
    <m/>
    <m/>
    <m/>
    <m/>
    <m/>
    <m/>
    <m/>
    <n v="0.79245741999999997"/>
    <m/>
    <m/>
    <m/>
  </r>
  <r>
    <x v="11"/>
    <x v="190"/>
    <m/>
    <m/>
    <m/>
    <s v="IT"/>
    <m/>
    <s v="Agrifootprint processes: Sunflower seed, at farm/XX Mass"/>
    <m/>
    <m/>
    <s v="Blonk Consultants. Agri-Footprint 2.0. 2015 [cited 2015] Available from: http://www.agrifootprint."/>
    <m/>
    <m/>
    <m/>
    <m/>
    <m/>
    <m/>
    <m/>
    <m/>
    <m/>
    <m/>
    <m/>
    <m/>
    <m/>
    <m/>
    <m/>
    <m/>
    <m/>
    <m/>
    <n v="6.2167235999999999"/>
    <s v=""/>
    <n v="0.78888897999999996"/>
    <s v=""/>
    <m/>
    <m/>
    <m/>
    <m/>
    <m/>
    <m/>
    <m/>
    <m/>
    <m/>
    <n v="6.2167235999999999"/>
    <m/>
    <m/>
    <m/>
    <m/>
    <m/>
    <m/>
    <m/>
    <m/>
    <m/>
    <m/>
    <m/>
    <m/>
    <n v="0.78888897999999996"/>
    <m/>
    <m/>
    <m/>
  </r>
  <r>
    <x v="11"/>
    <x v="190"/>
    <m/>
    <m/>
    <m/>
    <s v="RO"/>
    <m/>
    <s v="Agrifootprint processes: Sunflower seed, at farm/XX Mass"/>
    <m/>
    <m/>
    <s v="Blonk Consultants. Agri-Footprint 2.0. 2015 [cited 2015] Available from: http://www.agrifootprint."/>
    <m/>
    <m/>
    <m/>
    <m/>
    <m/>
    <m/>
    <m/>
    <m/>
    <m/>
    <m/>
    <m/>
    <m/>
    <m/>
    <m/>
    <m/>
    <m/>
    <m/>
    <m/>
    <n v="6.9760612999999996"/>
    <s v=""/>
    <n v="1.2574736"/>
    <s v=""/>
    <m/>
    <m/>
    <m/>
    <m/>
    <m/>
    <m/>
    <m/>
    <m/>
    <m/>
    <n v="6.9760612999999996"/>
    <m/>
    <m/>
    <m/>
    <m/>
    <m/>
    <m/>
    <m/>
    <m/>
    <m/>
    <m/>
    <m/>
    <m/>
    <n v="1.2574736"/>
    <m/>
    <m/>
    <m/>
  </r>
  <r>
    <x v="11"/>
    <x v="190"/>
    <m/>
    <m/>
    <m/>
    <s v="UA"/>
    <m/>
    <s v="Agrifootprint processes: Sunflower seed, at farm/XX Mass"/>
    <m/>
    <m/>
    <s v="Blonk Consultants. Agri-Footprint 2.0. 2015 [cited 2015] Available from: http://www.agrifootprint."/>
    <m/>
    <m/>
    <m/>
    <m/>
    <m/>
    <m/>
    <m/>
    <m/>
    <m/>
    <m/>
    <m/>
    <m/>
    <m/>
    <m/>
    <m/>
    <m/>
    <m/>
    <m/>
    <n v="6.4303505000000003"/>
    <s v=""/>
    <n v="1.0446394000000001"/>
    <s v=""/>
    <m/>
    <m/>
    <m/>
    <m/>
    <m/>
    <m/>
    <m/>
    <m/>
    <m/>
    <n v="6.4303505000000003"/>
    <m/>
    <m/>
    <m/>
    <m/>
    <m/>
    <m/>
    <m/>
    <m/>
    <m/>
    <m/>
    <m/>
    <m/>
    <n v="1.0446394000000001"/>
    <m/>
    <m/>
    <m/>
  </r>
  <r>
    <x v="11"/>
    <x v="191"/>
    <m/>
    <m/>
    <m/>
    <s v="ID"/>
    <m/>
    <s v="Agrifootprint process: Coconut, at farm/XX Mass, assuming meat is 48% of whole coconut weight"/>
    <m/>
    <m/>
    <s v="Blonk Consultants. Agri-Footprint 2.0. 2015 [cited 2015] Available from: http://www.agrifootprint."/>
    <m/>
    <m/>
    <m/>
    <m/>
    <m/>
    <m/>
    <m/>
    <m/>
    <m/>
    <m/>
    <m/>
    <m/>
    <m/>
    <m/>
    <m/>
    <m/>
    <m/>
    <m/>
    <n v="2.5039583333333333"/>
    <s v=""/>
    <n v="1.3134791666666668"/>
    <s v=""/>
    <m/>
    <m/>
    <m/>
    <m/>
    <m/>
    <m/>
    <m/>
    <m/>
    <m/>
    <n v="2.5039583333333333"/>
    <m/>
    <m/>
    <m/>
    <m/>
    <m/>
    <m/>
    <m/>
    <m/>
    <m/>
    <m/>
    <m/>
    <m/>
    <n v="1.3134791666666668"/>
    <m/>
    <m/>
    <m/>
  </r>
  <r>
    <x v="11"/>
    <x v="191"/>
    <m/>
    <m/>
    <m/>
    <s v="PH"/>
    <m/>
    <s v="Agrifootprint process: Coconut, at farm/XX Mass, assuming meat is 48% of whole coconut weight"/>
    <m/>
    <m/>
    <s v="Blonk Consultants. Agri-Footprint 2.0. 2015 [cited 2015] Available from: http://www.agrifootprint."/>
    <m/>
    <m/>
    <m/>
    <m/>
    <m/>
    <m/>
    <m/>
    <m/>
    <m/>
    <m/>
    <m/>
    <m/>
    <m/>
    <m/>
    <m/>
    <m/>
    <m/>
    <m/>
    <n v="2.9379166666666667"/>
    <s v=""/>
    <n v="0.48656250000000001"/>
    <s v=""/>
    <m/>
    <m/>
    <m/>
    <m/>
    <m/>
    <m/>
    <m/>
    <m/>
    <m/>
    <n v="2.9379166666666667"/>
    <m/>
    <m/>
    <m/>
    <m/>
    <m/>
    <m/>
    <m/>
    <m/>
    <m/>
    <m/>
    <m/>
    <m/>
    <n v="0.48656250000000001"/>
    <m/>
    <m/>
    <m/>
  </r>
  <r>
    <x v="11"/>
    <x v="191"/>
    <m/>
    <m/>
    <m/>
    <s v="TH"/>
    <m/>
    <s v="Agrifootprint process: Coconut, at farm/XX Mass, assuming meat is 48% of whole coconut weight"/>
    <m/>
    <m/>
    <s v="Blonk Consultants. Agri-Footprint 2.0. 2015 [cited 2015] Available from: http://www.agrifootprint."/>
    <m/>
    <m/>
    <m/>
    <m/>
    <m/>
    <m/>
    <m/>
    <m/>
    <m/>
    <m/>
    <m/>
    <m/>
    <m/>
    <m/>
    <m/>
    <m/>
    <m/>
    <m/>
    <n v="3.5764583333333331"/>
    <s v=""/>
    <n v="0.57585416666666667"/>
    <s v=""/>
    <m/>
    <m/>
    <m/>
    <m/>
    <m/>
    <m/>
    <m/>
    <m/>
    <m/>
    <n v="3.5764583333333331"/>
    <m/>
    <m/>
    <m/>
    <m/>
    <m/>
    <m/>
    <m/>
    <m/>
    <m/>
    <m/>
    <m/>
    <m/>
    <n v="0.57585416666666667"/>
    <m/>
    <m/>
    <m/>
  </r>
  <r>
    <x v="5"/>
    <x v="129"/>
    <m/>
    <m/>
    <m/>
    <s v="CN"/>
    <m/>
    <s v="Agrifootprint process: White rice, from dry milling, at plant/CN Mass"/>
    <m/>
    <m/>
    <s v="Blonk Consultants. Agri-Footprint 2.0. 2015 [cited 2015] Available from: http://www.agrifootprint."/>
    <m/>
    <m/>
    <m/>
    <m/>
    <m/>
    <m/>
    <m/>
    <m/>
    <m/>
    <m/>
    <m/>
    <m/>
    <m/>
    <s v="at milling plant"/>
    <m/>
    <m/>
    <m/>
    <m/>
    <s v=""/>
    <n v="7.75"/>
    <s v=""/>
    <n v="1.54"/>
    <m/>
    <m/>
    <n v="7.75"/>
    <m/>
    <m/>
    <m/>
    <m/>
    <m/>
    <m/>
    <m/>
    <n v="7.75"/>
    <m/>
    <m/>
    <m/>
    <m/>
    <n v="1.54"/>
    <m/>
    <m/>
    <m/>
    <m/>
    <m/>
    <m/>
    <m/>
    <n v="1.54"/>
    <m/>
    <m/>
  </r>
  <r>
    <x v="5"/>
    <x v="192"/>
    <m/>
    <m/>
    <m/>
    <s v="US"/>
    <m/>
    <s v="Agrifootprint process: Maize flour, from dry milling, at plant/US Mass"/>
    <m/>
    <m/>
    <s v="Blonk Consultants. Agri-Footprint 2.0. 2015 [cited 2015] Available from: http://www.agrifootprint."/>
    <m/>
    <m/>
    <m/>
    <m/>
    <m/>
    <m/>
    <m/>
    <m/>
    <m/>
    <m/>
    <m/>
    <m/>
    <m/>
    <s v="at milling plant"/>
    <m/>
    <m/>
    <m/>
    <m/>
    <s v=""/>
    <n v="5.8"/>
    <s v=""/>
    <n v="0.55000000000000004"/>
    <m/>
    <m/>
    <n v="5.8"/>
    <m/>
    <m/>
    <m/>
    <m/>
    <m/>
    <m/>
    <m/>
    <n v="5.8"/>
    <m/>
    <m/>
    <m/>
    <m/>
    <n v="0.55000000000000004"/>
    <m/>
    <m/>
    <m/>
    <m/>
    <m/>
    <m/>
    <m/>
    <n v="0.55000000000000004"/>
    <m/>
    <m/>
  </r>
  <r>
    <x v="3"/>
    <x v="100"/>
    <m/>
    <m/>
    <m/>
    <s v="BE"/>
    <m/>
    <s v="Agrifootprint process: Spinach, at farm/BE Mass"/>
    <m/>
    <m/>
    <s v="Blonk Consultants. Agri-Footprint 2.0. 2015 [cited 2015] Available from: http://www.agrifootprint."/>
    <m/>
    <m/>
    <m/>
    <m/>
    <m/>
    <m/>
    <m/>
    <m/>
    <m/>
    <m/>
    <m/>
    <m/>
    <m/>
    <m/>
    <m/>
    <m/>
    <m/>
    <m/>
    <n v="0.54075452999999996"/>
    <s v=""/>
    <n v="0.13511646999999999"/>
    <s v=""/>
    <m/>
    <m/>
    <m/>
    <m/>
    <m/>
    <m/>
    <m/>
    <m/>
    <m/>
    <n v="0.54075452999999996"/>
    <m/>
    <m/>
    <m/>
    <m/>
    <m/>
    <m/>
    <m/>
    <m/>
    <m/>
    <m/>
    <m/>
    <m/>
    <n v="0.13511646999999999"/>
    <m/>
    <m/>
    <m/>
  </r>
  <r>
    <x v="3"/>
    <x v="100"/>
    <m/>
    <m/>
    <m/>
    <s v="NL"/>
    <m/>
    <s v="Agrifootprint process: Spinach, at farm/NL Mass"/>
    <m/>
    <m/>
    <s v="Blonk Consultants. Agri-Footprint 2.0. 2015 [cited 2015] Available from: http://www.agrifootprint."/>
    <m/>
    <m/>
    <m/>
    <m/>
    <m/>
    <m/>
    <m/>
    <m/>
    <m/>
    <m/>
    <m/>
    <m/>
    <m/>
    <m/>
    <m/>
    <m/>
    <m/>
    <m/>
    <n v="0.78148099999999998"/>
    <s v=""/>
    <n v="0.22567783999999999"/>
    <s v=""/>
    <m/>
    <m/>
    <m/>
    <m/>
    <m/>
    <m/>
    <m/>
    <m/>
    <m/>
    <n v="0.78148099999999998"/>
    <m/>
    <m/>
    <m/>
    <m/>
    <m/>
    <m/>
    <m/>
    <m/>
    <m/>
    <m/>
    <m/>
    <m/>
    <n v="0.22567783999999999"/>
    <m/>
    <m/>
    <m/>
  </r>
  <r>
    <x v="5"/>
    <x v="193"/>
    <m/>
    <m/>
    <m/>
    <s v="BE"/>
    <m/>
    <s v="Agrifootprint process: Oat grain peeled, from dry milling, at plant/BE Mass + average(difference between 3 fry flour and rye grain processes)"/>
    <m/>
    <m/>
    <s v="Blonk Consultants. Agri-Footprint 2.0. 2015 [cited 2015] Available from: http://www.agrifootprint."/>
    <m/>
    <m/>
    <m/>
    <m/>
    <m/>
    <m/>
    <m/>
    <m/>
    <m/>
    <m/>
    <m/>
    <m/>
    <m/>
    <m/>
    <m/>
    <m/>
    <m/>
    <m/>
    <s v=""/>
    <n v="4.8492999999999995"/>
    <s v=""/>
    <n v="0.47300999999999999"/>
    <m/>
    <m/>
    <n v="4.8492999999999995"/>
    <m/>
    <m/>
    <m/>
    <m/>
    <m/>
    <m/>
    <m/>
    <n v="4.8492999999999995"/>
    <m/>
    <m/>
    <m/>
    <m/>
    <n v="0.47300999999999999"/>
    <m/>
    <m/>
    <m/>
    <m/>
    <m/>
    <m/>
    <m/>
    <n v="0.47300999999999999"/>
    <m/>
    <m/>
  </r>
  <r>
    <x v="5"/>
    <x v="193"/>
    <m/>
    <m/>
    <m/>
    <s v="NL"/>
    <m/>
    <s v="Agrifootprint process: Oat grain peeled, from dry milling, at plant/NL Mass + average(difference between 3 fry flour and rye grain processes)"/>
    <m/>
    <m/>
    <s v="Blonk Consultants. Agri-Footprint 2.0. 2015 [cited 2015] Available from: http://www.agrifootprint."/>
    <m/>
    <m/>
    <m/>
    <m/>
    <m/>
    <m/>
    <m/>
    <m/>
    <m/>
    <m/>
    <m/>
    <m/>
    <m/>
    <m/>
    <m/>
    <m/>
    <m/>
    <m/>
    <s v=""/>
    <n v="4.5222999999999995"/>
    <s v=""/>
    <n v="0.52376"/>
    <m/>
    <m/>
    <n v="4.5222999999999995"/>
    <m/>
    <m/>
    <m/>
    <m/>
    <m/>
    <m/>
    <m/>
    <n v="4.5222999999999995"/>
    <m/>
    <m/>
    <m/>
    <m/>
    <n v="0.52376"/>
    <m/>
    <m/>
    <m/>
    <m/>
    <m/>
    <m/>
    <m/>
    <n v="0.52376"/>
    <m/>
    <m/>
  </r>
  <r>
    <x v="3"/>
    <x v="194"/>
    <m/>
    <m/>
    <m/>
    <s v="DK"/>
    <m/>
    <s v="from LCA FOOD DK dataset (used as proxy for alfalfa seed)"/>
    <m/>
    <m/>
    <s v="Nielsen, P. H., Nielsen, A. M., Weidema, B. P., Dalgaard, R. and Halberg, N., LCA food data base. 2003, 2013 (June), ."/>
    <m/>
    <m/>
    <m/>
    <m/>
    <m/>
    <m/>
    <m/>
    <m/>
    <m/>
    <m/>
    <m/>
    <m/>
    <m/>
    <m/>
    <m/>
    <m/>
    <m/>
    <m/>
    <n v="8.24"/>
    <s v=""/>
    <n v="6.25"/>
    <s v=""/>
    <m/>
    <m/>
    <m/>
    <m/>
    <m/>
    <m/>
    <m/>
    <m/>
    <m/>
    <n v="8.24"/>
    <m/>
    <m/>
    <m/>
    <m/>
    <m/>
    <m/>
    <m/>
    <m/>
    <m/>
    <m/>
    <m/>
    <m/>
    <n v="6.25"/>
    <m/>
    <m/>
    <m/>
  </r>
  <r>
    <x v="4"/>
    <x v="90"/>
    <m/>
    <m/>
    <m/>
    <m/>
    <m/>
    <s v="Ecoinvent 3 process: Melon {GLO}| production | Alloc Def, S"/>
    <m/>
    <m/>
    <s v="Swiss Center for Life Cycle Inventories, Ecoinvent Database version 3.3. 2016, 2016, ."/>
    <m/>
    <m/>
    <m/>
    <m/>
    <m/>
    <m/>
    <m/>
    <m/>
    <m/>
    <m/>
    <m/>
    <m/>
    <m/>
    <m/>
    <m/>
    <m/>
    <m/>
    <m/>
    <n v="1.46"/>
    <s v=""/>
    <n v="0.13100000000000001"/>
    <s v=""/>
    <m/>
    <m/>
    <m/>
    <m/>
    <m/>
    <m/>
    <m/>
    <m/>
    <m/>
    <n v="1.46"/>
    <m/>
    <m/>
    <m/>
    <m/>
    <m/>
    <m/>
    <m/>
    <m/>
    <m/>
    <m/>
    <m/>
    <m/>
    <n v="0.13100000000000001"/>
    <m/>
    <m/>
    <m/>
  </r>
  <r>
    <x v="11"/>
    <x v="195"/>
    <m/>
    <m/>
    <m/>
    <s v="FR"/>
    <m/>
    <s v="Agrifootprint process: Broad bean, at farm/FR Mass"/>
    <m/>
    <m/>
    <s v="Blonk Consultants. Agri-Footprint 2.0. 2015 [cited 2015] Available from: http://www.agrifootprint."/>
    <m/>
    <m/>
    <m/>
    <m/>
    <m/>
    <m/>
    <m/>
    <m/>
    <m/>
    <m/>
    <m/>
    <m/>
    <m/>
    <m/>
    <m/>
    <m/>
    <m/>
    <m/>
    <s v=""/>
    <s v=""/>
    <n v="0.50936000000000003"/>
    <s v=""/>
    <m/>
    <m/>
    <m/>
    <m/>
    <m/>
    <m/>
    <m/>
    <m/>
    <m/>
    <m/>
    <n v="0.83374000000000004"/>
    <m/>
    <m/>
    <m/>
    <m/>
    <m/>
    <m/>
    <m/>
    <m/>
    <m/>
    <m/>
    <m/>
    <n v="0.50936000000000003"/>
    <m/>
    <m/>
    <m/>
  </r>
  <r>
    <x v="11"/>
    <x v="195"/>
    <m/>
    <m/>
    <m/>
    <s v="AU"/>
    <m/>
    <s v="Agrifootprint process: Broad bean, at farm/AU Mass"/>
    <m/>
    <m/>
    <s v="Blonk Consultants. Agri-Footprint 2.0. 2015 [cited 2015] Available from: http://www.agrifootprint."/>
    <m/>
    <m/>
    <m/>
    <m/>
    <m/>
    <m/>
    <m/>
    <m/>
    <m/>
    <m/>
    <m/>
    <m/>
    <m/>
    <m/>
    <m/>
    <m/>
    <m/>
    <m/>
    <s v=""/>
    <s v=""/>
    <n v="1.82582"/>
    <s v=""/>
    <m/>
    <m/>
    <m/>
    <m/>
    <m/>
    <m/>
    <m/>
    <m/>
    <m/>
    <m/>
    <n v="1.4863999999999999"/>
    <m/>
    <m/>
    <m/>
    <m/>
    <m/>
    <m/>
    <m/>
    <m/>
    <m/>
    <m/>
    <m/>
    <n v="1.82582"/>
    <m/>
    <m/>
    <m/>
  </r>
  <r>
    <x v="3"/>
    <x v="19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1"/>
    <s v=""/>
    <m/>
    <m/>
    <m/>
    <m/>
    <m/>
    <m/>
    <m/>
    <m/>
    <m/>
    <n v="1.1000000000000001"/>
    <m/>
    <m/>
    <m/>
    <m/>
    <m/>
    <m/>
    <m/>
    <m/>
    <m/>
    <m/>
    <m/>
    <m/>
    <n v="0.11"/>
    <m/>
    <m/>
    <m/>
  </r>
  <r>
    <x v="3"/>
    <x v="197"/>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2"/>
    <s v=""/>
    <m/>
    <m/>
    <m/>
    <m/>
    <m/>
    <m/>
    <m/>
    <m/>
    <m/>
    <n v="1.1000000000000001"/>
    <m/>
    <m/>
    <m/>
    <m/>
    <m/>
    <m/>
    <m/>
    <m/>
    <m/>
    <m/>
    <m/>
    <m/>
    <n v="0.12"/>
    <m/>
    <m/>
    <m/>
  </r>
  <r>
    <x v="4"/>
    <x v="91"/>
    <m/>
    <m/>
    <m/>
    <m/>
    <m/>
    <s v="Ecoinvent 3 process: Kiwi {GLO}| production | Alloc Def, S"/>
    <m/>
    <m/>
    <s v="Swiss Center for Life Cycle Inventories, Ecoinvent Database version 3.3. 2016, 2016, ."/>
    <m/>
    <m/>
    <m/>
    <m/>
    <m/>
    <m/>
    <m/>
    <m/>
    <m/>
    <m/>
    <m/>
    <m/>
    <m/>
    <m/>
    <m/>
    <m/>
    <m/>
    <m/>
    <n v="5.4400101999999997"/>
    <s v=""/>
    <n v="0.43526999999999999"/>
    <s v=""/>
    <m/>
    <m/>
    <m/>
    <m/>
    <m/>
    <m/>
    <m/>
    <m/>
    <m/>
    <n v="5.4400101999999997"/>
    <m/>
    <m/>
    <m/>
    <m/>
    <m/>
    <m/>
    <m/>
    <m/>
    <m/>
    <m/>
    <m/>
    <m/>
    <n v="0.43526999999999999"/>
    <m/>
    <m/>
    <m/>
  </r>
  <r>
    <x v="9"/>
    <x v="52"/>
    <m/>
    <m/>
    <m/>
    <s v="SE"/>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1.3"/>
    <s v=""/>
    <s v=""/>
    <m/>
    <m/>
    <n v="1.3"/>
    <m/>
    <m/>
    <m/>
    <m/>
    <m/>
    <m/>
    <m/>
    <n v="1.3"/>
    <m/>
    <m/>
    <m/>
    <m/>
    <m/>
    <m/>
    <m/>
    <m/>
    <m/>
    <m/>
    <m/>
    <m/>
    <m/>
    <m/>
    <m/>
  </r>
  <r>
    <x v="9"/>
    <x v="52"/>
    <m/>
    <m/>
    <m/>
    <s v="&quot;overseas&quot;"/>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5.6"/>
    <s v=""/>
    <s v=""/>
    <m/>
    <m/>
    <n v="5.6"/>
    <m/>
    <m/>
    <m/>
    <m/>
    <m/>
    <m/>
    <m/>
    <n v="5.6"/>
    <m/>
    <m/>
    <m/>
    <m/>
    <m/>
    <m/>
    <m/>
    <m/>
    <m/>
    <m/>
    <m/>
    <m/>
    <m/>
    <m/>
    <m/>
  </r>
  <r>
    <x v="3"/>
    <x v="139"/>
    <m/>
    <m/>
    <m/>
    <s v="Global"/>
    <m/>
    <s v="Ecoinvent 3 process: Green asparagus {GLO}| production | Alloc Def, S"/>
    <m/>
    <m/>
    <s v="Swiss Center for Life Cycle Inventories, Ecoinvent Database version 3.3. 2016, 2016, ."/>
    <m/>
    <m/>
    <m/>
    <m/>
    <m/>
    <m/>
    <m/>
    <m/>
    <m/>
    <m/>
    <m/>
    <m/>
    <m/>
    <m/>
    <m/>
    <m/>
    <m/>
    <m/>
    <n v="7.9758566000000002"/>
    <s v=""/>
    <n v="0.86667000000000005"/>
    <s v=""/>
    <m/>
    <m/>
    <m/>
    <m/>
    <m/>
    <m/>
    <m/>
    <m/>
    <m/>
    <n v="7.9758566000000002"/>
    <m/>
    <m/>
    <m/>
    <m/>
    <m/>
    <m/>
    <m/>
    <m/>
    <m/>
    <m/>
    <m/>
    <m/>
    <n v="0.86667000000000005"/>
    <m/>
    <m/>
    <m/>
  </r>
  <r>
    <x v="3"/>
    <x v="139"/>
    <m/>
    <m/>
    <m/>
    <s v="CN"/>
    <m/>
    <s v="Ecoinvent 3 process: White asparagus {CN}| white asparagus production | Alloc Def, S"/>
    <m/>
    <m/>
    <s v="Swiss Center for Life Cycle Inventories, Ecoinvent Database version 3.3. 2016, 2016, ."/>
    <m/>
    <m/>
    <m/>
    <m/>
    <m/>
    <m/>
    <m/>
    <m/>
    <m/>
    <m/>
    <m/>
    <m/>
    <m/>
    <m/>
    <m/>
    <m/>
    <m/>
    <m/>
    <n v="7.9089621000000001"/>
    <s v=""/>
    <n v="0.72014999999999996"/>
    <s v=""/>
    <m/>
    <m/>
    <m/>
    <m/>
    <m/>
    <m/>
    <m/>
    <m/>
    <m/>
    <n v="7.9089621000000001"/>
    <m/>
    <m/>
    <m/>
    <m/>
    <m/>
    <m/>
    <m/>
    <m/>
    <m/>
    <m/>
    <m/>
    <m/>
    <n v="0.72014999999999996"/>
    <m/>
    <m/>
    <m/>
  </r>
  <r>
    <x v="3"/>
    <x v="139"/>
    <m/>
    <m/>
    <m/>
    <s v="FR"/>
    <m/>
    <s v="Ecoinvent 3 process: White asparagus {FR}| white asparagus production | Alloc Def, S"/>
    <m/>
    <m/>
    <s v="Swiss Center for Life Cycle Inventories, Ecoinvent Database version 3.3. 2016, 2016, ."/>
    <m/>
    <m/>
    <m/>
    <m/>
    <m/>
    <m/>
    <m/>
    <m/>
    <m/>
    <m/>
    <m/>
    <m/>
    <m/>
    <m/>
    <m/>
    <m/>
    <m/>
    <m/>
    <n v="8.896547"/>
    <s v=""/>
    <n v="0.74765000000000004"/>
    <s v=""/>
    <m/>
    <m/>
    <m/>
    <m/>
    <m/>
    <m/>
    <m/>
    <m/>
    <m/>
    <n v="8.896547"/>
    <m/>
    <m/>
    <m/>
    <m/>
    <m/>
    <m/>
    <m/>
    <m/>
    <m/>
    <m/>
    <m/>
    <m/>
    <n v="0.74765000000000004"/>
    <m/>
    <m/>
    <m/>
  </r>
  <r>
    <x v="3"/>
    <x v="139"/>
    <m/>
    <m/>
    <m/>
    <s v="PE"/>
    <m/>
    <s v="Ecoinvent 3 process: White asparagus {PE}| white asparagus production | Alloc Def, S"/>
    <m/>
    <m/>
    <s v="Swiss Center for Life Cycle Inventories, Ecoinvent Database version 3.3. 2016, 2016, ."/>
    <m/>
    <m/>
    <m/>
    <m/>
    <m/>
    <m/>
    <m/>
    <m/>
    <m/>
    <m/>
    <m/>
    <m/>
    <m/>
    <m/>
    <m/>
    <m/>
    <m/>
    <m/>
    <n v="17.929449999999999"/>
    <s v=""/>
    <n v="1.9469000000000001"/>
    <s v=""/>
    <m/>
    <m/>
    <m/>
    <m/>
    <m/>
    <m/>
    <m/>
    <m/>
    <m/>
    <n v="17.929449999999999"/>
    <m/>
    <m/>
    <m/>
    <m/>
    <m/>
    <m/>
    <m/>
    <m/>
    <m/>
    <m/>
    <m/>
    <m/>
    <n v="1.9469000000000001"/>
    <m/>
    <m/>
    <m/>
  </r>
  <r>
    <x v="11"/>
    <x v="115"/>
    <m/>
    <m/>
    <m/>
    <s v="US"/>
    <m/>
    <s v="Agrifootprint process: Groundnuts, with shell, at farm/US Mass"/>
    <m/>
    <m/>
    <s v="Blonk Consultants. Agri-Footprint 2.0. 2015 [cited 2015] Available from: http://www.agrifootprint."/>
    <m/>
    <m/>
    <m/>
    <m/>
    <m/>
    <m/>
    <m/>
    <m/>
    <m/>
    <m/>
    <m/>
    <m/>
    <m/>
    <m/>
    <m/>
    <m/>
    <m/>
    <m/>
    <n v="1.0900000000000001"/>
    <s v=""/>
    <n v="0.32"/>
    <s v=""/>
    <m/>
    <m/>
    <m/>
    <m/>
    <m/>
    <m/>
    <m/>
    <m/>
    <m/>
    <n v="1.0900000000000001"/>
    <m/>
    <m/>
    <m/>
    <m/>
    <m/>
    <m/>
    <m/>
    <m/>
    <m/>
    <m/>
    <m/>
    <m/>
    <n v="0.32"/>
    <m/>
    <m/>
    <m/>
  </r>
  <r>
    <x v="3"/>
    <x v="75"/>
    <m/>
    <m/>
    <m/>
    <s v="FR"/>
    <m/>
    <s v="Agrifootprint process: Broccoli, at farm/FR Mass"/>
    <m/>
    <m/>
    <s v="Blonk Consultants. Agri-Footprint 2.0. 2015 [cited 2015] Available from: http://www.agrifootprint."/>
    <m/>
    <m/>
    <m/>
    <m/>
    <m/>
    <m/>
    <m/>
    <m/>
    <m/>
    <m/>
    <m/>
    <m/>
    <m/>
    <m/>
    <m/>
    <m/>
    <m/>
    <m/>
    <n v="1.6081475999999999"/>
    <s v=""/>
    <n v="0.35991274000000001"/>
    <s v=""/>
    <m/>
    <m/>
    <m/>
    <m/>
    <m/>
    <m/>
    <m/>
    <m/>
    <m/>
    <n v="1.6081475999999999"/>
    <m/>
    <m/>
    <m/>
    <m/>
    <m/>
    <m/>
    <m/>
    <m/>
    <m/>
    <m/>
    <m/>
    <m/>
    <n v="0.35991274000000001"/>
    <m/>
    <m/>
    <m/>
  </r>
  <r>
    <x v="3"/>
    <x v="75"/>
    <m/>
    <m/>
    <m/>
    <s v="NL"/>
    <m/>
    <s v="Agrifootprint process: Broccoli, at farm/NL Mass"/>
    <m/>
    <m/>
    <s v="Blonk Consultants. Agri-Footprint 2.0. 2015 [cited 2015] Available from: http://www.agrifootprint."/>
    <m/>
    <m/>
    <m/>
    <m/>
    <m/>
    <m/>
    <m/>
    <m/>
    <m/>
    <m/>
    <m/>
    <m/>
    <m/>
    <m/>
    <m/>
    <m/>
    <m/>
    <m/>
    <n v="2.9124268"/>
    <s v=""/>
    <n v="0.68451923000000003"/>
    <s v=""/>
    <m/>
    <m/>
    <m/>
    <m/>
    <m/>
    <m/>
    <m/>
    <m/>
    <m/>
    <n v="2.9124268"/>
    <m/>
    <m/>
    <m/>
    <m/>
    <m/>
    <m/>
    <m/>
    <m/>
    <m/>
    <m/>
    <m/>
    <m/>
    <n v="0.68451923000000003"/>
    <m/>
    <m/>
    <m/>
  </r>
  <r>
    <x v="3"/>
    <x v="95"/>
    <m/>
    <m/>
    <m/>
    <s v="ES"/>
    <m/>
    <s v="Agrifootprint process: Cauliflower, at farm/ES Mass"/>
    <m/>
    <m/>
    <s v="Blonk Consultants. Agri-Footprint 2.0. 2015 [cited 2015] Available from: http://www.agrifootprint."/>
    <m/>
    <m/>
    <m/>
    <m/>
    <m/>
    <m/>
    <m/>
    <m/>
    <m/>
    <m/>
    <m/>
    <m/>
    <m/>
    <m/>
    <m/>
    <m/>
    <m/>
    <m/>
    <n v="1.4390966999999999"/>
    <s v=""/>
    <n v="0.27288365999999997"/>
    <s v=""/>
    <m/>
    <m/>
    <m/>
    <m/>
    <m/>
    <m/>
    <m/>
    <m/>
    <m/>
    <n v="1.4390966999999999"/>
    <m/>
    <m/>
    <m/>
    <m/>
    <m/>
    <m/>
    <m/>
    <m/>
    <m/>
    <m/>
    <m/>
    <m/>
    <n v="0.27288365999999997"/>
    <m/>
    <m/>
    <m/>
  </r>
  <r>
    <x v="3"/>
    <x v="95"/>
    <m/>
    <m/>
    <m/>
    <s v="NL"/>
    <m/>
    <s v="Agrifootprint process: Cauliflower, at farm/NL Mass"/>
    <m/>
    <m/>
    <s v="Blonk Consultants. Agri-Footprint 2.0. 2015 [cited 2015] Available from: http://www.agrifootprint."/>
    <m/>
    <m/>
    <m/>
    <m/>
    <m/>
    <m/>
    <m/>
    <m/>
    <m/>
    <m/>
    <m/>
    <m/>
    <m/>
    <m/>
    <m/>
    <m/>
    <m/>
    <m/>
    <n v="2.0014116"/>
    <s v=""/>
    <n v="0.44161191999999999"/>
    <s v=""/>
    <m/>
    <m/>
    <m/>
    <m/>
    <m/>
    <m/>
    <m/>
    <m/>
    <m/>
    <n v="2.0014116"/>
    <m/>
    <m/>
    <m/>
    <m/>
    <m/>
    <m/>
    <m/>
    <m/>
    <m/>
    <m/>
    <m/>
    <m/>
    <n v="0.44161191999999999"/>
    <m/>
    <m/>
    <m/>
  </r>
  <r>
    <x v="3"/>
    <x v="198"/>
    <m/>
    <m/>
    <m/>
    <s v="ES"/>
    <m/>
    <s v="Agrifootprint process: Curly kale, at farm/ES Mass"/>
    <m/>
    <m/>
    <s v="Blonk Consultants. Agri-Footprint 2.0. 2015 [cited 2015] Available from: http://www.agrifootprint."/>
    <m/>
    <m/>
    <m/>
    <m/>
    <m/>
    <m/>
    <m/>
    <m/>
    <m/>
    <m/>
    <m/>
    <m/>
    <m/>
    <m/>
    <m/>
    <m/>
    <m/>
    <m/>
    <n v="0.56645767999999996"/>
    <s v=""/>
    <n v="0.11944332000000001"/>
    <s v=""/>
    <m/>
    <m/>
    <m/>
    <m/>
    <m/>
    <m/>
    <m/>
    <m/>
    <m/>
    <n v="0.56645767999999996"/>
    <m/>
    <m/>
    <m/>
    <m/>
    <m/>
    <m/>
    <m/>
    <m/>
    <m/>
    <m/>
    <m/>
    <m/>
    <n v="0.11944332000000001"/>
    <m/>
    <m/>
    <m/>
  </r>
  <r>
    <x v="3"/>
    <x v="198"/>
    <m/>
    <m/>
    <m/>
    <s v="NL"/>
    <m/>
    <s v="Agrifootprint process: Curly kale, at farm/NL Mass"/>
    <m/>
    <m/>
    <s v="Blonk Consultants. Agri-Footprint 2.0. 2015 [cited 2015] Available from: http://www.agrifootprint."/>
    <m/>
    <m/>
    <m/>
    <m/>
    <m/>
    <m/>
    <m/>
    <m/>
    <m/>
    <m/>
    <m/>
    <m/>
    <m/>
    <m/>
    <m/>
    <m/>
    <m/>
    <m/>
    <n v="0.35823792999999998"/>
    <s v=""/>
    <n v="0.11627535"/>
    <s v=""/>
    <m/>
    <m/>
    <m/>
    <m/>
    <m/>
    <m/>
    <m/>
    <m/>
    <m/>
    <n v="0.35823792999999998"/>
    <m/>
    <m/>
    <m/>
    <m/>
    <m/>
    <m/>
    <m/>
    <m/>
    <m/>
    <m/>
    <m/>
    <m/>
    <n v="0.11627535"/>
    <m/>
    <m/>
    <m/>
  </r>
  <r>
    <x v="8"/>
    <x v="147"/>
    <m/>
    <m/>
    <m/>
    <m/>
    <m/>
    <s v="Agrifootprint process: Refined rapeseed oil, from crushing (solvent), at plant/US Mass"/>
    <m/>
    <m/>
    <s v="Blonk Consultants. Agri-Footprint 2.0. 2015 [cited 2015] Available from: http://www.agrifootprint."/>
    <m/>
    <m/>
    <m/>
    <m/>
    <m/>
    <m/>
    <m/>
    <m/>
    <m/>
    <m/>
    <m/>
    <m/>
    <m/>
    <m/>
    <m/>
    <m/>
    <m/>
    <m/>
    <s v=""/>
    <n v="13.327939000000001"/>
    <s v=""/>
    <n v="1.92"/>
    <m/>
    <m/>
    <n v="13.327939000000001"/>
    <m/>
    <m/>
    <m/>
    <m/>
    <m/>
    <m/>
    <m/>
    <n v="13.327939000000001"/>
    <m/>
    <m/>
    <m/>
    <m/>
    <n v="1.92"/>
    <m/>
    <m/>
    <m/>
    <m/>
    <m/>
    <m/>
    <m/>
    <n v="1.92"/>
    <m/>
    <m/>
  </r>
  <r>
    <x v="4"/>
    <x v="199"/>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4"/>
    <x v="19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4"/>
    <x v="164"/>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26"/>
    <s v=""/>
    <m/>
    <m/>
    <m/>
    <m/>
    <m/>
    <m/>
    <m/>
    <m/>
    <m/>
    <n v="3"/>
    <m/>
    <m/>
    <m/>
    <m/>
    <m/>
    <m/>
    <m/>
    <m/>
    <m/>
    <m/>
    <m/>
    <m/>
    <n v="0.26"/>
    <m/>
    <m/>
    <m/>
  </r>
  <r>
    <x v="4"/>
    <x v="164"/>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
    <s v=""/>
    <n v="0.45"/>
    <s v=""/>
    <m/>
    <m/>
    <m/>
    <m/>
    <m/>
    <m/>
    <m/>
    <m/>
    <m/>
    <n v="5"/>
    <m/>
    <m/>
    <m/>
    <m/>
    <m/>
    <m/>
    <m/>
    <m/>
    <m/>
    <m/>
    <m/>
    <m/>
    <n v="0.45"/>
    <m/>
    <m/>
    <m/>
  </r>
  <r>
    <x v="3"/>
    <x v="8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4"/>
    <s v=""/>
    <n v="0.08"/>
    <s v=""/>
    <m/>
    <m/>
    <m/>
    <m/>
    <m/>
    <m/>
    <m/>
    <m/>
    <m/>
    <n v="0.84"/>
    <m/>
    <m/>
    <m/>
    <m/>
    <m/>
    <m/>
    <m/>
    <m/>
    <m/>
    <m/>
    <m/>
    <m/>
    <n v="0.08"/>
    <m/>
    <m/>
    <m/>
  </r>
  <r>
    <x v="3"/>
    <x v="200"/>
    <m/>
    <m/>
    <m/>
    <m/>
    <m/>
    <s v="Ecoinvent 3 process: Zucchini {GLO}| production | Alloc Def, S"/>
    <m/>
    <m/>
    <s v="Swiss Center for Life Cycle Inventories, Ecoinvent Database version 3.3. 2016, 2016, ."/>
    <m/>
    <m/>
    <m/>
    <m/>
    <m/>
    <m/>
    <m/>
    <m/>
    <m/>
    <m/>
    <m/>
    <m/>
    <m/>
    <m/>
    <m/>
    <m/>
    <m/>
    <m/>
    <n v="0.18415999999999999"/>
    <s v=""/>
    <n v="2.2156125099999997"/>
    <s v=""/>
    <m/>
    <m/>
    <m/>
    <m/>
    <m/>
    <m/>
    <m/>
    <m/>
    <m/>
    <n v="0.18415999999999999"/>
    <m/>
    <m/>
    <m/>
    <m/>
    <m/>
    <m/>
    <m/>
    <m/>
    <m/>
    <m/>
    <m/>
    <m/>
    <n v="2.2156125099999997"/>
    <m/>
    <m/>
    <m/>
  </r>
  <r>
    <x v="5"/>
    <x v="140"/>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0.47"/>
    <s v=""/>
    <m/>
    <m/>
    <m/>
    <m/>
    <m/>
    <m/>
    <m/>
    <m/>
    <m/>
    <n v="2.9"/>
    <m/>
    <m/>
    <m/>
    <m/>
    <m/>
    <m/>
    <m/>
    <m/>
    <m/>
    <m/>
    <m/>
    <m/>
    <n v="0.47"/>
    <m/>
    <m/>
    <m/>
  </r>
  <r>
    <x v="5"/>
    <x v="140"/>
    <m/>
    <m/>
    <m/>
    <s v="BE"/>
    <m/>
    <s v="Agrifootprint process: Oat grain peeled, from dry milling, at plant/BE Mass"/>
    <m/>
    <m/>
    <s v="Blonk Consultants. Agri-Footprint 2.0. 2015 [cited 2015] Available from: http://www.agrifootprint."/>
    <m/>
    <m/>
    <m/>
    <m/>
    <m/>
    <m/>
    <m/>
    <m/>
    <m/>
    <m/>
    <m/>
    <m/>
    <m/>
    <m/>
    <m/>
    <m/>
    <m/>
    <m/>
    <n v="2.8693"/>
    <s v=""/>
    <n v="0.36201"/>
    <s v=""/>
    <m/>
    <m/>
    <m/>
    <m/>
    <m/>
    <m/>
    <m/>
    <m/>
    <m/>
    <n v="2.8693"/>
    <m/>
    <m/>
    <m/>
    <m/>
    <m/>
    <m/>
    <m/>
    <m/>
    <m/>
    <m/>
    <m/>
    <m/>
    <n v="0.36201"/>
    <m/>
    <m/>
    <m/>
  </r>
  <r>
    <x v="5"/>
    <x v="140"/>
    <m/>
    <m/>
    <m/>
    <s v="NL"/>
    <m/>
    <s v="Agrifootprint process: Oat grain peeled, from dry milling, at plant/NL Mass"/>
    <m/>
    <m/>
    <s v="Blonk Consultants. Agri-Footprint 2.0. 2015 [cited 2015] Available from: http://www.agrifootprint."/>
    <m/>
    <m/>
    <m/>
    <m/>
    <m/>
    <m/>
    <m/>
    <m/>
    <m/>
    <m/>
    <m/>
    <m/>
    <m/>
    <m/>
    <m/>
    <m/>
    <m/>
    <m/>
    <n v="2.5423"/>
    <s v=""/>
    <n v="0.41276000000000002"/>
    <s v=""/>
    <m/>
    <m/>
    <m/>
    <m/>
    <m/>
    <m/>
    <m/>
    <m/>
    <m/>
    <n v="2.5423"/>
    <m/>
    <m/>
    <m/>
    <m/>
    <m/>
    <m/>
    <m/>
    <m/>
    <m/>
    <m/>
    <m/>
    <m/>
    <n v="0.41276000000000002"/>
    <m/>
    <m/>
    <m/>
  </r>
  <r>
    <x v="3"/>
    <x v="93"/>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
    <s v=""/>
    <n v="0.1"/>
    <s v=""/>
    <m/>
    <m/>
    <m/>
    <m/>
    <m/>
    <m/>
    <m/>
    <m/>
    <m/>
    <n v="1"/>
    <m/>
    <m/>
    <m/>
    <m/>
    <m/>
    <m/>
    <m/>
    <m/>
    <m/>
    <m/>
    <m/>
    <m/>
    <n v="0.1"/>
    <m/>
    <m/>
    <m/>
  </r>
  <r>
    <x v="1"/>
    <x v="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82"/>
    <s v=""/>
    <n v="20"/>
    <s v=""/>
    <m/>
    <m/>
    <m/>
    <m/>
    <m/>
    <m/>
    <m/>
    <m/>
    <m/>
    <n v="82"/>
    <m/>
    <m/>
    <m/>
    <m/>
    <m/>
    <m/>
    <m/>
    <m/>
    <m/>
    <m/>
    <m/>
    <m/>
    <n v="20"/>
    <m/>
    <m/>
    <m/>
  </r>
  <r>
    <x v="1"/>
    <x v="3"/>
    <m/>
    <m/>
    <m/>
    <s v="Argentina"/>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2"/>
    <s v=""/>
    <n v="22"/>
    <s v=""/>
    <m/>
    <m/>
    <m/>
    <m/>
    <m/>
    <m/>
    <m/>
    <m/>
    <m/>
    <n v="52"/>
    <m/>
    <m/>
    <m/>
    <m/>
    <m/>
    <m/>
    <m/>
    <m/>
    <m/>
    <m/>
    <m/>
    <m/>
    <n v="22"/>
    <m/>
    <m/>
    <m/>
  </r>
  <r>
    <x v="1"/>
    <x v="3"/>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8"/>
    <s v=""/>
    <n v="29"/>
    <s v=""/>
    <m/>
    <m/>
    <m/>
    <m/>
    <m/>
    <m/>
    <m/>
    <m/>
    <m/>
    <n v="38"/>
    <m/>
    <m/>
    <m/>
    <m/>
    <m/>
    <m/>
    <m/>
    <m/>
    <m/>
    <m/>
    <m/>
    <m/>
    <n v="29"/>
    <m/>
    <m/>
    <m/>
  </r>
  <r>
    <x v="1"/>
    <x v="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5"/>
    <s v=""/>
    <n v="17"/>
    <s v=""/>
    <m/>
    <m/>
    <m/>
    <m/>
    <m/>
    <m/>
    <m/>
    <m/>
    <m/>
    <n v="65"/>
    <m/>
    <m/>
    <m/>
    <m/>
    <m/>
    <m/>
    <m/>
    <m/>
    <m/>
    <m/>
    <m/>
    <m/>
    <n v="17"/>
    <m/>
    <m/>
    <m/>
  </r>
  <r>
    <x v="1"/>
    <x v="1"/>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40"/>
    <s v=""/>
    <n v="36"/>
    <s v=""/>
    <m/>
    <m/>
    <m/>
    <m/>
    <m/>
    <m/>
    <m/>
    <m/>
    <m/>
    <n v="40"/>
    <m/>
    <m/>
    <m/>
    <m/>
    <m/>
    <m/>
    <m/>
    <m/>
    <m/>
    <m/>
    <m/>
    <m/>
    <n v="36"/>
    <m/>
    <m/>
    <m/>
  </r>
  <r>
    <x v="1"/>
    <x v="2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1"/>
    <s v=""/>
    <n v="7.2"/>
    <s v=""/>
    <m/>
    <m/>
    <m/>
    <m/>
    <m/>
    <m/>
    <m/>
    <m/>
    <m/>
    <n v="31"/>
    <m/>
    <m/>
    <m/>
    <m/>
    <m/>
    <m/>
    <m/>
    <m/>
    <m/>
    <m/>
    <m/>
    <m/>
    <n v="7.2"/>
    <m/>
    <m/>
    <m/>
  </r>
  <r>
    <x v="1"/>
    <x v="2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2.9"/>
    <s v=""/>
    <m/>
    <m/>
    <m/>
    <m/>
    <m/>
    <m/>
    <m/>
    <m/>
    <m/>
    <n v="29"/>
    <m/>
    <m/>
    <m/>
    <m/>
    <m/>
    <m/>
    <m/>
    <m/>
    <m/>
    <m/>
    <m/>
    <m/>
    <n v="2.9"/>
    <m/>
    <m/>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2"/>
    <s v=""/>
    <n v="1.6"/>
    <s v=""/>
    <m/>
    <m/>
    <m/>
    <m/>
    <m/>
    <m/>
    <m/>
    <m/>
    <m/>
    <n v="12"/>
    <m/>
    <m/>
    <m/>
    <m/>
    <m/>
    <m/>
    <m/>
    <m/>
    <m/>
    <m/>
    <m/>
    <m/>
    <n v="1.6"/>
    <m/>
    <m/>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1.9"/>
    <s v=""/>
    <m/>
    <m/>
    <m/>
    <m/>
    <m/>
    <m/>
    <m/>
    <m/>
    <m/>
    <n v="17"/>
    <m/>
    <m/>
    <m/>
    <m/>
    <m/>
    <m/>
    <m/>
    <m/>
    <m/>
    <m/>
    <m/>
    <m/>
    <n v="1.9"/>
    <m/>
    <m/>
    <m/>
  </r>
  <r>
    <x v="11"/>
    <x v="127"/>
    <m/>
    <m/>
    <m/>
    <s v="Brazil"/>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4"/>
    <s v=""/>
    <n v="3.8"/>
    <s v=""/>
    <m/>
    <m/>
    <m/>
    <m/>
    <m/>
    <m/>
    <m/>
    <m/>
    <m/>
    <n v="4"/>
    <m/>
    <m/>
    <m/>
    <m/>
    <m/>
    <m/>
    <m/>
    <m/>
    <m/>
    <m/>
    <m/>
    <m/>
    <n v="3.8"/>
    <m/>
    <m/>
    <m/>
  </r>
  <r>
    <x v="11"/>
    <x v="201"/>
    <m/>
    <s v="brown bean"/>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7.4"/>
    <s v=""/>
    <n v="0.68"/>
    <s v=""/>
    <m/>
    <m/>
    <m/>
    <m/>
    <m/>
    <m/>
    <m/>
    <m/>
    <m/>
    <n v="7.4"/>
    <m/>
    <m/>
    <m/>
    <m/>
    <m/>
    <m/>
    <m/>
    <m/>
    <m/>
    <m/>
    <m/>
    <m/>
    <n v="0.68"/>
    <m/>
    <m/>
    <m/>
  </r>
  <r>
    <x v="3"/>
    <x v="1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3.5"/>
    <s v=""/>
    <n v="0.49"/>
    <s v=""/>
    <m/>
    <m/>
    <m/>
    <m/>
    <m/>
    <m/>
    <m/>
    <m/>
    <m/>
    <n v="3.5"/>
    <m/>
    <m/>
    <m/>
    <m/>
    <m/>
    <m/>
    <m/>
    <m/>
    <m/>
    <m/>
    <m/>
    <m/>
    <n v="0.49"/>
    <m/>
    <m/>
    <m/>
  </r>
  <r>
    <x v="5"/>
    <x v="129"/>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6.6"/>
    <s v=""/>
    <n v="1.1000000000000001"/>
    <s v=""/>
    <m/>
    <m/>
    <m/>
    <m/>
    <m/>
    <m/>
    <m/>
    <m/>
    <m/>
    <n v="6.6"/>
    <m/>
    <m/>
    <m/>
    <m/>
    <m/>
    <m/>
    <m/>
    <m/>
    <m/>
    <m/>
    <m/>
    <m/>
    <n v="1.1000000000000001"/>
    <m/>
    <m/>
    <m/>
  </r>
  <r>
    <x v="5"/>
    <x v="129"/>
    <m/>
    <m/>
    <m/>
    <s v="Japa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7.4"/>
    <s v=""/>
    <n v="1.2"/>
    <s v=""/>
    <m/>
    <m/>
    <m/>
    <m/>
    <m/>
    <m/>
    <m/>
    <m/>
    <m/>
    <n v="7.4"/>
    <m/>
    <m/>
    <m/>
    <m/>
    <m/>
    <m/>
    <m/>
    <m/>
    <m/>
    <m/>
    <m/>
    <m/>
    <n v="1.2"/>
    <m/>
    <m/>
    <m/>
  </r>
  <r>
    <x v="3"/>
    <x v="4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6"/>
    <s v=""/>
    <m/>
    <m/>
    <m/>
    <m/>
    <m/>
    <m/>
    <m/>
    <m/>
    <m/>
    <n v="1.5"/>
    <m/>
    <m/>
    <m/>
    <m/>
    <m/>
    <m/>
    <m/>
    <m/>
    <m/>
    <m/>
    <m/>
    <m/>
    <n v="0.16"/>
    <m/>
    <m/>
    <m/>
  </r>
  <r>
    <x v="3"/>
    <x v="4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4000000000000001"/>
    <s v=""/>
    <m/>
    <m/>
    <m/>
    <m/>
    <m/>
    <m/>
    <m/>
    <m/>
    <m/>
    <n v="1.5"/>
    <m/>
    <m/>
    <m/>
    <m/>
    <m/>
    <m/>
    <m/>
    <m/>
    <m/>
    <m/>
    <m/>
    <m/>
    <n v="0.14000000000000001"/>
    <m/>
    <m/>
    <m/>
  </r>
  <r>
    <x v="3"/>
    <x v="44"/>
    <m/>
    <m/>
    <m/>
    <s v="Denmark"/>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
    <s v=""/>
    <n v="0.09"/>
    <s v=""/>
    <m/>
    <m/>
    <m/>
    <m/>
    <m/>
    <m/>
    <m/>
    <m/>
    <m/>
    <n v="0.8"/>
    <m/>
    <m/>
    <m/>
    <m/>
    <m/>
    <m/>
    <m/>
    <m/>
    <m/>
    <m/>
    <m/>
    <m/>
    <n v="0.09"/>
    <m/>
    <m/>
    <m/>
  </r>
  <r>
    <x v="3"/>
    <x v="20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6"/>
    <s v=""/>
    <n v="0.09"/>
    <s v=""/>
    <m/>
    <m/>
    <m/>
    <m/>
    <m/>
    <m/>
    <m/>
    <m/>
    <m/>
    <n v="0.96"/>
    <m/>
    <m/>
    <m/>
    <m/>
    <m/>
    <m/>
    <m/>
    <m/>
    <m/>
    <m/>
    <m/>
    <m/>
    <n v="0.09"/>
    <m/>
    <m/>
    <m/>
  </r>
  <r>
    <x v="3"/>
    <x v="19"/>
    <m/>
    <m/>
    <m/>
    <s v="Spai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37"/>
    <s v=""/>
    <m/>
    <m/>
    <m/>
    <m/>
    <m/>
    <m/>
    <m/>
    <m/>
    <m/>
    <n v="3"/>
    <m/>
    <m/>
    <m/>
    <m/>
    <m/>
    <m/>
    <m/>
    <m/>
    <m/>
    <m/>
    <m/>
    <m/>
    <n v="0.37"/>
    <m/>
    <m/>
    <m/>
  </r>
  <r>
    <x v="3"/>
    <x v="75"/>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6"/>
    <s v=""/>
    <n v="0.37"/>
    <s v=""/>
    <m/>
    <m/>
    <m/>
    <m/>
    <m/>
    <m/>
    <m/>
    <m/>
    <m/>
    <n v="3.6"/>
    <m/>
    <m/>
    <m/>
    <m/>
    <m/>
    <m/>
    <m/>
    <m/>
    <m/>
    <m/>
    <m/>
    <m/>
    <n v="0.37"/>
    <m/>
    <m/>
    <m/>
  </r>
  <r>
    <x v="3"/>
    <x v="9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7"/>
    <s v=""/>
    <n v="0.09"/>
    <s v=""/>
    <m/>
    <m/>
    <m/>
    <m/>
    <m/>
    <m/>
    <m/>
    <m/>
    <m/>
    <n v="0.97"/>
    <m/>
    <m/>
    <m/>
    <m/>
    <m/>
    <m/>
    <m/>
    <m/>
    <m/>
    <m/>
    <m/>
    <m/>
    <n v="0.09"/>
    <m/>
    <m/>
    <m/>
  </r>
  <r>
    <x v="3"/>
    <x v="9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0.14000000000000001"/>
    <s v=""/>
    <m/>
    <m/>
    <m/>
    <m/>
    <m/>
    <m/>
    <m/>
    <m/>
    <m/>
    <n v="1.7"/>
    <m/>
    <m/>
    <m/>
    <m/>
    <m/>
    <m/>
    <m/>
    <m/>
    <m/>
    <m/>
    <m/>
    <m/>
    <n v="0.14000000000000001"/>
    <m/>
    <m/>
    <m/>
  </r>
  <r>
    <x v="3"/>
    <x v="57"/>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4"/>
    <s v=""/>
    <n v="0.13"/>
    <s v=""/>
    <m/>
    <m/>
    <m/>
    <m/>
    <m/>
    <m/>
    <m/>
    <m/>
    <m/>
    <n v="1.4"/>
    <m/>
    <m/>
    <m/>
    <m/>
    <m/>
    <m/>
    <m/>
    <m/>
    <m/>
    <m/>
    <m/>
    <m/>
    <n v="0.13"/>
    <m/>
    <m/>
    <m/>
  </r>
  <r>
    <x v="3"/>
    <x v="57"/>
    <m/>
    <m/>
    <m/>
    <s v="Hol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3"/>
    <s v=""/>
    <n v="0.14000000000000001"/>
    <s v=""/>
    <m/>
    <m/>
    <m/>
    <m/>
    <m/>
    <m/>
    <m/>
    <m/>
    <m/>
    <n v="1.3"/>
    <m/>
    <m/>
    <m/>
    <m/>
    <m/>
    <m/>
    <m/>
    <m/>
    <m/>
    <m/>
    <m/>
    <m/>
    <n v="0.14000000000000001"/>
    <m/>
    <m/>
    <m/>
  </r>
  <r>
    <x v="3"/>
    <x v="57"/>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9"/>
    <s v=""/>
    <n v="0.32"/>
    <s v=""/>
    <m/>
    <m/>
    <m/>
    <m/>
    <m/>
    <m/>
    <m/>
    <m/>
    <m/>
    <n v="3.9"/>
    <m/>
    <m/>
    <m/>
    <m/>
    <m/>
    <m/>
    <m/>
    <m/>
    <m/>
    <m/>
    <m/>
    <m/>
    <n v="0.32"/>
    <m/>
    <m/>
    <m/>
  </r>
  <r>
    <x v="4"/>
    <x v="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63"/>
    <s v=""/>
    <n v="0.06"/>
    <s v=""/>
    <m/>
    <m/>
    <m/>
    <m/>
    <m/>
    <m/>
    <m/>
    <m/>
    <m/>
    <n v="0.63"/>
    <m/>
    <m/>
    <m/>
    <m/>
    <m/>
    <m/>
    <m/>
    <m/>
    <m/>
    <m/>
    <m/>
    <m/>
    <n v="0.06"/>
    <m/>
    <m/>
    <m/>
  </r>
  <r>
    <x v="4"/>
    <x v="66"/>
    <m/>
    <m/>
    <m/>
    <s v="New Zea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1"/>
    <s v=""/>
    <n v="0.48"/>
    <s v=""/>
    <m/>
    <m/>
    <m/>
    <m/>
    <m/>
    <m/>
    <m/>
    <m/>
    <m/>
    <n v="6.1"/>
    <m/>
    <m/>
    <m/>
    <m/>
    <m/>
    <m/>
    <m/>
    <m/>
    <m/>
    <m/>
    <m/>
    <m/>
    <n v="0.48"/>
    <m/>
    <m/>
    <m/>
  </r>
  <r>
    <x v="4"/>
    <x v="66"/>
    <m/>
    <m/>
    <m/>
    <s v="Franc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6"/>
    <s v=""/>
    <n v="0.12"/>
    <s v=""/>
    <m/>
    <m/>
    <m/>
    <m/>
    <m/>
    <m/>
    <m/>
    <m/>
    <m/>
    <n v="1.6"/>
    <m/>
    <m/>
    <m/>
    <m/>
    <m/>
    <m/>
    <m/>
    <m/>
    <m/>
    <m/>
    <m/>
    <m/>
    <n v="0.12"/>
    <m/>
    <m/>
    <m/>
  </r>
  <r>
    <x v="4"/>
    <x v="136"/>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7"/>
    <s v=""/>
    <n v="0.33"/>
    <s v=""/>
    <m/>
    <m/>
    <m/>
    <m/>
    <m/>
    <m/>
    <m/>
    <m/>
    <m/>
    <n v="3.7"/>
    <m/>
    <m/>
    <m/>
    <m/>
    <m/>
    <m/>
    <m/>
    <m/>
    <m/>
    <m/>
    <m/>
    <m/>
    <n v="0.33"/>
    <m/>
    <m/>
    <m/>
  </r>
  <r>
    <x v="4"/>
    <x v="8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8"/>
    <s v=""/>
    <n v="0.21"/>
    <s v=""/>
    <m/>
    <m/>
    <m/>
    <m/>
    <m/>
    <m/>
    <m/>
    <m/>
    <m/>
    <n v="2.8"/>
    <m/>
    <m/>
    <m/>
    <m/>
    <m/>
    <m/>
    <m/>
    <m/>
    <m/>
    <m/>
    <m/>
    <m/>
    <n v="0.21"/>
    <m/>
    <m/>
    <m/>
  </r>
  <r>
    <x v="4"/>
    <x v="81"/>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4"/>
    <s v=""/>
    <n v="0.55000000000000004"/>
    <s v=""/>
    <m/>
    <m/>
    <m/>
    <m/>
    <m/>
    <m/>
    <m/>
    <m/>
    <m/>
    <n v="5.4"/>
    <m/>
    <m/>
    <m/>
    <m/>
    <m/>
    <m/>
    <m/>
    <m/>
    <m/>
    <m/>
    <m/>
    <m/>
    <n v="0.55000000000000004"/>
    <m/>
    <m/>
    <m/>
  </r>
  <r>
    <x v="4"/>
    <x v="20"/>
    <m/>
    <m/>
    <m/>
    <s v="CR"/>
    <m/>
    <s v="Eocinvent 2 process: Banana {CR}| banana production | Alloc Def, S"/>
    <m/>
    <m/>
    <s v="Swiss Center for Life Cycle Inventories, Ecoinvent Database version 3.3. 2016, 2016, ."/>
    <m/>
    <m/>
    <m/>
    <m/>
    <m/>
    <m/>
    <m/>
    <m/>
    <m/>
    <m/>
    <m/>
    <m/>
    <m/>
    <m/>
    <m/>
    <m/>
    <m/>
    <m/>
    <n v="0.97439113229999996"/>
    <s v=""/>
    <n v="8.1206746999999996E-2"/>
    <s v=""/>
    <m/>
    <m/>
    <m/>
    <m/>
    <m/>
    <m/>
    <m/>
    <m/>
    <m/>
    <n v="0.97439113229999996"/>
    <m/>
    <m/>
    <m/>
    <m/>
    <m/>
    <m/>
    <m/>
    <m/>
    <m/>
    <m/>
    <m/>
    <m/>
    <n v="8.1206746999999996E-2"/>
    <m/>
    <m/>
    <m/>
  </r>
  <r>
    <x v="4"/>
    <x v="20"/>
    <m/>
    <m/>
    <m/>
    <s v="EC"/>
    <m/>
    <s v="Eocinvent 2 process: Banana {EC}| banana production | Alloc Def, S"/>
    <m/>
    <m/>
    <s v="Swiss Center for Life Cycle Inventories, Ecoinvent Database version 3.3. 2016, 2016, ."/>
    <m/>
    <m/>
    <m/>
    <m/>
    <m/>
    <m/>
    <m/>
    <m/>
    <m/>
    <m/>
    <m/>
    <m/>
    <m/>
    <m/>
    <m/>
    <m/>
    <m/>
    <m/>
    <n v="3.3026936950999999"/>
    <s v=""/>
    <n v="0.26266316000000001"/>
    <s v=""/>
    <m/>
    <m/>
    <m/>
    <m/>
    <m/>
    <m/>
    <m/>
    <m/>
    <m/>
    <n v="3.3026936950999999"/>
    <m/>
    <m/>
    <m/>
    <m/>
    <m/>
    <m/>
    <m/>
    <m/>
    <m/>
    <m/>
    <m/>
    <m/>
    <n v="0.26266316000000001"/>
    <m/>
    <m/>
    <m/>
  </r>
  <r>
    <x v="4"/>
    <x v="20"/>
    <m/>
    <m/>
    <m/>
    <s v="IN"/>
    <m/>
    <s v="Eocinvent 2 process: Banana {IN}| banana production | Alloc Def, S"/>
    <m/>
    <m/>
    <s v="Swiss Center for Life Cycle Inventories, Ecoinvent Database version 3.3. 2016, 2016, ."/>
    <m/>
    <m/>
    <m/>
    <m/>
    <m/>
    <m/>
    <m/>
    <m/>
    <m/>
    <m/>
    <m/>
    <m/>
    <m/>
    <m/>
    <m/>
    <m/>
    <m/>
    <m/>
    <n v="3.1540473375000002"/>
    <s v=""/>
    <n v="0.26752540000000002"/>
    <s v=""/>
    <m/>
    <m/>
    <m/>
    <m/>
    <m/>
    <m/>
    <m/>
    <m/>
    <m/>
    <n v="3.1540473375000002"/>
    <m/>
    <m/>
    <m/>
    <m/>
    <m/>
    <m/>
    <m/>
    <m/>
    <m/>
    <m/>
    <m/>
    <m/>
    <n v="0.26752540000000002"/>
    <m/>
    <m/>
    <m/>
  </r>
  <r>
    <x v="4"/>
    <x v="20"/>
    <m/>
    <m/>
    <m/>
    <s v="RoW"/>
    <m/>
    <s v="Eocinvent 2 process: Banana {RoW}| banana production | Alloc Def, S"/>
    <m/>
    <m/>
    <s v="Swiss Center for Life Cycle Inventories, Ecoinvent Database version 3.3. 2016, 2016, ."/>
    <m/>
    <m/>
    <m/>
    <m/>
    <m/>
    <m/>
    <m/>
    <m/>
    <m/>
    <m/>
    <m/>
    <m/>
    <m/>
    <m/>
    <m/>
    <m/>
    <m/>
    <m/>
    <n v="2.6421060044000004"/>
    <s v=""/>
    <n v="0.26593591"/>
    <s v=""/>
    <m/>
    <m/>
    <m/>
    <m/>
    <m/>
    <m/>
    <m/>
    <m/>
    <m/>
    <n v="2.6421060044000004"/>
    <m/>
    <m/>
    <m/>
    <m/>
    <m/>
    <m/>
    <m/>
    <m/>
    <m/>
    <m/>
    <m/>
    <m/>
    <n v="0.26593591"/>
    <m/>
    <m/>
    <m/>
  </r>
  <r>
    <x v="3"/>
    <x v="142"/>
    <m/>
    <m/>
    <m/>
    <s v="DE"/>
    <m/>
    <s v="Agrifootprint process: Potato starch dried, from wet milling, at plant/DE Mass"/>
    <m/>
    <m/>
    <s v="Blonk Consultants. Agri-Footprint 2.0. 2015 [cited 2015] Available from: http://www.agrifootprint."/>
    <m/>
    <m/>
    <m/>
    <m/>
    <m/>
    <m/>
    <m/>
    <m/>
    <m/>
    <m/>
    <m/>
    <m/>
    <m/>
    <m/>
    <m/>
    <m/>
    <m/>
    <m/>
    <s v=""/>
    <n v="6.7838162000000004"/>
    <s v=""/>
    <n v="0.93291893999999997"/>
    <m/>
    <m/>
    <n v="6.7838162000000004"/>
    <m/>
    <m/>
    <m/>
    <m/>
    <m/>
    <m/>
    <m/>
    <n v="6.7838162000000004"/>
    <m/>
    <m/>
    <m/>
    <m/>
    <n v="0.93291893999999997"/>
    <m/>
    <m/>
    <m/>
    <m/>
    <m/>
    <m/>
    <m/>
    <n v="0.93291893999999997"/>
    <m/>
    <m/>
  </r>
  <r>
    <x v="3"/>
    <x v="142"/>
    <m/>
    <m/>
    <m/>
    <s v="NL"/>
    <m/>
    <s v="Agrifootprint process: Potato starch dried, from wet milling, at plant/NL Mass"/>
    <m/>
    <m/>
    <s v="Blonk Consultants. Agri-Footprint 2.0. 2015 [cited 2015] Available from: http://www.agrifootprint."/>
    <m/>
    <m/>
    <m/>
    <m/>
    <m/>
    <m/>
    <m/>
    <m/>
    <m/>
    <m/>
    <m/>
    <m/>
    <m/>
    <m/>
    <m/>
    <m/>
    <m/>
    <m/>
    <s v=""/>
    <n v="6.4781129000000002"/>
    <s v=""/>
    <n v="0.97211035000000001"/>
    <m/>
    <m/>
    <n v="6.4781129000000002"/>
    <m/>
    <m/>
    <m/>
    <m/>
    <m/>
    <m/>
    <m/>
    <n v="6.4781129000000002"/>
    <m/>
    <m/>
    <m/>
    <m/>
    <n v="0.97211035000000001"/>
    <m/>
    <m/>
    <m/>
    <m/>
    <m/>
    <m/>
    <m/>
    <n v="0.97211035000000001"/>
    <m/>
    <m/>
  </r>
  <r>
    <x v="3"/>
    <x v="203"/>
    <m/>
    <m/>
    <m/>
    <m/>
    <m/>
    <s v="Ecoinvent 3 process: Celery {GLO}| 675 production | Alloc Def, S"/>
    <m/>
    <m/>
    <s v="Swiss Center for Life Cycle Inventories, Ecoinvent Database version 3.3. 2016, 2016, ."/>
    <m/>
    <m/>
    <m/>
    <m/>
    <m/>
    <m/>
    <m/>
    <m/>
    <m/>
    <m/>
    <m/>
    <m/>
    <m/>
    <m/>
    <m/>
    <m/>
    <m/>
    <m/>
    <n v="5.2511022999999994"/>
    <s v=""/>
    <n v="0.41115000000000002"/>
    <s v=""/>
    <m/>
    <m/>
    <m/>
    <m/>
    <m/>
    <m/>
    <m/>
    <m/>
    <m/>
    <n v="5.2511022999999994"/>
    <m/>
    <m/>
    <m/>
    <m/>
    <m/>
    <m/>
    <m/>
    <m/>
    <m/>
    <m/>
    <m/>
    <m/>
    <n v="0.41115000000000002"/>
    <m/>
    <m/>
    <m/>
  </r>
  <r>
    <x v="3"/>
    <x v="204"/>
    <m/>
    <m/>
    <m/>
    <m/>
    <m/>
    <s v="Ecoinvent 3 process: Iceberg lettuce {GLO}| production | Alloc Def, S"/>
    <m/>
    <m/>
    <s v="Swiss Center for Life Cycle Inventories, Ecoinvent Database version 3.3. 2016, 2016, ."/>
    <m/>
    <m/>
    <m/>
    <m/>
    <m/>
    <m/>
    <m/>
    <m/>
    <m/>
    <m/>
    <m/>
    <m/>
    <m/>
    <m/>
    <m/>
    <m/>
    <m/>
    <m/>
    <n v="1.9850391699999999"/>
    <s v=""/>
    <n v="0.15075"/>
    <s v=""/>
    <m/>
    <m/>
    <m/>
    <m/>
    <m/>
    <m/>
    <m/>
    <m/>
    <m/>
    <n v="1.9850391699999999"/>
    <m/>
    <m/>
    <m/>
    <m/>
    <m/>
    <m/>
    <m/>
    <m/>
    <m/>
    <m/>
    <m/>
    <m/>
    <n v="0.15075"/>
    <m/>
    <m/>
    <m/>
  </r>
  <r>
    <x v="7"/>
    <x v="40"/>
    <m/>
    <m/>
    <m/>
    <s v="CA-QC"/>
    <m/>
    <s v="Ecoinvent 3: Soybean beverage {CA-QC}| production | Alloc Def, S"/>
    <m/>
    <m/>
    <s v="Swiss Center for Life Cycle Inventories, Ecoinvent Database version 3.3. 2016, 2016, ."/>
    <m/>
    <m/>
    <m/>
    <m/>
    <m/>
    <m/>
    <m/>
    <m/>
    <m/>
    <m/>
    <m/>
    <m/>
    <m/>
    <m/>
    <m/>
    <m/>
    <m/>
    <m/>
    <s v=""/>
    <n v="1.6030119999999999"/>
    <s v=""/>
    <n v="0.15309"/>
    <m/>
    <m/>
    <n v="1.6030119999999999"/>
    <m/>
    <m/>
    <m/>
    <m/>
    <m/>
    <m/>
    <m/>
    <n v="1.6030119999999999"/>
    <m/>
    <m/>
    <m/>
    <m/>
    <n v="0.15309"/>
    <m/>
    <m/>
    <m/>
    <m/>
    <m/>
    <m/>
    <m/>
    <n v="0.15309"/>
    <m/>
    <m/>
  </r>
  <r>
    <x v="7"/>
    <x v="40"/>
    <m/>
    <m/>
    <m/>
    <s v="RoW"/>
    <m/>
    <s v="Ecoinvent 3: Soybean beverage {RoW}| production | Alloc Def, S"/>
    <m/>
    <m/>
    <s v="Swiss Center for Life Cycle Inventories, Ecoinvent Database version 3.3. 2016, 2016, ."/>
    <m/>
    <m/>
    <m/>
    <m/>
    <m/>
    <m/>
    <m/>
    <m/>
    <m/>
    <m/>
    <m/>
    <m/>
    <m/>
    <m/>
    <m/>
    <m/>
    <m/>
    <m/>
    <s v=""/>
    <n v="1.76278241"/>
    <s v=""/>
    <n v="0.16888"/>
    <m/>
    <m/>
    <n v="1.76278241"/>
    <m/>
    <m/>
    <m/>
    <m/>
    <m/>
    <m/>
    <m/>
    <n v="1.76278241"/>
    <m/>
    <m/>
    <m/>
    <m/>
    <n v="0.16888"/>
    <m/>
    <m/>
    <m/>
    <m/>
    <m/>
    <m/>
    <m/>
    <n v="0.16888"/>
    <m/>
    <m/>
  </r>
  <r>
    <x v="10"/>
    <x v="205"/>
    <m/>
    <m/>
    <m/>
    <m/>
    <n v="2008"/>
    <s v="The Climate Conservancy. 2008. The Carbon Footprint of Fat Tire® Amber Ale. http://www.newbelgium.com/files/shared/tinkerer/the-carbon-footprint-of-fat-tire-amber-ale-2008-public-dist-rfs.pdf."/>
    <m/>
    <m/>
    <s v="The Climate Conservancy, The Carbon Footprint of Fat Tire® Amber Ale. 2008, ."/>
    <m/>
    <m/>
    <m/>
    <m/>
    <m/>
    <m/>
    <m/>
    <m/>
    <m/>
    <m/>
    <m/>
    <m/>
    <m/>
    <m/>
    <m/>
    <m/>
    <m/>
    <m/>
    <s v=""/>
    <s v=""/>
    <n v="2.35"/>
    <s v=""/>
    <m/>
    <m/>
    <m/>
    <m/>
    <m/>
    <m/>
    <m/>
    <m/>
    <m/>
    <m/>
    <m/>
    <m/>
    <m/>
    <m/>
    <m/>
    <m/>
    <m/>
    <m/>
    <m/>
    <m/>
    <m/>
    <m/>
    <n v="2.35"/>
    <m/>
    <m/>
    <m/>
  </r>
  <r>
    <x v="3"/>
    <x v="10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33"/>
    <s v=""/>
    <n v="0.30199999999999999"/>
    <s v=""/>
    <m/>
    <m/>
    <m/>
    <m/>
    <m/>
    <m/>
    <m/>
    <m/>
    <m/>
    <n v="3.33"/>
    <m/>
    <m/>
    <m/>
    <m/>
    <m/>
    <m/>
    <m/>
    <m/>
    <m/>
    <m/>
    <m/>
    <m/>
    <n v="0.30199999999999999"/>
    <m/>
    <m/>
    <s v="without deforestation impacts"/>
  </r>
  <r>
    <x v="3"/>
    <x v="20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2"/>
    <s v=""/>
    <n v="0.152"/>
    <s v=""/>
    <m/>
    <m/>
    <m/>
    <m/>
    <m/>
    <m/>
    <m/>
    <m/>
    <m/>
    <n v="1.92"/>
    <m/>
    <m/>
    <m/>
    <m/>
    <m/>
    <m/>
    <m/>
    <m/>
    <m/>
    <m/>
    <m/>
    <m/>
    <n v="0.152"/>
    <m/>
    <m/>
    <s v="without deforestation impacts"/>
  </r>
  <r>
    <x v="3"/>
    <x v="94"/>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81"/>
    <s v=""/>
    <n v="0.121"/>
    <s v=""/>
    <m/>
    <m/>
    <m/>
    <m/>
    <m/>
    <m/>
    <m/>
    <m/>
    <m/>
    <n v="1.81"/>
    <m/>
    <m/>
    <m/>
    <m/>
    <m/>
    <m/>
    <m/>
    <m/>
    <m/>
    <m/>
    <m/>
    <m/>
    <n v="0.121"/>
    <m/>
    <m/>
    <s v="without deforestation impacts"/>
  </r>
  <r>
    <x v="3"/>
    <x v="93"/>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0.96699999999999997"/>
    <s v=""/>
    <n v="9.8400000000000001E-2"/>
    <s v=""/>
    <m/>
    <m/>
    <m/>
    <m/>
    <m/>
    <m/>
    <m/>
    <m/>
    <m/>
    <n v="0.96699999999999997"/>
    <m/>
    <m/>
    <m/>
    <m/>
    <m/>
    <m/>
    <m/>
    <m/>
    <m/>
    <m/>
    <m/>
    <m/>
    <n v="9.8400000000000001E-2"/>
    <m/>
    <m/>
    <s v="without deforestation impacts"/>
  </r>
  <r>
    <x v="3"/>
    <x v="8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5.64"/>
    <s v=""/>
    <n v="0.27"/>
    <s v=""/>
    <m/>
    <m/>
    <m/>
    <m/>
    <m/>
    <m/>
    <m/>
    <m/>
    <m/>
    <n v="5.64"/>
    <m/>
    <m/>
    <m/>
    <m/>
    <m/>
    <m/>
    <m/>
    <m/>
    <m/>
    <m/>
    <m/>
    <m/>
    <n v="0.27"/>
    <m/>
    <m/>
    <s v="without deforestation impacts"/>
  </r>
  <r>
    <x v="11"/>
    <x v="14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8.4"/>
    <s v=""/>
    <n v="1.46"/>
    <s v=""/>
    <m/>
    <m/>
    <m/>
    <m/>
    <m/>
    <m/>
    <m/>
    <m/>
    <m/>
    <n v="28.4"/>
    <m/>
    <m/>
    <m/>
    <m/>
    <m/>
    <m/>
    <m/>
    <m/>
    <m/>
    <m/>
    <m/>
    <m/>
    <n v="1.46"/>
    <m/>
    <m/>
    <s v="without deforestation impacts"/>
  </r>
  <r>
    <x v="11"/>
    <x v="82"/>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2.4"/>
    <s v=""/>
    <n v="1.1599999999999999"/>
    <s v=""/>
    <m/>
    <m/>
    <m/>
    <m/>
    <m/>
    <m/>
    <m/>
    <m/>
    <m/>
    <n v="22.4"/>
    <m/>
    <m/>
    <m/>
    <m/>
    <m/>
    <m/>
    <m/>
    <m/>
    <m/>
    <m/>
    <m/>
    <m/>
    <n v="1.1599999999999999"/>
    <m/>
    <m/>
    <s v="without deforestation impacts"/>
  </r>
  <r>
    <x v="4"/>
    <x v="137"/>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7.08"/>
    <s v=""/>
    <n v="0.28499999999999998"/>
    <s v=""/>
    <m/>
    <m/>
    <m/>
    <m/>
    <m/>
    <m/>
    <m/>
    <m/>
    <m/>
    <n v="7.08"/>
    <m/>
    <m/>
    <m/>
    <m/>
    <m/>
    <m/>
    <m/>
    <m/>
    <m/>
    <m/>
    <m/>
    <m/>
    <n v="0.28499999999999998"/>
    <m/>
    <m/>
    <s v="without deforestation impacts"/>
  </r>
  <r>
    <x v="4"/>
    <x v="13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3"/>
    <s v=""/>
    <n v="0.107"/>
    <s v=""/>
    <m/>
    <m/>
    <m/>
    <m/>
    <m/>
    <m/>
    <m/>
    <m/>
    <m/>
    <n v="1.93"/>
    <m/>
    <m/>
    <m/>
    <m/>
    <m/>
    <m/>
    <m/>
    <m/>
    <m/>
    <m/>
    <m/>
    <m/>
    <n v="0.107"/>
    <m/>
    <m/>
    <s v="without deforestation impacts"/>
  </r>
  <r>
    <x v="4"/>
    <x v="2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8"/>
    <s v=""/>
    <n v="0.23"/>
    <s v=""/>
    <m/>
    <m/>
    <m/>
    <m/>
    <m/>
    <m/>
    <m/>
    <m/>
    <m/>
    <n v="2.68"/>
    <m/>
    <m/>
    <m/>
    <m/>
    <m/>
    <m/>
    <m/>
    <m/>
    <m/>
    <m/>
    <m/>
    <m/>
    <n v="0.23"/>
    <m/>
    <m/>
    <s v="without deforestation impacts"/>
  </r>
  <r>
    <x v="4"/>
    <x v="6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13"/>
    <s v=""/>
    <n v="0.14799999999999999"/>
    <s v=""/>
    <m/>
    <m/>
    <m/>
    <m/>
    <m/>
    <m/>
    <m/>
    <m/>
    <m/>
    <n v="3.13"/>
    <m/>
    <m/>
    <m/>
    <m/>
    <m/>
    <m/>
    <m/>
    <m/>
    <m/>
    <m/>
    <m/>
    <m/>
    <n v="0.14799999999999999"/>
    <m/>
    <m/>
    <s v="without deforestation impacts"/>
  </r>
  <r>
    <x v="3"/>
    <x v="44"/>
    <m/>
    <m/>
    <m/>
    <m/>
    <n v="2018"/>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9"/>
    <s v=""/>
    <n v="0.157"/>
    <s v=""/>
    <m/>
    <m/>
    <m/>
    <m/>
    <m/>
    <m/>
    <m/>
    <m/>
    <m/>
    <n v="2.69"/>
    <m/>
    <m/>
    <m/>
    <m/>
    <m/>
    <m/>
    <m/>
    <m/>
    <m/>
    <m/>
    <m/>
    <m/>
    <n v="0.157"/>
    <m/>
    <m/>
    <s v="without deforestation impacts"/>
  </r>
  <r>
    <x v="11"/>
    <x v="207"/>
    <m/>
    <m/>
    <m/>
    <s v="CA"/>
    <m/>
    <s v="Argifootprint process: Lentil, at farm/CA Mass"/>
    <m/>
    <m/>
    <s v="Blonk Consultants. Agri-Footprint 2.0. 2015 [cited 2015] Available from: http://www.agrifootprint."/>
    <m/>
    <m/>
    <m/>
    <m/>
    <m/>
    <m/>
    <m/>
    <m/>
    <m/>
    <m/>
    <m/>
    <m/>
    <m/>
    <m/>
    <m/>
    <m/>
    <m/>
    <m/>
    <n v="1.4028"/>
    <s v=""/>
    <n v="0.42380000000000001"/>
    <s v=""/>
    <m/>
    <m/>
    <m/>
    <m/>
    <m/>
    <m/>
    <m/>
    <m/>
    <m/>
    <n v="1.4028"/>
    <m/>
    <m/>
    <m/>
    <m/>
    <m/>
    <m/>
    <m/>
    <m/>
    <m/>
    <m/>
    <m/>
    <m/>
    <n v="0.42380000000000001"/>
    <m/>
    <m/>
    <m/>
  </r>
  <r>
    <x v="11"/>
    <x v="207"/>
    <m/>
    <m/>
    <m/>
    <s v="AU"/>
    <m/>
    <s v="Argifootprint process: Lentil, at farm/AU Mass"/>
    <m/>
    <m/>
    <s v="Blonk Consultants. Agri-Footprint 2.0. 2015 [cited 2015] Available from: http://www.agrifootprint."/>
    <m/>
    <m/>
    <m/>
    <m/>
    <m/>
    <m/>
    <m/>
    <m/>
    <m/>
    <m/>
    <m/>
    <m/>
    <m/>
    <m/>
    <m/>
    <m/>
    <m/>
    <m/>
    <n v="1.2381"/>
    <s v=""/>
    <n v="3.3369"/>
    <s v=""/>
    <m/>
    <m/>
    <m/>
    <m/>
    <m/>
    <m/>
    <m/>
    <m/>
    <m/>
    <n v="1.2381"/>
    <m/>
    <m/>
    <m/>
    <m/>
    <m/>
    <m/>
    <m/>
    <m/>
    <m/>
    <m/>
    <m/>
    <m/>
    <n v="3.3369"/>
    <m/>
    <m/>
    <m/>
  </r>
  <r>
    <x v="11"/>
    <x v="201"/>
    <m/>
    <m/>
    <m/>
    <s v="US"/>
    <m/>
    <s v="Agrifootprint process: Beans, dry, at farm/US Mass"/>
    <m/>
    <m/>
    <s v="Blonk Consultants. Agri-Footprint 2.0. 2015 [cited 2015] Available from: http://www.agrifootprint."/>
    <m/>
    <m/>
    <m/>
    <m/>
    <m/>
    <m/>
    <m/>
    <m/>
    <m/>
    <m/>
    <m/>
    <m/>
    <m/>
    <m/>
    <m/>
    <m/>
    <m/>
    <m/>
    <n v="2.1116000000000001"/>
    <s v=""/>
    <n v="0.46848000000000001"/>
    <s v=""/>
    <m/>
    <m/>
    <m/>
    <m/>
    <m/>
    <m/>
    <m/>
    <m/>
    <m/>
    <n v="2.1116000000000001"/>
    <m/>
    <m/>
    <m/>
    <m/>
    <m/>
    <m/>
    <m/>
    <m/>
    <m/>
    <m/>
    <m/>
    <m/>
    <n v="0.46848000000000001"/>
    <m/>
    <m/>
    <m/>
  </r>
  <r>
    <x v="11"/>
    <x v="208"/>
    <m/>
    <m/>
    <m/>
    <s v="US"/>
    <m/>
    <s v="Agrifootprint process: Chickpea, at farm/US Mass"/>
    <m/>
    <m/>
    <s v="Blonk Consultants. Agri-Footprint 2.0. 2015 [cited 2015] Available from: http://www.agrifootprint."/>
    <m/>
    <m/>
    <m/>
    <m/>
    <m/>
    <m/>
    <m/>
    <m/>
    <m/>
    <m/>
    <m/>
    <m/>
    <m/>
    <m/>
    <m/>
    <m/>
    <m/>
    <m/>
    <n v="1.5431999999999999"/>
    <s v=""/>
    <n v="0.4914"/>
    <s v=""/>
    <m/>
    <m/>
    <m/>
    <m/>
    <m/>
    <m/>
    <m/>
    <m/>
    <m/>
    <n v="1.5431999999999999"/>
    <m/>
    <m/>
    <m/>
    <m/>
    <m/>
    <m/>
    <m/>
    <m/>
    <m/>
    <m/>
    <m/>
    <m/>
    <n v="0.4914"/>
    <m/>
    <m/>
    <m/>
  </r>
  <r>
    <x v="11"/>
    <x v="127"/>
    <m/>
    <m/>
    <m/>
    <s v="US"/>
    <m/>
    <s v="Agrifootprint process: Soybean, at farm/US Mass"/>
    <m/>
    <m/>
    <s v="Blonk Consultants. Agri-Footprint 2.0. 2015 [cited 2015] Available from: http://www.agrifootprint."/>
    <m/>
    <m/>
    <m/>
    <m/>
    <m/>
    <m/>
    <m/>
    <m/>
    <m/>
    <m/>
    <m/>
    <m/>
    <m/>
    <m/>
    <m/>
    <m/>
    <m/>
    <m/>
    <n v="3.0627"/>
    <s v=""/>
    <n v="0.37952000000000002"/>
    <s v=""/>
    <m/>
    <m/>
    <m/>
    <m/>
    <m/>
    <m/>
    <m/>
    <m/>
    <m/>
    <n v="3.0627"/>
    <m/>
    <m/>
    <m/>
    <m/>
    <m/>
    <m/>
    <m/>
    <m/>
    <m/>
    <m/>
    <m/>
    <m/>
    <n v="0.37952000000000002"/>
    <m/>
    <m/>
    <m/>
  </r>
  <r>
    <x v="9"/>
    <x v="209"/>
    <m/>
    <m/>
    <m/>
    <s v="US"/>
    <m/>
    <s v="Agrifootprint process:Sugar cane molasses, from sugar production, at plant/US Mass"/>
    <m/>
    <m/>
    <s v="Blonk Consultants. Agri-Footprint 2.0. 2015 [cited 2015] Available from: http://www.agrifootprint."/>
    <m/>
    <m/>
    <m/>
    <m/>
    <m/>
    <m/>
    <m/>
    <m/>
    <m/>
    <m/>
    <m/>
    <m/>
    <m/>
    <m/>
    <m/>
    <m/>
    <m/>
    <m/>
    <s v=""/>
    <n v="5.0787000000000004"/>
    <s v=""/>
    <n v="0.48759999999999998"/>
    <m/>
    <m/>
    <n v="5.0787000000000004"/>
    <m/>
    <m/>
    <m/>
    <m/>
    <m/>
    <m/>
    <m/>
    <n v="5.0787000000000004"/>
    <m/>
    <m/>
    <m/>
    <m/>
    <n v="0.48759999999999998"/>
    <m/>
    <m/>
    <m/>
    <m/>
    <m/>
    <m/>
    <m/>
    <n v="0.48759999999999998"/>
    <m/>
    <m/>
  </r>
  <r>
    <x v="9"/>
    <x v="131"/>
    <m/>
    <m/>
    <m/>
    <s v="US"/>
    <m/>
    <s v="Agrifootprint process: Sugar, from sugar cane, from sugar production, at plant/US Mass"/>
    <m/>
    <m/>
    <s v="Blonk Consultants. Agri-Footprint 2.0. 2015 [cited 2015] Available from: http://www.agrifootprint."/>
    <m/>
    <m/>
    <m/>
    <m/>
    <m/>
    <m/>
    <m/>
    <m/>
    <m/>
    <m/>
    <m/>
    <m/>
    <m/>
    <m/>
    <m/>
    <m/>
    <m/>
    <m/>
    <s v=""/>
    <n v="6.7751476000000004"/>
    <s v=""/>
    <n v="0.66705736999999998"/>
    <m/>
    <m/>
    <n v="6.7751476000000004"/>
    <m/>
    <m/>
    <m/>
    <m/>
    <m/>
    <m/>
    <m/>
    <n v="6.7751476000000004"/>
    <m/>
    <m/>
    <m/>
    <m/>
    <n v="0.66705736999999998"/>
    <m/>
    <m/>
    <m/>
    <m/>
    <m/>
    <m/>
    <m/>
    <n v="0.66705736999999998"/>
    <m/>
    <m/>
  </r>
  <r>
    <x v="8"/>
    <x v="47"/>
    <m/>
    <m/>
    <m/>
    <s v="US"/>
    <m/>
    <s v="Agrifootprint process: Refined soybean oil, from crushing (solvent), at plant/US Mass"/>
    <m/>
    <m/>
    <s v="Blonk Consultants. Agri-Footprint 2.0. 2015 [cited 2015] Available from: http://www.agrifootprint."/>
    <m/>
    <m/>
    <m/>
    <m/>
    <m/>
    <m/>
    <m/>
    <m/>
    <m/>
    <m/>
    <m/>
    <m/>
    <m/>
    <m/>
    <m/>
    <m/>
    <m/>
    <m/>
    <s v=""/>
    <n v="8.75"/>
    <s v=""/>
    <n v="0.80688000000000004"/>
    <m/>
    <m/>
    <n v="8.75"/>
    <m/>
    <m/>
    <m/>
    <m/>
    <m/>
    <m/>
    <m/>
    <n v="8.75"/>
    <m/>
    <m/>
    <m/>
    <m/>
    <n v="0.80688000000000004"/>
    <m/>
    <m/>
    <m/>
    <m/>
    <m/>
    <m/>
    <m/>
    <n v="0.80688000000000004"/>
    <m/>
    <m/>
  </r>
  <r>
    <x v="11"/>
    <x v="210"/>
    <m/>
    <m/>
    <m/>
    <s v="US"/>
    <m/>
    <s v="Ecoinvent 3 process: Soybean meal {US}| soybean meal and crude oil production | Alloc Def, S"/>
    <m/>
    <m/>
    <s v="Swiss Center for Life Cycle Inventories, Ecoinvent Database version 3.3. 2016, 2016, ."/>
    <m/>
    <m/>
    <m/>
    <m/>
    <m/>
    <m/>
    <m/>
    <m/>
    <m/>
    <m/>
    <m/>
    <m/>
    <m/>
    <m/>
    <m/>
    <m/>
    <m/>
    <m/>
    <s v=""/>
    <n v="2.9633449999999999"/>
    <s v=""/>
    <n v="0.40566000000000002"/>
    <m/>
    <m/>
    <n v="2.9633449999999999"/>
    <m/>
    <m/>
    <m/>
    <m/>
    <m/>
    <m/>
    <m/>
    <n v="2.9633449999999999"/>
    <m/>
    <m/>
    <m/>
    <m/>
    <n v="0.40566000000000002"/>
    <m/>
    <m/>
    <m/>
    <m/>
    <m/>
    <m/>
    <m/>
    <n v="0.40566000000000002"/>
    <m/>
    <m/>
  </r>
  <r>
    <x v="3"/>
    <x v="211"/>
    <m/>
    <m/>
    <m/>
    <s v="US"/>
    <m/>
    <s v="Ecoinvent 3 process: Sweet corn {US}| sweet corn production | Alloc Def, S"/>
    <m/>
    <m/>
    <s v="Swiss Center for Life Cycle Inventories, Ecoinvent Database version 3.3. 2016, 2016, ."/>
    <m/>
    <m/>
    <m/>
    <m/>
    <m/>
    <m/>
    <m/>
    <m/>
    <m/>
    <m/>
    <m/>
    <m/>
    <m/>
    <m/>
    <m/>
    <m/>
    <m/>
    <m/>
    <n v="2.4748158250000003"/>
    <s v=""/>
    <n v="0.24421635"/>
    <s v=""/>
    <m/>
    <m/>
    <m/>
    <m/>
    <m/>
    <m/>
    <m/>
    <m/>
    <m/>
    <n v="2.4748158250000003"/>
    <m/>
    <m/>
    <m/>
    <m/>
    <m/>
    <m/>
    <m/>
    <m/>
    <m/>
    <m/>
    <m/>
    <m/>
    <n v="0.24421635"/>
    <m/>
    <m/>
    <m/>
  </r>
  <r>
    <x v="3"/>
    <x v="211"/>
    <m/>
    <m/>
    <m/>
    <s v="HU"/>
    <m/>
    <s v="Ecoinvent 3 process: Sweet corn {HU}| sweet corn production | Alloc Def, S"/>
    <m/>
    <m/>
    <s v="Swiss Center for Life Cycle Inventories, Ecoinvent Database version 3.3. 2016, 2016, ."/>
    <m/>
    <m/>
    <m/>
    <m/>
    <m/>
    <m/>
    <m/>
    <m/>
    <m/>
    <m/>
    <m/>
    <m/>
    <m/>
    <m/>
    <m/>
    <m/>
    <m/>
    <m/>
    <n v="2.6657383942699999"/>
    <s v=""/>
    <n v="0.28881754999999998"/>
    <s v=""/>
    <m/>
    <m/>
    <m/>
    <m/>
    <m/>
    <m/>
    <m/>
    <m/>
    <m/>
    <n v="2.6657383942699999"/>
    <m/>
    <m/>
    <m/>
    <m/>
    <m/>
    <m/>
    <m/>
    <m/>
    <m/>
    <m/>
    <m/>
    <m/>
    <n v="0.28881754999999998"/>
    <m/>
    <m/>
    <m/>
  </r>
  <r>
    <x v="3"/>
    <x v="211"/>
    <m/>
    <m/>
    <m/>
    <s v="RoW"/>
    <m/>
    <s v="Ecoinvent 3 process: Sweet corn {RoW}| sweet corn production | Alloc Def, S"/>
    <m/>
    <m/>
    <s v="Swiss Center for Life Cycle Inventories, Ecoinvent Database version 3.3. 2016, 2016, ."/>
    <m/>
    <m/>
    <m/>
    <m/>
    <m/>
    <m/>
    <m/>
    <m/>
    <m/>
    <m/>
    <m/>
    <m/>
    <m/>
    <m/>
    <m/>
    <m/>
    <m/>
    <m/>
    <n v="2.527893089"/>
    <s v=""/>
    <n v="0.37178664"/>
    <s v=""/>
    <m/>
    <m/>
    <m/>
    <m/>
    <m/>
    <m/>
    <m/>
    <m/>
    <m/>
    <n v="2.527893089"/>
    <m/>
    <m/>
    <m/>
    <m/>
    <m/>
    <m/>
    <m/>
    <m/>
    <m/>
    <m/>
    <m/>
    <m/>
    <n v="0.37178664"/>
    <m/>
    <m/>
    <m/>
  </r>
  <r>
    <x v="3"/>
    <x v="211"/>
    <m/>
    <m/>
    <m/>
    <s v="TH"/>
    <m/>
    <s v="Ecoinvent 3 process: Sweet corn {TH}| sweet corn production | Alloc Def, S"/>
    <m/>
    <m/>
    <s v="Swiss Center for Life Cycle Inventories, Ecoinvent Database version 3.3. 2016, 2016, ."/>
    <m/>
    <m/>
    <m/>
    <m/>
    <m/>
    <m/>
    <m/>
    <m/>
    <m/>
    <m/>
    <m/>
    <m/>
    <m/>
    <m/>
    <m/>
    <m/>
    <m/>
    <m/>
    <n v="1.8887313091"/>
    <s v=""/>
    <n v="0.18450696"/>
    <s v=""/>
    <m/>
    <m/>
    <m/>
    <m/>
    <m/>
    <m/>
    <m/>
    <m/>
    <m/>
    <n v="1.8887313091"/>
    <m/>
    <m/>
    <m/>
    <m/>
    <m/>
    <m/>
    <m/>
    <m/>
    <m/>
    <m/>
    <m/>
    <m/>
    <n v="0.18450696"/>
    <m/>
    <m/>
    <m/>
  </r>
  <r>
    <x v="8"/>
    <x v="50"/>
    <m/>
    <m/>
    <m/>
    <s v="Global"/>
    <m/>
    <s v="World Food LCA Database: Peanut oil, at oil mill (WFLDB 3.1)/GLO U"/>
    <m/>
    <m/>
    <s v="Quantis, World Food LCA Database. 2016, ."/>
    <m/>
    <m/>
    <m/>
    <m/>
    <m/>
    <m/>
    <m/>
    <m/>
    <m/>
    <m/>
    <m/>
    <m/>
    <m/>
    <m/>
    <m/>
    <m/>
    <m/>
    <m/>
    <s v=""/>
    <n v="3.1583665999999999"/>
    <s v=""/>
    <n v="4.3630063999999997"/>
    <m/>
    <m/>
    <n v="3.1583665999999999"/>
    <m/>
    <m/>
    <m/>
    <m/>
    <m/>
    <m/>
    <m/>
    <n v="3.1583665999999999"/>
    <m/>
    <m/>
    <m/>
    <m/>
    <n v="4.3630063999999997"/>
    <m/>
    <m/>
    <m/>
    <m/>
    <m/>
    <m/>
    <m/>
    <n v="4.3630063999999997"/>
    <m/>
    <m/>
  </r>
  <r>
    <x v="3"/>
    <x v="93"/>
    <m/>
    <m/>
    <m/>
    <s v="CN"/>
    <m/>
    <s v="Ecoinvent 3 (WFLDB) process: Onion {CN}| onion production | Alloc Def, S"/>
    <m/>
    <m/>
    <s v="Swiss Center for Life Cycle Inventories, Ecoinvent Database version 3.3. 2016, 2016, ."/>
    <m/>
    <m/>
    <m/>
    <m/>
    <m/>
    <m/>
    <m/>
    <m/>
    <m/>
    <m/>
    <m/>
    <m/>
    <m/>
    <m/>
    <m/>
    <m/>
    <m/>
    <m/>
    <n v="2.1517225358000003"/>
    <s v=""/>
    <n v="0.18947802999999999"/>
    <s v=""/>
    <m/>
    <m/>
    <m/>
    <m/>
    <m/>
    <m/>
    <m/>
    <m/>
    <m/>
    <n v="2.1517225358000003"/>
    <m/>
    <m/>
    <m/>
    <m/>
    <m/>
    <m/>
    <m/>
    <m/>
    <m/>
    <m/>
    <m/>
    <m/>
    <n v="0.18947802999999999"/>
    <m/>
    <m/>
    <m/>
  </r>
  <r>
    <x v="3"/>
    <x v="93"/>
    <m/>
    <m/>
    <m/>
    <s v="IN"/>
    <m/>
    <s v="Ecoinvent 3 (WFLDB) process: Onion {IN}| onion production | Alloc Def, S"/>
    <m/>
    <m/>
    <s v="Swiss Center for Life Cycle Inventories, Ecoinvent Database version 3.3. 2016, 2016, ."/>
    <m/>
    <m/>
    <m/>
    <m/>
    <m/>
    <m/>
    <m/>
    <m/>
    <m/>
    <m/>
    <m/>
    <m/>
    <m/>
    <m/>
    <m/>
    <m/>
    <m/>
    <m/>
    <n v="5.6378573961000003"/>
    <s v=""/>
    <n v="0.54483833000000004"/>
    <s v=""/>
    <m/>
    <m/>
    <m/>
    <m/>
    <m/>
    <m/>
    <m/>
    <m/>
    <m/>
    <n v="5.6378573961000003"/>
    <m/>
    <m/>
    <m/>
    <m/>
    <m/>
    <m/>
    <m/>
    <m/>
    <m/>
    <m/>
    <m/>
    <m/>
    <n v="0.54483833000000004"/>
    <m/>
    <m/>
    <m/>
  </r>
  <r>
    <x v="3"/>
    <x v="93"/>
    <m/>
    <m/>
    <m/>
    <s v="NL"/>
    <m/>
    <s v="Ecoinvent 3 (WFLDB) process: Onion {NL}| onion production | Alloc Def, S"/>
    <m/>
    <m/>
    <s v="Swiss Center for Life Cycle Inventories, Ecoinvent Database version 3.3. 2016, 2016, ."/>
    <m/>
    <m/>
    <m/>
    <m/>
    <m/>
    <m/>
    <m/>
    <m/>
    <m/>
    <m/>
    <m/>
    <m/>
    <m/>
    <m/>
    <m/>
    <m/>
    <m/>
    <m/>
    <n v="2.1631013978000002"/>
    <s v=""/>
    <n v="0.19278450999999999"/>
    <s v=""/>
    <m/>
    <m/>
    <m/>
    <m/>
    <m/>
    <m/>
    <m/>
    <m/>
    <m/>
    <n v="2.1631013978000002"/>
    <m/>
    <m/>
    <m/>
    <m/>
    <m/>
    <m/>
    <m/>
    <m/>
    <m/>
    <m/>
    <m/>
    <m/>
    <n v="0.19278450999999999"/>
    <m/>
    <m/>
    <m/>
  </r>
  <r>
    <x v="3"/>
    <x v="93"/>
    <m/>
    <m/>
    <m/>
    <s v="NZ"/>
    <m/>
    <s v="Ecoinvent 3 (WFLDB) process: Onion {NZ}| onion production | Alloc Def, S"/>
    <m/>
    <m/>
    <s v="Swiss Center for Life Cycle Inventories, Ecoinvent Database version 3.3. 2016, 2016, ."/>
    <m/>
    <m/>
    <m/>
    <m/>
    <m/>
    <m/>
    <m/>
    <m/>
    <m/>
    <m/>
    <m/>
    <m/>
    <m/>
    <m/>
    <m/>
    <m/>
    <m/>
    <m/>
    <n v="2.5110390611"/>
    <s v=""/>
    <n v="0.24044423000000001"/>
    <s v=""/>
    <m/>
    <m/>
    <m/>
    <m/>
    <m/>
    <m/>
    <m/>
    <m/>
    <m/>
    <n v="2.5110390611"/>
    <m/>
    <m/>
    <m/>
    <m/>
    <m/>
    <m/>
    <m/>
    <m/>
    <m/>
    <m/>
    <m/>
    <m/>
    <n v="0.24044423000000001"/>
    <m/>
    <m/>
    <m/>
  </r>
  <r>
    <x v="3"/>
    <x v="93"/>
    <m/>
    <m/>
    <m/>
    <s v="RoW"/>
    <m/>
    <s v="Ecoinvent 3 (WFLDB) process: Onion {RoW}| onion production | Alloc Def, S"/>
    <m/>
    <m/>
    <s v="Swiss Center for Life Cycle Inventories, Ecoinvent Database version 3.3. 2016, 2016, ."/>
    <m/>
    <m/>
    <m/>
    <m/>
    <m/>
    <m/>
    <m/>
    <m/>
    <m/>
    <m/>
    <m/>
    <m/>
    <m/>
    <m/>
    <m/>
    <m/>
    <m/>
    <m/>
    <n v="3.4170270486000001"/>
    <s v=""/>
    <n v="0.32761311999999998"/>
    <s v=""/>
    <m/>
    <m/>
    <m/>
    <m/>
    <m/>
    <m/>
    <m/>
    <m/>
    <m/>
    <n v="3.4170270486000001"/>
    <m/>
    <m/>
    <m/>
    <m/>
    <m/>
    <m/>
    <m/>
    <m/>
    <m/>
    <m/>
    <m/>
    <m/>
    <n v="0.32761311999999998"/>
    <m/>
    <m/>
    <m/>
  </r>
  <r>
    <x v="9"/>
    <x v="212"/>
    <m/>
    <m/>
    <m/>
    <s v="NL"/>
    <m/>
    <s v="Agrifootprint process: Sugar, from sugar beet, from sugar production, at Suiker Unie plants/NL Mass"/>
    <m/>
    <m/>
    <s v="Blonk Consultants. Agri-Footprint 2.0. 2015 [cited 2015] Available from: http://www.agrifootprint."/>
    <m/>
    <m/>
    <m/>
    <m/>
    <m/>
    <m/>
    <m/>
    <m/>
    <m/>
    <m/>
    <m/>
    <m/>
    <m/>
    <m/>
    <m/>
    <m/>
    <m/>
    <m/>
    <s v=""/>
    <n v="3.7005972000000003"/>
    <s v=""/>
    <n v="0.29486158999999995"/>
    <m/>
    <m/>
    <n v="3.7005972000000003"/>
    <m/>
    <m/>
    <m/>
    <m/>
    <m/>
    <m/>
    <m/>
    <n v="3.7005972000000003"/>
    <m/>
    <m/>
    <m/>
    <m/>
    <n v="0.29486158999999995"/>
    <m/>
    <m/>
    <m/>
    <m/>
    <m/>
    <m/>
    <m/>
    <n v="0.29486158999999995"/>
    <m/>
    <m/>
  </r>
  <r>
    <x v="9"/>
    <x v="212"/>
    <m/>
    <m/>
    <m/>
    <s v="PL"/>
    <m/>
    <s v="Agrifootprint process: Sugar, from sugar beet, from sugar production, at plant/PL Mass"/>
    <m/>
    <m/>
    <s v="Blonk Consultants. Agri-Footprint 2.0. 2015 [cited 2015] Available from: http://www.agrifootprint."/>
    <m/>
    <m/>
    <m/>
    <m/>
    <m/>
    <m/>
    <m/>
    <m/>
    <m/>
    <m/>
    <m/>
    <m/>
    <m/>
    <m/>
    <m/>
    <m/>
    <m/>
    <m/>
    <s v=""/>
    <n v="5.132009"/>
    <s v=""/>
    <n v="0.47034267000000002"/>
    <m/>
    <m/>
    <n v="5.132009"/>
    <m/>
    <m/>
    <m/>
    <m/>
    <m/>
    <m/>
    <m/>
    <n v="5.132009"/>
    <m/>
    <m/>
    <m/>
    <m/>
    <n v="0.47034267000000002"/>
    <m/>
    <m/>
    <m/>
    <m/>
    <m/>
    <m/>
    <m/>
    <n v="0.47034267000000002"/>
    <m/>
    <m/>
  </r>
  <r>
    <x v="9"/>
    <x v="212"/>
    <m/>
    <m/>
    <m/>
    <s v="FR"/>
    <m/>
    <s v="Agrifootprint process: Sugar, from sugar beet, from sugar production, at plant/FR Mass"/>
    <m/>
    <m/>
    <s v="Blonk Consultants. Agri-Footprint 2.0. 2015 [cited 2015] Available from: http://www.agrifootprint."/>
    <m/>
    <m/>
    <m/>
    <m/>
    <m/>
    <m/>
    <m/>
    <m/>
    <m/>
    <m/>
    <m/>
    <m/>
    <m/>
    <m/>
    <m/>
    <m/>
    <m/>
    <m/>
    <s v=""/>
    <n v="4.5169813999999997"/>
    <s v=""/>
    <n v="0.36901864000000001"/>
    <m/>
    <m/>
    <n v="4.5169813999999997"/>
    <m/>
    <m/>
    <m/>
    <m/>
    <m/>
    <m/>
    <m/>
    <n v="4.5169813999999997"/>
    <m/>
    <m/>
    <m/>
    <m/>
    <n v="0.36901864000000001"/>
    <m/>
    <m/>
    <m/>
    <m/>
    <m/>
    <m/>
    <m/>
    <n v="0.36901864000000001"/>
    <m/>
    <m/>
  </r>
  <r>
    <x v="9"/>
    <x v="212"/>
    <m/>
    <m/>
    <m/>
    <s v="DE"/>
    <m/>
    <s v="Agrifootprint process: Sugar, from sugar beet, from sugar production, at plant/DE Mass"/>
    <m/>
    <m/>
    <s v="Blonk Consultants. Agri-Footprint 2.0. 2015 [cited 2015] Available from: http://www.agrifootprint."/>
    <m/>
    <m/>
    <m/>
    <m/>
    <m/>
    <m/>
    <m/>
    <m/>
    <m/>
    <m/>
    <m/>
    <m/>
    <m/>
    <m/>
    <m/>
    <m/>
    <m/>
    <m/>
    <s v=""/>
    <n v="4.9473551999999996"/>
    <s v=""/>
    <n v="0.42890933999999997"/>
    <m/>
    <m/>
    <n v="4.9473551999999996"/>
    <m/>
    <m/>
    <m/>
    <m/>
    <m/>
    <m/>
    <m/>
    <n v="4.9473551999999996"/>
    <m/>
    <m/>
    <m/>
    <m/>
    <n v="0.42890933999999997"/>
    <m/>
    <m/>
    <m/>
    <m/>
    <m/>
    <m/>
    <m/>
    <n v="0.42890933999999997"/>
    <m/>
    <m/>
  </r>
  <r>
    <x v="9"/>
    <x v="213"/>
    <m/>
    <m/>
    <m/>
    <s v="NL"/>
    <m/>
    <s v="Agrifootprint process: Sugar beet molasses, from sugar production, at Suiker Unie plants/NL Mass"/>
    <m/>
    <m/>
    <s v="Blonk Consultants. Agri-Footprint 2.0. 2015 [cited 2015] Available from: http://www.agrifootprint."/>
    <m/>
    <m/>
    <m/>
    <m/>
    <m/>
    <m/>
    <m/>
    <m/>
    <m/>
    <m/>
    <m/>
    <m/>
    <m/>
    <m/>
    <m/>
    <m/>
    <m/>
    <m/>
    <s v=""/>
    <n v="2.9346000000000001"/>
    <s v=""/>
    <n v="0.23335"/>
    <m/>
    <m/>
    <n v="2.9346000000000001"/>
    <m/>
    <m/>
    <m/>
    <m/>
    <m/>
    <m/>
    <m/>
    <n v="2.9346000000000001"/>
    <m/>
    <m/>
    <m/>
    <m/>
    <n v="0.23335"/>
    <m/>
    <m/>
    <m/>
    <m/>
    <m/>
    <m/>
    <m/>
    <n v="0.23335"/>
    <m/>
    <m/>
  </r>
  <r>
    <x v="9"/>
    <x v="213"/>
    <m/>
    <m/>
    <m/>
    <s v="PL"/>
    <m/>
    <s v="Agrifootprint process: Sugar beet molasses, from sugar production, at plant/PL Mass"/>
    <m/>
    <m/>
    <s v="Blonk Consultants. Agri-Footprint 2.0. 2015 [cited 2015] Available from: http://www.agrifootprint."/>
    <m/>
    <m/>
    <m/>
    <m/>
    <m/>
    <m/>
    <m/>
    <m/>
    <m/>
    <m/>
    <m/>
    <m/>
    <m/>
    <m/>
    <m/>
    <m/>
    <m/>
    <m/>
    <s v=""/>
    <n v="3.7627999999999999"/>
    <s v=""/>
    <n v="0.34007999999999999"/>
    <m/>
    <m/>
    <n v="3.7627999999999999"/>
    <m/>
    <m/>
    <m/>
    <m/>
    <m/>
    <m/>
    <m/>
    <n v="3.7627999999999999"/>
    <m/>
    <m/>
    <m/>
    <m/>
    <n v="0.34007999999999999"/>
    <m/>
    <m/>
    <m/>
    <m/>
    <m/>
    <m/>
    <m/>
    <n v="0.34007999999999999"/>
    <m/>
    <m/>
  </r>
  <r>
    <x v="9"/>
    <x v="213"/>
    <m/>
    <m/>
    <m/>
    <s v="FR"/>
    <m/>
    <s v="Agrifootprint process: Sugar beet molasses, from sugar production, at plant/FR Mass"/>
    <m/>
    <m/>
    <s v="Blonk Consultants. Agri-Footprint 2.0. 2015 [cited 2015] Available from: http://www.agrifootprint."/>
    <m/>
    <m/>
    <m/>
    <m/>
    <m/>
    <m/>
    <m/>
    <m/>
    <m/>
    <m/>
    <m/>
    <m/>
    <m/>
    <m/>
    <m/>
    <m/>
    <m/>
    <m/>
    <s v=""/>
    <n v="3.5030000000000001"/>
    <s v=""/>
    <n v="0.26682"/>
    <m/>
    <m/>
    <n v="3.5030000000000001"/>
    <m/>
    <m/>
    <m/>
    <m/>
    <m/>
    <m/>
    <m/>
    <n v="3.5030000000000001"/>
    <m/>
    <m/>
    <m/>
    <m/>
    <n v="0.26682"/>
    <m/>
    <m/>
    <m/>
    <m/>
    <m/>
    <m/>
    <m/>
    <n v="0.26682"/>
    <m/>
    <m/>
  </r>
  <r>
    <x v="9"/>
    <x v="213"/>
    <m/>
    <m/>
    <m/>
    <s v="DE"/>
    <m/>
    <s v="Agrifootprint process: Sugar beet molasses, from sugar production, at plant/DE Mass"/>
    <m/>
    <m/>
    <s v="Blonk Consultants. Agri-Footprint 2.0. 2015 [cited 2015] Available from: http://www.agrifootprint."/>
    <m/>
    <m/>
    <m/>
    <m/>
    <m/>
    <m/>
    <m/>
    <m/>
    <m/>
    <m/>
    <m/>
    <m/>
    <m/>
    <m/>
    <m/>
    <m/>
    <m/>
    <m/>
    <s v=""/>
    <n v="3.7029999999999998"/>
    <s v=""/>
    <n v="0.31012000000000001"/>
    <m/>
    <m/>
    <n v="3.7029999999999998"/>
    <m/>
    <m/>
    <m/>
    <m/>
    <m/>
    <m/>
    <m/>
    <n v="3.7029999999999998"/>
    <m/>
    <m/>
    <m/>
    <m/>
    <n v="0.31012000000000001"/>
    <m/>
    <m/>
    <m/>
    <m/>
    <m/>
    <m/>
    <m/>
    <n v="0.31012000000000001"/>
    <m/>
    <m/>
  </r>
  <r>
    <x v="3"/>
    <x v="214"/>
    <m/>
    <m/>
    <m/>
    <s v="TH"/>
    <m/>
    <s v="Agrifootprint process: Cassava, at farm/TH Mass"/>
    <m/>
    <m/>
    <s v="Blonk Consultants. Agri-Footprint 2.0. 2015 [cited 2015] Available from: http://www.agrifootprint."/>
    <m/>
    <m/>
    <m/>
    <m/>
    <m/>
    <m/>
    <m/>
    <m/>
    <m/>
    <m/>
    <m/>
    <m/>
    <m/>
    <m/>
    <m/>
    <m/>
    <m/>
    <m/>
    <n v="0.625"/>
    <s v=""/>
    <n v="7.8799999999999995E-2"/>
    <s v=""/>
    <m/>
    <m/>
    <m/>
    <m/>
    <m/>
    <m/>
    <m/>
    <m/>
    <m/>
    <n v="0.625"/>
    <m/>
    <m/>
    <m/>
    <m/>
    <m/>
    <m/>
    <m/>
    <m/>
    <m/>
    <m/>
    <m/>
    <m/>
    <n v="7.8799999999999995E-2"/>
    <m/>
    <m/>
    <m/>
  </r>
  <r>
    <x v="3"/>
    <x v="215"/>
    <m/>
    <m/>
    <m/>
    <s v="BE"/>
    <m/>
    <s v="Agrifootprint process: Chicory root, at farm/BE Mass"/>
    <m/>
    <m/>
    <s v="Blonk Consultants. Agri-Footprint 2.0. 2015 [cited 2015] Available from: http://www.agrifootprint."/>
    <m/>
    <m/>
    <m/>
    <m/>
    <m/>
    <m/>
    <m/>
    <m/>
    <m/>
    <m/>
    <m/>
    <m/>
    <m/>
    <m/>
    <m/>
    <m/>
    <m/>
    <m/>
    <n v="0.14480000000000001"/>
    <s v=""/>
    <n v="4.4065E-2"/>
    <s v=""/>
    <m/>
    <m/>
    <m/>
    <m/>
    <m/>
    <m/>
    <m/>
    <m/>
    <m/>
    <n v="0.14480000000000001"/>
    <m/>
    <m/>
    <m/>
    <m/>
    <m/>
    <m/>
    <m/>
    <m/>
    <m/>
    <m/>
    <m/>
    <m/>
    <n v="4.4065E-2"/>
    <m/>
    <m/>
    <m/>
  </r>
  <r>
    <x v="3"/>
    <x v="215"/>
    <m/>
    <m/>
    <m/>
    <s v="NL"/>
    <m/>
    <s v="Agrifootprint process: Chicory root, at farm/NL Mass"/>
    <m/>
    <m/>
    <s v="Blonk Consultants. Agri-Footprint 2.0. 2015 [cited 2015] Available from: http://www.agrifootprint."/>
    <m/>
    <m/>
    <m/>
    <m/>
    <m/>
    <m/>
    <m/>
    <m/>
    <m/>
    <m/>
    <m/>
    <m/>
    <m/>
    <m/>
    <m/>
    <m/>
    <m/>
    <m/>
    <n v="0.16400000000000001"/>
    <s v=""/>
    <n v="5.6827000000000003E-2"/>
    <s v=""/>
    <m/>
    <m/>
    <m/>
    <m/>
    <m/>
    <m/>
    <m/>
    <m/>
    <m/>
    <n v="0.16400000000000001"/>
    <m/>
    <m/>
    <m/>
    <m/>
    <m/>
    <m/>
    <m/>
    <m/>
    <m/>
    <m/>
    <m/>
    <m/>
    <n v="5.6827000000000003E-2"/>
    <m/>
    <m/>
    <m/>
  </r>
  <r>
    <x v="8"/>
    <x v="216"/>
    <m/>
    <m/>
    <m/>
    <s v="ID"/>
    <m/>
    <s v="Agrifootprint process: Refined coconut oil, at plant/ID Mass"/>
    <m/>
    <m/>
    <s v="Blonk Consultants. Agri-Footprint 2.0. 2015 [cited 2015] Available from: http://www.agrifootprint."/>
    <m/>
    <m/>
    <m/>
    <m/>
    <m/>
    <m/>
    <m/>
    <m/>
    <m/>
    <m/>
    <m/>
    <m/>
    <m/>
    <m/>
    <m/>
    <m/>
    <m/>
    <m/>
    <s v=""/>
    <n v="10.811221"/>
    <s v=""/>
    <n v="3.8596341000000001"/>
    <m/>
    <m/>
    <n v="10.811221"/>
    <m/>
    <m/>
    <m/>
    <m/>
    <m/>
    <m/>
    <m/>
    <n v="10.811221"/>
    <m/>
    <m/>
    <m/>
    <m/>
    <n v="3.8596341000000001"/>
    <m/>
    <m/>
    <m/>
    <m/>
    <m/>
    <m/>
    <m/>
    <n v="3.8596341000000001"/>
    <m/>
    <m/>
  </r>
  <r>
    <x v="8"/>
    <x v="216"/>
    <m/>
    <m/>
    <m/>
    <s v="IN"/>
    <m/>
    <s v="Agrifootprint process: Refined coconut oil, at plant/IN Mass"/>
    <m/>
    <m/>
    <s v="Blonk Consultants. Agri-Footprint 2.0. 2015 [cited 2015] Available from: http://www.agrifootprint."/>
    <m/>
    <m/>
    <m/>
    <m/>
    <m/>
    <m/>
    <m/>
    <m/>
    <m/>
    <m/>
    <m/>
    <m/>
    <m/>
    <m/>
    <m/>
    <m/>
    <m/>
    <m/>
    <s v=""/>
    <n v="12.123262"/>
    <s v=""/>
    <n v="2.0942848999999999"/>
    <m/>
    <m/>
    <n v="12.123262"/>
    <m/>
    <m/>
    <m/>
    <m/>
    <m/>
    <m/>
    <m/>
    <n v="12.123262"/>
    <m/>
    <m/>
    <m/>
    <m/>
    <n v="2.0942848999999999"/>
    <m/>
    <m/>
    <m/>
    <m/>
    <m/>
    <m/>
    <m/>
    <n v="2.0942848999999999"/>
    <m/>
    <m/>
  </r>
  <r>
    <x v="8"/>
    <x v="216"/>
    <m/>
    <m/>
    <m/>
    <s v="PH"/>
    <m/>
    <s v="Agrifootprint process: Refined coconut oil, at plant/PH Mass"/>
    <m/>
    <m/>
    <s v="Blonk Consultants. Agri-Footprint 2.0. 2015 [cited 2015] Available from: http://www.agrifootprint."/>
    <m/>
    <m/>
    <m/>
    <m/>
    <m/>
    <m/>
    <m/>
    <m/>
    <m/>
    <m/>
    <m/>
    <m/>
    <m/>
    <m/>
    <m/>
    <m/>
    <m/>
    <m/>
    <s v=""/>
    <n v="12.765396000000001"/>
    <s v=""/>
    <n v="2.2343989"/>
    <m/>
    <m/>
    <n v="12.765396000000001"/>
    <m/>
    <m/>
    <m/>
    <m/>
    <m/>
    <m/>
    <m/>
    <n v="12.765396000000001"/>
    <m/>
    <m/>
    <m/>
    <m/>
    <n v="2.2343989"/>
    <m/>
    <m/>
    <m/>
    <m/>
    <m/>
    <m/>
    <m/>
    <n v="2.2343989"/>
    <m/>
    <m/>
  </r>
  <r>
    <x v="8"/>
    <x v="123"/>
    <m/>
    <m/>
    <m/>
    <s v="US"/>
    <m/>
    <s v="Agrifootprint process: Refined maize germ oil, (pressing), at plant/US Mass"/>
    <m/>
    <m/>
    <s v="Blonk Consultants. Agri-Footprint 2.0. 2015 [cited 2015] Available from: http://www.agrifootprint."/>
    <m/>
    <m/>
    <m/>
    <m/>
    <m/>
    <m/>
    <m/>
    <m/>
    <m/>
    <m/>
    <m/>
    <m/>
    <m/>
    <m/>
    <m/>
    <m/>
    <m/>
    <m/>
    <s v=""/>
    <n v="14.681468000000001"/>
    <s v=""/>
    <n v="1.1531735000000001"/>
    <m/>
    <m/>
    <n v="14.681468000000001"/>
    <m/>
    <m/>
    <m/>
    <m/>
    <m/>
    <m/>
    <m/>
    <n v="14.681468000000001"/>
    <m/>
    <m/>
    <m/>
    <m/>
    <n v="1.1531735000000001"/>
    <m/>
    <m/>
    <m/>
    <m/>
    <m/>
    <m/>
    <m/>
    <n v="1.1531735000000001"/>
    <m/>
    <m/>
  </r>
  <r>
    <x v="8"/>
    <x v="123"/>
    <m/>
    <m/>
    <m/>
    <s v="US"/>
    <m/>
    <s v="Agrifootprint process: Refined maize germ oil, (solvent), at plant/US Mass"/>
    <m/>
    <m/>
    <s v="Blonk Consultants. Agri-Footprint 2.0. 2015 [cited 2015] Available from: http://www.agrifootprint."/>
    <m/>
    <m/>
    <m/>
    <m/>
    <m/>
    <m/>
    <m/>
    <m/>
    <m/>
    <m/>
    <m/>
    <m/>
    <m/>
    <m/>
    <m/>
    <m/>
    <m/>
    <m/>
    <s v=""/>
    <n v="15.649869000000001"/>
    <s v=""/>
    <n v="1.2454783"/>
    <m/>
    <m/>
    <n v="15.649869000000001"/>
    <m/>
    <m/>
    <m/>
    <m/>
    <m/>
    <m/>
    <m/>
    <n v="15.649869000000001"/>
    <m/>
    <m/>
    <m/>
    <m/>
    <n v="1.2454783"/>
    <m/>
    <m/>
    <m/>
    <m/>
    <m/>
    <m/>
    <m/>
    <n v="1.2454783"/>
    <m/>
    <m/>
  </r>
  <r>
    <x v="8"/>
    <x v="46"/>
    <m/>
    <m/>
    <m/>
    <s v="ID"/>
    <m/>
    <s v="Agrifootprint process: Refined palm kernel oil, at plant/ID Mass"/>
    <m/>
    <m/>
    <s v="Blonk Consultants. Agri-Footprint 2.0. 2015 [cited 2015] Available from: http://www.agrifootprint."/>
    <m/>
    <m/>
    <m/>
    <m/>
    <m/>
    <m/>
    <m/>
    <m/>
    <m/>
    <m/>
    <m/>
    <m/>
    <m/>
    <m/>
    <m/>
    <m/>
    <m/>
    <m/>
    <s v=""/>
    <n v="9.5381681"/>
    <s v=""/>
    <n v="11.189705"/>
    <m/>
    <m/>
    <n v="9.5381681"/>
    <m/>
    <m/>
    <m/>
    <m/>
    <m/>
    <m/>
    <m/>
    <n v="9.5381681"/>
    <m/>
    <m/>
    <m/>
    <m/>
    <n v="11.189705"/>
    <m/>
    <m/>
    <m/>
    <m/>
    <m/>
    <m/>
    <m/>
    <n v="11.189705"/>
    <m/>
    <m/>
  </r>
  <r>
    <x v="8"/>
    <x v="46"/>
    <m/>
    <m/>
    <m/>
    <s v="MY"/>
    <m/>
    <s v="Agrifootprint process: Refined palm kernel oil, at plant/MY Mass"/>
    <m/>
    <m/>
    <s v="Blonk Consultants. Agri-Footprint 2.0. 2015 [cited 2015] Available from: http://www.agrifootprint."/>
    <m/>
    <m/>
    <m/>
    <m/>
    <m/>
    <m/>
    <m/>
    <m/>
    <m/>
    <m/>
    <m/>
    <m/>
    <m/>
    <m/>
    <m/>
    <m/>
    <m/>
    <m/>
    <s v=""/>
    <n v="9.6309094999999996"/>
    <s v=""/>
    <n v="5.4762399999999998"/>
    <m/>
    <m/>
    <n v="9.6309094999999996"/>
    <m/>
    <m/>
    <m/>
    <m/>
    <m/>
    <m/>
    <m/>
    <n v="9.6309094999999996"/>
    <m/>
    <m/>
    <m/>
    <m/>
    <n v="5.4762399999999998"/>
    <m/>
    <m/>
    <m/>
    <m/>
    <m/>
    <m/>
    <m/>
    <n v="5.4762399999999998"/>
    <m/>
    <m/>
  </r>
  <r>
    <x v="8"/>
    <x v="46"/>
    <m/>
    <m/>
    <m/>
    <s v="NL"/>
    <m/>
    <s v="Agrifootprint process: Refined palm oil, at plant/NL Mass"/>
    <m/>
    <m/>
    <s v="Blonk Consultants. Agri-Footprint 2.0. 2015 [cited 2015] Available from: http://www.agrifootprint."/>
    <m/>
    <m/>
    <m/>
    <m/>
    <m/>
    <m/>
    <m/>
    <m/>
    <m/>
    <m/>
    <m/>
    <m/>
    <m/>
    <m/>
    <m/>
    <m/>
    <m/>
    <m/>
    <s v=""/>
    <n v="11.043447"/>
    <s v=""/>
    <n v="7.9745176999999998"/>
    <m/>
    <m/>
    <n v="11.043447"/>
    <m/>
    <m/>
    <m/>
    <m/>
    <m/>
    <m/>
    <m/>
    <n v="11.043447"/>
    <m/>
    <m/>
    <m/>
    <m/>
    <n v="7.9745176999999998"/>
    <m/>
    <m/>
    <m/>
    <m/>
    <m/>
    <m/>
    <m/>
    <n v="7.9745176999999998"/>
    <m/>
    <m/>
  </r>
  <r>
    <x v="11"/>
    <x v="217"/>
    <m/>
    <m/>
    <m/>
    <s v="IN"/>
    <m/>
    <s v="Agrifootprint process: Pigeon pea, at farm/IN Mass"/>
    <m/>
    <m/>
    <s v="Blonk Consultants. Agri-Footprint 2.0. 2015 [cited 2015] Available from: http://www.agrifootprint."/>
    <m/>
    <m/>
    <m/>
    <m/>
    <m/>
    <m/>
    <m/>
    <m/>
    <m/>
    <m/>
    <m/>
    <m/>
    <m/>
    <m/>
    <m/>
    <m/>
    <m/>
    <m/>
    <n v="3.2267999999999999"/>
    <s v=""/>
    <n v="1.0539000000000001"/>
    <s v=""/>
    <m/>
    <m/>
    <m/>
    <m/>
    <m/>
    <m/>
    <m/>
    <m/>
    <m/>
    <n v="3.2267999999999999"/>
    <m/>
    <m/>
    <m/>
    <m/>
    <m/>
    <m/>
    <m/>
    <m/>
    <m/>
    <m/>
    <m/>
    <m/>
    <n v="1.0539000000000001"/>
    <m/>
    <m/>
    <m/>
  </r>
  <r>
    <x v="5"/>
    <x v="218"/>
    <m/>
    <m/>
    <m/>
    <s v="CN"/>
    <m/>
    <s v="Agrifootprint process: Rice bran, from dry milling, raw, at plant/CN Mass"/>
    <m/>
    <m/>
    <s v="Blonk Consultants. Agri-Footprint 2.0. 2015 [cited 2015] Available from: http://www.agrifootprint."/>
    <m/>
    <m/>
    <m/>
    <m/>
    <m/>
    <m/>
    <m/>
    <m/>
    <m/>
    <m/>
    <m/>
    <m/>
    <m/>
    <m/>
    <m/>
    <m/>
    <m/>
    <m/>
    <s v=""/>
    <n v="5.3975"/>
    <s v=""/>
    <n v="1.3567"/>
    <m/>
    <m/>
    <n v="5.3975"/>
    <m/>
    <m/>
    <m/>
    <m/>
    <m/>
    <m/>
    <m/>
    <n v="5.3975"/>
    <m/>
    <m/>
    <m/>
    <m/>
    <n v="1.3567"/>
    <m/>
    <m/>
    <m/>
    <m/>
    <m/>
    <m/>
    <m/>
    <n v="1.3567"/>
    <m/>
    <m/>
  </r>
  <r>
    <x v="5"/>
    <x v="219"/>
    <m/>
    <m/>
    <m/>
    <s v="BE"/>
    <m/>
    <s v="Agrifootprint process: Rye flour, from dry milling, at plant/BE Mass"/>
    <m/>
    <m/>
    <s v="Blonk Consultants. Agri-Footprint 2.0. 2015 [cited 2015] Available from: http://www.agrifootprint."/>
    <m/>
    <m/>
    <m/>
    <m/>
    <m/>
    <m/>
    <m/>
    <m/>
    <m/>
    <m/>
    <m/>
    <m/>
    <m/>
    <m/>
    <m/>
    <m/>
    <m/>
    <m/>
    <s v=""/>
    <n v="4.3230949000000001"/>
    <s v=""/>
    <n v="0.42067012999999998"/>
    <m/>
    <m/>
    <n v="4.3230949000000001"/>
    <m/>
    <m/>
    <m/>
    <m/>
    <m/>
    <m/>
    <m/>
    <n v="4.3230949000000001"/>
    <m/>
    <m/>
    <m/>
    <m/>
    <n v="0.42067012999999998"/>
    <m/>
    <m/>
    <m/>
    <m/>
    <m/>
    <m/>
    <m/>
    <n v="0.42067012999999998"/>
    <m/>
    <m/>
  </r>
  <r>
    <x v="5"/>
    <x v="219"/>
    <m/>
    <m/>
    <m/>
    <s v="DE"/>
    <m/>
    <s v="Agrifootprint process: Rye flour, from dry milling, at plant/DE Mass"/>
    <m/>
    <m/>
    <s v="Blonk Consultants. Agri-Footprint 2.0. 2015 [cited 2015] Available from: http://www.agrifootprint."/>
    <m/>
    <m/>
    <m/>
    <m/>
    <m/>
    <m/>
    <m/>
    <m/>
    <m/>
    <m/>
    <m/>
    <m/>
    <m/>
    <m/>
    <m/>
    <m/>
    <m/>
    <m/>
    <s v=""/>
    <n v="3.5523142999999999"/>
    <s v=""/>
    <n v="0.39468321000000001"/>
    <m/>
    <m/>
    <n v="3.5523142999999999"/>
    <m/>
    <m/>
    <m/>
    <m/>
    <m/>
    <m/>
    <m/>
    <n v="3.5523142999999999"/>
    <m/>
    <m/>
    <m/>
    <m/>
    <n v="0.39468321000000001"/>
    <m/>
    <m/>
    <m/>
    <m/>
    <m/>
    <m/>
    <m/>
    <n v="0.39468321000000001"/>
    <m/>
    <m/>
  </r>
  <r>
    <x v="5"/>
    <x v="219"/>
    <m/>
    <m/>
    <m/>
    <s v="NL"/>
    <m/>
    <s v="Agrifootprint process: Rye flour, from dry milling, at plant/NL Mass"/>
    <m/>
    <m/>
    <s v="Blonk Consultants. Agri-Footprint 2.0. 2015 [cited 2015] Available from: http://www.agrifootprint."/>
    <m/>
    <m/>
    <m/>
    <m/>
    <m/>
    <m/>
    <m/>
    <m/>
    <m/>
    <m/>
    <m/>
    <m/>
    <m/>
    <m/>
    <m/>
    <m/>
    <m/>
    <m/>
    <s v=""/>
    <n v="3.9704747999999999"/>
    <s v=""/>
    <n v="0.43798810999999999"/>
    <m/>
    <m/>
    <n v="3.9704747999999999"/>
    <m/>
    <m/>
    <m/>
    <m/>
    <m/>
    <m/>
    <m/>
    <n v="3.9704747999999999"/>
    <m/>
    <m/>
    <m/>
    <m/>
    <n v="0.43798810999999999"/>
    <m/>
    <m/>
    <m/>
    <m/>
    <m/>
    <m/>
    <m/>
    <n v="0.43798810999999999"/>
    <m/>
    <m/>
  </r>
  <r>
    <x v="5"/>
    <x v="220"/>
    <m/>
    <m/>
    <m/>
    <s v="AT"/>
    <m/>
    <s v="Agrifootprint process: Rye grain, dried, at farm/AT Mass"/>
    <m/>
    <m/>
    <s v="Blonk Consultants. Agri-Footprint 2.0. 2015 [cited 2015] Available from: http://www.agrifootprint."/>
    <m/>
    <m/>
    <m/>
    <m/>
    <m/>
    <m/>
    <m/>
    <m/>
    <m/>
    <m/>
    <m/>
    <m/>
    <m/>
    <m/>
    <m/>
    <m/>
    <m/>
    <m/>
    <n v="1.7805606"/>
    <s v=""/>
    <n v="0.27597774000000003"/>
    <s v=""/>
    <m/>
    <m/>
    <m/>
    <m/>
    <m/>
    <m/>
    <m/>
    <m/>
    <m/>
    <n v="1.7805606"/>
    <m/>
    <m/>
    <m/>
    <m/>
    <m/>
    <m/>
    <m/>
    <m/>
    <m/>
    <m/>
    <m/>
    <m/>
    <n v="0.27597774000000003"/>
    <m/>
    <m/>
    <m/>
  </r>
  <r>
    <x v="5"/>
    <x v="220"/>
    <m/>
    <m/>
    <m/>
    <s v="BE"/>
    <m/>
    <s v="Agrifootprint process: Rye grain, dried, at farm/BE Mass"/>
    <m/>
    <m/>
    <s v="Blonk Consultants. Agri-Footprint 2.0. 2015 [cited 2015] Available from: http://www.agrifootprint."/>
    <m/>
    <m/>
    <m/>
    <m/>
    <m/>
    <m/>
    <m/>
    <m/>
    <m/>
    <m/>
    <m/>
    <m/>
    <m/>
    <m/>
    <m/>
    <m/>
    <m/>
    <m/>
    <n v="1.850662"/>
    <s v=""/>
    <n v="0.33297652999999999"/>
    <s v=""/>
    <m/>
    <m/>
    <m/>
    <m/>
    <m/>
    <m/>
    <m/>
    <m/>
    <m/>
    <n v="1.850662"/>
    <m/>
    <m/>
    <m/>
    <m/>
    <m/>
    <m/>
    <m/>
    <m/>
    <m/>
    <m/>
    <m/>
    <m/>
    <n v="0.33297652999999999"/>
    <m/>
    <m/>
    <m/>
  </r>
  <r>
    <x v="5"/>
    <x v="220"/>
    <m/>
    <m/>
    <m/>
    <s v="BG"/>
    <m/>
    <s v="Agrifootprint process: Rye grain, dried, at farm/BG Mass"/>
    <m/>
    <m/>
    <s v="Blonk Consultants. Agri-Footprint 2.0. 2015 [cited 2015] Available from: http://www.agrifootprint."/>
    <m/>
    <m/>
    <m/>
    <m/>
    <m/>
    <m/>
    <m/>
    <m/>
    <m/>
    <m/>
    <m/>
    <m/>
    <m/>
    <m/>
    <m/>
    <m/>
    <m/>
    <m/>
    <n v="2.9174134"/>
    <s v=""/>
    <n v="0.36690483000000002"/>
    <s v=""/>
    <m/>
    <m/>
    <m/>
    <m/>
    <m/>
    <m/>
    <m/>
    <m/>
    <m/>
    <n v="2.9174134"/>
    <m/>
    <m/>
    <m/>
    <m/>
    <m/>
    <m/>
    <m/>
    <m/>
    <m/>
    <m/>
    <m/>
    <m/>
    <n v="0.36690483000000002"/>
    <m/>
    <m/>
    <m/>
  </r>
  <r>
    <x v="5"/>
    <x v="220"/>
    <m/>
    <m/>
    <m/>
    <s v="CZ"/>
    <m/>
    <s v="Agrifootprint process: Rye grain, dried, at farm/CZ Mass"/>
    <m/>
    <m/>
    <s v="Blonk Consultants. Agri-Footprint 2.0. 2015 [cited 2015] Available from: http://www.agrifootprint."/>
    <m/>
    <m/>
    <m/>
    <m/>
    <m/>
    <m/>
    <m/>
    <m/>
    <m/>
    <m/>
    <m/>
    <m/>
    <m/>
    <m/>
    <m/>
    <m/>
    <m/>
    <m/>
    <n v="1.9777943"/>
    <s v=""/>
    <n v="0.28285407000000001"/>
    <s v=""/>
    <m/>
    <m/>
    <m/>
    <m/>
    <m/>
    <m/>
    <m/>
    <m/>
    <m/>
    <n v="1.9777943"/>
    <m/>
    <m/>
    <m/>
    <m/>
    <m/>
    <m/>
    <m/>
    <m/>
    <m/>
    <m/>
    <m/>
    <m/>
    <n v="0.28285407000000001"/>
    <m/>
    <m/>
    <m/>
  </r>
  <r>
    <x v="5"/>
    <x v="220"/>
    <m/>
    <m/>
    <m/>
    <s v="DE"/>
    <m/>
    <s v="Agrifootprint process: Rye grain, dried, at farm/DE Mass"/>
    <m/>
    <m/>
    <s v="Blonk Consultants. Agri-Footprint 2.0. 2015 [cited 2015] Available from: http://www.agrifootprint."/>
    <m/>
    <m/>
    <m/>
    <m/>
    <m/>
    <m/>
    <m/>
    <m/>
    <m/>
    <m/>
    <m/>
    <m/>
    <m/>
    <m/>
    <m/>
    <m/>
    <m/>
    <m/>
    <n v="2.0300755000000001"/>
    <s v=""/>
    <n v="0.29365765999999999"/>
    <s v=""/>
    <m/>
    <m/>
    <m/>
    <m/>
    <m/>
    <m/>
    <m/>
    <m/>
    <m/>
    <n v="2.0300755000000001"/>
    <m/>
    <m/>
    <m/>
    <m/>
    <m/>
    <m/>
    <m/>
    <m/>
    <m/>
    <m/>
    <m/>
    <m/>
    <n v="0.29365765999999999"/>
    <m/>
    <m/>
    <m/>
  </r>
  <r>
    <x v="5"/>
    <x v="220"/>
    <m/>
    <m/>
    <m/>
    <s v="DK"/>
    <m/>
    <s v="Agrifootprint process: Rye grain, dried, at farm/DK Mass"/>
    <m/>
    <m/>
    <s v="Blonk Consultants. Agri-Footprint 2.0. 2015 [cited 2015] Available from: http://www.agrifootprint."/>
    <m/>
    <m/>
    <m/>
    <m/>
    <m/>
    <m/>
    <m/>
    <m/>
    <m/>
    <m/>
    <m/>
    <m/>
    <m/>
    <m/>
    <m/>
    <m/>
    <m/>
    <m/>
    <n v="1.3678718000000001"/>
    <s v=""/>
    <n v="0.2390169"/>
    <s v=""/>
    <m/>
    <m/>
    <m/>
    <m/>
    <m/>
    <m/>
    <m/>
    <m/>
    <m/>
    <n v="1.3678718000000001"/>
    <m/>
    <m/>
    <m/>
    <m/>
    <m/>
    <m/>
    <m/>
    <m/>
    <m/>
    <m/>
    <m/>
    <m/>
    <n v="0.2390169"/>
    <m/>
    <m/>
    <m/>
  </r>
  <r>
    <x v="5"/>
    <x v="220"/>
    <m/>
    <m/>
    <m/>
    <s v="EE"/>
    <m/>
    <s v="Agrifootprint process: Rye grain, dried, at farm/EE Mass"/>
    <m/>
    <m/>
    <s v="Blonk Consultants. Agri-Footprint 2.0. 2015 [cited 2015] Available from: http://www.agrifootprint."/>
    <m/>
    <m/>
    <m/>
    <m/>
    <m/>
    <m/>
    <m/>
    <m/>
    <m/>
    <m/>
    <m/>
    <m/>
    <m/>
    <m/>
    <m/>
    <m/>
    <m/>
    <m/>
    <n v="2.8377842000000002"/>
    <s v=""/>
    <n v="0.37842503"/>
    <s v=""/>
    <m/>
    <m/>
    <m/>
    <m/>
    <m/>
    <m/>
    <m/>
    <m/>
    <m/>
    <n v="2.8377842000000002"/>
    <m/>
    <m/>
    <m/>
    <m/>
    <m/>
    <m/>
    <m/>
    <m/>
    <m/>
    <m/>
    <m/>
    <m/>
    <n v="0.37842503"/>
    <m/>
    <m/>
    <m/>
  </r>
  <r>
    <x v="5"/>
    <x v="220"/>
    <m/>
    <m/>
    <m/>
    <s v="ES"/>
    <m/>
    <s v="Agrifootprint process: Rye grain, dried, at farm/ES Mass"/>
    <m/>
    <m/>
    <s v="Blonk Consultants. Agri-Footprint 2.0. 2015 [cited 2015] Available from: http://www.agrifootprint."/>
    <m/>
    <m/>
    <m/>
    <m/>
    <m/>
    <m/>
    <m/>
    <m/>
    <m/>
    <m/>
    <m/>
    <m/>
    <m/>
    <m/>
    <m/>
    <m/>
    <m/>
    <m/>
    <n v="3.7718463"/>
    <s v=""/>
    <n v="0.49762219000000002"/>
    <s v=""/>
    <m/>
    <m/>
    <m/>
    <m/>
    <m/>
    <m/>
    <m/>
    <m/>
    <m/>
    <n v="3.7718463"/>
    <m/>
    <m/>
    <m/>
    <m/>
    <m/>
    <m/>
    <m/>
    <m/>
    <m/>
    <m/>
    <m/>
    <m/>
    <n v="0.49762219000000002"/>
    <m/>
    <m/>
    <m/>
  </r>
  <r>
    <x v="5"/>
    <x v="220"/>
    <m/>
    <m/>
    <m/>
    <s v="FI"/>
    <m/>
    <s v="Agrifootprint process: Rye grain, dried, at farm/FI Mass"/>
    <m/>
    <m/>
    <s v="Blonk Consultants. Agri-Footprint 2.0. 2015 [cited 2015] Available from: http://www.agrifootprint."/>
    <m/>
    <m/>
    <m/>
    <m/>
    <m/>
    <m/>
    <m/>
    <m/>
    <m/>
    <m/>
    <m/>
    <m/>
    <m/>
    <m/>
    <m/>
    <m/>
    <m/>
    <m/>
    <n v="2.7070300999999999"/>
    <s v=""/>
    <n v="0.3903586"/>
    <s v=""/>
    <m/>
    <m/>
    <m/>
    <m/>
    <m/>
    <m/>
    <m/>
    <m/>
    <m/>
    <n v="2.7070300999999999"/>
    <m/>
    <m/>
    <m/>
    <m/>
    <m/>
    <m/>
    <m/>
    <m/>
    <m/>
    <m/>
    <m/>
    <m/>
    <n v="0.3903586"/>
    <m/>
    <m/>
    <m/>
  </r>
  <r>
    <x v="5"/>
    <x v="220"/>
    <m/>
    <m/>
    <m/>
    <s v="FR"/>
    <m/>
    <s v="Agrifootprint process: Rye grain, dried, at farm/FR Mass"/>
    <m/>
    <m/>
    <s v="Blonk Consultants. Agri-Footprint 2.0. 2015 [cited 2015] Available from: http://www.agrifootprint."/>
    <m/>
    <m/>
    <m/>
    <m/>
    <m/>
    <m/>
    <m/>
    <m/>
    <m/>
    <m/>
    <m/>
    <m/>
    <m/>
    <m/>
    <m/>
    <m/>
    <m/>
    <m/>
    <n v="1.7102907000000001"/>
    <s v=""/>
    <n v="0.24326358000000001"/>
    <s v=""/>
    <m/>
    <m/>
    <m/>
    <m/>
    <m/>
    <m/>
    <m/>
    <m/>
    <m/>
    <n v="1.7102907000000001"/>
    <m/>
    <m/>
    <m/>
    <m/>
    <m/>
    <m/>
    <m/>
    <m/>
    <m/>
    <m/>
    <m/>
    <m/>
    <n v="0.24326358000000001"/>
    <m/>
    <m/>
    <m/>
  </r>
  <r>
    <x v="5"/>
    <x v="220"/>
    <m/>
    <m/>
    <m/>
    <s v="GR"/>
    <m/>
    <s v="Agrifootprint process: Rye grain, dried, at farm/GR Mass"/>
    <m/>
    <m/>
    <s v="Blonk Consultants. Agri-Footprint 2.0. 2015 [cited 2015] Available from: http://www.agrifootprint."/>
    <m/>
    <m/>
    <m/>
    <m/>
    <m/>
    <m/>
    <m/>
    <m/>
    <m/>
    <m/>
    <m/>
    <m/>
    <m/>
    <m/>
    <m/>
    <m/>
    <m/>
    <m/>
    <n v="3.2257494000000002"/>
    <s v=""/>
    <n v="0.46447648000000002"/>
    <s v=""/>
    <m/>
    <m/>
    <m/>
    <m/>
    <m/>
    <m/>
    <m/>
    <m/>
    <m/>
    <n v="3.2257494000000002"/>
    <m/>
    <m/>
    <m/>
    <m/>
    <m/>
    <m/>
    <m/>
    <m/>
    <m/>
    <m/>
    <m/>
    <m/>
    <n v="0.46447648000000002"/>
    <m/>
    <m/>
    <m/>
  </r>
  <r>
    <x v="5"/>
    <x v="220"/>
    <m/>
    <m/>
    <m/>
    <s v="HU"/>
    <m/>
    <s v="Agrifootprint process: Rye grain, dried, at farm/HU Mass"/>
    <m/>
    <m/>
    <s v="Blonk Consultants. Agri-Footprint 2.0. 2015 [cited 2015] Available from: http://www.agrifootprint."/>
    <m/>
    <m/>
    <m/>
    <m/>
    <m/>
    <m/>
    <m/>
    <m/>
    <m/>
    <m/>
    <m/>
    <m/>
    <m/>
    <m/>
    <m/>
    <m/>
    <m/>
    <m/>
    <n v="2.7191961999999998"/>
    <s v=""/>
    <n v="0.35876218999999998"/>
    <s v=""/>
    <m/>
    <m/>
    <m/>
    <m/>
    <m/>
    <m/>
    <m/>
    <m/>
    <m/>
    <n v="2.7191961999999998"/>
    <m/>
    <m/>
    <m/>
    <m/>
    <m/>
    <m/>
    <m/>
    <m/>
    <m/>
    <m/>
    <m/>
    <m/>
    <n v="0.35876218999999998"/>
    <m/>
    <m/>
    <m/>
  </r>
  <r>
    <x v="5"/>
    <x v="220"/>
    <m/>
    <m/>
    <m/>
    <s v="IT"/>
    <m/>
    <s v="Agrifootprint process: Rye grain, dried, at farm/IT Mass"/>
    <m/>
    <m/>
    <s v="Blonk Consultants. Agri-Footprint 2.0. 2015 [cited 2015] Available from: http://www.agrifootprint."/>
    <m/>
    <m/>
    <m/>
    <m/>
    <m/>
    <m/>
    <m/>
    <m/>
    <m/>
    <m/>
    <m/>
    <m/>
    <m/>
    <m/>
    <m/>
    <m/>
    <m/>
    <m/>
    <n v="3.1086014"/>
    <s v=""/>
    <n v="0.44209584000000002"/>
    <s v=""/>
    <m/>
    <m/>
    <m/>
    <m/>
    <m/>
    <m/>
    <m/>
    <m/>
    <m/>
    <n v="3.1086014"/>
    <m/>
    <m/>
    <m/>
    <m/>
    <m/>
    <m/>
    <m/>
    <m/>
    <m/>
    <m/>
    <m/>
    <m/>
    <n v="0.44209584000000002"/>
    <m/>
    <m/>
    <m/>
  </r>
  <r>
    <x v="5"/>
    <x v="220"/>
    <m/>
    <m/>
    <m/>
    <s v="LT"/>
    <m/>
    <s v="Agrifootprint process: Rye grain, dried, at farm/LT Mass"/>
    <m/>
    <m/>
    <s v="Blonk Consultants. Agri-Footprint 2.0. 2015 [cited 2015] Available from: http://www.agrifootprint."/>
    <m/>
    <m/>
    <m/>
    <m/>
    <m/>
    <m/>
    <m/>
    <m/>
    <m/>
    <m/>
    <m/>
    <m/>
    <m/>
    <m/>
    <m/>
    <m/>
    <m/>
    <m/>
    <n v="3.1931208"/>
    <s v=""/>
    <n v="0.40830355000000002"/>
    <s v=""/>
    <m/>
    <m/>
    <m/>
    <m/>
    <m/>
    <m/>
    <m/>
    <m/>
    <m/>
    <n v="3.1931208"/>
    <m/>
    <m/>
    <m/>
    <m/>
    <m/>
    <m/>
    <m/>
    <m/>
    <m/>
    <m/>
    <m/>
    <m/>
    <n v="0.40830355000000002"/>
    <m/>
    <m/>
    <m/>
  </r>
  <r>
    <x v="5"/>
    <x v="220"/>
    <m/>
    <m/>
    <m/>
    <s v="LV"/>
    <m/>
    <s v="Agrifootprint process: Rye grain, dried, at farm/LV Mass"/>
    <m/>
    <m/>
    <s v="Blonk Consultants. Agri-Footprint 2.0. 2015 [cited 2015] Available from: http://www.agrifootprint."/>
    <m/>
    <m/>
    <m/>
    <m/>
    <m/>
    <m/>
    <m/>
    <m/>
    <m/>
    <m/>
    <m/>
    <m/>
    <m/>
    <m/>
    <m/>
    <m/>
    <m/>
    <m/>
    <n v="2.3240387"/>
    <s v=""/>
    <n v="0.31438938"/>
    <s v=""/>
    <m/>
    <m/>
    <m/>
    <m/>
    <m/>
    <m/>
    <m/>
    <m/>
    <m/>
    <n v="2.3240387"/>
    <m/>
    <m/>
    <m/>
    <m/>
    <m/>
    <m/>
    <m/>
    <m/>
    <m/>
    <m/>
    <m/>
    <m/>
    <n v="0.31438938"/>
    <m/>
    <m/>
    <m/>
  </r>
  <r>
    <x v="5"/>
    <x v="220"/>
    <m/>
    <m/>
    <m/>
    <s v="NO"/>
    <m/>
    <s v="Agrifootprint process: Rye grain, dried, at farm/NO Mass"/>
    <m/>
    <m/>
    <s v="Blonk Consultants. Agri-Footprint 2.0. 2015 [cited 2015] Available from: http://www.agrifootprint."/>
    <m/>
    <m/>
    <m/>
    <m/>
    <m/>
    <m/>
    <m/>
    <m/>
    <m/>
    <m/>
    <m/>
    <m/>
    <m/>
    <m/>
    <m/>
    <m/>
    <m/>
    <m/>
    <n v="2.1946276"/>
    <s v=""/>
    <n v="0.42598944999999999"/>
    <s v=""/>
    <m/>
    <m/>
    <m/>
    <m/>
    <m/>
    <m/>
    <m/>
    <m/>
    <m/>
    <n v="2.1946276"/>
    <m/>
    <m/>
    <m/>
    <m/>
    <m/>
    <m/>
    <m/>
    <m/>
    <m/>
    <m/>
    <m/>
    <m/>
    <n v="0.42598944999999999"/>
    <m/>
    <m/>
    <m/>
  </r>
  <r>
    <x v="5"/>
    <x v="220"/>
    <m/>
    <m/>
    <m/>
    <s v="PL"/>
    <m/>
    <s v="Agrifootprint process: Rye grain, dried, at farm/PL Mass"/>
    <m/>
    <m/>
    <s v="Blonk Consultants. Agri-Footprint 2.0. 2015 [cited 2015] Available from: http://www.agrifootprint."/>
    <m/>
    <m/>
    <m/>
    <m/>
    <m/>
    <m/>
    <m/>
    <m/>
    <m/>
    <m/>
    <m/>
    <m/>
    <m/>
    <m/>
    <m/>
    <m/>
    <m/>
    <m/>
    <n v="2.7572553000000002"/>
    <s v=""/>
    <n v="0.36951792"/>
    <s v=""/>
    <m/>
    <m/>
    <m/>
    <m/>
    <m/>
    <m/>
    <m/>
    <m/>
    <m/>
    <n v="2.7572553000000002"/>
    <m/>
    <m/>
    <m/>
    <m/>
    <m/>
    <m/>
    <m/>
    <m/>
    <m/>
    <m/>
    <m/>
    <m/>
    <n v="0.36951792"/>
    <m/>
    <m/>
    <m/>
  </r>
  <r>
    <x v="5"/>
    <x v="220"/>
    <m/>
    <m/>
    <m/>
    <s v="PT"/>
    <m/>
    <s v="Agrifootprint process: Rye grain, dried, at farm/PT Mass"/>
    <m/>
    <m/>
    <s v="Blonk Consultants. Agri-Footprint 2.0. 2015 [cited 2015] Available from: http://www.agrifootprint."/>
    <m/>
    <m/>
    <m/>
    <m/>
    <m/>
    <m/>
    <m/>
    <m/>
    <m/>
    <m/>
    <m/>
    <m/>
    <m/>
    <m/>
    <m/>
    <m/>
    <m/>
    <m/>
    <n v="7.5897613000000002"/>
    <s v=""/>
    <n v="1.0864594999999999"/>
    <s v=""/>
    <m/>
    <m/>
    <m/>
    <m/>
    <m/>
    <m/>
    <m/>
    <m/>
    <m/>
    <n v="7.5897613000000002"/>
    <m/>
    <m/>
    <m/>
    <m/>
    <m/>
    <m/>
    <m/>
    <m/>
    <m/>
    <m/>
    <m/>
    <m/>
    <n v="1.0864594999999999"/>
    <m/>
    <m/>
    <m/>
  </r>
  <r>
    <x v="5"/>
    <x v="220"/>
    <m/>
    <m/>
    <m/>
    <s v="SE"/>
    <m/>
    <s v="Agrifootprint process: Rye grain, dried, at farm/SE Mass"/>
    <m/>
    <m/>
    <s v="Blonk Consultants. Agri-Footprint 2.0. 2015 [cited 2015] Available from: http://www.agrifootprint."/>
    <m/>
    <m/>
    <m/>
    <m/>
    <m/>
    <m/>
    <m/>
    <m/>
    <m/>
    <m/>
    <m/>
    <m/>
    <m/>
    <m/>
    <m/>
    <m/>
    <m/>
    <m/>
    <n v="1.3583780000000001"/>
    <s v=""/>
    <n v="0.20081935000000001"/>
    <s v=""/>
    <m/>
    <m/>
    <m/>
    <m/>
    <m/>
    <m/>
    <m/>
    <m/>
    <m/>
    <n v="1.3583780000000001"/>
    <m/>
    <m/>
    <m/>
    <m/>
    <m/>
    <m/>
    <m/>
    <m/>
    <m/>
    <m/>
    <m/>
    <m/>
    <n v="0.20081935000000001"/>
    <m/>
    <m/>
    <m/>
  </r>
  <r>
    <x v="5"/>
    <x v="220"/>
    <m/>
    <m/>
    <m/>
    <s v="SK"/>
    <m/>
    <s v="Agrifootprint process: Rye grain, dried, at farm/SK Mass"/>
    <m/>
    <m/>
    <s v="Blonk Consultants. Agri-Footprint 2.0. 2015 [cited 2015] Available from: http://www.agrifootprint."/>
    <m/>
    <m/>
    <m/>
    <m/>
    <m/>
    <m/>
    <m/>
    <m/>
    <m/>
    <m/>
    <m/>
    <m/>
    <m/>
    <m/>
    <m/>
    <m/>
    <m/>
    <m/>
    <n v="2.4911029999999998"/>
    <s v=""/>
    <n v="0.33164479000000002"/>
    <s v=""/>
    <m/>
    <m/>
    <m/>
    <m/>
    <m/>
    <m/>
    <m/>
    <m/>
    <m/>
    <n v="2.4911029999999998"/>
    <m/>
    <m/>
    <m/>
    <m/>
    <m/>
    <m/>
    <m/>
    <m/>
    <m/>
    <m/>
    <m/>
    <m/>
    <n v="0.33164479000000002"/>
    <m/>
    <m/>
    <m/>
  </r>
  <r>
    <x v="5"/>
    <x v="128"/>
    <m/>
    <m/>
    <m/>
    <s v="BE"/>
    <m/>
    <s v="Agrifootprint process: Wheat flour, from dry milling, at plant/BE Mass"/>
    <m/>
    <m/>
    <s v="Blonk Consultants. Agri-Footprint 2.0. 2015 [cited 2015] Available from: http://www.agrifootprint."/>
    <m/>
    <m/>
    <m/>
    <m/>
    <m/>
    <m/>
    <m/>
    <m/>
    <m/>
    <m/>
    <m/>
    <m/>
    <m/>
    <m/>
    <m/>
    <m/>
    <m/>
    <m/>
    <s v=""/>
    <n v="2.3104819999999999"/>
    <s v=""/>
    <n v="0.35133746999999999"/>
    <m/>
    <m/>
    <n v="2.3104819999999999"/>
    <m/>
    <m/>
    <m/>
    <m/>
    <m/>
    <m/>
    <m/>
    <n v="2.3104819999999999"/>
    <m/>
    <m/>
    <m/>
    <m/>
    <n v="0.35133746999999999"/>
    <m/>
    <m/>
    <m/>
    <m/>
    <m/>
    <m/>
    <m/>
    <n v="0.35133746999999999"/>
    <m/>
    <m/>
  </r>
  <r>
    <x v="5"/>
    <x v="128"/>
    <m/>
    <m/>
    <m/>
    <s v="DE"/>
    <m/>
    <s v="Agrifootprint process: Wheat flour, from dry milling, at plant/DE Mass"/>
    <m/>
    <m/>
    <s v="Blonk Consultants. Agri-Footprint 2.0. 2015 [cited 2015] Available from: http://www.agrifootprint."/>
    <m/>
    <m/>
    <m/>
    <m/>
    <m/>
    <m/>
    <m/>
    <m/>
    <m/>
    <m/>
    <m/>
    <m/>
    <m/>
    <m/>
    <m/>
    <m/>
    <m/>
    <m/>
    <s v=""/>
    <n v="2.2685884999999999"/>
    <s v=""/>
    <n v="0.35211460999999999"/>
    <m/>
    <m/>
    <n v="2.2685884999999999"/>
    <m/>
    <m/>
    <m/>
    <m/>
    <m/>
    <m/>
    <m/>
    <n v="2.2685884999999999"/>
    <m/>
    <m/>
    <m/>
    <m/>
    <n v="0.35211460999999999"/>
    <m/>
    <m/>
    <m/>
    <m/>
    <m/>
    <m/>
    <m/>
    <n v="0.35211460999999999"/>
    <m/>
    <m/>
  </r>
  <r>
    <x v="5"/>
    <x v="128"/>
    <m/>
    <m/>
    <m/>
    <s v="NL"/>
    <m/>
    <s v="Agrifootprint process: Wheat flour, from dry milling, at plant/NL Mass"/>
    <m/>
    <m/>
    <s v="Blonk Consultants. Agri-Footprint 2.0. 2015 [cited 2015] Available from: http://www.agrifootprint."/>
    <m/>
    <m/>
    <m/>
    <m/>
    <m/>
    <m/>
    <m/>
    <m/>
    <m/>
    <m/>
    <m/>
    <m/>
    <m/>
    <m/>
    <m/>
    <m/>
    <m/>
    <m/>
    <s v=""/>
    <n v="2.5439123000000001"/>
    <s v=""/>
    <n v="0.37024625999999999"/>
    <m/>
    <m/>
    <n v="2.5439123000000001"/>
    <m/>
    <m/>
    <m/>
    <m/>
    <m/>
    <m/>
    <m/>
    <n v="2.5439123000000001"/>
    <m/>
    <m/>
    <m/>
    <m/>
    <n v="0.37024625999999999"/>
    <m/>
    <m/>
    <m/>
    <m/>
    <m/>
    <m/>
    <m/>
    <n v="0.37024625999999999"/>
    <m/>
    <m/>
  </r>
  <r>
    <x v="10"/>
    <x v="22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7"/>
    <s v=""/>
    <m/>
    <m/>
    <m/>
    <m/>
    <m/>
    <m/>
    <m/>
    <m/>
    <m/>
    <m/>
    <m/>
    <m/>
    <m/>
    <m/>
    <m/>
    <m/>
    <m/>
    <m/>
    <m/>
    <m/>
    <m/>
    <m/>
    <n v="0.87"/>
    <m/>
    <m/>
    <m/>
  </r>
  <r>
    <x v="4"/>
    <x v="22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4"/>
    <x v="223"/>
    <m/>
    <m/>
    <m/>
    <s v="Global"/>
    <m/>
    <s v="Ecoinvent process: Papaya {GLO}| production | Alloc Def, S"/>
    <m/>
    <m/>
    <s v="Swiss Center for Life Cycle Inventories, Ecoinvent Database version 3.3. 2016, 2016, ."/>
    <m/>
    <m/>
    <m/>
    <m/>
    <m/>
    <m/>
    <m/>
    <m/>
    <m/>
    <m/>
    <m/>
    <m/>
    <m/>
    <m/>
    <m/>
    <m/>
    <m/>
    <m/>
    <n v="1.3288105999999997"/>
    <s v=""/>
    <n v="0.14498"/>
    <s v=""/>
    <m/>
    <m/>
    <m/>
    <m/>
    <m/>
    <m/>
    <m/>
    <m/>
    <m/>
    <n v="1.3288105999999997"/>
    <m/>
    <m/>
    <m/>
    <m/>
    <m/>
    <m/>
    <m/>
    <m/>
    <m/>
    <m/>
    <m/>
    <m/>
    <n v="0.14498"/>
    <m/>
    <m/>
    <m/>
  </r>
  <r>
    <x v="10"/>
    <x v="114"/>
    <m/>
    <m/>
    <m/>
    <s v="CI"/>
    <m/>
    <s v="Ecoinvent process: Cocoa bean {CI}| cocoa bean production, sun-dried | Alloc Def, S"/>
    <m/>
    <m/>
    <s v="Swiss Center for Life Cycle Inventories, Ecoinvent Database version 3.3. 2016, 2016, ."/>
    <m/>
    <m/>
    <m/>
    <m/>
    <m/>
    <m/>
    <m/>
    <m/>
    <m/>
    <m/>
    <m/>
    <m/>
    <m/>
    <m/>
    <m/>
    <m/>
    <m/>
    <m/>
    <n v="27.198861299999997"/>
    <s v=""/>
    <n v="11.272119"/>
    <s v=""/>
    <m/>
    <m/>
    <m/>
    <m/>
    <m/>
    <m/>
    <m/>
    <m/>
    <m/>
    <n v="27.198861299999997"/>
    <m/>
    <m/>
    <m/>
    <m/>
    <m/>
    <m/>
    <m/>
    <m/>
    <m/>
    <m/>
    <m/>
    <m/>
    <n v="11.272119"/>
    <m/>
    <m/>
    <m/>
  </r>
  <r>
    <x v="10"/>
    <x v="114"/>
    <m/>
    <m/>
    <m/>
    <s v="GH"/>
    <m/>
    <s v="Ecoinvent process: Cocoa bean {GH}| cocoa bean production, sun-dried | Alloc Def, S"/>
    <m/>
    <m/>
    <s v="Swiss Center for Life Cycle Inventories, Ecoinvent Database version 3.3. 2016, 2016, ."/>
    <m/>
    <m/>
    <m/>
    <m/>
    <m/>
    <m/>
    <m/>
    <m/>
    <m/>
    <m/>
    <m/>
    <m/>
    <m/>
    <m/>
    <m/>
    <m/>
    <m/>
    <m/>
    <n v="47.445412300000001"/>
    <s v=""/>
    <n v="16.469787"/>
    <s v=""/>
    <m/>
    <m/>
    <m/>
    <m/>
    <m/>
    <m/>
    <m/>
    <m/>
    <m/>
    <n v="47.445412300000001"/>
    <m/>
    <m/>
    <m/>
    <m/>
    <m/>
    <m/>
    <m/>
    <m/>
    <m/>
    <m/>
    <m/>
    <m/>
    <n v="16.469787"/>
    <m/>
    <m/>
    <m/>
  </r>
  <r>
    <x v="10"/>
    <x v="114"/>
    <m/>
    <m/>
    <m/>
    <s v="ID"/>
    <m/>
    <s v="Ecoinvent process: Cocoa bean {ID}| cocoa bean production, sun-dried | Alloc Def, S"/>
    <m/>
    <m/>
    <s v="Swiss Center for Life Cycle Inventories, Ecoinvent Database version 3.3. 2016, 2016, ."/>
    <m/>
    <m/>
    <m/>
    <m/>
    <m/>
    <m/>
    <m/>
    <m/>
    <m/>
    <m/>
    <m/>
    <m/>
    <m/>
    <m/>
    <m/>
    <m/>
    <m/>
    <m/>
    <n v="246.3932897"/>
    <s v=""/>
    <n v="39.491154999999999"/>
    <s v=""/>
    <m/>
    <m/>
    <m/>
    <m/>
    <m/>
    <m/>
    <m/>
    <m/>
    <m/>
    <n v="246.3932897"/>
    <m/>
    <m/>
    <m/>
    <m/>
    <m/>
    <m/>
    <m/>
    <m/>
    <m/>
    <m/>
    <m/>
    <m/>
    <n v="39.491154999999999"/>
    <m/>
    <m/>
    <m/>
  </r>
  <r>
    <x v="10"/>
    <x v="114"/>
    <m/>
    <m/>
    <m/>
    <s v="RoW"/>
    <m/>
    <s v="Ecoinvent process: Cocoa bean {RoW}| cocoa bean production, sun-dried | Alloc Def, S"/>
    <m/>
    <m/>
    <s v="Swiss Center for Life Cycle Inventories, Ecoinvent Database version 3.3. 2016, 2016, ."/>
    <m/>
    <m/>
    <m/>
    <m/>
    <m/>
    <m/>
    <m/>
    <m/>
    <m/>
    <m/>
    <m/>
    <m/>
    <m/>
    <m/>
    <m/>
    <m/>
    <m/>
    <m/>
    <n v="23.449981136000002"/>
    <s v=""/>
    <n v="11.33441"/>
    <s v=""/>
    <m/>
    <m/>
    <m/>
    <m/>
    <m/>
    <m/>
    <m/>
    <m/>
    <m/>
    <n v="23.449981136000002"/>
    <m/>
    <m/>
    <m/>
    <m/>
    <m/>
    <m/>
    <m/>
    <m/>
    <m/>
    <m/>
    <m/>
    <m/>
    <n v="11.33441"/>
    <m/>
    <m/>
    <m/>
  </r>
  <r>
    <x v="10"/>
    <x v="135"/>
    <m/>
    <m/>
    <m/>
    <s v="RAS"/>
    <m/>
    <s v="WFLDB: Cocoa powder, at plant (WFLDB 3.1)/RAS U"/>
    <m/>
    <m/>
    <s v="Quantis, World Food LCA Database. 2016, ."/>
    <m/>
    <m/>
    <m/>
    <m/>
    <m/>
    <m/>
    <m/>
    <m/>
    <m/>
    <m/>
    <m/>
    <m/>
    <m/>
    <m/>
    <m/>
    <m/>
    <m/>
    <m/>
    <s v=""/>
    <n v="3.9887606999999998"/>
    <s v=""/>
    <n v="50.440724000000003"/>
    <m/>
    <m/>
    <n v="3.9887606999999998"/>
    <m/>
    <m/>
    <m/>
    <m/>
    <m/>
    <m/>
    <m/>
    <n v="3.9887606999999998"/>
    <m/>
    <m/>
    <m/>
    <m/>
    <n v="50.440724000000003"/>
    <m/>
    <m/>
    <m/>
    <m/>
    <m/>
    <m/>
    <m/>
    <n v="50.440724000000003"/>
    <m/>
    <m/>
  </r>
  <r>
    <x v="10"/>
    <x v="135"/>
    <m/>
    <m/>
    <m/>
    <s v="RER"/>
    <m/>
    <s v="WFLDB: Cocoa powder, at plant (WFLDB 3.1)/RER U"/>
    <m/>
    <m/>
    <s v="Quantis, World Food LCA Database. 2016, ."/>
    <m/>
    <m/>
    <m/>
    <m/>
    <m/>
    <m/>
    <m/>
    <m/>
    <m/>
    <m/>
    <m/>
    <m/>
    <m/>
    <m/>
    <m/>
    <m/>
    <m/>
    <m/>
    <s v=""/>
    <n v="3.6062574000000001"/>
    <s v=""/>
    <n v="25.23237"/>
    <m/>
    <m/>
    <n v="3.6062574000000001"/>
    <m/>
    <m/>
    <m/>
    <m/>
    <m/>
    <m/>
    <m/>
    <n v="3.6062574000000001"/>
    <m/>
    <m/>
    <m/>
    <m/>
    <n v="25.23237"/>
    <m/>
    <m/>
    <m/>
    <m/>
    <m/>
    <m/>
    <m/>
    <n v="25.23237"/>
    <m/>
    <m/>
  </r>
  <r>
    <x v="10"/>
    <x v="135"/>
    <m/>
    <m/>
    <m/>
    <s v="RNA"/>
    <m/>
    <s v="WFLDB: Cocoa powder, at plant (WFLDB 3.1)/RNA U"/>
    <m/>
    <m/>
    <s v="Quantis, World Food LCA Database. 2016, ."/>
    <m/>
    <m/>
    <m/>
    <m/>
    <m/>
    <m/>
    <m/>
    <m/>
    <m/>
    <m/>
    <m/>
    <m/>
    <m/>
    <m/>
    <m/>
    <m/>
    <m/>
    <m/>
    <s v=""/>
    <n v="3.6410518000000001"/>
    <s v=""/>
    <n v="25.268179"/>
    <m/>
    <m/>
    <n v="3.6410518000000001"/>
    <m/>
    <m/>
    <m/>
    <m/>
    <m/>
    <m/>
    <m/>
    <n v="3.6410518000000001"/>
    <m/>
    <m/>
    <m/>
    <m/>
    <n v="25.268179"/>
    <m/>
    <m/>
    <m/>
    <m/>
    <m/>
    <m/>
    <m/>
    <n v="25.268179"/>
    <m/>
    <m/>
  </r>
  <r>
    <x v="5"/>
    <x v="224"/>
    <m/>
    <m/>
    <m/>
    <s v="US"/>
    <m/>
    <s v="Agrifootprint process: Maize starch, from wet milling (starch drying), at plant/US Mass"/>
    <m/>
    <m/>
    <s v="Blonk Consultants. Agri-Footprint 2.0. 2015 [cited 2015] Available from: http://www.agrifootprint."/>
    <m/>
    <m/>
    <m/>
    <m/>
    <m/>
    <m/>
    <m/>
    <m/>
    <m/>
    <m/>
    <m/>
    <m/>
    <m/>
    <m/>
    <m/>
    <m/>
    <m/>
    <m/>
    <s v=""/>
    <n v="8.8000000000000007"/>
    <s v=""/>
    <n v="0.76"/>
    <m/>
    <m/>
    <n v="8.8000000000000007"/>
    <m/>
    <m/>
    <m/>
    <m/>
    <m/>
    <m/>
    <m/>
    <n v="8.8000000000000007"/>
    <m/>
    <m/>
    <m/>
    <m/>
    <n v="0.76"/>
    <m/>
    <m/>
    <m/>
    <m/>
    <m/>
    <m/>
    <m/>
    <n v="0.76"/>
    <m/>
    <m/>
  </r>
  <r>
    <x v="7"/>
    <x v="107"/>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21.400000000000002"/>
    <m/>
    <m/>
    <m/>
    <m/>
    <m/>
    <m/>
    <m/>
    <m/>
    <m/>
    <m/>
    <m/>
    <m/>
    <n v="1.21"/>
    <m/>
    <s v="IPCC 2006"/>
  </r>
  <r>
    <x v="7"/>
    <x v="107"/>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19.099999999999998"/>
    <m/>
    <m/>
    <m/>
    <m/>
    <m/>
    <m/>
    <m/>
    <m/>
    <m/>
    <m/>
    <m/>
    <m/>
    <n v="1.1000000000000001"/>
    <m/>
    <s v="IPCC 2006"/>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2.831927232150405"/>
    <m/>
    <m/>
    <m/>
    <m/>
    <m/>
    <m/>
    <m/>
    <m/>
    <m/>
    <m/>
    <m/>
    <m/>
    <n v="0.38040813566199472"/>
    <m/>
    <m/>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No"/>
    <s v="Yes"/>
    <s v="Yes"/>
    <s v="Yes"/>
    <s v="Yes"/>
    <s v="No"/>
    <s v="Yes"/>
    <s v="No"/>
    <s v="Yes"/>
    <s v="No"/>
    <s v="No"/>
    <m/>
    <s v="Production, packaging, transport (roastery to house), cooking/brewing"/>
    <s v="no"/>
    <s v="No"/>
    <s v="1 cup of coffee"/>
    <s v="reported value / density (1g/ml) --&gt; (RV x 1000g)/(236.588ml/cup x 1 g/ml)"/>
    <m/>
    <n v="2.8319000000000001"/>
    <s v=""/>
    <n v="0.38"/>
    <s v=""/>
    <m/>
    <m/>
    <m/>
    <m/>
    <m/>
    <m/>
    <m/>
    <m/>
    <m/>
    <n v="2.8319000000000001"/>
    <m/>
    <m/>
    <m/>
    <m/>
    <m/>
    <m/>
    <m/>
    <m/>
    <m/>
    <m/>
    <m/>
    <m/>
    <n v="0.38"/>
    <m/>
    <m/>
    <m/>
  </r>
  <r>
    <x v="7"/>
    <x v="109"/>
    <s v="Fresh or Not Specified"/>
    <s v="Darjeeling Tea, conventional loose"/>
    <s v="Yes"/>
    <s v="India"/>
    <n v="2010"/>
    <s v="Geneviève Doublet; Niels Jungbluth"/>
    <s v="ESU-services Ltd. – fair consulting in sustainability, Kanzleistr. 4, CH-8610 Uster"/>
    <s v="Consulting Group"/>
    <s v="Doublet G, Jungbluth N. Life cycle assessment of drinking Darjeeling tea: ESU-Services Ltd; 2010."/>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1544481712186552"/>
    <m/>
    <m/>
    <m/>
    <m/>
    <m/>
    <m/>
    <m/>
    <m/>
    <m/>
    <m/>
    <m/>
    <m/>
    <n v="0.17888516211467817"/>
    <m/>
    <m/>
  </r>
  <r>
    <x v="12"/>
    <x v="102"/>
    <s v="Fresh or Not Specified"/>
    <s v="rainbow trout, standard feed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5.738461538461536"/>
    <s v=""/>
    <n v="3.4153846153846157"/>
    <s v=""/>
    <m/>
    <m/>
    <m/>
    <m/>
    <m/>
    <m/>
    <m/>
    <m/>
    <m/>
    <n v="85.738461538461536"/>
    <m/>
    <m/>
    <m/>
    <m/>
    <m/>
    <m/>
    <m/>
    <m/>
    <m/>
    <m/>
    <m/>
    <m/>
    <n v="3.4153846153846157"/>
    <m/>
    <m/>
    <m/>
  </r>
  <r>
    <x v="12"/>
    <x v="102"/>
    <s v="Fresh or Not Specified"/>
    <s v="rainbow trout,flow through system, low fishery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4.703076923076921"/>
    <s v=""/>
    <n v="3.4153846153846157"/>
    <s v=""/>
    <m/>
    <m/>
    <m/>
    <m/>
    <m/>
    <m/>
    <m/>
    <m/>
    <m/>
    <n v="84.703076923076921"/>
    <m/>
    <m/>
    <m/>
    <m/>
    <m/>
    <m/>
    <m/>
    <m/>
    <m/>
    <m/>
    <m/>
    <m/>
    <n v="3.4153846153846157"/>
    <m/>
    <m/>
    <m/>
  </r>
  <r>
    <x v="12"/>
    <x v="102"/>
    <s v="Fresh or Not Specified"/>
    <s v="rainbow trout, ex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3.4452923076923079"/>
    <s v=""/>
    <m/>
    <m/>
    <m/>
    <m/>
    <m/>
    <m/>
    <m/>
    <m/>
    <m/>
    <m/>
    <m/>
    <m/>
    <m/>
    <m/>
    <m/>
    <m/>
    <m/>
    <m/>
    <m/>
    <m/>
    <m/>
    <m/>
    <n v="3.4452923076923079"/>
    <m/>
    <m/>
    <m/>
  </r>
  <r>
    <x v="12"/>
    <x v="102"/>
    <s v="Fresh or Not Specified"/>
    <s v="rainbow trout, in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5.4798615384615381"/>
    <s v=""/>
    <m/>
    <m/>
    <m/>
    <m/>
    <m/>
    <m/>
    <m/>
    <m/>
    <m/>
    <m/>
    <m/>
    <m/>
    <m/>
    <m/>
    <m/>
    <m/>
    <m/>
    <m/>
    <m/>
    <m/>
    <m/>
    <m/>
    <n v="5.4798615384615381"/>
    <m/>
    <m/>
    <m/>
  </r>
  <r>
    <x v="12"/>
    <x v="102"/>
    <s v="Fresh or Not Specified"/>
    <s v="rainbow trout,recirculating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20.95750769230769"/>
    <s v=""/>
    <m/>
    <m/>
    <m/>
    <m/>
    <m/>
    <m/>
    <m/>
    <m/>
    <m/>
    <m/>
    <m/>
    <m/>
    <m/>
    <m/>
    <m/>
    <m/>
    <m/>
    <m/>
    <m/>
    <m/>
    <m/>
    <m/>
    <n v="20.95750769230769"/>
    <m/>
    <m/>
    <m/>
  </r>
  <r>
    <x v="12"/>
    <x v="102"/>
    <s v="Fresh or Not Specified"/>
    <s v="common carp, tench, roach, perch, sander &amp; pike; semi-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218.5185185185185"/>
    <s v=""/>
    <n v="2.6425925925925924"/>
    <s v=""/>
    <m/>
    <m/>
    <m/>
    <m/>
    <m/>
    <m/>
    <m/>
    <m/>
    <m/>
    <n v="218.5185185185185"/>
    <m/>
    <m/>
    <m/>
    <m/>
    <m/>
    <m/>
    <m/>
    <m/>
    <m/>
    <m/>
    <m/>
    <m/>
    <n v="2.6425925925925924"/>
    <m/>
    <m/>
    <m/>
  </r>
  <r>
    <x v="12"/>
    <x v="102"/>
    <s v="Fresh or Not Specified"/>
    <s v="common carp, tench, roach, perch, sander &amp; pike; 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320.37037037037032"/>
    <s v=""/>
    <n v="15.898148148148149"/>
    <s v=""/>
    <m/>
    <m/>
    <m/>
    <m/>
    <m/>
    <m/>
    <m/>
    <m/>
    <m/>
    <n v="320.37037037037032"/>
    <m/>
    <m/>
    <m/>
    <m/>
    <m/>
    <m/>
    <m/>
    <m/>
    <m/>
    <m/>
    <m/>
    <m/>
    <n v="15.898148148148149"/>
    <m/>
    <m/>
    <m/>
  </r>
  <r>
    <x v="12"/>
    <x v="102"/>
    <s v="Fresh or Not Specified"/>
    <s v="atlantic salmon, recirculating system"/>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72"/>
    <n v="152.77777777777777"/>
    <s v=""/>
    <n v="4.3583333333333334"/>
    <s v=""/>
    <m/>
    <m/>
    <m/>
    <m/>
    <m/>
    <m/>
    <m/>
    <m/>
    <m/>
    <n v="152.77777777777777"/>
    <m/>
    <m/>
    <m/>
    <m/>
    <m/>
    <m/>
    <m/>
    <m/>
    <m/>
    <m/>
    <m/>
    <m/>
    <n v="4.3583333333333334"/>
    <m/>
    <m/>
    <m/>
  </r>
  <r>
    <x v="12"/>
    <x v="102"/>
    <s v="Fresh or Not Specified"/>
    <s v="tilapia, 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142.70270270270271"/>
    <s v=""/>
    <n v="2.5964864864864867"/>
    <s v=""/>
    <m/>
    <m/>
    <m/>
    <m/>
    <m/>
    <m/>
    <m/>
    <m/>
    <m/>
    <n v="142.70270270270271"/>
    <m/>
    <m/>
    <m/>
    <m/>
    <m/>
    <m/>
    <m/>
    <m/>
    <m/>
    <m/>
    <m/>
    <m/>
    <n v="2.5964864864864867"/>
    <m/>
    <m/>
    <m/>
  </r>
  <r>
    <x v="12"/>
    <x v="102"/>
    <s v="Fresh or Not Specified"/>
    <s v="tilapia, semi-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644.05405405405406"/>
    <s v=""/>
    <n v="16.557027027027029"/>
    <s v=""/>
    <m/>
    <m/>
    <m/>
    <m/>
    <m/>
    <m/>
    <m/>
    <m/>
    <m/>
    <n v="644.05405405405406"/>
    <m/>
    <m/>
    <m/>
    <m/>
    <m/>
    <m/>
    <m/>
    <m/>
    <m/>
    <m/>
    <m/>
    <m/>
    <n v="16.557027027027029"/>
    <m/>
    <m/>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12.536250000000001"/>
    <s v=""/>
    <m/>
    <m/>
    <m/>
    <m/>
    <m/>
    <m/>
    <m/>
    <m/>
    <m/>
    <n v="606.2208333333333"/>
    <m/>
    <m/>
    <m/>
    <m/>
    <m/>
    <m/>
    <m/>
    <m/>
    <m/>
    <m/>
    <m/>
    <m/>
    <n v="12.536250000000001"/>
    <m/>
    <m/>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22.182083333333331"/>
    <s v=""/>
    <m/>
    <m/>
    <m/>
    <m/>
    <m/>
    <m/>
    <m/>
    <m/>
    <m/>
    <n v="606.2208333333333"/>
    <m/>
    <m/>
    <m/>
    <m/>
    <m/>
    <m/>
    <m/>
    <m/>
    <m/>
    <m/>
    <m/>
    <m/>
    <n v="22.182083333333331"/>
    <m/>
    <m/>
    <m/>
  </r>
  <r>
    <x v="12"/>
    <x v="102"/>
    <s v="Fresh or Not Specified"/>
    <s v="African catfish, recirculating system"/>
    <s v="Yes"/>
    <s v="Netherlands"/>
    <n v="2016"/>
    <s v="M. Besson, J. Aubin, H. Komen, M. Poelman, E. Quillet, M. Vandeputte, J.A.M. van Arendonk, I.J.M. de Boer"/>
    <s v="Animal Breeding and Genomics Centre, Wageningen University, P.O. Box 338, 6700 AH Wageningen, The Netherlands"/>
    <s v="Peer Reviewed Journal"/>
    <s v="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
    <s v="Yes"/>
    <s v="No"/>
    <s v="No"/>
    <s v="No"/>
    <s v="No"/>
    <s v="No"/>
    <s v="No"/>
    <s v="No"/>
    <s v="No"/>
    <s v="No"/>
    <s v="No"/>
    <s v="No"/>
    <m/>
    <s v="farm gate"/>
    <s v="No"/>
    <s v="No"/>
    <s v="1 kg live weight"/>
    <s v="/.65"/>
    <n v="32.484923076923081"/>
    <s v=""/>
    <n v="2.247846153846154"/>
    <s v=""/>
    <m/>
    <m/>
    <m/>
    <m/>
    <m/>
    <m/>
    <m/>
    <m/>
    <m/>
    <n v="32.484923076923081"/>
    <m/>
    <m/>
    <m/>
    <m/>
    <m/>
    <m/>
    <m/>
    <m/>
    <m/>
    <m/>
    <m/>
    <m/>
    <n v="2.247846153846154"/>
    <m/>
    <m/>
    <m/>
  </r>
  <r>
    <x v="7"/>
    <x v="141"/>
    <m/>
    <s v="lager, re-used glass"/>
    <m/>
    <s v="Greece"/>
    <n v="2005"/>
    <s v="C. Koroneos, G. Roumbas, Z. Gabari, E. Papagiannidou, N. Moussiopoulos"/>
    <s v="Laboratory of Heat Transfer and Environmental Engineering, P.O. Box 483, Aristotle University Thessaloniki, 54124 Thessaloniki, Greece"/>
    <s v="Peer Reviewed Journal"/>
    <s v="Koroneos, C., Roumbas, G., Gabari, Z., Papagiannidou, E. and Moussiopoulos, N., Life cycle assessment of beer production in Greece. Journal of Cleaner Production 2005, 13 (4), 433-439."/>
    <s v="Yes"/>
    <m/>
    <m/>
    <s v="Yes"/>
    <s v="Yes"/>
    <m/>
    <m/>
    <m/>
    <m/>
    <m/>
    <m/>
    <m/>
    <m/>
    <m/>
    <m/>
    <s v="Yes"/>
    <m/>
    <s v="/1.01 (kg/L)"/>
    <s v=""/>
    <s v=""/>
    <n v="4.4835491241431782E-2"/>
    <n v="0.14945163747143969"/>
    <m/>
    <m/>
    <m/>
    <m/>
    <m/>
    <m/>
    <m/>
    <m/>
    <m/>
    <m/>
    <m/>
    <m/>
    <m/>
    <n v="4.4835491241431782E-2"/>
    <m/>
    <n v="0.10461614623000792"/>
    <n v="0.59780654988575743"/>
    <n v="0"/>
    <m/>
    <m/>
    <m/>
    <m/>
    <n v="4.4835491241431782E-2"/>
    <n v="0.74725818735719707"/>
    <m/>
    <m/>
  </r>
  <r>
    <x v="7"/>
    <x v="141"/>
    <m/>
    <m/>
    <m/>
    <s v="UK"/>
    <n v="2014"/>
    <s v="Adrian G. Williams, Seyoum Mekonen"/>
    <s v="School of Applied Sciences, Cranfield University, Bedford, MK43 0AL, UK"/>
    <s v="Conference Proceedings"/>
    <s v="Williams, A. G. and Mekonen, S., Environmental performance of traditional beer production in a micro-brewery. Proceedings of the 9th International Conference on Life Cycle Assessment in the Agri-Food Sector (LCA Food 2014) 2014, ."/>
    <s v="Yes"/>
    <m/>
    <m/>
    <s v="Yes"/>
    <s v="Yes"/>
    <s v="Yes"/>
    <m/>
    <m/>
    <m/>
    <m/>
    <m/>
    <m/>
    <m/>
    <m/>
    <m/>
    <s v="Yes"/>
    <m/>
    <s v="/1.01 (kg/L)"/>
    <s v=""/>
    <s v=""/>
    <n v="0.11287128712871287"/>
    <n v="0.21927128712871288"/>
    <m/>
    <m/>
    <m/>
    <m/>
    <m/>
    <m/>
    <m/>
    <m/>
    <m/>
    <m/>
    <m/>
    <m/>
    <m/>
    <n v="0.11287128712871287"/>
    <m/>
    <n v="0.10640000000000001"/>
    <n v="7.5247524752475245E-3"/>
    <n v="7.5247524752475245E-2"/>
    <m/>
    <m/>
    <n v="7.5247524752475245E-2"/>
    <m/>
    <n v="0.11287128712871287"/>
    <n v="0.3772910891089109"/>
    <m/>
    <m/>
  </r>
  <r>
    <x v="7"/>
    <x v="141"/>
    <m/>
    <s v="al. can"/>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128712871287128"/>
    <n v="8.0099009900990101E-2"/>
    <m/>
    <m/>
    <n v="5.6435643564356434E-3"/>
    <n v="-0.12039603960396039"/>
    <n v="0.16712871287128714"/>
    <n v="0.68574257425742569"/>
    <m/>
    <m/>
  </r>
  <r>
    <x v="7"/>
    <x v="141"/>
    <m/>
    <s v="keg"/>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3.9702970297029697E-2"/>
    <n v="9.1683168316831681E-2"/>
    <m/>
    <m/>
    <n v="6.0396039603960398E-3"/>
    <n v="-0.12039603960396039"/>
    <n v="0.16712871287128714"/>
    <n v="0.24613861386138614"/>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35128712871287127"/>
    <n v="9.6138613861386141E-2"/>
    <m/>
    <m/>
    <n v="5.7425742574257425E-3"/>
    <n v="-0.12039603960396039"/>
    <n v="0.16712871287128714"/>
    <n v="0.56188118811881183"/>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3891089108910891"/>
    <n v="0.10564356435643564"/>
    <m/>
    <m/>
    <n v="5.7425742574257425E-3"/>
    <n v="-0.12039603960396039"/>
    <n v="0.16712871287128714"/>
    <n v="0.65900990099009904"/>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98019801980198"/>
    <n v="0.12247524752475247"/>
    <m/>
    <m/>
    <n v="5.7425742574257425E-3"/>
    <n v="-0.12039603960396039"/>
    <n v="0.16712871287128714"/>
    <n v="0.73673267326732672"/>
    <m/>
    <m/>
  </r>
  <r>
    <x v="7"/>
    <x v="141"/>
    <m/>
    <s v="Barley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36673267326732673"/>
    <n v="5.0495049504950497E-3"/>
    <m/>
    <m/>
    <m/>
    <m/>
    <n v="5.6336633663366338E-2"/>
    <n v="0.43716831683168317"/>
    <m/>
    <m/>
  </r>
  <r>
    <x v="7"/>
    <x v="141"/>
    <m/>
    <s v="Barley lager, 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2.0792079207920793E-2"/>
    <n v="5.0495049504950497E-3"/>
    <m/>
    <m/>
    <m/>
    <m/>
    <n v="5.6336633663366338E-2"/>
    <n v="9.1227722772277239E-2"/>
    <m/>
    <m/>
  </r>
  <r>
    <x v="7"/>
    <x v="141"/>
    <m/>
    <s v="Barley lager, 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08"/>
    <n v="5.0495049504950497E-3"/>
    <m/>
    <m/>
    <m/>
    <m/>
    <n v="5.6336633663366338E-2"/>
    <n v="0.15043564356435646"/>
    <m/>
    <m/>
  </r>
  <r>
    <x v="7"/>
    <x v="141"/>
    <m/>
    <s v="Barley&amp;rice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36673267326732673"/>
    <n v="5.0495049504950497E-3"/>
    <m/>
    <m/>
    <m/>
    <m/>
    <n v="7.0594059405940601E-2"/>
    <n v="0.45142574257425744"/>
    <m/>
    <m/>
  </r>
  <r>
    <x v="7"/>
    <x v="141"/>
    <m/>
    <s v="Barley&amp;rice lager,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2.0792079207920793E-2"/>
    <n v="5.0495049504950497E-3"/>
    <m/>
    <m/>
    <m/>
    <m/>
    <n v="7.0594059405940601E-2"/>
    <n v="0.10548514851485151"/>
    <m/>
    <m/>
  </r>
  <r>
    <x v="7"/>
    <x v="141"/>
    <m/>
    <s v="Barley&amp;rice lager,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08"/>
    <n v="5.0495049504950497E-3"/>
    <m/>
    <m/>
    <m/>
    <m/>
    <n v="7.0594059405940601E-2"/>
    <n v="0.16469306930693073"/>
    <m/>
    <m/>
  </r>
  <r>
    <x v="1"/>
    <x v="23"/>
    <m/>
    <m/>
    <m/>
    <s v="UK"/>
    <n v="2009"/>
    <s v="Celia Kingston, Jonna Meyhoff Fry and Simon Aumonier"/>
    <s v="Environmental Resources Management Limited (ERM)"/>
    <s v="NGO Report"/>
    <s v="Kingston, C., Meyhoff Fry, J. and Aumonier, S., Scoping life cycle assessment of pork production. 2009, ."/>
    <s v="Yes"/>
    <s v="No"/>
    <s v="No"/>
    <s v="Yes"/>
    <s v="Yes"/>
    <s v="Yes"/>
    <s v="Yes"/>
    <s v="No"/>
    <s v="Yes"/>
    <s v="No"/>
    <s v="No"/>
    <s v="No"/>
    <m/>
    <s v="slaughter gate"/>
    <m/>
    <m/>
    <s v="kg carcass weight"/>
    <s v="/0.75"/>
    <s v=""/>
    <s v=""/>
    <n v="6.22"/>
    <n v="6.5811999999999999"/>
    <m/>
    <m/>
    <m/>
    <m/>
    <m/>
    <m/>
    <m/>
    <m/>
    <m/>
    <m/>
    <m/>
    <m/>
    <m/>
    <n v="6.22"/>
    <m/>
    <n v="0.36120000000000002"/>
    <n v="0.17199999999999999"/>
    <n v="8.5999999999999993E-2"/>
    <n v="1.72E-2"/>
    <n v="1.8059999999999998"/>
    <n v="2.58E-2"/>
    <m/>
    <n v="6.22"/>
    <n v="8.6882000000000001"/>
    <m/>
    <m/>
  </r>
  <r>
    <x v="1"/>
    <x v="23"/>
    <m/>
    <m/>
    <m/>
    <s v="Flemish"/>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m/>
    <m/>
    <m/>
    <m/>
    <m/>
    <m/>
    <m/>
    <m/>
    <m/>
    <m/>
    <m/>
    <m/>
    <m/>
    <s v=""/>
    <s v=""/>
    <n v="3.3489333333333331"/>
    <n v="3.3956"/>
    <m/>
    <m/>
    <m/>
    <m/>
    <m/>
    <m/>
    <m/>
    <m/>
    <m/>
    <m/>
    <m/>
    <m/>
    <m/>
    <n v="3.3489333333333331"/>
    <m/>
    <n v="4.6666666666666669E-2"/>
    <m/>
    <m/>
    <m/>
    <m/>
    <m/>
    <m/>
    <n v="3.3489333333333331"/>
    <n v="3.3956"/>
    <m/>
    <m/>
  </r>
  <r>
    <x v="1"/>
    <x v="23"/>
    <m/>
    <m/>
    <m/>
    <s v="Western cape"/>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s v="Yes"/>
    <m/>
    <m/>
    <m/>
    <m/>
    <m/>
    <m/>
    <m/>
    <m/>
    <m/>
    <m/>
    <m/>
    <m/>
    <s v=""/>
    <s v=""/>
    <n v="5.0305333333333335"/>
    <n v="5.7812000000000001"/>
    <m/>
    <m/>
    <m/>
    <m/>
    <m/>
    <m/>
    <m/>
    <m/>
    <m/>
    <m/>
    <m/>
    <m/>
    <m/>
    <n v="5.0305333333333335"/>
    <m/>
    <n v="0.75066666666666659"/>
    <m/>
    <n v="0.22439999999999999"/>
    <m/>
    <m/>
    <m/>
    <m/>
    <n v="5.0305333333333335"/>
    <n v="6.0056000000000003"/>
    <m/>
    <m/>
  </r>
  <r>
    <x v="1"/>
    <x v="23"/>
    <m/>
    <m/>
    <m/>
    <s v="Austria"/>
    <n v="2016"/>
    <s v="Thomas Winkler, Kerstin Schopf, Ralf Aschemann, Wilfried Winiwarter"/>
    <s v="University of Graz, Institute of Systems Sciences, Innovation and Sustainability Research, Merangasse 18, 8010 Graz, Austria"/>
    <s v="Peer Reviewed Journal"/>
    <s v="Winkler, T., Schopf, K., Aschemann, R. and Winiwarter, W., From farm to fork – A life cycle assessment of fresh Austrian pork. Journal of Cleaner Production 2016, ."/>
    <s v="Yes"/>
    <m/>
    <m/>
    <s v="Yes"/>
    <m/>
    <s v="Yes"/>
    <s v="Yes"/>
    <m/>
    <s v="Yes"/>
    <m/>
    <m/>
    <m/>
    <m/>
    <m/>
    <m/>
    <m/>
    <m/>
    <m/>
    <s v=""/>
    <s v=""/>
    <n v="5.8533333333333335"/>
    <n v="6.0426666666666664"/>
    <m/>
    <m/>
    <m/>
    <m/>
    <m/>
    <m/>
    <m/>
    <m/>
    <m/>
    <m/>
    <m/>
    <m/>
    <m/>
    <n v="5.8533333333333335"/>
    <m/>
    <n v="0.1893333333333333"/>
    <m/>
    <n v="0.224"/>
    <n v="1.0666666666666666E-2"/>
    <n v="6.6666666666666666E-2"/>
    <m/>
    <m/>
    <n v="5.8533333333333335"/>
    <n v="6.3439999999999994"/>
    <m/>
    <m/>
  </r>
  <r>
    <x v="1"/>
    <x v="23"/>
    <m/>
    <s v="Netherlands, conv"/>
    <m/>
    <s v="NL"/>
    <n v="2010"/>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978318104382846"/>
    <n v="3.5322131020597807"/>
    <m/>
    <m/>
    <m/>
    <m/>
    <m/>
    <m/>
    <m/>
    <m/>
    <m/>
    <m/>
    <m/>
    <m/>
    <m/>
    <n v="3.4978318104382846"/>
    <m/>
    <n v="3.4381291621496057E-2"/>
    <m/>
    <m/>
    <m/>
    <m/>
    <m/>
    <m/>
    <n v="3.4978318104382846"/>
    <n v="3.5322131020597807"/>
    <m/>
    <m/>
  </r>
  <r>
    <x v="1"/>
    <x v="23"/>
    <m/>
    <s v="Netherlands, org"/>
    <m/>
    <s v="NL"/>
    <n v="2011"/>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2667647514325546"/>
    <n v="4.3011460430540502"/>
    <m/>
    <m/>
    <m/>
    <m/>
    <m/>
    <m/>
    <m/>
    <m/>
    <m/>
    <m/>
    <m/>
    <m/>
    <m/>
    <n v="4.2667647514325546"/>
    <m/>
    <n v="3.4381291621496057E-2"/>
    <m/>
    <m/>
    <m/>
    <m/>
    <m/>
    <m/>
    <n v="4.2667647514325546"/>
    <n v="4.3011460430540502"/>
    <m/>
    <m/>
  </r>
  <r>
    <x v="1"/>
    <x v="23"/>
    <m/>
    <s v="England, conv"/>
    <m/>
    <s v="UK"/>
    <n v="2012"/>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708843115998147"/>
    <n v="3.5052656032213108"/>
    <m/>
    <m/>
    <m/>
    <m/>
    <m/>
    <m/>
    <m/>
    <m/>
    <m/>
    <m/>
    <m/>
    <m/>
    <m/>
    <n v="3.4708843115998147"/>
    <m/>
    <n v="3.4381291621496057E-2"/>
    <m/>
    <m/>
    <m/>
    <m/>
    <m/>
    <m/>
    <n v="3.4708843115998147"/>
    <n v="3.5052656032213108"/>
    <m/>
    <m/>
  </r>
  <r>
    <x v="1"/>
    <x v="23"/>
    <m/>
    <s v="England, org"/>
    <m/>
    <s v="UK"/>
    <n v="2013"/>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3380827009447112"/>
    <n v="4.3724639925662068"/>
    <m/>
    <m/>
    <m/>
    <m/>
    <m/>
    <m/>
    <m/>
    <m/>
    <m/>
    <m/>
    <m/>
    <m/>
    <m/>
    <n v="4.3380827009447112"/>
    <m/>
    <n v="3.4381291621496057E-2"/>
    <m/>
    <m/>
    <m/>
    <m/>
    <m/>
    <m/>
    <n v="4.3380827009447112"/>
    <n v="4.3724639925662068"/>
    <m/>
    <m/>
  </r>
  <r>
    <x v="1"/>
    <x v="23"/>
    <m/>
    <s v="Germany, conv"/>
    <m/>
    <s v="DE"/>
    <n v="2014"/>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6697382685457649"/>
    <n v="3.704119560167261"/>
    <m/>
    <m/>
    <m/>
    <m/>
    <m/>
    <m/>
    <m/>
    <m/>
    <m/>
    <m/>
    <m/>
    <m/>
    <m/>
    <n v="3.6697382685457649"/>
    <m/>
    <n v="3.4381291621496057E-2"/>
    <m/>
    <m/>
    <m/>
    <m/>
    <m/>
    <m/>
    <n v="3.6697382685457649"/>
    <n v="3.704119560167261"/>
    <m/>
    <m/>
  </r>
  <r>
    <x v="1"/>
    <x v="23"/>
    <m/>
    <s v="Germany, org"/>
    <m/>
    <s v="DE"/>
    <n v="2015"/>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5.019436270713955"/>
    <n v="5.0538175623354515"/>
    <m/>
    <m/>
    <m/>
    <m/>
    <m/>
    <m/>
    <m/>
    <m/>
    <m/>
    <m/>
    <m/>
    <m/>
    <m/>
    <n v="5.019436270713955"/>
    <m/>
    <n v="3.4381291621496057E-2"/>
    <m/>
    <m/>
    <m/>
    <m/>
    <m/>
    <m/>
    <n v="5.019436270713955"/>
    <n v="5.0538175623354515"/>
    <m/>
    <m/>
  </r>
  <r>
    <x v="1"/>
    <x v="23"/>
    <m/>
    <s v="Denmark, conv"/>
    <m/>
    <s v="DK"/>
    <n v="2016"/>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574105621805797"/>
    <n v="3.4917918538020758"/>
    <m/>
    <m/>
    <m/>
    <m/>
    <m/>
    <m/>
    <m/>
    <m/>
    <m/>
    <m/>
    <m/>
    <m/>
    <m/>
    <n v="3.4574105621805797"/>
    <m/>
    <n v="3.4381291621496057E-2"/>
    <m/>
    <m/>
    <m/>
    <m/>
    <m/>
    <m/>
    <n v="3.4574105621805797"/>
    <n v="3.4917918538020758"/>
    <m/>
    <m/>
  </r>
  <r>
    <x v="1"/>
    <x v="23"/>
    <m/>
    <s v="Denmark, org"/>
    <m/>
    <s v="DK"/>
    <n v="2017"/>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0116927365649691"/>
    <n v="4.0460740281864656"/>
    <m/>
    <m/>
    <m/>
    <m/>
    <m/>
    <m/>
    <m/>
    <m/>
    <m/>
    <m/>
    <m/>
    <m/>
    <m/>
    <n v="4.0116927365649691"/>
    <m/>
    <n v="3.4381291621496057E-2"/>
    <m/>
    <m/>
    <m/>
    <m/>
    <m/>
    <m/>
    <n v="4.0116927365649691"/>
    <n v="4.0460740281864656"/>
    <m/>
    <m/>
  </r>
  <r>
    <x v="1"/>
    <x v="23"/>
    <m/>
    <m/>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m/>
    <m/>
    <m/>
    <m/>
    <m/>
    <m/>
    <m/>
    <m/>
    <m/>
    <m/>
    <m/>
    <m/>
    <m/>
    <m/>
    <m/>
    <m/>
    <m/>
    <s v=""/>
    <s v=""/>
    <n v="4.6899999999999995"/>
    <s v=""/>
    <m/>
    <m/>
    <m/>
    <m/>
    <m/>
    <m/>
    <m/>
    <m/>
    <m/>
    <m/>
    <m/>
    <m/>
    <m/>
    <n v="4.6899999999999995"/>
    <m/>
    <m/>
    <m/>
    <m/>
    <m/>
    <m/>
    <m/>
    <m/>
    <n v="4.6899999999999995"/>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076904761904762"/>
    <s v=""/>
    <m/>
    <m/>
    <m/>
    <m/>
    <m/>
    <m/>
    <m/>
    <m/>
    <m/>
    <m/>
    <m/>
    <m/>
    <m/>
    <n v="0.2076904761904762"/>
    <m/>
    <m/>
    <m/>
    <m/>
    <m/>
    <m/>
    <m/>
    <m/>
    <n v="0.2076904761904762"/>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6697619047619048"/>
    <s v=""/>
    <m/>
    <m/>
    <m/>
    <m/>
    <m/>
    <m/>
    <m/>
    <m/>
    <m/>
    <m/>
    <m/>
    <m/>
    <m/>
    <n v="0.26697619047619048"/>
    <m/>
    <m/>
    <m/>
    <m/>
    <m/>
    <m/>
    <m/>
    <m/>
    <n v="0.26697619047619048"/>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19265476190476191"/>
    <s v=""/>
    <m/>
    <m/>
    <m/>
    <m/>
    <m/>
    <m/>
    <m/>
    <m/>
    <m/>
    <m/>
    <m/>
    <m/>
    <m/>
    <n v="0.19265476190476191"/>
    <m/>
    <m/>
    <m/>
    <m/>
    <m/>
    <m/>
    <m/>
    <m/>
    <n v="0.19265476190476191"/>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1939285714285714"/>
    <s v=""/>
    <m/>
    <m/>
    <m/>
    <m/>
    <m/>
    <m/>
    <m/>
    <m/>
    <m/>
    <m/>
    <m/>
    <m/>
    <m/>
    <n v="0.21939285714285714"/>
    <m/>
    <m/>
    <m/>
    <m/>
    <m/>
    <m/>
    <m/>
    <m/>
    <n v="0.21939285714285714"/>
    <m/>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43"/>
    <s v=""/>
    <m/>
    <m/>
    <m/>
    <m/>
    <m/>
    <m/>
    <m/>
    <m/>
    <m/>
    <m/>
    <m/>
    <m/>
    <m/>
    <n v="0.43"/>
    <m/>
    <m/>
    <m/>
    <n v="0.44"/>
    <m/>
    <n v="0.3"/>
    <m/>
    <m/>
    <n v="0.43"/>
    <n v="1.17"/>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71"/>
    <s v=""/>
    <m/>
    <m/>
    <m/>
    <m/>
    <m/>
    <m/>
    <m/>
    <m/>
    <m/>
    <m/>
    <m/>
    <m/>
    <m/>
    <n v="1.71"/>
    <m/>
    <m/>
    <m/>
    <n v="0.01"/>
    <m/>
    <n v="0.30999999999999983"/>
    <m/>
    <m/>
    <n v="1.71"/>
    <n v="2.0299999999999998"/>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86"/>
    <s v=""/>
    <m/>
    <m/>
    <m/>
    <m/>
    <m/>
    <m/>
    <m/>
    <m/>
    <m/>
    <m/>
    <m/>
    <m/>
    <m/>
    <n v="1.86"/>
    <m/>
    <m/>
    <m/>
    <n v="1.97"/>
    <m/>
    <n v="0.30999999999999983"/>
    <m/>
    <m/>
    <n v="1.86"/>
    <n v="4.1399999999999997"/>
    <m/>
    <m/>
  </r>
  <r>
    <x v="3"/>
    <x v="19"/>
    <m/>
    <s v="open field"/>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3"/>
    <s v=""/>
    <m/>
    <m/>
    <m/>
    <m/>
    <m/>
    <m/>
    <m/>
    <m/>
    <m/>
    <m/>
    <m/>
    <m/>
    <m/>
    <n v="0.3"/>
    <m/>
    <m/>
    <m/>
    <n v="0.36000000000000004"/>
    <m/>
    <n v="0.30999999999999994"/>
    <m/>
    <m/>
    <n v="0.3"/>
    <n v="0.97"/>
    <m/>
    <m/>
  </r>
  <r>
    <x v="3"/>
    <x v="18"/>
    <m/>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2.1"/>
    <s v=""/>
    <m/>
    <m/>
    <m/>
    <m/>
    <m/>
    <m/>
    <m/>
    <m/>
    <m/>
    <m/>
    <m/>
    <m/>
    <m/>
    <n v="2.1"/>
    <m/>
    <m/>
    <m/>
    <n v="0.1"/>
    <m/>
    <m/>
    <m/>
    <m/>
    <n v="2.1"/>
    <m/>
    <m/>
    <m/>
  </r>
  <r>
    <x v="3"/>
    <x v="19"/>
    <m/>
    <s v="protected"/>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0.3"/>
    <s v=""/>
    <m/>
    <m/>
    <m/>
    <m/>
    <m/>
    <m/>
    <m/>
    <m/>
    <m/>
    <m/>
    <m/>
    <m/>
    <m/>
    <n v="0.3"/>
    <m/>
    <m/>
    <m/>
    <n v="0.3"/>
    <m/>
    <m/>
    <m/>
    <m/>
    <n v="0.3"/>
    <n v="0.6"/>
    <m/>
    <m/>
  </r>
  <r>
    <x v="3"/>
    <x v="19"/>
    <m/>
    <s v="protected"/>
    <m/>
    <s v="Spain"/>
    <n v="2012"/>
    <s v="Torrellas, M.; Antón, A.; López, J. C.; Baeza, E. J.; Parra, J. P.; Muñoz, P.; Montero, J. I"/>
    <s v="IRTA (Research and Technology Food and Agriculture), Ctra. de Cabrils, km 2, 08348 Cabrils Barcelona, Spain"/>
    <s v="Peer Reviewed Journal"/>
    <s v="Torrellas, M., Antón, A., López, J. C., Baeza, E. J., Parra, J. P., Muñoz, P. and Montero, J. I., LCA of a tomato crop in a multi-tunnel greenhouse in Almeria. The International Journal of Life Cycle Assessment 2012, 17 (7), 863-875."/>
    <m/>
    <m/>
    <m/>
    <m/>
    <m/>
    <m/>
    <m/>
    <m/>
    <m/>
    <m/>
    <m/>
    <m/>
    <m/>
    <m/>
    <m/>
    <m/>
    <m/>
    <m/>
    <s v=""/>
    <s v=""/>
    <n v="0.25"/>
    <s v=""/>
    <m/>
    <m/>
    <m/>
    <m/>
    <m/>
    <m/>
    <m/>
    <m/>
    <m/>
    <m/>
    <m/>
    <m/>
    <m/>
    <n v="0.25"/>
    <m/>
    <m/>
    <m/>
    <m/>
    <m/>
    <m/>
    <m/>
    <m/>
    <n v="0.25"/>
    <m/>
    <m/>
    <m/>
  </r>
  <r>
    <x v="3"/>
    <x v="19"/>
    <m/>
    <s v="protected"/>
    <m/>
    <s v="Morocco"/>
    <n v="2015"/>
    <s v="Payen, S.; Basset-Mens, C.; Perret, S.,"/>
    <s v="ADEME, (Agence de l'Environnement et de la Maîtrise de l'Energie), 20 avenue du Gr_x0001_esill_x0001_e e BP 90406, 49004 Angers, France"/>
    <s v="Peer Reviewed Journal"/>
    <s v="Payen, S., Basset-Mens, C. and Perret, S., LCA of local and imported tomato: an energy and water trade-off. Journal of Cleaner Production 2015, 87, 139-148."/>
    <m/>
    <m/>
    <m/>
    <m/>
    <m/>
    <m/>
    <m/>
    <m/>
    <m/>
    <m/>
    <m/>
    <m/>
    <m/>
    <m/>
    <m/>
    <m/>
    <m/>
    <m/>
    <s v=""/>
    <s v=""/>
    <n v="0.21500000000000002"/>
    <s v=""/>
    <m/>
    <m/>
    <m/>
    <m/>
    <m/>
    <m/>
    <m/>
    <m/>
    <m/>
    <m/>
    <m/>
    <m/>
    <m/>
    <n v="0.21500000000000002"/>
    <m/>
    <m/>
    <n v="9.0999999999999998E-2"/>
    <n v="0.24"/>
    <m/>
    <m/>
    <m/>
    <m/>
    <n v="0.21500000000000002"/>
    <n v="0.54600000000000004"/>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99999999999998"/>
    <s v=""/>
    <m/>
    <m/>
    <m/>
    <m/>
    <m/>
    <m/>
    <m/>
    <m/>
    <m/>
    <m/>
    <m/>
    <m/>
    <m/>
    <n v="2.0699999999999998"/>
    <m/>
    <m/>
    <m/>
    <m/>
    <m/>
    <m/>
    <m/>
    <m/>
    <n v="2.0699999999999998"/>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1"/>
    <s v=""/>
    <m/>
    <m/>
    <m/>
    <m/>
    <m/>
    <m/>
    <m/>
    <m/>
    <m/>
    <m/>
    <m/>
    <m/>
    <m/>
    <n v="1.81"/>
    <m/>
    <m/>
    <m/>
    <m/>
    <m/>
    <m/>
    <m/>
    <m/>
    <n v="1.81"/>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1"/>
    <s v=""/>
    <m/>
    <m/>
    <m/>
    <m/>
    <m/>
    <m/>
    <m/>
    <m/>
    <m/>
    <m/>
    <m/>
    <m/>
    <m/>
    <n v="2.1"/>
    <m/>
    <m/>
    <m/>
    <m/>
    <m/>
    <m/>
    <m/>
    <m/>
    <n v="2.1"/>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
    <s v=""/>
    <m/>
    <m/>
    <m/>
    <m/>
    <m/>
    <m/>
    <m/>
    <m/>
    <m/>
    <m/>
    <m/>
    <m/>
    <m/>
    <n v="2.06"/>
    <m/>
    <m/>
    <m/>
    <m/>
    <m/>
    <m/>
    <m/>
    <m/>
    <n v="2.06"/>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6"/>
    <s v=""/>
    <m/>
    <m/>
    <m/>
    <m/>
    <m/>
    <m/>
    <m/>
    <m/>
    <m/>
    <m/>
    <m/>
    <m/>
    <m/>
    <n v="1.86"/>
    <m/>
    <m/>
    <m/>
    <m/>
    <m/>
    <m/>
    <m/>
    <m/>
    <n v="1.86"/>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62"/>
    <s v=""/>
    <m/>
    <m/>
    <m/>
    <m/>
    <m/>
    <m/>
    <m/>
    <m/>
    <m/>
    <m/>
    <m/>
    <m/>
    <m/>
    <n v="1.62"/>
    <m/>
    <m/>
    <m/>
    <m/>
    <m/>
    <m/>
    <m/>
    <m/>
    <n v="1.62"/>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6"/>
    <s v=""/>
    <m/>
    <m/>
    <m/>
    <m/>
    <m/>
    <m/>
    <m/>
    <m/>
    <m/>
    <m/>
    <m/>
    <m/>
    <m/>
    <n v="2.36"/>
    <m/>
    <m/>
    <m/>
    <m/>
    <m/>
    <m/>
    <m/>
    <m/>
    <n v="2.36"/>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1"/>
    <s v=""/>
    <m/>
    <m/>
    <m/>
    <m/>
    <m/>
    <m/>
    <m/>
    <m/>
    <m/>
    <m/>
    <m/>
    <m/>
    <m/>
    <n v="2.31"/>
    <m/>
    <m/>
    <m/>
    <m/>
    <m/>
    <m/>
    <m/>
    <m/>
    <n v="2.31"/>
    <m/>
    <m/>
    <m/>
  </r>
  <r>
    <x v="3"/>
    <x v="19"/>
    <m/>
    <s v="Fresh tomatoes, protected"/>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0.50800000000000001"/>
    <s v=""/>
    <m/>
    <m/>
    <m/>
    <m/>
    <m/>
    <m/>
    <m/>
    <m/>
    <m/>
    <m/>
    <m/>
    <m/>
    <m/>
    <n v="0.50800000000000001"/>
    <m/>
    <m/>
    <m/>
    <m/>
    <m/>
    <m/>
    <m/>
    <m/>
    <n v="0.50800000000000001"/>
    <m/>
    <m/>
    <m/>
  </r>
  <r>
    <x v="7"/>
    <x v="225"/>
    <m/>
    <m/>
    <m/>
    <m/>
    <n v="2005"/>
    <s v="Aranda et al. (2005)"/>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3333333333333331"/>
    <n v="0.71972789115646263"/>
    <m/>
    <m/>
    <m/>
    <m/>
    <m/>
    <m/>
    <m/>
    <m/>
    <m/>
    <m/>
    <m/>
    <m/>
    <m/>
    <n v="0.33333333333333331"/>
    <m/>
    <n v="0.38639455782312926"/>
    <s v=""/>
    <n v="0.35374149659863946"/>
    <s v=""/>
    <m/>
    <s v=""/>
    <m/>
    <n v="0.33333333333333331"/>
    <n v="1.073469387755102"/>
    <m/>
    <m/>
  </r>
  <r>
    <x v="7"/>
    <x v="225"/>
    <m/>
    <m/>
    <m/>
    <m/>
    <n v="2006"/>
    <s v="Ardente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088435374149658"/>
    <n v="0.69523809523809521"/>
    <m/>
    <m/>
    <m/>
    <m/>
    <m/>
    <m/>
    <m/>
    <m/>
    <m/>
    <m/>
    <m/>
    <m/>
    <m/>
    <n v="0.21088435374149658"/>
    <m/>
    <n v="0.48435374149659866"/>
    <n v="1.361904761904762"/>
    <n v="0.18367346938775511"/>
    <s v=""/>
    <m/>
    <s v=""/>
    <m/>
    <n v="0.21088435374149658"/>
    <n v="2.2408163265306125"/>
    <m/>
    <m/>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23129251700680273"/>
    <m/>
    <m/>
    <m/>
    <m/>
    <m/>
    <m/>
    <m/>
    <m/>
    <m/>
    <m/>
    <m/>
    <m/>
    <m/>
    <n v="9.6598639455782315E-2"/>
    <m/>
    <n v="0.13469387755102041"/>
    <n v="0.92108843537414975"/>
    <n v="0.67210884353741496"/>
    <s v=""/>
    <m/>
    <n v="9.6598639455782315E-2"/>
    <m/>
    <n v="9.6598639455782315E-2"/>
    <n v="1.9183673469387754"/>
    <m/>
    <m/>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1700680272108842"/>
    <n v="0.17551020408163262"/>
    <m/>
    <m/>
    <m/>
    <m/>
    <m/>
    <m/>
    <m/>
    <m/>
    <m/>
    <m/>
    <m/>
    <m/>
    <m/>
    <n v="0.11700680272108842"/>
    <m/>
    <n v="5.8503401360544209E-2"/>
    <n v="1.0122448979591838"/>
    <n v="0.64217687074829921"/>
    <s v=""/>
    <m/>
    <n v="0.11700680272108842"/>
    <m/>
    <n v="0.11700680272108842"/>
    <n v="1.9455782312925169"/>
    <m/>
    <m/>
  </r>
  <r>
    <x v="7"/>
    <x v="225"/>
    <m/>
    <m/>
    <m/>
    <m/>
    <n v="2010"/>
    <s v="Benedetto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6326530612244898"/>
    <n v="0.96734693877551026"/>
    <m/>
    <m/>
    <m/>
    <m/>
    <m/>
    <m/>
    <m/>
    <m/>
    <m/>
    <m/>
    <m/>
    <m/>
    <m/>
    <n v="0.96326530612244898"/>
    <m/>
    <n v="4.081632653061224E-3"/>
    <n v="1.2666666666666668"/>
    <s v=""/>
    <s v=""/>
    <m/>
    <s v=""/>
    <m/>
    <n v="0.96326530612244898"/>
    <n v="2.2340136054421769"/>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897959183673469"/>
    <n v="0.7482993197278911"/>
    <m/>
    <m/>
    <m/>
    <m/>
    <m/>
    <m/>
    <m/>
    <m/>
    <m/>
    <m/>
    <m/>
    <m/>
    <m/>
    <n v="0.44897959183673469"/>
    <m/>
    <n v="0.29931972789115646"/>
    <n v="0.62585034013605445"/>
    <n v="5.4421768707482998E-2"/>
    <s v=""/>
    <m/>
    <n v="4.0816326530612242E-2"/>
    <m/>
    <n v="0.44897959183673469"/>
    <n v="1.4693877551020409"/>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931972789115646"/>
    <n v="0.35374149659863946"/>
    <m/>
    <m/>
    <m/>
    <m/>
    <m/>
    <m/>
    <m/>
    <m/>
    <m/>
    <m/>
    <m/>
    <m/>
    <m/>
    <n v="0.29931972789115646"/>
    <m/>
    <n v="5.4421768707482998E-2"/>
    <n v="0.73469387755102045"/>
    <n v="0.59863945578231292"/>
    <s v=""/>
    <m/>
    <n v="4.0816326530612242E-2"/>
    <m/>
    <n v="0.29931972789115646"/>
    <n v="1.7278911564625852"/>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6326530612244899"/>
    <n v="0.2857142857142857"/>
    <m/>
    <m/>
    <m/>
    <m/>
    <m/>
    <m/>
    <m/>
    <m/>
    <m/>
    <m/>
    <m/>
    <m/>
    <m/>
    <n v="0.16326530612244899"/>
    <m/>
    <n v="0.12244897959183673"/>
    <n v="0.43537414965986398"/>
    <n v="0.12244897959183673"/>
    <s v=""/>
    <m/>
    <n v="2.7210884353741499E-2"/>
    <m/>
    <n v="0.16326530612244899"/>
    <n v="0.87074829931972797"/>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5850340136054417"/>
    <n v="0.32653061224489788"/>
    <m/>
    <m/>
    <m/>
    <m/>
    <m/>
    <m/>
    <m/>
    <m/>
    <m/>
    <m/>
    <m/>
    <m/>
    <m/>
    <n v="0.25850340136054417"/>
    <m/>
    <n v="6.8027210884353734E-2"/>
    <n v="0.82993197278911568"/>
    <n v="2.7210884353741499E-2"/>
    <s v=""/>
    <m/>
    <n v="4.0816326530612242E-2"/>
    <m/>
    <n v="0.25850340136054417"/>
    <n v="1.2244897959183676"/>
    <m/>
    <m/>
  </r>
  <r>
    <x v="7"/>
    <x v="225"/>
    <m/>
    <m/>
    <m/>
    <m/>
    <n v="2009"/>
    <s v="Carta (2009), in: Vázquez-Rowe et al. (2013)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7755102040816327"/>
    <n v="0.66802721088435379"/>
    <m/>
    <m/>
    <m/>
    <m/>
    <m/>
    <m/>
    <m/>
    <m/>
    <m/>
    <m/>
    <m/>
    <m/>
    <m/>
    <n v="0.47755102040816327"/>
    <m/>
    <n v="0.19047619047619052"/>
    <n v="0.38095238095238104"/>
    <s v=""/>
    <s v=""/>
    <m/>
    <s v=""/>
    <m/>
    <n v="0.47755102040816327"/>
    <n v="1.0489795918367348"/>
    <m/>
    <m/>
  </r>
  <r>
    <x v="7"/>
    <x v="225"/>
    <m/>
    <m/>
    <m/>
    <m/>
    <n v="2009"/>
    <s v="Carta (2009), in: 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979591836734697"/>
    <n v="0.69115646258503394"/>
    <m/>
    <m/>
    <m/>
    <m/>
    <m/>
    <m/>
    <m/>
    <m/>
    <m/>
    <m/>
    <m/>
    <m/>
    <m/>
    <n v="0.28979591836734697"/>
    <m/>
    <n v="0.40136054421768702"/>
    <n v="0.45442176870748302"/>
    <s v=""/>
    <s v=""/>
    <m/>
    <s v=""/>
    <m/>
    <n v="0.28979591836734697"/>
    <n v="1.1455782312925169"/>
    <m/>
    <m/>
  </r>
  <r>
    <x v="7"/>
    <x v="225"/>
    <m/>
    <m/>
    <m/>
    <m/>
    <n v="2008"/>
    <s v="CIV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n v="0.57551020408163267"/>
    <m/>
    <m/>
    <m/>
    <m/>
    <m/>
    <m/>
    <m/>
    <m/>
    <m/>
    <m/>
    <m/>
    <m/>
    <m/>
    <n v="0.417687074829932"/>
    <m/>
    <n v="0.15782312925170067"/>
    <n v="0.8013605442176871"/>
    <n v="0.91292517006802731"/>
    <s v=""/>
    <m/>
    <s v=""/>
    <m/>
    <n v="0.417687074829932"/>
    <n v="2.2884353741496599"/>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2.8843537414965992"/>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0340136054421771"/>
    <m/>
    <m/>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10340136054421768"/>
    <s v=""/>
    <m/>
    <s v=""/>
    <m/>
    <n v="0.68435374149659867"/>
    <n v="1.3741496598639455"/>
    <m/>
    <m/>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21904761904761905"/>
    <s v=""/>
    <m/>
    <s v=""/>
    <m/>
    <n v="0.68435374149659867"/>
    <n v="1.489795918367347"/>
    <m/>
    <m/>
  </r>
  <r>
    <x v="7"/>
    <x v="225"/>
    <m/>
    <m/>
    <m/>
    <m/>
    <n v="2006"/>
    <s v="Gonzalez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9782312925170067"/>
    <n v="4.5605442176870747"/>
    <m/>
    <m/>
    <m/>
    <m/>
    <m/>
    <m/>
    <m/>
    <m/>
    <m/>
    <m/>
    <m/>
    <m/>
    <m/>
    <n v="1.9782312925170067"/>
    <m/>
    <n v="2.5823129251700681"/>
    <n v="0.77551020408163263"/>
    <n v="0.80544217687074826"/>
    <s v=""/>
    <m/>
    <s v=""/>
    <m/>
    <n v="1.9782312925170067"/>
    <n v="6.1414965986394563"/>
    <m/>
    <m/>
  </r>
  <r>
    <x v="7"/>
    <x v="225"/>
    <m/>
    <m/>
    <m/>
    <m/>
    <n v="2011"/>
    <s v="Greenhaigh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421768707482991"/>
    <n v="0.66394557823129252"/>
    <m/>
    <m/>
    <m/>
    <m/>
    <m/>
    <m/>
    <m/>
    <m/>
    <m/>
    <m/>
    <m/>
    <m/>
    <m/>
    <n v="0.34421768707482991"/>
    <m/>
    <n v="0.31972789115646261"/>
    <n v="0.62312925170068034"/>
    <n v="0.36734693877551022"/>
    <n v="3.6734693877551024E-2"/>
    <m/>
    <s v=""/>
    <m/>
    <n v="0.34421768707482991"/>
    <n v="1.6911564625850344"/>
    <m/>
    <m/>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163265306122448"/>
    <s v=""/>
    <m/>
    <m/>
    <m/>
    <m/>
    <m/>
    <m/>
    <m/>
    <m/>
    <m/>
    <m/>
    <m/>
    <m/>
    <m/>
    <n v="0.28163265306122448"/>
    <m/>
    <s v=""/>
    <s v=""/>
    <s v=""/>
    <s v=""/>
    <m/>
    <s v=""/>
    <m/>
    <n v="0.28163265306122448"/>
    <s v=""/>
    <m/>
    <m/>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
    <s v=""/>
    <m/>
    <m/>
    <m/>
    <m/>
    <m/>
    <m/>
    <m/>
    <m/>
    <m/>
    <m/>
    <m/>
    <m/>
    <m/>
    <n v="0.2"/>
    <m/>
    <s v=""/>
    <s v=""/>
    <s v=""/>
    <s v=""/>
    <m/>
    <s v=""/>
    <m/>
    <n v="0.2"/>
    <s v=""/>
    <m/>
    <m/>
  </r>
  <r>
    <x v="7"/>
    <x v="225"/>
    <m/>
    <m/>
    <m/>
    <m/>
    <n v="2013"/>
    <s v="Neto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2.7210884353741496"/>
    <n v="3.3197278911564627"/>
    <m/>
    <m/>
    <m/>
    <m/>
    <m/>
    <m/>
    <m/>
    <m/>
    <m/>
    <m/>
    <m/>
    <m/>
    <m/>
    <n v="2.7210884353741496"/>
    <m/>
    <n v="0.59863945578231292"/>
    <n v="0.32653061224489793"/>
    <n v="0.31564625850340133"/>
    <s v=""/>
    <m/>
    <s v=""/>
    <m/>
    <n v="2.7210884353741496"/>
    <n v="3.961904761904762"/>
    <m/>
    <m/>
  </r>
  <r>
    <x v="7"/>
    <x v="225"/>
    <m/>
    <m/>
    <m/>
    <m/>
    <n v="2012"/>
    <s v="Pattara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6.1224489795918366E-2"/>
    <n v="8.8435374149659865E-2"/>
    <m/>
    <m/>
    <m/>
    <m/>
    <m/>
    <m/>
    <m/>
    <m/>
    <m/>
    <m/>
    <m/>
    <m/>
    <m/>
    <n v="6.1224489795918366E-2"/>
    <m/>
    <n v="2.7210884353741499E-2"/>
    <n v="1.5482993197278909"/>
    <n v="0.11700680272108842"/>
    <s v=""/>
    <m/>
    <s v=""/>
    <m/>
    <n v="6.1224489795918366E-2"/>
    <n v="1.7537414965986393"/>
    <m/>
    <m/>
  </r>
  <r>
    <x v="7"/>
    <x v="225"/>
    <m/>
    <m/>
    <m/>
    <m/>
    <n v="2006"/>
    <s v="Petti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8.0272108843537401E-2"/>
    <s v=""/>
    <m/>
    <m/>
    <m/>
    <m/>
    <m/>
    <m/>
    <m/>
    <m/>
    <m/>
    <m/>
    <m/>
    <m/>
    <m/>
    <n v="8.0272108843537401E-2"/>
    <m/>
    <s v=""/>
    <n v="1.0721088435374151"/>
    <n v="0.4285714285714286"/>
    <s v=""/>
    <m/>
    <s v=""/>
    <m/>
    <n v="8.0272108843537401E-2"/>
    <n v="1.5809523809523811"/>
    <m/>
    <m/>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13605442176870747"/>
    <m/>
    <m/>
    <m/>
    <m/>
    <m/>
    <m/>
    <m/>
    <m/>
    <m/>
    <m/>
    <m/>
    <m/>
    <m/>
    <n v="9.6598639455782315E-2"/>
    <m/>
    <n v="3.9455782312925167E-2"/>
    <n v="0.33877551020408164"/>
    <s v=""/>
    <s v=""/>
    <m/>
    <n v="1.6326530612244896E-2"/>
    <m/>
    <n v="9.6598639455782315E-2"/>
    <n v="0.48979591836734693"/>
    <m/>
    <m/>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1"/>
    <n v="0.45986394557823118"/>
    <m/>
    <m/>
    <m/>
    <m/>
    <m/>
    <m/>
    <m/>
    <m/>
    <m/>
    <m/>
    <m/>
    <m/>
    <m/>
    <n v="0.42176870748299311"/>
    <m/>
    <n v="3.8095238095238099E-2"/>
    <n v="0.50340136054421769"/>
    <s v=""/>
    <s v=""/>
    <m/>
    <n v="2.4489795918367346E-2"/>
    <m/>
    <n v="0.42176870748299311"/>
    <n v="0.9877551020408164"/>
    <m/>
    <m/>
  </r>
  <r>
    <x v="7"/>
    <x v="225"/>
    <m/>
    <m/>
    <m/>
    <m/>
    <n v="2012"/>
    <s v="Point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1170068027210884"/>
    <n v="1.5755102040816327"/>
    <m/>
    <m/>
    <m/>
    <m/>
    <m/>
    <m/>
    <m/>
    <m/>
    <m/>
    <m/>
    <m/>
    <m/>
    <m/>
    <n v="1.1170068027210884"/>
    <m/>
    <n v="0.45850340136054429"/>
    <n v="0.59047619047619049"/>
    <n v="0.53605442176870755"/>
    <n v="1.6367346938775513"/>
    <m/>
    <n v="5.1700680272108841E-2"/>
    <m/>
    <n v="1.1170068027210884"/>
    <n v="4.389115646258503"/>
    <m/>
    <m/>
  </r>
  <r>
    <x v="7"/>
    <x v="225"/>
    <m/>
    <m/>
    <m/>
    <m/>
    <n v="2009"/>
    <s v="Rugani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585034013605434"/>
    <n v="0.68979591836734688"/>
    <m/>
    <m/>
    <m/>
    <m/>
    <m/>
    <m/>
    <m/>
    <m/>
    <m/>
    <m/>
    <m/>
    <m/>
    <m/>
    <n v="0.62585034013605434"/>
    <m/>
    <n v="6.3945578231292516E-2"/>
    <n v="0.36870748299319733"/>
    <s v=""/>
    <s v=""/>
    <m/>
    <s v=""/>
    <m/>
    <n v="0.62585034013605434"/>
    <n v="1.0598639455782313"/>
    <m/>
    <m/>
  </r>
  <r>
    <x v="7"/>
    <x v="225"/>
    <m/>
    <m/>
    <m/>
    <m/>
    <n v="2004"/>
    <s v="SAWIA (2004)"/>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904761904761905"/>
    <n v="0.472108843537415"/>
    <m/>
    <m/>
    <m/>
    <m/>
    <m/>
    <m/>
    <m/>
    <m/>
    <m/>
    <m/>
    <m/>
    <m/>
    <m/>
    <n v="0.21904761904761905"/>
    <m/>
    <n v="0.25306122448979596"/>
    <n v="7.6190476190476197E-2"/>
    <s v=""/>
    <s v=""/>
    <m/>
    <s v=""/>
    <m/>
    <n v="0.21904761904761905"/>
    <n v="0.5496598639455782"/>
    <m/>
    <m/>
  </r>
  <r>
    <x v="7"/>
    <x v="225"/>
    <m/>
    <m/>
    <m/>
    <m/>
    <n v="2010"/>
    <s v="Soj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789115646258506"/>
    <n v="1.1265306122448979"/>
    <m/>
    <m/>
    <m/>
    <m/>
    <m/>
    <m/>
    <m/>
    <m/>
    <m/>
    <m/>
    <m/>
    <m/>
    <m/>
    <n v="0.72789115646258506"/>
    <m/>
    <n v="0.39863945578231291"/>
    <n v="0.91564625850340153"/>
    <n v="0.28163265306122448"/>
    <s v=""/>
    <m/>
    <n v="2.3129251700680271E-2"/>
    <m/>
    <n v="0.72789115646258506"/>
    <n v="2.3469387755102042"/>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1768707482993201"/>
    <s v=""/>
    <m/>
    <m/>
    <m/>
    <m/>
    <m/>
    <m/>
    <m/>
    <m/>
    <m/>
    <m/>
    <m/>
    <m/>
    <m/>
    <n v="0.61768707482993201"/>
    <m/>
    <s v=""/>
    <s v=""/>
    <s v=""/>
    <s v=""/>
    <m/>
    <s v=""/>
    <m/>
    <n v="0.6176870748299320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666666666666667"/>
    <s v=""/>
    <m/>
    <m/>
    <m/>
    <m/>
    <m/>
    <m/>
    <m/>
    <m/>
    <m/>
    <m/>
    <m/>
    <m/>
    <m/>
    <n v="1.0666666666666667"/>
    <m/>
    <s v=""/>
    <s v=""/>
    <s v=""/>
    <s v=""/>
    <m/>
    <s v=""/>
    <m/>
    <n v="1.066666666666666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993197278911564"/>
    <s v=""/>
    <m/>
    <m/>
    <m/>
    <m/>
    <m/>
    <m/>
    <m/>
    <m/>
    <m/>
    <m/>
    <m/>
    <m/>
    <m/>
    <n v="1.0993197278911564"/>
    <m/>
    <s v=""/>
    <s v=""/>
    <s v=""/>
    <s v=""/>
    <m/>
    <s v=""/>
    <m/>
    <n v="1.099319727891156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3265306122448982"/>
    <s v=""/>
    <m/>
    <m/>
    <m/>
    <m/>
    <m/>
    <m/>
    <m/>
    <m/>
    <m/>
    <m/>
    <m/>
    <m/>
    <m/>
    <n v="0.43265306122448982"/>
    <m/>
    <s v=""/>
    <s v=""/>
    <s v=""/>
    <s v=""/>
    <m/>
    <s v=""/>
    <m/>
    <n v="0.4326530612244898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108843537414979"/>
    <s v=""/>
    <m/>
    <m/>
    <m/>
    <m/>
    <m/>
    <m/>
    <m/>
    <m/>
    <m/>
    <m/>
    <m/>
    <m/>
    <m/>
    <n v="0.72108843537414979"/>
    <m/>
    <s v=""/>
    <s v=""/>
    <s v=""/>
    <s v=""/>
    <m/>
    <s v=""/>
    <m/>
    <n v="0.7210884353741497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870748299319724"/>
    <s v=""/>
    <m/>
    <m/>
    <m/>
    <m/>
    <m/>
    <m/>
    <m/>
    <m/>
    <m/>
    <m/>
    <m/>
    <m/>
    <m/>
    <n v="0.76870748299319724"/>
    <m/>
    <s v=""/>
    <s v=""/>
    <s v=""/>
    <s v=""/>
    <m/>
    <s v=""/>
    <m/>
    <n v="0.7687074829931972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598639455782314"/>
    <s v=""/>
    <m/>
    <m/>
    <m/>
    <m/>
    <m/>
    <m/>
    <m/>
    <m/>
    <m/>
    <m/>
    <m/>
    <m/>
    <m/>
    <n v="0.76598639455782314"/>
    <m/>
    <s v=""/>
    <s v=""/>
    <s v=""/>
    <s v=""/>
    <m/>
    <s v=""/>
    <m/>
    <n v="0.7659863945578231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9251700680272121"/>
    <s v=""/>
    <m/>
    <m/>
    <m/>
    <m/>
    <m/>
    <m/>
    <m/>
    <m/>
    <m/>
    <m/>
    <m/>
    <m/>
    <m/>
    <n v="0.69251700680272121"/>
    <m/>
    <s v=""/>
    <s v=""/>
    <s v=""/>
    <s v=""/>
    <m/>
    <s v=""/>
    <m/>
    <n v="0.6925170068027212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040816326530612"/>
    <s v=""/>
    <m/>
    <m/>
    <m/>
    <m/>
    <m/>
    <m/>
    <m/>
    <m/>
    <m/>
    <m/>
    <m/>
    <m/>
    <m/>
    <n v="0.62040816326530612"/>
    <m/>
    <s v=""/>
    <s v=""/>
    <s v=""/>
    <s v=""/>
    <m/>
    <s v=""/>
    <m/>
    <n v="0.6204081632653061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7"/>
    <s v=""/>
    <m/>
    <m/>
    <m/>
    <m/>
    <m/>
    <m/>
    <m/>
    <m/>
    <m/>
    <m/>
    <m/>
    <m/>
    <m/>
    <n v="0.42176870748299317"/>
    <m/>
    <s v=""/>
    <s v=""/>
    <s v=""/>
    <s v=""/>
    <m/>
    <s v=""/>
    <m/>
    <n v="0.4217687074829931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5578231292517013"/>
    <s v=""/>
    <m/>
    <m/>
    <m/>
    <m/>
    <m/>
    <m/>
    <m/>
    <m/>
    <m/>
    <m/>
    <m/>
    <m/>
    <m/>
    <n v="0.45578231292517013"/>
    <m/>
    <s v=""/>
    <s v=""/>
    <s v=""/>
    <s v=""/>
    <m/>
    <s v=""/>
    <m/>
    <n v="0.4557823129251701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3265306122448983"/>
    <s v=""/>
    <m/>
    <m/>
    <m/>
    <m/>
    <m/>
    <m/>
    <m/>
    <m/>
    <m/>
    <m/>
    <m/>
    <m/>
    <m/>
    <n v="0.63265306122448983"/>
    <m/>
    <s v=""/>
    <s v=""/>
    <s v=""/>
    <s v=""/>
    <m/>
    <s v=""/>
    <m/>
    <n v="0.6326530612244898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040816326530611"/>
    <s v=""/>
    <m/>
    <m/>
    <m/>
    <m/>
    <m/>
    <m/>
    <m/>
    <m/>
    <m/>
    <m/>
    <m/>
    <m/>
    <m/>
    <n v="0.42040816326530611"/>
    <m/>
    <s v=""/>
    <s v=""/>
    <s v=""/>
    <s v=""/>
    <m/>
    <s v=""/>
    <m/>
    <n v="0.4204081632653061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6462585034013606"/>
    <s v=""/>
    <m/>
    <m/>
    <m/>
    <m/>
    <m/>
    <m/>
    <m/>
    <m/>
    <m/>
    <m/>
    <m/>
    <m/>
    <m/>
    <n v="0.36462585034013606"/>
    <m/>
    <s v=""/>
    <s v=""/>
    <s v=""/>
    <s v=""/>
    <m/>
    <s v=""/>
    <m/>
    <n v="0.3646258503401360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843537414965986"/>
    <s v=""/>
    <m/>
    <m/>
    <m/>
    <m/>
    <m/>
    <m/>
    <m/>
    <m/>
    <m/>
    <m/>
    <m/>
    <m/>
    <m/>
    <n v="0.28843537414965986"/>
    <m/>
    <s v=""/>
    <s v=""/>
    <s v=""/>
    <s v=""/>
    <m/>
    <s v=""/>
    <m/>
    <n v="0.2884353741496598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380952380952381"/>
    <s v=""/>
    <m/>
    <m/>
    <m/>
    <m/>
    <m/>
    <m/>
    <m/>
    <m/>
    <m/>
    <m/>
    <m/>
    <m/>
    <m/>
    <n v="1.2380952380952381"/>
    <m/>
    <s v=""/>
    <s v=""/>
    <s v=""/>
    <s v=""/>
    <m/>
    <s v=""/>
    <m/>
    <n v="1.238095238095238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3877551020408172"/>
    <s v=""/>
    <m/>
    <m/>
    <m/>
    <m/>
    <m/>
    <m/>
    <m/>
    <m/>
    <m/>
    <m/>
    <m/>
    <m/>
    <m/>
    <n v="0.73877551020408172"/>
    <m/>
    <s v=""/>
    <s v=""/>
    <s v=""/>
    <s v=""/>
    <m/>
    <s v=""/>
    <m/>
    <n v="0.7387755102040817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857142857142859"/>
    <s v=""/>
    <m/>
    <m/>
    <m/>
    <m/>
    <m/>
    <m/>
    <m/>
    <m/>
    <m/>
    <m/>
    <m/>
    <m/>
    <m/>
    <n v="1.0857142857142859"/>
    <m/>
    <s v=""/>
    <s v=""/>
    <s v=""/>
    <s v=""/>
    <m/>
    <s v=""/>
    <m/>
    <n v="1.085714285714285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2925170068027207"/>
    <s v=""/>
    <m/>
    <m/>
    <m/>
    <m/>
    <m/>
    <m/>
    <m/>
    <m/>
    <m/>
    <m/>
    <m/>
    <m/>
    <m/>
    <n v="0.92925170068027207"/>
    <m/>
    <s v=""/>
    <s v=""/>
    <s v=""/>
    <s v=""/>
    <m/>
    <s v=""/>
    <m/>
    <n v="0.9292517006802720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5918367346938773"/>
    <s v=""/>
    <m/>
    <m/>
    <m/>
    <m/>
    <m/>
    <m/>
    <m/>
    <m/>
    <m/>
    <m/>
    <m/>
    <m/>
    <m/>
    <n v="0.35918367346938773"/>
    <m/>
    <s v=""/>
    <s v=""/>
    <s v=""/>
    <s v=""/>
    <m/>
    <s v=""/>
    <m/>
    <n v="0.3591836734693877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0884353741496602"/>
    <s v=""/>
    <m/>
    <m/>
    <m/>
    <m/>
    <m/>
    <m/>
    <m/>
    <m/>
    <m/>
    <m/>
    <m/>
    <m/>
    <m/>
    <n v="0.50884353741496602"/>
    <m/>
    <s v=""/>
    <s v=""/>
    <s v=""/>
    <s v=""/>
    <m/>
    <s v=""/>
    <m/>
    <n v="0.5088435374149660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4761904761904761"/>
    <s v=""/>
    <m/>
    <m/>
    <m/>
    <m/>
    <m/>
    <m/>
    <m/>
    <m/>
    <m/>
    <m/>
    <m/>
    <m/>
    <m/>
    <n v="0.84761904761904761"/>
    <m/>
    <s v=""/>
    <s v=""/>
    <s v=""/>
    <s v=""/>
    <m/>
    <s v=""/>
    <m/>
    <n v="0.8476190476190476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632653061224491"/>
    <s v=""/>
    <m/>
    <m/>
    <m/>
    <m/>
    <m/>
    <m/>
    <m/>
    <m/>
    <m/>
    <m/>
    <m/>
    <m/>
    <m/>
    <n v="0.21632653061224491"/>
    <m/>
    <s v=""/>
    <s v=""/>
    <s v=""/>
    <s v=""/>
    <m/>
    <s v=""/>
    <m/>
    <n v="0.2163265306122449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666666666666667"/>
    <s v=""/>
    <m/>
    <m/>
    <m/>
    <m/>
    <m/>
    <m/>
    <m/>
    <m/>
    <m/>
    <m/>
    <m/>
    <m/>
    <m/>
    <n v="0.8666666666666667"/>
    <m/>
    <s v=""/>
    <s v=""/>
    <s v=""/>
    <s v=""/>
    <m/>
    <s v=""/>
    <m/>
    <n v="0.866666666666666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8163265306122462"/>
    <s v=""/>
    <m/>
    <m/>
    <m/>
    <m/>
    <m/>
    <m/>
    <m/>
    <m/>
    <m/>
    <m/>
    <m/>
    <m/>
    <m/>
    <n v="0.88163265306122462"/>
    <m/>
    <s v=""/>
    <s v=""/>
    <s v=""/>
    <s v=""/>
    <m/>
    <s v=""/>
    <m/>
    <n v="0.8816326530612246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435374149659866"/>
    <s v=""/>
    <m/>
    <m/>
    <m/>
    <m/>
    <m/>
    <m/>
    <m/>
    <m/>
    <m/>
    <m/>
    <m/>
    <m/>
    <m/>
    <n v="1.2435374149659866"/>
    <m/>
    <s v=""/>
    <s v=""/>
    <s v=""/>
    <s v=""/>
    <m/>
    <s v=""/>
    <m/>
    <n v="1.243537414965986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1292517006802725"/>
    <s v=""/>
    <m/>
    <m/>
    <m/>
    <m/>
    <m/>
    <m/>
    <m/>
    <m/>
    <m/>
    <m/>
    <m/>
    <m/>
    <m/>
    <n v="0.71292517006802725"/>
    <m/>
    <s v=""/>
    <s v=""/>
    <s v=""/>
    <s v=""/>
    <m/>
    <s v=""/>
    <m/>
    <n v="0.71292517006802725"/>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1972789115646261"/>
    <s v=""/>
    <m/>
    <m/>
    <m/>
    <m/>
    <m/>
    <m/>
    <m/>
    <m/>
    <m/>
    <m/>
    <m/>
    <m/>
    <m/>
    <n v="0.31972789115646261"/>
    <m/>
    <s v=""/>
    <s v=""/>
    <s v=""/>
    <s v=""/>
    <m/>
    <s v=""/>
    <m/>
    <n v="0.3197278911564626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829931972789119"/>
    <s v=""/>
    <m/>
    <m/>
    <m/>
    <m/>
    <m/>
    <m/>
    <m/>
    <m/>
    <m/>
    <m/>
    <m/>
    <m/>
    <m/>
    <n v="0.34829931972789119"/>
    <m/>
    <s v=""/>
    <s v=""/>
    <s v=""/>
    <s v=""/>
    <m/>
    <s v=""/>
    <m/>
    <n v="0.3482993197278911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6258503401360546"/>
    <s v=""/>
    <m/>
    <m/>
    <m/>
    <m/>
    <m/>
    <m/>
    <m/>
    <m/>
    <m/>
    <m/>
    <m/>
    <m/>
    <m/>
    <n v="0.46258503401360546"/>
    <m/>
    <s v=""/>
    <s v=""/>
    <s v=""/>
    <s v=""/>
    <m/>
    <s v=""/>
    <m/>
    <n v="0.4625850340136054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884353741496609"/>
    <s v=""/>
    <m/>
    <m/>
    <m/>
    <m/>
    <m/>
    <m/>
    <m/>
    <m/>
    <m/>
    <m/>
    <m/>
    <m/>
    <m/>
    <n v="0.70884353741496609"/>
    <m/>
    <s v=""/>
    <s v=""/>
    <s v=""/>
    <s v=""/>
    <m/>
    <s v=""/>
    <m/>
    <n v="0.7088435374149660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836734693877551"/>
    <s v=""/>
    <m/>
    <m/>
    <m/>
    <m/>
    <m/>
    <m/>
    <m/>
    <m/>
    <m/>
    <m/>
    <m/>
    <m/>
    <m/>
    <n v="0.3836734693877551"/>
    <m/>
    <s v=""/>
    <s v=""/>
    <s v=""/>
    <s v=""/>
    <m/>
    <s v=""/>
    <m/>
    <n v="0.383673469387755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8163265306122449"/>
    <s v=""/>
    <m/>
    <m/>
    <m/>
    <m/>
    <m/>
    <m/>
    <m/>
    <m/>
    <m/>
    <m/>
    <m/>
    <m/>
    <m/>
    <n v="0.48163265306122449"/>
    <m/>
    <s v=""/>
    <s v=""/>
    <s v=""/>
    <s v=""/>
    <m/>
    <s v=""/>
    <m/>
    <n v="0.4816326530612244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761904761904764"/>
    <s v=""/>
    <m/>
    <m/>
    <m/>
    <m/>
    <m/>
    <m/>
    <m/>
    <m/>
    <m/>
    <m/>
    <m/>
    <m/>
    <m/>
    <n v="0.44761904761904764"/>
    <m/>
    <s v=""/>
    <s v=""/>
    <s v=""/>
    <s v=""/>
    <m/>
    <s v=""/>
    <m/>
    <n v="0.4476190476190476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6122448979591834"/>
    <s v=""/>
    <m/>
    <m/>
    <m/>
    <m/>
    <m/>
    <m/>
    <m/>
    <m/>
    <m/>
    <m/>
    <m/>
    <m/>
    <m/>
    <n v="0.26122448979591834"/>
    <m/>
    <s v=""/>
    <s v=""/>
    <s v=""/>
    <s v=""/>
    <m/>
    <s v=""/>
    <m/>
    <n v="0.2612244897959183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s v=""/>
    <m/>
    <m/>
    <m/>
    <m/>
    <m/>
    <m/>
    <m/>
    <m/>
    <m/>
    <m/>
    <m/>
    <m/>
    <m/>
    <n v="0.417687074829932"/>
    <m/>
    <s v=""/>
    <s v=""/>
    <s v=""/>
    <s v=""/>
    <m/>
    <s v=""/>
    <m/>
    <n v="0.41768707482993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3469387755102049"/>
    <s v=""/>
    <m/>
    <m/>
    <m/>
    <m/>
    <m/>
    <m/>
    <m/>
    <m/>
    <m/>
    <m/>
    <m/>
    <m/>
    <m/>
    <n v="0.53469387755102049"/>
    <m/>
    <s v=""/>
    <s v=""/>
    <s v=""/>
    <s v=""/>
    <m/>
    <s v=""/>
    <m/>
    <n v="0.5346938775510204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0272108843537413"/>
    <s v=""/>
    <m/>
    <m/>
    <m/>
    <m/>
    <m/>
    <m/>
    <m/>
    <m/>
    <m/>
    <m/>
    <m/>
    <m/>
    <m/>
    <n v="0.40272108843537413"/>
    <m/>
    <s v=""/>
    <s v=""/>
    <s v=""/>
    <s v=""/>
    <m/>
    <s v=""/>
    <m/>
    <n v="0.40272108843537413"/>
    <s v=""/>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44217687074829937"/>
    <m/>
    <m/>
    <m/>
    <m/>
    <m/>
    <m/>
    <m/>
    <m/>
    <m/>
    <m/>
    <m/>
    <m/>
    <m/>
    <s v=""/>
    <m/>
    <n v="0.44217687074829937"/>
    <n v="0.23401360544217684"/>
    <s v=""/>
    <s v=""/>
    <m/>
    <s v=""/>
    <m/>
    <s v=""/>
    <n v="0.67619047619047612"/>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1.5782312925170066"/>
    <m/>
    <m/>
    <m/>
    <m/>
    <m/>
    <m/>
    <m/>
    <m/>
    <m/>
    <m/>
    <m/>
    <m/>
    <m/>
    <s v=""/>
    <m/>
    <n v="1.5782312925170066"/>
    <n v="0.23401360544217684"/>
    <s v=""/>
    <s v=""/>
    <m/>
    <s v=""/>
    <m/>
    <s v=""/>
    <n v="1.8122448979591836"/>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16462585034013605"/>
    <m/>
    <m/>
    <m/>
    <m/>
    <m/>
    <m/>
    <m/>
    <m/>
    <m/>
    <m/>
    <m/>
    <m/>
    <m/>
    <s v=""/>
    <m/>
    <n v="0.16462585034013605"/>
    <n v="0.23401360544217684"/>
    <s v=""/>
    <s v=""/>
    <m/>
    <s v=""/>
    <m/>
    <s v=""/>
    <n v="0.39863945578231291"/>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9863945578231291"/>
    <s v=""/>
    <m/>
    <m/>
    <m/>
    <m/>
    <m/>
    <m/>
    <m/>
    <m/>
    <m/>
    <m/>
    <m/>
    <m/>
    <m/>
    <n v="0.39863945578231291"/>
    <m/>
    <s v=""/>
    <s v=""/>
    <s v=""/>
    <s v=""/>
    <m/>
    <s v=""/>
    <m/>
    <n v="0.39863945578231291"/>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7.4829931972789115E-2"/>
    <s v=""/>
    <m/>
    <m/>
    <m/>
    <m/>
    <m/>
    <m/>
    <m/>
    <m/>
    <m/>
    <m/>
    <m/>
    <m/>
    <m/>
    <n v="7.4829931972789115E-2"/>
    <m/>
    <s v=""/>
    <s v=""/>
    <s v=""/>
    <s v=""/>
    <m/>
    <s v=""/>
    <m/>
    <n v="7.4829931972789115E-2"/>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489795918367347"/>
    <s v=""/>
    <m/>
    <m/>
    <m/>
    <m/>
    <m/>
    <m/>
    <m/>
    <m/>
    <m/>
    <m/>
    <m/>
    <m/>
    <m/>
    <n v="0.44489795918367347"/>
    <m/>
    <s v=""/>
    <s v=""/>
    <s v=""/>
    <s v=""/>
    <m/>
    <s v=""/>
    <m/>
    <n v="0.44489795918367347"/>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65986394557823"/>
    <s v=""/>
    <m/>
    <m/>
    <m/>
    <m/>
    <m/>
    <m/>
    <m/>
    <m/>
    <m/>
    <m/>
    <m/>
    <m/>
    <m/>
    <n v="0.2965986394557823"/>
    <m/>
    <s v=""/>
    <s v=""/>
    <s v=""/>
    <s v=""/>
    <m/>
    <s v=""/>
    <m/>
    <n v="0.2965986394557823"/>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251700680272108"/>
    <s v=""/>
    <m/>
    <m/>
    <m/>
    <m/>
    <m/>
    <m/>
    <m/>
    <m/>
    <m/>
    <m/>
    <m/>
    <m/>
    <m/>
    <n v="0.29251700680272108"/>
    <m/>
    <s v=""/>
    <s v=""/>
    <s v=""/>
    <s v=""/>
    <m/>
    <s v=""/>
    <m/>
    <n v="0.29251700680272108"/>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01360544217687"/>
    <s v=""/>
    <m/>
    <m/>
    <m/>
    <m/>
    <m/>
    <m/>
    <m/>
    <m/>
    <m/>
    <m/>
    <m/>
    <m/>
    <m/>
    <n v="0.3401360544217687"/>
    <m/>
    <s v=""/>
    <s v=""/>
    <s v=""/>
    <s v=""/>
    <m/>
    <s v=""/>
    <m/>
    <n v="0.3401360544217687"/>
    <s v=""/>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36598639455782317"/>
    <n v="0.47210884353741495"/>
    <m/>
    <s v=""/>
    <m/>
    <n v="0.20816326530612245"/>
    <n v="1.2884353741496599"/>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58911564625850343"/>
    <n v="0.47210884353741495"/>
    <m/>
    <s v=""/>
    <m/>
    <n v="0.20816326530612245"/>
    <n v="2.07619047619047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46530612244897962"/>
    <n v="0.55102040816326525"/>
    <n v="0.47210884353741495"/>
    <m/>
    <s v=""/>
    <m/>
    <n v="0.20816326530612245"/>
    <n v="1.9387755102040818"/>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36734693877551022"/>
    <n v="0.46666666666666673"/>
    <n v="0.47210884353741495"/>
    <m/>
    <s v=""/>
    <m/>
    <n v="0.20816326530612245"/>
    <n v="1.756462585034013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12108843537414966"/>
    <n v="0.47210884353741495"/>
    <m/>
    <s v=""/>
    <m/>
    <n v="0.20816326530612245"/>
    <n v="1.04353741496598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9.9319727891156465E-2"/>
    <n v="0.47210884353741495"/>
    <m/>
    <s v=""/>
    <m/>
    <n v="0.20816326530612245"/>
    <n v="1.0217687074829931"/>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8.8435374149659865E-2"/>
    <n v="0.47210884353741495"/>
    <m/>
    <s v=""/>
    <m/>
    <n v="0.20816326530612245"/>
    <n v="1.01088435374149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6326530612244897"/>
    <n v="0.47210884353741495"/>
    <m/>
    <s v=""/>
    <m/>
    <n v="0.20816326530612245"/>
    <n v="1.6503401360544221"/>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3605442176870747"/>
    <n v="0.47210884353741495"/>
    <m/>
    <s v=""/>
    <m/>
    <n v="0.20816326530612245"/>
    <n v="1.6231292517006803"/>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183673469387755"/>
    <n v="0.47210884353741495"/>
    <m/>
    <s v=""/>
    <m/>
    <n v="0.20816326530612245"/>
    <n v="1.6054421768707481"/>
    <m/>
    <m/>
  </r>
  <r>
    <x v="7"/>
    <x v="225"/>
    <m/>
    <m/>
    <m/>
    <m/>
    <n v="2003"/>
    <s v="Zabalza et al. (200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7959183673469394"/>
    <n v="1.0068027210884354"/>
    <m/>
    <m/>
    <m/>
    <m/>
    <m/>
    <m/>
    <m/>
    <m/>
    <m/>
    <m/>
    <m/>
    <m/>
    <m/>
    <n v="0.57959183673469394"/>
    <m/>
    <n v="0.42721088435374149"/>
    <n v="0.38231292517006804"/>
    <n v="0.13741496598639455"/>
    <s v=""/>
    <m/>
    <s v=""/>
    <m/>
    <n v="0.57959183673469394"/>
    <n v="1.5265306122448981"/>
    <m/>
    <m/>
  </r>
  <r>
    <x v="7"/>
    <x v="225"/>
    <m/>
    <m/>
    <m/>
    <m/>
    <n v="2013"/>
    <s v="Benedetto, G.,"/>
    <m/>
    <s v="Peer Reviewed Journal"/>
    <s v="Benedetto, G., The environmental impact of a Sardinian wine by partial life cycle assessment. Wine Economics and Policy 2013, 2 (1), 33-41."/>
    <m/>
    <m/>
    <m/>
    <m/>
    <m/>
    <m/>
    <m/>
    <m/>
    <m/>
    <m/>
    <m/>
    <m/>
    <m/>
    <m/>
    <m/>
    <m/>
    <m/>
    <m/>
    <s v=""/>
    <s v=""/>
    <n v="0.96326530612244898"/>
    <n v="0.96715646258503407"/>
    <m/>
    <m/>
    <m/>
    <m/>
    <m/>
    <m/>
    <m/>
    <m/>
    <m/>
    <m/>
    <m/>
    <m/>
    <m/>
    <n v="0.96326530612244898"/>
    <m/>
    <n v="3.8911564625850339E-3"/>
    <n v="1.2666666666666668"/>
    <s v=""/>
    <s v=""/>
    <m/>
    <s v=""/>
    <m/>
    <n v="0.96326530612244898"/>
    <n v="2.2338231292517006"/>
    <m/>
    <m/>
  </r>
  <r>
    <x v="7"/>
    <x v="225"/>
    <m/>
    <m/>
    <m/>
    <m/>
    <n v="2014"/>
    <s v="Amienyo, D.; Camilleri, C.; Azapagic, A"/>
    <m/>
    <s v="Peer Reviewed Journal"/>
    <s v="Amienyo, D., Camilleri, C. and Azapagic, A., Environmental impacts of consumption of Australian red wine in the UK. Journal of Cleaner Production 2014, 72, 110-119."/>
    <m/>
    <m/>
    <m/>
    <m/>
    <m/>
    <m/>
    <m/>
    <m/>
    <m/>
    <m/>
    <m/>
    <m/>
    <m/>
    <m/>
    <m/>
    <m/>
    <m/>
    <m/>
    <s v=""/>
    <s v=""/>
    <n v="0.68027210884353739"/>
    <n v="0.7482993197278911"/>
    <m/>
    <m/>
    <m/>
    <m/>
    <m/>
    <m/>
    <m/>
    <m/>
    <m/>
    <m/>
    <m/>
    <m/>
    <m/>
    <n v="0.68027210884353739"/>
    <m/>
    <n v="6.8027210884353734E-2"/>
    <n v="0.68027210884353739"/>
    <n v="0.27210884353741494"/>
    <s v=""/>
    <m/>
    <s v=""/>
    <m/>
    <n v="0.68027210884353739"/>
    <n v="1.7006802721088436"/>
    <m/>
    <m/>
  </r>
  <r>
    <x v="7"/>
    <x v="225"/>
    <m/>
    <m/>
    <m/>
    <m/>
    <n v="2014"/>
    <s v="usi, A.; Guidetti, R.; Benedetto, G., "/>
    <m/>
    <s v="Peer Reviewed Journal"/>
    <s v="Fusi, A., Guidetti, R. and Benedetto, G., Delving into the environmental aspect of a Sardinian white wine: from partial to total life cycle assessment. Science of the Total Environment 2014, 472, 989-1000."/>
    <m/>
    <m/>
    <m/>
    <m/>
    <m/>
    <m/>
    <m/>
    <m/>
    <m/>
    <m/>
    <m/>
    <m/>
    <m/>
    <m/>
    <m/>
    <m/>
    <m/>
    <m/>
    <s v=""/>
    <s v=""/>
    <n v="0.22993197278911567"/>
    <n v="0.6027210884353742"/>
    <m/>
    <m/>
    <m/>
    <m/>
    <m/>
    <m/>
    <m/>
    <m/>
    <m/>
    <m/>
    <m/>
    <m/>
    <m/>
    <n v="0.22993197278911567"/>
    <m/>
    <n v="0.3727891156462585"/>
    <n v="0.76462585034013608"/>
    <s v=""/>
    <s v=""/>
    <m/>
    <s v=""/>
    <m/>
    <n v="0.22993197278911567"/>
    <n v="1.3673469387755104"/>
    <m/>
    <m/>
  </r>
  <r>
    <x v="7"/>
    <x v="225"/>
    <m/>
    <m/>
    <m/>
    <m/>
    <n v="2016"/>
    <s v="Bonamente, E.; Scrucca, F.; Rinaldi, S.; Merico, M. C.; Asdrubali, F.; Lamastra, L.,"/>
    <m/>
    <s v="Peer Reviewed Journal"/>
    <s v="Bonamente, E., Scrucca, F., Rinaldi, S., Merico, M. C., Asdrubali, F. and Lamastra, L., Environmental impact of an Italian wine bottle: Carbon and water footprint assessment. Science of The Total Environment 2016, 560, 274-283."/>
    <m/>
    <m/>
    <m/>
    <m/>
    <m/>
    <m/>
    <m/>
    <m/>
    <m/>
    <m/>
    <m/>
    <m/>
    <m/>
    <m/>
    <m/>
    <m/>
    <m/>
    <m/>
    <s v=""/>
    <s v=""/>
    <n v="1.398639455782313"/>
    <n v="1.4025182312925171"/>
    <m/>
    <m/>
    <m/>
    <m/>
    <m/>
    <m/>
    <m/>
    <m/>
    <m/>
    <m/>
    <m/>
    <m/>
    <m/>
    <n v="1.398639455782313"/>
    <m/>
    <n v="3.8787755102040818E-3"/>
    <s v=""/>
    <n v="0.64414965986394557"/>
    <s v=""/>
    <m/>
    <n v="-0.59278911564625858"/>
    <m/>
    <n v="1.398639455782313"/>
    <n v="1.4538787755102043"/>
    <m/>
    <m/>
  </r>
  <r>
    <x v="7"/>
    <x v="225"/>
    <m/>
    <m/>
    <m/>
    <m/>
    <n v="2012"/>
    <s v="BIER European format"/>
    <m/>
    <s v="Peer Reviewed Journal"/>
    <s v="Beverage Industry Environmental Roundtable, Research on the Carbon Footprint of Wine. 2012, ."/>
    <m/>
    <m/>
    <m/>
    <m/>
    <m/>
    <m/>
    <m/>
    <m/>
    <m/>
    <m/>
    <m/>
    <m/>
    <m/>
    <m/>
    <m/>
    <m/>
    <m/>
    <m/>
    <s v=""/>
    <s v=""/>
    <n v="0.41115646258503408"/>
    <n v="0.53333333333333344"/>
    <m/>
    <m/>
    <m/>
    <m/>
    <m/>
    <m/>
    <m/>
    <m/>
    <m/>
    <m/>
    <m/>
    <m/>
    <m/>
    <n v="0.41115646258503408"/>
    <m/>
    <n v="0.12217687074829936"/>
    <n v="1.1278911564625851"/>
    <n v="9.3605442176870737E-2"/>
    <s v=""/>
    <m/>
    <s v=""/>
    <m/>
    <n v="0.41115646258503408"/>
    <n v="1.7551020408163265"/>
    <m/>
    <m/>
  </r>
  <r>
    <x v="7"/>
    <x v="225"/>
    <m/>
    <m/>
    <m/>
    <m/>
    <n v="2012"/>
    <s v="BIER N. American format"/>
    <m/>
    <s v="Peer Reviewed Journal"/>
    <s v="Beverage Industry Environmental Roundtable, Research on the Carbon Footprint of Wine. 2012, ."/>
    <m/>
    <m/>
    <m/>
    <m/>
    <m/>
    <m/>
    <m/>
    <m/>
    <m/>
    <m/>
    <m/>
    <m/>
    <m/>
    <m/>
    <m/>
    <m/>
    <m/>
    <m/>
    <s v=""/>
    <s v=""/>
    <n v="0.4118367346938776"/>
    <n v="1.1617687074829932"/>
    <m/>
    <m/>
    <m/>
    <m/>
    <m/>
    <m/>
    <m/>
    <m/>
    <m/>
    <m/>
    <m/>
    <m/>
    <m/>
    <n v="0.4118367346938776"/>
    <m/>
    <n v="0.74993197278911561"/>
    <n v="1.1779591836734695"/>
    <n v="9.5918367346938774E-2"/>
    <s v=""/>
    <m/>
    <s v=""/>
    <m/>
    <n v="0.4118367346938776"/>
    <n v="2.435374149659864"/>
    <m/>
    <m/>
  </r>
  <r>
    <x v="7"/>
    <x v="225"/>
    <m/>
    <m/>
    <m/>
    <m/>
    <n v="2013"/>
    <s v="Villanueva-Rey, P.; Vázquez-Rowe, I.; Moreira, M. T.; Feijoo, G."/>
    <m/>
    <s v="Peer Reviewed Journal"/>
    <s v="Villanueva-Rey, P., Vázquez-Rowe, I., Moreira, M. T. and Feijoo, G., Comparative life cycle assessment in the wine sector: biodynamic vs. conventional viticulture activities in NW Spain. Journal of Cleaner Production 2014, 65, 330-341."/>
    <m/>
    <m/>
    <m/>
    <m/>
    <m/>
    <m/>
    <m/>
    <m/>
    <m/>
    <m/>
    <m/>
    <m/>
    <m/>
    <m/>
    <m/>
    <m/>
    <m/>
    <m/>
    <s v=""/>
    <s v=""/>
    <n v="0.13220408163265304"/>
    <s v=""/>
    <m/>
    <m/>
    <m/>
    <m/>
    <m/>
    <m/>
    <m/>
    <m/>
    <m/>
    <m/>
    <m/>
    <m/>
    <m/>
    <n v="0.13220408163265304"/>
    <m/>
    <s v=""/>
    <s v=""/>
    <s v=""/>
    <s v=""/>
    <m/>
    <s v=""/>
    <m/>
    <n v="0.13220408163265304"/>
    <s v=""/>
    <m/>
    <m/>
  </r>
  <r>
    <x v="4"/>
    <x v="80"/>
    <m/>
    <m/>
    <m/>
    <m/>
    <m/>
    <m/>
    <m/>
    <m/>
    <m/>
    <m/>
    <m/>
    <m/>
    <m/>
    <m/>
    <m/>
    <m/>
    <m/>
    <m/>
    <m/>
    <m/>
    <m/>
    <m/>
    <m/>
    <m/>
    <m/>
    <m/>
    <m/>
    <n v="28.264295951765718"/>
    <s v=""/>
    <s v=""/>
    <s v=""/>
    <m/>
    <m/>
    <m/>
    <m/>
    <m/>
    <m/>
    <m/>
    <m/>
    <m/>
    <n v="28.264295951765718"/>
    <m/>
    <m/>
    <s v="grape proxy * mass conv. Factor from FICRCD"/>
    <m/>
    <m/>
    <m/>
    <m/>
    <m/>
    <m/>
    <m/>
    <m/>
    <m/>
    <m/>
    <m/>
    <m/>
    <m/>
  </r>
  <r>
    <x v="4"/>
    <x v="87"/>
    <m/>
    <m/>
    <m/>
    <m/>
    <m/>
    <s v="Ecoinvent 3 process: Grape {GLO}| production | Alloc Def, S"/>
    <m/>
    <m/>
    <s v="Swiss Center for Life Cycle Inventories, Ecoinvent Database version 3.3. 2016, 2016, ."/>
    <m/>
    <m/>
    <m/>
    <m/>
    <m/>
    <m/>
    <m/>
    <m/>
    <m/>
    <m/>
    <m/>
    <m/>
    <m/>
    <m/>
    <m/>
    <m/>
    <m/>
    <m/>
    <n v="2.7020649299999997"/>
    <s v=""/>
    <n v="0.20832000000000001"/>
    <s v=""/>
    <m/>
    <m/>
    <m/>
    <m/>
    <m/>
    <m/>
    <m/>
    <m/>
    <m/>
    <n v="2.7020649299999997"/>
    <m/>
    <m/>
    <m/>
    <m/>
    <m/>
    <m/>
    <m/>
    <m/>
    <m/>
    <m/>
    <m/>
    <m/>
    <n v="0.20832000000000001"/>
    <m/>
    <m/>
    <m/>
  </r>
  <r>
    <x v="9"/>
    <x v="226"/>
    <m/>
    <m/>
    <m/>
    <m/>
    <m/>
    <s v="estimated from processing calculations (see processed foods methods)"/>
    <m/>
    <m/>
    <m/>
    <m/>
    <m/>
    <m/>
    <m/>
    <m/>
    <m/>
    <m/>
    <m/>
    <m/>
    <m/>
    <m/>
    <m/>
    <m/>
    <m/>
    <m/>
    <m/>
    <m/>
    <m/>
    <s v=""/>
    <n v="69.364547771906771"/>
    <s v=""/>
    <n v="6.7544572691172551"/>
    <m/>
    <m/>
    <n v="69.364547771906771"/>
    <m/>
    <m/>
    <m/>
    <m/>
    <m/>
    <m/>
    <m/>
    <m/>
    <m/>
    <m/>
    <m/>
    <m/>
    <n v="6.7544572691172551"/>
    <m/>
    <m/>
    <m/>
    <m/>
    <m/>
    <m/>
    <m/>
    <m/>
    <m/>
    <m/>
  </r>
  <r>
    <x v="1"/>
    <x v="227"/>
    <m/>
    <m/>
    <m/>
    <m/>
    <m/>
    <s v="assumed as average of ONLY processing stage for beef entries"/>
    <m/>
    <m/>
    <m/>
    <m/>
    <m/>
    <m/>
    <m/>
    <m/>
    <m/>
    <m/>
    <m/>
    <m/>
    <m/>
    <m/>
    <m/>
    <m/>
    <m/>
    <m/>
    <m/>
    <m/>
    <m/>
    <s v=""/>
    <n v="8.5"/>
    <s v=""/>
    <n v="0.84"/>
    <m/>
    <m/>
    <n v="8.5"/>
    <m/>
    <m/>
    <m/>
    <m/>
    <m/>
    <m/>
    <m/>
    <m/>
    <m/>
    <m/>
    <m/>
    <m/>
    <n v="0.84"/>
    <m/>
    <m/>
    <m/>
    <m/>
    <m/>
    <m/>
    <m/>
    <m/>
    <m/>
    <m/>
  </r>
  <r>
    <x v="7"/>
    <x v="228"/>
    <m/>
    <s v="Tap best_x000a_37"/>
    <m/>
    <m/>
    <n v="2009"/>
    <s v="Franklin Associates"/>
    <m/>
    <s v="Government Report"/>
    <s v="Franklin Associates, Life Cycle Assessment of Drinking Water Systems: Bottle Water, Tap Water, and Home/Office Delivery Water. 2009,  (09-LQ-104), ."/>
    <m/>
    <m/>
    <m/>
    <m/>
    <m/>
    <m/>
    <m/>
    <m/>
    <m/>
    <m/>
    <m/>
    <m/>
    <m/>
    <m/>
    <m/>
    <m/>
    <m/>
    <m/>
    <s v=""/>
    <n v="4.1807661240187933E-3"/>
    <s v=""/>
    <n v="2.7919572459079257E-4"/>
    <m/>
    <m/>
    <n v="4.1807661240187933E-3"/>
    <n v="3.2888693508947848E-3"/>
    <n v="0"/>
    <m/>
    <n v="1.2821016113657633E-2"/>
    <n v="3.1550848349261826E-5"/>
    <m/>
    <m/>
    <n v="2.0322202436920473E-2"/>
    <m/>
    <m/>
    <m/>
    <m/>
    <n v="2.7919572459079257E-4"/>
    <n v="1.4618831931363383E-4"/>
    <m/>
    <m/>
    <n v="8.2081146499868188E-4"/>
    <n v="8.2200972991108875E-6"/>
    <m/>
    <n v="0"/>
    <n v="1.2544156062022191E-3"/>
    <m/>
    <m/>
  </r>
  <r>
    <x v="4"/>
    <x v="185"/>
    <m/>
    <m/>
    <m/>
    <s v="Tunisia"/>
    <m/>
    <s v="Ecoinvent process: Palm date, conditioned and dried, organic {GLO}| palm date production, conditioned and dried, organic | Alloc Def, S"/>
    <m/>
    <m/>
    <s v="Swiss Center for Life Cycle Inventories, Ecoinvent Database version 3.3. 2016, 2016, ."/>
    <m/>
    <m/>
    <m/>
    <m/>
    <m/>
    <m/>
    <m/>
    <m/>
    <m/>
    <m/>
    <m/>
    <m/>
    <m/>
    <m/>
    <m/>
    <m/>
    <m/>
    <m/>
    <n v="19.814250000000001"/>
    <s v=""/>
    <n v="3.5733000000000001"/>
    <s v=""/>
    <m/>
    <m/>
    <m/>
    <m/>
    <m/>
    <m/>
    <m/>
    <m/>
    <m/>
    <n v="19.814250000000001"/>
    <m/>
    <m/>
    <m/>
    <m/>
    <m/>
    <m/>
    <m/>
    <m/>
    <m/>
    <m/>
    <m/>
    <m/>
    <n v="3.5733000000000001"/>
    <m/>
    <m/>
    <m/>
  </r>
  <r>
    <x v="4"/>
    <x v="185"/>
    <m/>
    <m/>
    <m/>
    <s v="Tunisia"/>
    <m/>
    <s v="Ecoinvent process: Palm date, conditioned and dried {GLO}| palm date production, conditioned and dried | Alloc Def, S"/>
    <m/>
    <m/>
    <s v="Swiss Center for Life Cycle Inventories, Ecoinvent Database version 3.3. 2016, 2016, ."/>
    <m/>
    <m/>
    <m/>
    <m/>
    <m/>
    <m/>
    <m/>
    <m/>
    <m/>
    <m/>
    <m/>
    <m/>
    <m/>
    <m/>
    <m/>
    <m/>
    <m/>
    <m/>
    <n v="18.157867"/>
    <s v=""/>
    <n v="2.5215999999999998"/>
    <s v=""/>
    <m/>
    <m/>
    <m/>
    <m/>
    <m/>
    <m/>
    <m/>
    <m/>
    <m/>
    <n v="18.157867"/>
    <m/>
    <m/>
    <m/>
    <m/>
    <m/>
    <m/>
    <m/>
    <m/>
    <m/>
    <m/>
    <m/>
    <m/>
    <n v="2.5215999999999998"/>
    <m/>
    <m/>
    <m/>
  </r>
  <r>
    <x v="7"/>
    <x v="229"/>
    <m/>
    <s v="PET ref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52766842839949202"/>
    <m/>
    <m/>
    <n v="2.758971180562483"/>
    <m/>
    <m/>
    <m/>
    <m/>
    <n v="1.0926977736237927E-2"/>
    <n v="0.11726220432813288"/>
    <n v="7.2135547726891458E-3"/>
    <m/>
    <n v="9.3704316150214507E-3"/>
    <n v="-1.0515972871282383E-2"/>
    <m/>
    <n v="0"/>
    <n v="0.13425719558079902"/>
    <m/>
    <m/>
  </r>
  <r>
    <x v="7"/>
    <x v="229"/>
    <m/>
    <s v="PET ref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7.8040967648350802E-4"/>
    <m/>
    <m/>
    <n v="3.2874200186384588"/>
    <m/>
    <m/>
    <m/>
    <m/>
    <n v="1.0926977736237927E-2"/>
    <n v="0.11726220432813288"/>
    <n v="7.2135547726891458E-3"/>
    <m/>
    <n v="9.3704316150214507E-3"/>
    <n v="3.2964267740312032E-3"/>
    <m/>
    <n v="0"/>
    <n v="0.1480695952261126"/>
    <m/>
    <m/>
  </r>
  <r>
    <x v="7"/>
    <x v="229"/>
    <m/>
    <s v="PET ref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m/>
    <m/>
  </r>
  <r>
    <x v="7"/>
    <x v="229"/>
    <m/>
    <s v="PET 1 lite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3.7125203181286892"/>
    <n v="0.10033838697645106"/>
    <m/>
    <n v="6.6892257984300693E-2"/>
    <n v="-0.73187098178365007"/>
    <m/>
    <m/>
    <n v="3.3156680617497449"/>
    <m/>
    <m/>
    <m/>
    <m/>
    <n v="1.0926977736237927E-2"/>
    <n v="0.15299446401610467"/>
    <n v="7.2734680183094884E-3"/>
    <m/>
    <n v="4.7211637548829292E-3"/>
    <n v="-1.4579289189253962E-2"/>
    <m/>
    <n v="0"/>
    <n v="0.16133678433628107"/>
    <m/>
    <m/>
  </r>
  <r>
    <x v="7"/>
    <x v="229"/>
    <m/>
    <s v="PET 8oz"/>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5.6523957996734087"/>
    <n v="0.10312556439246358"/>
    <m/>
    <n v="0.27593056418524042"/>
    <n v="-1.0393663302052321"/>
    <m/>
    <m/>
    <n v="5.1598736784898351"/>
    <m/>
    <m/>
    <m/>
    <m/>
    <n v="1.0926977736237927E-2"/>
    <n v="0.23006686318211231"/>
    <n v="7.4532077551705128E-3"/>
    <m/>
    <n v="1.9771371054712779E-2"/>
    <n v="-2.0789896230258582E-2"/>
    <m/>
    <n v="0"/>
    <n v="0.24742852349797492"/>
    <m/>
    <m/>
  </r>
  <r>
    <x v="7"/>
    <x v="229"/>
    <m/>
    <s v="PET ligh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631880618021736"/>
    <n v="0.10033838697645106"/>
    <m/>
    <n v="0.13099733855258888"/>
    <n v="-0.39941645960167549"/>
    <m/>
    <m/>
    <n v="2.2628954081734927"/>
    <m/>
    <m/>
    <m/>
    <m/>
    <n v="1.0926977736237927E-2"/>
    <n v="9.1379682220145239E-2"/>
    <n v="7.1536415270688049E-3"/>
    <m/>
    <n v="9.3704316150214507E-3"/>
    <n v="-7.968461667505455E-3"/>
    <m/>
    <n v="0"/>
    <n v="0.11086227143096797"/>
    <m/>
    <m/>
  </r>
  <r>
    <x v="7"/>
    <x v="229"/>
    <m/>
    <s v="PET light, low mold"/>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43677819890086"/>
    <n v="0.10033838697645106"/>
    <m/>
    <n v="0.13099733855258888"/>
    <n v="-0.39941645960167549"/>
    <m/>
    <m/>
    <n v="2.2433851662614051"/>
    <m/>
    <m/>
    <m/>
    <m/>
    <n v="1.0926977736237927E-2"/>
    <n v="9.0061590816497714E-2"/>
    <n v="7.1536415270688049E-3"/>
    <m/>
    <n v="9.3704316150214507E-3"/>
    <n v="-7.968461667505455E-3"/>
    <m/>
    <n v="0"/>
    <n v="0.10954418002732044"/>
    <m/>
    <m/>
  </r>
  <r>
    <x v="7"/>
    <x v="229"/>
    <m/>
    <s v="25% rPET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6784774967880405"/>
    <n v="0.10033838697645106"/>
    <m/>
    <n v="0.13099733855258888"/>
    <n v="-0.4552018155831663"/>
    <m/>
    <m/>
    <n v="2.6223994871778684"/>
    <m/>
    <m/>
    <m/>
    <m/>
    <n v="1.0926977736237927E-2"/>
    <n v="0.11031226783617321"/>
    <n v="7.2135547726891458E-3"/>
    <m/>
    <n v="9.3704316150214507E-3"/>
    <n v="-8.4309919236944912E-3"/>
    <m/>
    <n v="0"/>
    <n v="0.12939224003642724"/>
    <m/>
    <m/>
  </r>
  <r>
    <x v="7"/>
    <x v="229"/>
    <m/>
    <s v="25% rPET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4694391905871003"/>
    <n v="0.10033838697645106"/>
    <m/>
    <n v="0.13099733855258888"/>
    <n v="7.8040967648350802E-4"/>
    <m/>
    <m/>
    <n v="2.8693434062365784"/>
    <m/>
    <m/>
    <m/>
    <m/>
    <n v="1.0926977736237927E-2"/>
    <n v="0.10324250485297289"/>
    <n v="7.2135547726891458E-3"/>
    <m/>
    <n v="9.3704316150214507E-3"/>
    <n v="3.2964267740312032E-3"/>
    <m/>
    <n v="0"/>
    <n v="0.13404989575095261"/>
    <m/>
    <m/>
  </r>
  <r>
    <x v="7"/>
    <x v="229"/>
    <m/>
    <s v="25% rPET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m/>
    <m/>
  </r>
  <r>
    <x v="7"/>
    <x v="229"/>
    <m/>
    <s v="PLA 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2944437057268093E-2"/>
    <m/>
    <m/>
    <n v="2.5457521082375241"/>
    <m/>
    <m/>
    <m/>
    <m/>
    <n v="1.0926977736237927E-2"/>
    <n v="0.12253456994272294"/>
    <n v="7.2135547726891458E-3"/>
    <m/>
    <n v="9.3704316150214507E-3"/>
    <n v="-4.641598964699116E-2"/>
    <m/>
    <n v="0"/>
    <n v="0.10362954441968032"/>
    <m/>
    <m/>
  </r>
  <r>
    <x v="7"/>
    <x v="229"/>
    <m/>
    <s v="PLA 10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0.15697383206982565"/>
    <m/>
    <m/>
    <n v="2.4217227132249666"/>
    <m/>
    <m/>
    <m/>
    <m/>
    <n v="1.0926977736237927E-2"/>
    <n v="0.12253456994272294"/>
    <n v="7.2135547726891458E-3"/>
    <m/>
    <n v="9.3704316150214507E-3"/>
    <n v="6.6939871066695425E-2"/>
    <m/>
    <n v="0"/>
    <n v="0.21698540513336689"/>
    <m/>
    <m/>
  </r>
  <r>
    <x v="7"/>
    <x v="229"/>
    <m/>
    <s v="PLA compos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7961356406090642E-2"/>
    <m/>
    <m/>
    <n v="2.5407351888887018"/>
    <m/>
    <m/>
    <m/>
    <m/>
    <n v="1.0926977736237927E-2"/>
    <n v="0.12253456994272294"/>
    <n v="7.2135547726891458E-3"/>
    <m/>
    <n v="9.3704316150214507E-3"/>
    <n v="-8.6472184198043444E-20"/>
    <m/>
    <n v="0"/>
    <n v="0.15004553406667148"/>
    <m/>
    <m/>
  </r>
  <r>
    <x v="7"/>
    <x v="229"/>
    <m/>
    <s v="PET nat"/>
    <m/>
    <m/>
    <n v="2009"/>
    <s v="Franklin Associates"/>
    <m/>
    <s v="Government Report"/>
    <s v="Franklin Associates, Life Cycle Assessment of Drinking Water Systems: Bottle Water, Tap Water, and Home/Office Delivery Water. 2009,  (09-LQ-104), ."/>
    <m/>
    <m/>
    <m/>
    <m/>
    <m/>
    <m/>
    <m/>
    <m/>
    <m/>
    <m/>
    <m/>
    <m/>
    <m/>
    <m/>
    <m/>
    <m/>
    <m/>
    <m/>
    <s v=""/>
    <n v="8.4172757963578398E-2"/>
    <s v=""/>
    <n v="5.438924437414624E-3"/>
    <m/>
    <m/>
    <n v="8.4172757963578398E-2"/>
    <n v="2.8875158029889807"/>
    <n v="0.26199467710517776"/>
    <m/>
    <n v="0.13099733855258888"/>
    <n v="-0.52819799210853446"/>
    <m/>
    <m/>
    <n v="2.8364825845017911"/>
    <m/>
    <m/>
    <m/>
    <m/>
    <n v="5.438924437414624E-3"/>
    <n v="0.11726220432813288"/>
    <n v="1.8692932633546624E-2"/>
    <m/>
    <n v="9.3704316150214507E-3"/>
    <n v="-1.0551920818654588E-2"/>
    <m/>
    <n v="0"/>
    <n v="0.14021257219546102"/>
    <m/>
    <m/>
  </r>
  <r>
    <x v="7"/>
    <x v="229"/>
    <m/>
    <s v="PET Maine nat"/>
    <m/>
    <m/>
    <n v="2009"/>
    <s v="Franklin Associates"/>
    <m/>
    <s v="Government Report"/>
    <s v="Franklin Associates, Life Cycle Assessment of Drinking Water Systems: Bottle Water, Tap Water, and Home/Office Delivery Water. 2009,  (09-LQ-104), ."/>
    <m/>
    <m/>
    <m/>
    <m/>
    <m/>
    <m/>
    <m/>
    <m/>
    <m/>
    <m/>
    <m/>
    <m/>
    <m/>
    <m/>
    <m/>
    <m/>
    <m/>
    <m/>
    <s v=""/>
    <n v="0.10842120148288739"/>
    <s v=""/>
    <n v="7.5107244709660412E-3"/>
    <m/>
    <m/>
    <n v="0.10842120148288739"/>
    <n v="2.9655567706373311"/>
    <n v="6.6334822501098181"/>
    <m/>
    <n v="0.13099733855258888"/>
    <n v="-0.52819799210853446"/>
    <m/>
    <m/>
    <n v="9.3102595686740912"/>
    <m/>
    <m/>
    <m/>
    <m/>
    <n v="7.5107244709660412E-3"/>
    <n v="0.12421214082009251"/>
    <n v="0.47127759004960817"/>
    <m/>
    <n v="9.3704316150214507E-3"/>
    <n v="-1.0551920818654588E-2"/>
    <m/>
    <n v="0"/>
    <n v="0.60181896613703356"/>
    <m/>
    <m/>
  </r>
  <r>
    <x v="7"/>
    <x v="229"/>
    <m/>
    <s v="PET Fiji nat"/>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3.8741766082574158"/>
    <m/>
    <n v="0.13099733855258888"/>
    <n v="-1.044020916489973"/>
    <m/>
    <m/>
    <n v="8.5716101714147008"/>
    <m/>
    <m/>
    <m/>
    <m/>
    <n v="5.7121288374433821E-4"/>
    <n v="0.23797541160399741"/>
    <n v="0.28542670213530807"/>
    <m/>
    <n v="9.3704316150214507E-3"/>
    <n v="-2.0571812016200536E-2"/>
    <m/>
    <n v="0"/>
    <n v="0.51277194622187083"/>
    <m/>
    <m/>
  </r>
  <r>
    <x v="7"/>
    <x v="229"/>
    <m/>
    <s v="PET Fiji free sea"/>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1.9231524170486451"/>
    <m/>
    <n v="0.13099733855258888"/>
    <n v="-1.044020916489973"/>
    <m/>
    <m/>
    <n v="6.620585980205929"/>
    <m/>
    <m/>
    <m/>
    <m/>
    <n v="5.7121288374433821E-4"/>
    <n v="0.23797541160399741"/>
    <n v="0.13684185299686055"/>
    <m/>
    <n v="9.3704316150214507E-3"/>
    <n v="-2.0571812016200536E-2"/>
    <m/>
    <n v="0"/>
    <n v="0.36418709708342323"/>
    <m/>
    <m/>
  </r>
  <r>
    <x v="7"/>
    <x v="229"/>
    <m/>
    <s v="PET 500 mi empty"/>
    <m/>
    <m/>
    <n v="2009"/>
    <s v="Franklin Associates"/>
    <m/>
    <s v="Government Report"/>
    <s v="Franklin Associates, Life Cycle Assessment of Drinking Water Systems: Bottle Water, Tap Water, and Home/Office Delivery Water. 2009,  (09-LQ-104), ."/>
    <m/>
    <m/>
    <m/>
    <m/>
    <m/>
    <m/>
    <m/>
    <m/>
    <m/>
    <m/>
    <m/>
    <m/>
    <m/>
    <m/>
    <m/>
    <m/>
    <m/>
    <m/>
    <s v=""/>
    <n v="0.16778808044395427"/>
    <s v=""/>
    <n v="4.8170249478754765E-3"/>
    <m/>
    <m/>
    <n v="0.16778808044395427"/>
    <n v="3.1160643511020067"/>
    <n v="0.10033838697645106"/>
    <m/>
    <n v="0.13099733855258888"/>
    <n v="-0.52766842839949202"/>
    <m/>
    <m/>
    <n v="2.9875197286755091"/>
    <m/>
    <m/>
    <m/>
    <m/>
    <n v="4.8170249478754765E-3"/>
    <n v="0.64933975603326377"/>
    <n v="0.85148704675629694"/>
    <m/>
    <n v="1.3061087545234501E-2"/>
    <n v="-0.16448582452608623"/>
    <m/>
    <n v="0"/>
    <n v="1.3542190907565845"/>
    <m/>
    <m/>
  </r>
  <r>
    <x v="7"/>
    <x v="229"/>
    <m/>
    <s v="PET 100% store tri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3.2609975767346593"/>
    <n v="-0.52766842839949202"/>
    <m/>
    <m/>
    <n v="5.8889714187445534"/>
    <m/>
    <m/>
    <m/>
    <m/>
    <n v="1.0926977736237927E-2"/>
    <n v="0.13355860713686579"/>
    <n v="7.2135547726891458E-3"/>
    <m/>
    <n v="9.3704316150214507E-3"/>
    <n v="-1.0515972871282383E-2"/>
    <m/>
    <n v="0"/>
    <n v="0.15055359838953195"/>
    <m/>
    <m/>
  </r>
  <r>
    <x v="7"/>
    <x v="229"/>
    <m/>
    <s v="PET refrig"/>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22297419328100232"/>
    <n v="-0.52766842839949202"/>
    <m/>
    <m/>
    <n v="2.8509480352908962"/>
    <m/>
    <m/>
    <m/>
    <m/>
    <n v="1.0926977736237927E-2"/>
    <n v="0.10432094327413906"/>
    <n v="7.2135547726891458E-3"/>
    <m/>
    <n v="0.23270304598940733"/>
    <n v="-1.0515972871282383E-2"/>
    <m/>
    <n v="0"/>
    <n v="0.34464854890119112"/>
    <m/>
    <m/>
  </r>
  <r>
    <x v="7"/>
    <x v="229"/>
    <m/>
    <s v="PET 37%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3269916544465899"/>
    <m/>
    <m/>
    <n v="2.9596479545153853"/>
    <m/>
    <m/>
    <m/>
    <m/>
    <n v="1.0926977736237927E-2"/>
    <n v="0.11726220432813288"/>
    <n v="7.2135547726891458E-3"/>
    <m/>
    <n v="1.5241929685814943E-2"/>
    <n v="-1.0515972871282383E-2"/>
    <m/>
    <n v="0"/>
    <n v="0.1401286936515925"/>
    <m/>
    <m/>
  </r>
  <r>
    <x v="7"/>
    <x v="229"/>
    <m/>
    <s v="PET best"/>
    <m/>
    <m/>
    <n v="2009"/>
    <s v="Franklin Associates"/>
    <m/>
    <s v="Government Report"/>
    <s v="Franklin Associates, Life Cycle Assessment of Drinking Water Systems: Bottle Water, Tap Water, and Home/Office Delivery Water. 2009,  (09-LQ-104), ."/>
    <m/>
    <m/>
    <m/>
    <m/>
    <m/>
    <m/>
    <m/>
    <m/>
    <m/>
    <m/>
    <m/>
    <m/>
    <m/>
    <m/>
    <m/>
    <m/>
    <m/>
    <m/>
    <s v=""/>
    <n v="6.2488517667000911E-3"/>
    <s v=""/>
    <n v="1.0926977736237927E-2"/>
    <m/>
    <m/>
    <n v="6.2488517667000911E-3"/>
    <n v="2.1433394329136344"/>
    <n v="3.902048382417541E-2"/>
    <m/>
    <n v="8.9189677312400935E-4"/>
    <n v="-1.144791315965906"/>
    <m/>
    <m/>
    <n v="1.0447093493117277"/>
    <m/>
    <m/>
    <m/>
    <m/>
    <n v="1.0926977736237927E-2"/>
    <n v="0.11726220432813288"/>
    <n v="7.2135547726891458E-3"/>
    <m/>
    <n v="9.3704316150214507E-3"/>
    <n v="-4.5605962566204142E-3"/>
    <m/>
    <n v="0"/>
    <n v="0.14021257219546099"/>
    <m/>
    <m/>
  </r>
  <r>
    <x v="7"/>
    <x v="229"/>
    <m/>
    <s v="PET worst"/>
    <m/>
    <m/>
    <n v="2009"/>
    <s v="Franklin Associates"/>
    <m/>
    <s v="Government Report"/>
    <s v="Franklin Associates, Life Cycle Assessment of Drinking Water Systems: Bottle Water, Tap Water, and Home/Office Delivery Water. 2009,  (09-LQ-104), ."/>
    <m/>
    <m/>
    <m/>
    <m/>
    <m/>
    <m/>
    <m/>
    <m/>
    <m/>
    <m/>
    <m/>
    <m/>
    <m/>
    <m/>
    <m/>
    <m/>
    <m/>
    <m/>
    <s v=""/>
    <n v="0.11956991114693753"/>
    <s v=""/>
    <n v="4.1376087425408015E-4"/>
    <m/>
    <m/>
    <n v="0.11956991114693753"/>
    <n v="6.1122800733154756"/>
    <n v="6.8564564433908215"/>
    <m/>
    <n v="7.2661715235446636"/>
    <n v="-8.6660035089627968E-2"/>
    <m/>
    <m/>
    <n v="20.267817916308267"/>
    <m/>
    <m/>
    <m/>
    <m/>
    <n v="4.1376087425408015E-4"/>
    <n v="8.4238023342200485E-2"/>
    <n v="2.8518704915282676E-3"/>
    <m/>
    <n v="6.230977544515541E-5"/>
    <n v="-2.9761305629448561E-2"/>
    <m/>
    <n v="0"/>
    <n v="5.7804658853979424E-2"/>
    <m/>
    <m/>
  </r>
  <r>
    <x v="7"/>
    <x v="229"/>
    <m/>
    <s v="PLA best"/>
    <m/>
    <m/>
    <n v="2009"/>
    <s v="Franklin Associates"/>
    <m/>
    <s v="Government Report"/>
    <s v="Franklin Associates, Life Cycle Assessment of Drinking Water Systems: Bottle Water, Tap Water, and Home/Office Delivery Water. 2009,  (09-LQ-104), ."/>
    <m/>
    <m/>
    <m/>
    <m/>
    <m/>
    <m/>
    <m/>
    <m/>
    <m/>
    <m/>
    <m/>
    <m/>
    <m/>
    <m/>
    <m/>
    <m/>
    <m/>
    <m/>
    <s v=""/>
    <n v="6.2488517667000911E-3"/>
    <s v=""/>
    <n v="8.2895966640304849E-3"/>
    <m/>
    <m/>
    <n v="6.2488517667000911E-3"/>
    <n v="1.6221372561192919"/>
    <n v="3.902048382417541E-2"/>
    <m/>
    <n v="8.9189677312400935E-4"/>
    <n v="7.1491100720721375E-3"/>
    <m/>
    <m/>
    <n v="1.6754475985553636"/>
    <m/>
    <m/>
    <m/>
    <m/>
    <n v="8.2895966640304849E-3"/>
    <n v="0.26265966879957825"/>
    <n v="0.48817312531454454"/>
    <m/>
    <n v="0.51621252426486453"/>
    <n v="7.9099863397800001E-3"/>
    <m/>
    <n v="0"/>
    <n v="1.2832449013827978"/>
    <m/>
    <m/>
  </r>
  <r>
    <x v="7"/>
    <x v="228"/>
    <m/>
    <s v="Tap Al ref_x000a_26"/>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2.0848087071773718E-3"/>
    <m/>
    <m/>
    <n v="0.62585511441078134"/>
    <m/>
    <m/>
    <m/>
    <m/>
    <n v="5.0087473338605696E-4"/>
    <n v="6.967910465645745E-3"/>
    <m/>
    <m/>
    <n v="3.3072111582428648E-2"/>
    <n v="1.5577443861288854E-4"/>
    <m/>
    <n v="0"/>
    <n v="4.0696671220073338E-2"/>
    <m/>
    <m/>
  </r>
  <r>
    <x v="7"/>
    <x v="228"/>
    <m/>
    <s v="Tap PET_x000a_27"/>
    <m/>
    <m/>
    <n v="2009"/>
    <s v="Franklin Associates"/>
    <m/>
    <s v="Government Report"/>
    <s v="Franklin Associates, Life Cycle Assessment of Drinking Water Systems: Bottle Water, Tap Water, and Home/Office Delivery Water. 2009,  (09-LQ-104), ."/>
    <m/>
    <m/>
    <m/>
    <m/>
    <m/>
    <m/>
    <m/>
    <m/>
    <m/>
    <m/>
    <m/>
    <m/>
    <m/>
    <m/>
    <m/>
    <m/>
    <m/>
    <m/>
    <s v=""/>
    <n v="6.4105080568288165E-3"/>
    <s v=""/>
    <n v="4.1699618951757854E-4"/>
    <m/>
    <m/>
    <n v="6.4105080568288165E-3"/>
    <n v="3.2888693508947846E-2"/>
    <n v="0"/>
    <m/>
    <n v="0.32331258025745341"/>
    <n v="1.1823206598725151E-3"/>
    <m/>
    <m/>
    <n v="0.36379410248310257"/>
    <m/>
    <m/>
    <m/>
    <m/>
    <n v="4.1699618951757854E-4"/>
    <n v="1.4582883983991182E-3"/>
    <m/>
    <m/>
    <n v="2.061015649339756E-2"/>
    <n v="1.4091595369904378E-4"/>
    <m/>
    <n v="0"/>
    <n v="2.2626357035013301E-2"/>
    <m/>
    <m/>
  </r>
  <r>
    <x v="7"/>
    <x v="228"/>
    <m/>
    <s v="Tap steel_x000a_28"/>
    <m/>
    <m/>
    <n v="2009"/>
    <s v="Franklin Associates"/>
    <m/>
    <s v="Government Report"/>
    <s v="Franklin Associates, Life Cycle Assessment of Drinking Water Systems: Bottle Water, Tap Water, and Home/Office Delivery Water. 2009,  (09-LQ-104), ."/>
    <m/>
    <m/>
    <m/>
    <m/>
    <m/>
    <m/>
    <m/>
    <m/>
    <m/>
    <m/>
    <m/>
    <m/>
    <m/>
    <m/>
    <m/>
    <m/>
    <m/>
    <m/>
    <s v=""/>
    <n v="6.9679435400313225E-3"/>
    <s v=""/>
    <n v="4.4215975267812211E-4"/>
    <m/>
    <m/>
    <n v="6.9679435400313225E-3"/>
    <n v="4.8496887038618007E-2"/>
    <n v="0"/>
    <m/>
    <n v="0.38184330599371652"/>
    <n v="1.7439369091990389E-3"/>
    <m/>
    <m/>
    <n v="0.43905207348156489"/>
    <m/>
    <m/>
    <m/>
    <m/>
    <n v="4.4215975267812211E-4"/>
    <n v="4.7714908812040166E-3"/>
    <m/>
    <m/>
    <n v="2.4444604213099432E-2"/>
    <n v="1.4858484913844754E-4"/>
    <m/>
    <n v="0"/>
    <n v="2.9806839696120017E-2"/>
    <m/>
    <m/>
  </r>
  <r>
    <x v="7"/>
    <x v="228"/>
    <m/>
    <s v="Tap glass_x000a_29"/>
    <m/>
    <m/>
    <n v="2009"/>
    <s v="Franklin Associates"/>
    <m/>
    <s v="Government Report"/>
    <s v="Franklin Associates, Life Cycle Assessment of Drinking Water Systems: Bottle Water, Tap Water, and Home/Office Delivery Water. 2009,  (09-LQ-104), ."/>
    <m/>
    <m/>
    <m/>
    <m/>
    <m/>
    <m/>
    <m/>
    <m/>
    <m/>
    <m/>
    <m/>
    <m/>
    <m/>
    <m/>
    <m/>
    <m/>
    <m/>
    <m/>
    <s v=""/>
    <n v="8.6402499896388405E-3"/>
    <s v=""/>
    <n v="5.5719318426917836E-4"/>
    <m/>
    <m/>
    <n v="8.6402499896388405E-3"/>
    <n v="1.4493322563265151E-2"/>
    <n v="0"/>
    <m/>
    <n v="0.64662516051490682"/>
    <n v="2.4805879002511508E-3"/>
    <m/>
    <m/>
    <n v="0.67223932096806194"/>
    <m/>
    <m/>
    <m/>
    <m/>
    <n v="5.5719318426917836E-4"/>
    <n v="1.1203776931003905E-3"/>
    <m/>
    <m/>
    <n v="4.1340139478035796E-2"/>
    <n v="1.6895535264936371E-4"/>
    <m/>
    <n v="0"/>
    <n v="4.3186665708054732E-2"/>
    <m/>
    <m/>
  </r>
  <r>
    <x v="7"/>
    <x v="228"/>
    <m/>
    <s v="Tap Al 5 yr_x000a_30"/>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2.0067677395290213E-2"/>
    <n v="0"/>
    <m/>
    <n v="0.51562782196231782"/>
    <n v="1.8022167889678612E-3"/>
    <m/>
    <m/>
    <n v="0.545301812911411"/>
    <m/>
    <m/>
    <m/>
    <m/>
    <n v="5.0087473338605696E-4"/>
    <n v="1.3959786229539627E-3"/>
    <m/>
    <m/>
    <n v="3.3072111582428648E-2"/>
    <n v="1.2414024492534811E-4"/>
    <m/>
    <n v="0"/>
    <n v="3.5093105183694011E-2"/>
    <m/>
    <m/>
  </r>
  <r>
    <x v="7"/>
    <x v="228"/>
    <m/>
    <s v="100%R_x000a_31"/>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3.8134161405883424E-2"/>
    <m/>
    <m/>
    <n v="0.58563614429772048"/>
    <m/>
    <m/>
    <m/>
    <m/>
    <n v="5.0087473338605696E-4"/>
    <n v="6.967910465645745E-3"/>
    <m/>
    <m/>
    <n v="3.3072111582428648E-2"/>
    <n v="-2.8183190739808762E-3"/>
    <m/>
    <n v="0"/>
    <n v="3.7722577707479575E-2"/>
    <m/>
    <m/>
  </r>
  <r>
    <x v="7"/>
    <x v="228"/>
    <m/>
    <s v="fill_x000a_32"/>
    <m/>
    <m/>
    <n v="2009"/>
    <s v="Franklin Associates"/>
    <m/>
    <s v="Government Report"/>
    <s v="Franklin Associates, Life Cycle Assessment of Drinking Water Systems: Bottle Water, Tap Water, and Home/Office Delivery Water. 2009,  (09-LQ-104), ."/>
    <m/>
    <m/>
    <m/>
    <m/>
    <m/>
    <m/>
    <m/>
    <m/>
    <m/>
    <m/>
    <m/>
    <m/>
    <m/>
    <m/>
    <m/>
    <m/>
    <m/>
    <m/>
    <s v=""/>
    <n v="6.1317903152275635E-3"/>
    <s v=""/>
    <n v="3.8823783161981456E-4"/>
    <m/>
    <m/>
    <n v="6.1317903152275635E-3"/>
    <n v="5.0169193488225537E-2"/>
    <n v="0"/>
    <m/>
    <n v="0.25920749968916518"/>
    <n v="1.0480344519690312E-3"/>
    <m/>
    <m/>
    <n v="0.31655651794458733"/>
    <m/>
    <m/>
    <m/>
    <m/>
    <n v="3.8823783161981456E-4"/>
    <n v="3.4833561003666685E-3"/>
    <m/>
    <m/>
    <n v="1.6536055791214324E-2"/>
    <n v="7.8246698780166322E-5"/>
    <m/>
    <n v="0"/>
    <n v="2.0485896421980974E-2"/>
    <m/>
    <m/>
  </r>
  <r>
    <x v="7"/>
    <x v="228"/>
    <m/>
    <s v="wash_x000a_33"/>
    <m/>
    <m/>
    <n v="2009"/>
    <s v="Franklin Associates"/>
    <m/>
    <s v="Government Report"/>
    <s v="Franklin Associates, Life Cycle Assessment of Drinking Water Systems: Bottle Water, Tap Water, and Home/Office Delivery Water. 2009,  (09-LQ-104), ."/>
    <m/>
    <m/>
    <m/>
    <m/>
    <m/>
    <m/>
    <m/>
    <m/>
    <m/>
    <m/>
    <m/>
    <m/>
    <m/>
    <m/>
    <m/>
    <m/>
    <m/>
    <m/>
    <s v=""/>
    <n v="4.7382016072213002E-3"/>
    <s v=""/>
    <n v="3.0795408248855655E-4"/>
    <m/>
    <m/>
    <n v="4.7382016072213002E-3"/>
    <n v="0.10033838697645107"/>
    <n v="0"/>
    <m/>
    <n v="7.2466612816325743E-2"/>
    <n v="6.0481749927471891E-4"/>
    <m/>
    <m/>
    <n v="0.17814801889927284"/>
    <m/>
    <m/>
    <m/>
    <m/>
    <n v="3.0795408248855655E-4"/>
    <n v="6.967910465645745E-3"/>
    <m/>
    <m/>
    <n v="4.7211637548829292E-3"/>
    <n v="5.631845088312125E-5"/>
    <m/>
    <n v="0"/>
    <n v="1.2053346753900351E-2"/>
    <m/>
    <m/>
  </r>
  <r>
    <x v="7"/>
    <x v="228"/>
    <m/>
    <s v="wash_x000a_34"/>
    <m/>
    <m/>
    <n v="2009"/>
    <s v="Franklin Associates"/>
    <m/>
    <s v="Government Report"/>
    <s v="Franklin Associates, Life Cycle Assessment of Drinking Water Systems: Bottle Water, Tap Water, and Home/Office Delivery Water. 2009,  (09-LQ-104), ."/>
    <m/>
    <m/>
    <m/>
    <m/>
    <m/>
    <m/>
    <m/>
    <m/>
    <m/>
    <m/>
    <m/>
    <m/>
    <m/>
    <m/>
    <m/>
    <m/>
    <m/>
    <m/>
    <s v=""/>
    <n v="5.2956370904238053E-3"/>
    <s v=""/>
    <n v="3.4030723512354106E-4"/>
    <m/>
    <m/>
    <n v="5.2956370904238053E-3"/>
    <n v="0.10033838697645107"/>
    <n v="0"/>
    <m/>
    <n v="0.28707927384929049"/>
    <n v="8.5845064413185893E-4"/>
    <m/>
    <m/>
    <n v="0.39357174856029725"/>
    <m/>
    <m/>
    <m/>
    <m/>
    <n v="3.4030723512354106E-4"/>
    <n v="6.967910465645745E-3"/>
    <m/>
    <m/>
    <n v="1.8333453159824573E-2"/>
    <n v="7.3094159656816944E-5"/>
    <m/>
    <n v="0"/>
    <n v="2.5714765020250677E-2"/>
    <m/>
    <m/>
  </r>
  <r>
    <x v="7"/>
    <x v="228"/>
    <m/>
    <s v="wash_x000a_35"/>
    <m/>
    <m/>
    <n v="2009"/>
    <s v="Franklin Associates"/>
    <m/>
    <s v="Government Report"/>
    <s v="Franklin Associates, Life Cycle Assessment of Drinking Water Systems: Bottle Water, Tap Water, and Home/Office Delivery Water. 2009,  (09-LQ-104), ."/>
    <m/>
    <m/>
    <m/>
    <m/>
    <m/>
    <m/>
    <m/>
    <m/>
    <m/>
    <m/>
    <m/>
    <m/>
    <m/>
    <m/>
    <m/>
    <m/>
    <m/>
    <m/>
    <s v=""/>
    <n v="1.1148709664050117E-2"/>
    <s v=""/>
    <n v="7.2495027200613509E-4"/>
    <m/>
    <m/>
    <n v="1.1148709664050117E-2"/>
    <n v="0.10033838697645107"/>
    <n v="0"/>
    <m/>
    <n v="1.0340428213406483"/>
    <n v="3.7013716084646387E-3"/>
    <m/>
    <m/>
    <n v="1.1492312895896142"/>
    <m/>
    <m/>
    <m/>
    <m/>
    <n v="7.2495027200613509E-4"/>
    <n v="6.967910465645745E-3"/>
    <m/>
    <m/>
    <n v="6.6024396673616606E-2"/>
    <n v="2.7200613511635152E-4"/>
    <m/>
    <n v="0"/>
    <n v="7.398926354638484E-2"/>
    <m/>
    <m/>
  </r>
  <r>
    <x v="7"/>
    <x v="228"/>
    <m/>
    <s v="Tap Al ice_x000a_36"/>
    <m/>
    <m/>
    <n v="2009"/>
    <s v="Franklin Associates"/>
    <m/>
    <s v="Government Report"/>
    <s v="Franklin Associates, Life Cycle Assessment of Drinking Water Systems: Bottle Water, Tap Water, and Home/Office Delivery Water. 2009,  (09-LQ-104), ."/>
    <m/>
    <m/>
    <m/>
    <m/>
    <m/>
    <m/>
    <m/>
    <m/>
    <m/>
    <m/>
    <m/>
    <m/>
    <m/>
    <m/>
    <m/>
    <m/>
    <m/>
    <m/>
    <s v=""/>
    <n v="9.7551209560438525E-3"/>
    <s v=""/>
    <n v="6.3867519831284293E-4"/>
    <m/>
    <m/>
    <n v="9.7551209560438525E-3"/>
    <n v="0.10033838697645107"/>
    <n v="0"/>
    <m/>
    <n v="0.51562782196231782"/>
    <n v="2.0848087071773718E-3"/>
    <m/>
    <m/>
    <n v="0.62780613860199019"/>
    <m/>
    <m/>
    <m/>
    <m/>
    <n v="6.3867519831284293E-4"/>
    <n v="6.967910465645745E-3"/>
    <m/>
    <m/>
    <n v="3.3072111582428648E-2"/>
    <n v="1.5577443861288854E-4"/>
    <m/>
    <n v="0"/>
    <n v="4.0834471685000123E-2"/>
    <m/>
    <m/>
  </r>
  <r>
    <x v="1"/>
    <x v="25"/>
    <s v="Fresh or Not Specified"/>
    <s v="Dutch beef from dairy cow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s v="Cradle to Packaging"/>
    <s v="No"/>
    <s v="Yes"/>
    <s v="kg meat at supermarket"/>
    <s v="N/A"/>
    <s v=""/>
    <s v=""/>
    <n v="8.2319999999999993"/>
    <n v="8.5809999999999995"/>
    <m/>
    <m/>
    <m/>
    <m/>
    <m/>
    <m/>
    <m/>
    <m/>
    <m/>
    <m/>
    <m/>
    <m/>
    <m/>
    <n v="8.2319999999999993"/>
    <n v="0.34899999999999998"/>
    <m/>
    <n v="0.186"/>
    <n v="2.3E-2"/>
    <n v="0.11600000000000001"/>
    <m/>
    <m/>
    <m/>
    <n v="8.2319999999999993"/>
    <n v="8.9059999999999988"/>
    <m/>
    <m/>
  </r>
  <r>
    <x v="1"/>
    <x v="3"/>
    <s v="Fresh or Not Specified"/>
    <s v="Dutch Beef"/>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15.56"/>
    <n v="16.77"/>
    <m/>
    <m/>
    <m/>
    <m/>
    <m/>
    <m/>
    <m/>
    <m/>
    <m/>
    <m/>
    <m/>
    <m/>
    <m/>
    <n v="15.56"/>
    <n v="1.21"/>
    <m/>
    <n v="0.24"/>
    <m/>
    <m/>
    <m/>
    <m/>
    <m/>
    <n v="15.56"/>
    <n v="17.009999999999998"/>
    <m/>
    <m/>
  </r>
  <r>
    <x v="1"/>
    <x v="3"/>
    <s v="Fresh or Not Specified"/>
    <s v="Irish Beef"/>
    <s v="No"/>
    <s v="Ireland"/>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37.74"/>
    <n v="37.79"/>
    <m/>
    <m/>
    <m/>
    <m/>
    <m/>
    <m/>
    <m/>
    <m/>
    <m/>
    <m/>
    <m/>
    <m/>
    <m/>
    <n v="37.74"/>
    <n v="0.05"/>
    <m/>
    <n v="0.08"/>
    <m/>
    <m/>
    <m/>
    <m/>
    <m/>
    <n v="37.74"/>
    <n v="37.869999999999997"/>
    <m/>
    <m/>
  </r>
  <r>
    <x v="1"/>
    <x v="3"/>
    <s v="Fresh or Not Specified"/>
    <s v="Brazilian Beef"/>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food at supermarket"/>
    <s v="N/A"/>
    <s v=""/>
    <s v=""/>
    <n v="58.39"/>
    <n v="58.44"/>
    <m/>
    <m/>
    <m/>
    <m/>
    <m/>
    <m/>
    <m/>
    <m/>
    <m/>
    <m/>
    <m/>
    <m/>
    <m/>
    <n v="58.39"/>
    <n v="0.05"/>
    <m/>
    <n v="0.08"/>
    <m/>
    <m/>
    <m/>
    <m/>
    <m/>
    <n v="58.39"/>
    <n v="58.519999999999996"/>
    <m/>
    <m/>
  </r>
  <r>
    <x v="1"/>
    <x v="24"/>
    <s v="Fresh or Not Specified"/>
    <s v="Brazilian Chicken"/>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44"/>
    <n v="2.4859999999999998"/>
    <m/>
    <m/>
    <m/>
    <m/>
    <m/>
    <m/>
    <m/>
    <m/>
    <m/>
    <m/>
    <m/>
    <m/>
    <m/>
    <n v="2.44"/>
    <n v="4.5999999999999999E-2"/>
    <m/>
    <n v="0.186"/>
    <n v="0.11600000000000001"/>
    <n v="0.11600000000000001"/>
    <m/>
    <m/>
    <m/>
    <n v="2.44"/>
    <n v="2.9039999999999999"/>
    <m/>
    <m/>
  </r>
  <r>
    <x v="1"/>
    <x v="24"/>
    <s v="Fresh or Not Specified"/>
    <s v="Dutch Chicke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72"/>
    <n v="2.7670000000000003"/>
    <m/>
    <m/>
    <m/>
    <m/>
    <m/>
    <m/>
    <m/>
    <m/>
    <m/>
    <m/>
    <m/>
    <m/>
    <m/>
    <n v="2.72"/>
    <n v="4.7E-2"/>
    <m/>
    <n v="0.186"/>
    <n v="2.3E-2"/>
    <n v="0.11600000000000001"/>
    <m/>
    <m/>
    <m/>
    <n v="2.72"/>
    <n v="3.0920000000000005"/>
    <m/>
    <m/>
  </r>
  <r>
    <x v="1"/>
    <x v="23"/>
    <s v="Fresh or Not Specified"/>
    <s v="Pork "/>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3.907"/>
    <n v="4.2089999999999996"/>
    <m/>
    <m/>
    <m/>
    <m/>
    <m/>
    <m/>
    <m/>
    <m/>
    <m/>
    <m/>
    <m/>
    <m/>
    <m/>
    <n v="3.907"/>
    <n v="0.30199999999999999"/>
    <m/>
    <n v="0.20899999999999999"/>
    <m/>
    <n v="0.11600000000000001"/>
    <m/>
    <m/>
    <m/>
    <n v="3.907"/>
    <n v="4.5339999999999989"/>
    <m/>
    <m/>
  </r>
  <r>
    <x v="1"/>
    <x v="32"/>
    <s v="Fresh or Not Specified"/>
    <s v="Vea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5.7670000000000003"/>
    <n v="5.9300000000000006"/>
    <m/>
    <m/>
    <m/>
    <m/>
    <m/>
    <m/>
    <m/>
    <m/>
    <m/>
    <m/>
    <m/>
    <m/>
    <m/>
    <n v="5.7670000000000003"/>
    <n v="0.16300000000000001"/>
    <m/>
    <n v="0.20899999999999999"/>
    <m/>
    <n v="0.112"/>
    <m/>
    <m/>
    <m/>
    <n v="5.7670000000000003"/>
    <n v="6.2510000000000003"/>
    <m/>
    <m/>
  </r>
  <r>
    <x v="1"/>
    <x v="1"/>
    <s v="Fresh or Not Specified"/>
    <s v="Lamb"/>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15.93"/>
    <n v="16"/>
    <m/>
    <m/>
    <m/>
    <m/>
    <m/>
    <m/>
    <m/>
    <m/>
    <m/>
    <m/>
    <m/>
    <m/>
    <m/>
    <n v="15.93"/>
    <n v="7.0000000000000007E-2"/>
    <m/>
    <n v="0.186"/>
    <m/>
    <n v="0.11600000000000001"/>
    <m/>
    <m/>
    <m/>
    <n v="15.93"/>
    <n v="16.302"/>
    <m/>
    <m/>
  </r>
  <r>
    <x v="6"/>
    <x v="230"/>
    <s v="Fresh or Not Specified"/>
    <s v="Tempeh"/>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45300000000000001"/>
    <n v="0.77300000000000002"/>
    <m/>
    <m/>
    <m/>
    <m/>
    <m/>
    <m/>
    <m/>
    <m/>
    <m/>
    <m/>
    <m/>
    <m/>
    <m/>
    <n v="0.45300000000000001"/>
    <n v="0.08"/>
    <n v="0.24"/>
    <n v="0.2"/>
    <n v="2.7E-2"/>
    <n v="9.2999999999999999E-2"/>
    <m/>
    <m/>
    <m/>
    <n v="0.45300000000000001"/>
    <n v="1.093"/>
    <m/>
    <m/>
  </r>
  <r>
    <x v="6"/>
    <x v="38"/>
    <s v="Fresh or Not Specified"/>
    <s v="Tofu"/>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61"/>
    <n v="1.6639999999999999"/>
    <m/>
    <m/>
    <m/>
    <m/>
    <m/>
    <m/>
    <m/>
    <m/>
    <m/>
    <m/>
    <m/>
    <m/>
    <m/>
    <n v="0.61"/>
    <n v="0.107"/>
    <n v="0.94699999999999995"/>
    <n v="0.2"/>
    <n v="2.7E-2"/>
    <n v="9.2999999999999999E-2"/>
    <m/>
    <m/>
    <m/>
    <n v="0.61"/>
    <n v="1.9839999999999998"/>
    <m/>
    <m/>
  </r>
  <r>
    <x v="11"/>
    <x v="83"/>
    <s v="Fresh or Not Specified"/>
    <s v="Walnut"/>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53"/>
    <n v="1.903"/>
    <m/>
    <m/>
    <m/>
    <m/>
    <m/>
    <m/>
    <m/>
    <m/>
    <m/>
    <m/>
    <m/>
    <m/>
    <m/>
    <n v="1.53"/>
    <n v="9.2999999999999999E-2"/>
    <n v="0.28000000000000003"/>
    <n v="0.21299999999999999"/>
    <n v="1.2999999999999999E-2"/>
    <m/>
    <m/>
    <m/>
    <m/>
    <n v="1.53"/>
    <n v="2.129"/>
    <m/>
    <m/>
  </r>
  <r>
    <x v="2"/>
    <x v="2"/>
    <s v="Fresh or Not Specified"/>
    <s v="Eg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7729999999999999"/>
    <n v="2.0529999999999999"/>
    <m/>
    <m/>
    <m/>
    <m/>
    <m/>
    <m/>
    <m/>
    <m/>
    <m/>
    <m/>
    <m/>
    <m/>
    <m/>
    <n v="1.7729999999999999"/>
    <n v="0.14699999999999999"/>
    <n v="0.13300000000000001"/>
    <n v="0.2"/>
    <n v="1.2999999999999999E-2"/>
    <m/>
    <m/>
    <m/>
    <m/>
    <n v="1.7729999999999999"/>
    <n v="2.266"/>
    <m/>
    <m/>
  </r>
  <r>
    <x v="11"/>
    <x v="116"/>
    <s v="Fresh or Not Specified"/>
    <s v="Cashew"/>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867"/>
    <n v="2.053666666666667"/>
    <m/>
    <m/>
    <m/>
    <m/>
    <m/>
    <m/>
    <m/>
    <m/>
    <m/>
    <m/>
    <m/>
    <m/>
    <m/>
    <n v="1.867"/>
    <n v="0.12"/>
    <n v="6.6666666666666666E-2"/>
    <n v="0.2"/>
    <n v="2.6666666666666668E-2"/>
    <m/>
    <m/>
    <m/>
    <m/>
    <n v="1.867"/>
    <n v="2.280333333333334"/>
    <m/>
    <m/>
  </r>
  <r>
    <x v="6"/>
    <x v="39"/>
    <s v="Fresh or Not Specified"/>
    <s v="Vales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3.573"/>
    <n v="5.9063333333333325"/>
    <m/>
    <m/>
    <m/>
    <m/>
    <m/>
    <m/>
    <m/>
    <m/>
    <m/>
    <m/>
    <m/>
    <m/>
    <m/>
    <n v="3.573"/>
    <n v="5.3333333333333337E-2"/>
    <n v="2.2799999999999998"/>
    <n v="0.2"/>
    <n v="1.3333333333333334E-2"/>
    <n v="0.10666666666666667"/>
    <m/>
    <m/>
    <m/>
    <n v="3.573"/>
    <n v="6.2263333333333328"/>
    <m/>
    <m/>
  </r>
  <r>
    <x v="0"/>
    <x v="4"/>
    <s v="Fresh or Not Specified"/>
    <s v="Chees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8.16"/>
    <n v="8.6533333333333342"/>
    <m/>
    <m/>
    <m/>
    <m/>
    <m/>
    <m/>
    <m/>
    <m/>
    <m/>
    <m/>
    <m/>
    <m/>
    <m/>
    <n v="8.16"/>
    <n v="9.3333333333333338E-2"/>
    <n v="0.4"/>
    <n v="0.18666666666666668"/>
    <n v="2.6666666666666668E-2"/>
    <n v="9.3333333333333338E-2"/>
    <m/>
    <m/>
    <m/>
    <n v="8.16"/>
    <n v="8.9600000000000026"/>
    <m/>
    <m/>
  </r>
  <r>
    <x v="7"/>
    <x v="40"/>
    <s v="Fresh or Not Specified"/>
    <s v="Soy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9.2999999999999999E-2"/>
    <n v="0.45300000000000001"/>
    <m/>
    <m/>
    <m/>
    <m/>
    <m/>
    <m/>
    <m/>
    <m/>
    <m/>
    <m/>
    <m/>
    <m/>
    <m/>
    <n v="9.2999999999999999E-2"/>
    <n v="0.10666666666666667"/>
    <n v="0.25333333333333335"/>
    <n v="5.3333333333333337E-2"/>
    <n v="2.6666666666666668E-2"/>
    <n v="9.3333333333333338E-2"/>
    <m/>
    <m/>
    <m/>
    <n v="9.2999999999999999E-2"/>
    <n v="0.6263333333333333"/>
    <m/>
    <m/>
  </r>
  <r>
    <x v="0"/>
    <x v="0"/>
    <s v="Fresh or Not Specified"/>
    <s v="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21299999999999999"/>
    <n v="1.0263333333333333"/>
    <m/>
    <m/>
    <m/>
    <m/>
    <m/>
    <m/>
    <m/>
    <m/>
    <m/>
    <m/>
    <m/>
    <m/>
    <m/>
    <n v="0.21299999999999999"/>
    <n v="2.6666666666666668E-2"/>
    <n v="0.78666666666666663"/>
    <n v="6.6666666666666666E-2"/>
    <n v="2.6666666666666668E-2"/>
    <n v="9.3333333333333338E-2"/>
    <m/>
    <m/>
    <m/>
    <n v="0.21299999999999999"/>
    <n v="1.2129999999999999"/>
    <m/>
    <m/>
  </r>
  <r>
    <x v="12"/>
    <x v="104"/>
    <s v="Fresh or Not Specified"/>
    <s v="Macker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62903225806451613"/>
    <m/>
    <m/>
    <m/>
    <m/>
    <m/>
    <m/>
    <m/>
    <m/>
    <m/>
    <m/>
    <m/>
    <m/>
    <m/>
    <m/>
    <n v="3.2258064516129031E-2"/>
    <n v="0.59677419354838712"/>
    <n v="0.17741935483870969"/>
    <n v="1.6129032258064516E-2"/>
    <n v="0.11290322580645161"/>
    <m/>
    <m/>
    <m/>
    <n v="0"/>
    <n v="0.93548387096774188"/>
    <m/>
    <m/>
  </r>
  <r>
    <x v="12"/>
    <x v="104"/>
    <s v="Fresh or Not Specified"/>
    <s v="Herrin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75806451612903225"/>
    <m/>
    <m/>
    <m/>
    <m/>
    <m/>
    <m/>
    <m/>
    <m/>
    <m/>
    <m/>
    <m/>
    <m/>
    <m/>
    <m/>
    <n v="1.6129032258064516E-2"/>
    <n v="0.74193548387096775"/>
    <n v="0.19354838709677419"/>
    <n v="1.6129032258064516E-2"/>
    <n v="0.11290322580645161"/>
    <m/>
    <m/>
    <m/>
    <n v="0"/>
    <n v="1.0806451612903225"/>
    <m/>
    <m/>
  </r>
  <r>
    <x v="12"/>
    <x v="104"/>
    <s v="Fresh or Not Specified"/>
    <s v="Polloc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2741935483870968"/>
    <m/>
    <m/>
    <m/>
    <m/>
    <m/>
    <m/>
    <m/>
    <m/>
    <m/>
    <m/>
    <m/>
    <m/>
    <m/>
    <m/>
    <n v="3.2258064516129031E-2"/>
    <n v="1.2419354838709677"/>
    <n v="0.19354838709677419"/>
    <n v="1.6129032258064516E-2"/>
    <n v="0.12903225806451613"/>
    <m/>
    <m/>
    <m/>
    <n v="0"/>
    <n v="1.6129032258064515"/>
    <m/>
    <m/>
  </r>
  <r>
    <x v="12"/>
    <x v="103"/>
    <s v="Fresh or Not Specified"/>
    <s v="Muss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6129032258064515"/>
    <m/>
    <m/>
    <m/>
    <m/>
    <m/>
    <m/>
    <m/>
    <m/>
    <m/>
    <m/>
    <m/>
    <m/>
    <m/>
    <m/>
    <n v="4.8387096774193547E-2"/>
    <n v="1.564516129032258"/>
    <n v="0.19354838709677419"/>
    <n v="1.6129032258064516E-2"/>
    <n v="0.11290322580645161"/>
    <m/>
    <m/>
    <m/>
    <n v="0"/>
    <n v="1.9354838709677418"/>
    <m/>
    <m/>
  </r>
  <r>
    <x v="12"/>
    <x v="104"/>
    <s v="Fresh or Not Specified"/>
    <s v="Salmon (Aquacultur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37096774193548387"/>
    <n v="1.7580645161290325"/>
    <m/>
    <m/>
    <m/>
    <m/>
    <m/>
    <m/>
    <m/>
    <m/>
    <m/>
    <m/>
    <m/>
    <m/>
    <m/>
    <n v="0.37096774193548387"/>
    <n v="0.22580645161290322"/>
    <n v="1.1612903225806452"/>
    <n v="0.19354838709677419"/>
    <n v="1.6129032258064516E-2"/>
    <n v="9.6774193548387094E-2"/>
    <m/>
    <m/>
    <m/>
    <n v="0.37096774193548387"/>
    <n v="2.0645161290322585"/>
    <m/>
    <m/>
  </r>
  <r>
    <x v="12"/>
    <x v="104"/>
    <s v="Fresh or Not Specified"/>
    <s v="Cod"/>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3.0806451612903225"/>
    <m/>
    <m/>
    <m/>
    <m/>
    <m/>
    <m/>
    <m/>
    <m/>
    <m/>
    <m/>
    <m/>
    <m/>
    <m/>
    <m/>
    <n v="3.2258064516129031E-2"/>
    <n v="3.0483870967741935"/>
    <n v="0.19354838709677419"/>
    <n v="1.6129032258064516E-2"/>
    <n v="9.6774193548387094E-2"/>
    <m/>
    <m/>
    <m/>
    <n v="0"/>
    <n v="3.387096774193548"/>
    <m/>
    <m/>
  </r>
  <r>
    <x v="12"/>
    <x v="111"/>
    <s v="Fresh or Not Specified"/>
    <s v="Praw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6.096774193548387"/>
    <m/>
    <m/>
    <m/>
    <m/>
    <m/>
    <m/>
    <m/>
    <m/>
    <m/>
    <m/>
    <m/>
    <m/>
    <m/>
    <m/>
    <n v="3.2258064516129031E-2"/>
    <n v="6.064516129032258"/>
    <n v="0.19354838709677419"/>
    <n v="1.6129032258064516E-2"/>
    <n v="9.6774193548387094E-2"/>
    <m/>
    <m/>
    <m/>
    <n v="0"/>
    <n v="6.403225806451613"/>
    <m/>
    <m/>
  </r>
  <r>
    <x v="12"/>
    <x v="111"/>
    <s v="Fresh or Not Specified"/>
    <s v="Shrimp"/>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9.5161290322580641"/>
    <m/>
    <m/>
    <m/>
    <m/>
    <m/>
    <m/>
    <m/>
    <m/>
    <m/>
    <m/>
    <m/>
    <m/>
    <m/>
    <m/>
    <n v="1.6129032258064516E-2"/>
    <n v="9.5"/>
    <n v="0.20967741935483872"/>
    <n v="1.6129032258064516E-2"/>
    <n v="0.11290322580645161"/>
    <m/>
    <m/>
    <m/>
    <n v="0"/>
    <n v="9.8548387096774182"/>
    <m/>
    <m/>
  </r>
  <r>
    <x v="11"/>
    <x v="201"/>
    <s v="Fresh or Not Specified"/>
    <s v="Gigantes (conventional)"/>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247"/>
    <s v=""/>
    <m/>
    <m/>
    <m/>
    <m/>
    <m/>
    <m/>
    <m/>
    <m/>
    <m/>
    <m/>
    <m/>
    <m/>
    <m/>
    <n v="0.247"/>
    <m/>
    <m/>
    <m/>
    <m/>
    <m/>
    <m/>
    <m/>
    <m/>
    <n v="0.247"/>
    <m/>
    <m/>
    <m/>
  </r>
  <r>
    <x v="11"/>
    <x v="201"/>
    <s v="Fresh or Not Specified"/>
    <s v="Gig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27"/>
    <s v=""/>
    <m/>
    <m/>
    <m/>
    <m/>
    <m/>
    <m/>
    <m/>
    <m/>
    <m/>
    <m/>
    <m/>
    <m/>
    <m/>
    <n v="0.127"/>
    <m/>
    <m/>
    <m/>
    <m/>
    <m/>
    <m/>
    <m/>
    <m/>
    <n v="0.127"/>
    <m/>
    <m/>
    <m/>
  </r>
  <r>
    <x v="11"/>
    <x v="201"/>
    <s v="Fresh or Not Specified"/>
    <s v="Gigantes (organic)"/>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299999999999999"/>
    <s v=""/>
    <m/>
    <m/>
    <m/>
    <m/>
    <m/>
    <m/>
    <m/>
    <m/>
    <m/>
    <m/>
    <m/>
    <m/>
    <m/>
    <n v="0.30299999999999999"/>
    <m/>
    <m/>
    <m/>
    <m/>
    <m/>
    <m/>
    <m/>
    <m/>
    <n v="0.30299999999999999"/>
    <m/>
    <m/>
    <m/>
  </r>
  <r>
    <x v="11"/>
    <x v="201"/>
    <s v="Fresh or Not Specified"/>
    <s v="Plake (Conventional)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199999999999999"/>
    <s v=""/>
    <m/>
    <m/>
    <m/>
    <m/>
    <m/>
    <m/>
    <m/>
    <m/>
    <m/>
    <m/>
    <m/>
    <m/>
    <m/>
    <n v="0.30199999999999999"/>
    <m/>
    <m/>
    <m/>
    <m/>
    <m/>
    <m/>
    <m/>
    <m/>
    <n v="0.30199999999999999"/>
    <m/>
    <m/>
    <m/>
  </r>
  <r>
    <x v="11"/>
    <x v="201"/>
    <s v="Fresh or Not Specified"/>
    <s v="Plake (integrated)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1799999999999999"/>
    <s v=""/>
    <m/>
    <m/>
    <m/>
    <m/>
    <m/>
    <m/>
    <m/>
    <m/>
    <m/>
    <m/>
    <m/>
    <m/>
    <m/>
    <n v="0.11799999999999999"/>
    <m/>
    <m/>
    <m/>
    <m/>
    <m/>
    <m/>
    <m/>
    <m/>
    <n v="0.11799999999999999"/>
    <m/>
    <m/>
    <m/>
  </r>
  <r>
    <x v="11"/>
    <x v="201"/>
    <s v="Fresh or Not Specified"/>
    <s v="Plake (organic) -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438"/>
    <s v=""/>
    <m/>
    <m/>
    <m/>
    <m/>
    <m/>
    <m/>
    <m/>
    <m/>
    <m/>
    <m/>
    <m/>
    <m/>
    <m/>
    <n v="0.438"/>
    <m/>
    <m/>
    <m/>
    <m/>
    <m/>
    <m/>
    <m/>
    <m/>
    <n v="0.438"/>
    <m/>
    <m/>
    <m/>
  </r>
  <r>
    <x v="11"/>
    <x v="201"/>
    <s v="Fresh or Not Specified"/>
    <s v="Elef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8.6599999999999996E-2"/>
    <s v=""/>
    <m/>
    <m/>
    <m/>
    <m/>
    <m/>
    <m/>
    <m/>
    <m/>
    <m/>
    <m/>
    <m/>
    <m/>
    <m/>
    <n v="8.6599999999999996E-2"/>
    <m/>
    <m/>
    <m/>
    <m/>
    <m/>
    <m/>
    <m/>
    <m/>
    <n v="8.6599999999999996E-2"/>
    <m/>
    <m/>
    <m/>
  </r>
  <r>
    <x v="1"/>
    <x v="24"/>
    <s v="Fresh or Not Specified"/>
    <s v="Roast Chicken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7069999999999999"/>
    <s v=""/>
    <m/>
    <m/>
    <m/>
    <m/>
    <m/>
    <m/>
    <m/>
    <m/>
    <m/>
    <m/>
    <m/>
    <m/>
    <m/>
    <n v="3.7069999999999999"/>
    <m/>
    <m/>
    <m/>
    <m/>
    <m/>
    <m/>
    <m/>
    <m/>
    <n v="3.7069999999999999"/>
    <m/>
    <m/>
    <m/>
  </r>
  <r>
    <x v="1"/>
    <x v="24"/>
    <s v="Fresh or Not Specified"/>
    <s v="Roast Chicken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4460000000000002"/>
    <s v=""/>
    <m/>
    <m/>
    <m/>
    <m/>
    <m/>
    <m/>
    <m/>
    <m/>
    <m/>
    <m/>
    <m/>
    <m/>
    <m/>
    <n v="3.4460000000000002"/>
    <m/>
    <m/>
    <m/>
    <m/>
    <m/>
    <m/>
    <m/>
    <m/>
    <n v="3.4460000000000002"/>
    <m/>
    <m/>
    <m/>
  </r>
  <r>
    <x v="1"/>
    <x v="24"/>
    <s v="Fresh or Not Specified"/>
    <s v="Breast Fillet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9.9809999999999999"/>
    <s v=""/>
    <m/>
    <m/>
    <m/>
    <m/>
    <m/>
    <m/>
    <m/>
    <m/>
    <m/>
    <m/>
    <m/>
    <m/>
    <m/>
    <n v="9.9809999999999999"/>
    <m/>
    <m/>
    <m/>
    <m/>
    <m/>
    <m/>
    <m/>
    <m/>
    <n v="9.9809999999999999"/>
    <m/>
    <m/>
    <m/>
  </r>
  <r>
    <x v="1"/>
    <x v="24"/>
    <s v="Fresh or Not Specified"/>
    <s v="Breast Fillet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10.657"/>
    <s v=""/>
    <m/>
    <m/>
    <m/>
    <m/>
    <m/>
    <m/>
    <m/>
    <m/>
    <m/>
    <m/>
    <m/>
    <m/>
    <m/>
    <n v="10.657"/>
    <m/>
    <m/>
    <m/>
    <m/>
    <m/>
    <m/>
    <m/>
    <m/>
    <n v="10.657"/>
    <m/>
    <m/>
    <m/>
  </r>
  <r>
    <x v="7"/>
    <x v="225"/>
    <s v="Fresh or Not Specified"/>
    <s v="Win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5"/>
    <s v=""/>
    <m/>
    <m/>
    <m/>
    <m/>
    <m/>
    <m/>
    <m/>
    <m/>
    <m/>
    <m/>
    <m/>
    <m/>
    <m/>
    <n v="0.5"/>
    <m/>
    <m/>
    <n v="0.55000000000000004"/>
    <m/>
    <n v="0.45"/>
    <m/>
    <m/>
    <m/>
    <n v="0.5"/>
    <n v="1.5"/>
    <m/>
    <s v="IPCC, 2007"/>
  </r>
  <r>
    <x v="7"/>
    <x v="141"/>
    <s v="Fresh or Not Specified"/>
    <s v="Beer and Cid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25"/>
    <s v=""/>
    <m/>
    <m/>
    <m/>
    <m/>
    <m/>
    <m/>
    <m/>
    <m/>
    <m/>
    <m/>
    <m/>
    <m/>
    <m/>
    <n v="0.25"/>
    <m/>
    <m/>
    <n v="0.67500000000000004"/>
    <m/>
    <n v="0.25"/>
    <m/>
    <m/>
    <m/>
    <n v="0.25"/>
    <n v="1.175"/>
    <m/>
    <s v="IPCC, 2007"/>
  </r>
  <r>
    <x v="7"/>
    <x v="169"/>
    <s v="Fresh or Not Specified"/>
    <s v="Spirits and Liqueur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67500000000000004"/>
    <s v=""/>
    <m/>
    <m/>
    <m/>
    <m/>
    <m/>
    <m/>
    <m/>
    <m/>
    <m/>
    <m/>
    <m/>
    <m/>
    <m/>
    <n v="0.67500000000000004"/>
    <m/>
    <m/>
    <n v="0.57999999999999996"/>
    <n v="0.18"/>
    <n v="0.81"/>
    <m/>
    <m/>
    <m/>
    <n v="0.67500000000000004"/>
    <n v="2.2450000000000001"/>
    <m/>
    <s v="IPCC, 2007"/>
  </r>
  <r>
    <x v="3"/>
    <x v="44"/>
    <s v="Fresh or Not Specified"/>
    <s v="Pot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1"/>
    <s v=""/>
    <m/>
    <m/>
    <m/>
    <m/>
    <m/>
    <m/>
    <m/>
    <m/>
    <m/>
    <m/>
    <m/>
    <m/>
    <m/>
    <n v="0.21"/>
    <m/>
    <m/>
    <n v="0.03"/>
    <n v="0.08"/>
    <n v="0.08"/>
    <m/>
    <m/>
    <m/>
    <n v="0.21"/>
    <n v="0.4"/>
    <m/>
    <s v="IPCC, 2007"/>
  </r>
  <r>
    <x v="3"/>
    <x v="19"/>
    <s v="Fresh or Not Specified"/>
    <s v="Tom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5.59"/>
    <s v=""/>
    <m/>
    <m/>
    <m/>
    <m/>
    <m/>
    <m/>
    <m/>
    <m/>
    <m/>
    <m/>
    <m/>
    <m/>
    <m/>
    <n v="5.59"/>
    <m/>
    <m/>
    <n v="0.22"/>
    <n v="0.125"/>
    <n v="0.22"/>
    <m/>
    <m/>
    <m/>
    <n v="5.59"/>
    <n v="6.1549999999999994"/>
    <m/>
    <s v="IPCC, 2007"/>
  </r>
  <r>
    <x v="4"/>
    <x v="66"/>
    <s v="Fresh or Not Specified"/>
    <s v="Appl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3"/>
    <s v=""/>
    <m/>
    <m/>
    <m/>
    <m/>
    <m/>
    <m/>
    <m/>
    <m/>
    <m/>
    <m/>
    <m/>
    <m/>
    <m/>
    <n v="0.23"/>
    <m/>
    <m/>
    <n v="0.02"/>
    <n v="0.13500000000000001"/>
    <n v="0.09"/>
    <m/>
    <m/>
    <m/>
    <n v="0.23"/>
    <n v="0.47499999999999998"/>
    <m/>
    <s v="IPCC, 2007"/>
  </r>
  <r>
    <x v="4"/>
    <x v="20"/>
    <s v="Fresh or Not Specified"/>
    <s v="Banana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31"/>
    <s v=""/>
    <m/>
    <m/>
    <m/>
    <m/>
    <m/>
    <m/>
    <m/>
    <m/>
    <m/>
    <m/>
    <m/>
    <m/>
    <m/>
    <n v="0.31"/>
    <m/>
    <m/>
    <m/>
    <n v="0.09"/>
    <n v="0.09"/>
    <m/>
    <m/>
    <m/>
    <n v="0.31"/>
    <n v="0.49"/>
    <m/>
    <s v="IPCC, 2007"/>
  </r>
  <r>
    <x v="4"/>
    <x v="69"/>
    <s v="Fresh or Not Specified"/>
    <s v="Citrus Fruit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11"/>
    <s v=""/>
    <m/>
    <m/>
    <m/>
    <m/>
    <m/>
    <m/>
    <m/>
    <m/>
    <m/>
    <m/>
    <m/>
    <m/>
    <m/>
    <n v="0.11"/>
    <m/>
    <m/>
    <n v="0.02"/>
    <n v="0.17"/>
    <n v="0.21"/>
    <m/>
    <m/>
    <m/>
    <n v="0.11"/>
    <n v="0.51"/>
    <m/>
    <s v="IPCC, 2007"/>
  </r>
  <r>
    <x v="0"/>
    <x v="7"/>
    <s v="Fresh or Not Specified"/>
    <s v="Butt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2.2599999999999998"/>
    <n v="2.3499999999999996"/>
    <m/>
    <m/>
    <m/>
    <m/>
    <m/>
    <m/>
    <m/>
    <m/>
    <m/>
    <m/>
    <m/>
    <m/>
    <m/>
    <n v="2.2599999999999998"/>
    <m/>
    <n v="0.09"/>
    <n v="0.11"/>
    <n v="0.19"/>
    <n v="0.72"/>
    <m/>
    <m/>
    <m/>
    <n v="2.2599999999999998"/>
    <n v="3.3699999999999992"/>
    <m/>
    <s v="IPCC, 2007"/>
  </r>
  <r>
    <x v="0"/>
    <x v="5"/>
    <s v="Fresh or Not Specified"/>
    <s v="Yogurt"/>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95"/>
    <n v="1.05"/>
    <m/>
    <m/>
    <m/>
    <m/>
    <m/>
    <m/>
    <m/>
    <m/>
    <m/>
    <m/>
    <m/>
    <m/>
    <m/>
    <n v="0.95"/>
    <m/>
    <n v="0.1"/>
    <n v="0.14000000000000001"/>
    <n v="0.125"/>
    <n v="0.67"/>
    <m/>
    <m/>
    <m/>
    <n v="0.95"/>
    <n v="1.9849999999999999"/>
    <m/>
    <s v="IPCC, 2007"/>
  </r>
  <r>
    <x v="0"/>
    <x v="4"/>
    <s v="Fresh or Not Specified"/>
    <s v="Chees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12.12"/>
    <n v="12.35"/>
    <m/>
    <m/>
    <m/>
    <m/>
    <m/>
    <m/>
    <m/>
    <m/>
    <m/>
    <m/>
    <m/>
    <m/>
    <m/>
    <n v="12.12"/>
    <m/>
    <n v="0.23"/>
    <n v="0.17"/>
    <n v="0.15"/>
    <n v="1.44"/>
    <m/>
    <m/>
    <m/>
    <n v="12.12"/>
    <n v="14.11"/>
    <m/>
    <s v="IPCC, 2007"/>
  </r>
  <r>
    <x v="5"/>
    <x v="22"/>
    <s v="Fresh or Not Specified"/>
    <s v="Bread"/>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72"/>
    <n v="0.91999999999999993"/>
    <m/>
    <m/>
    <m/>
    <m/>
    <m/>
    <m/>
    <m/>
    <m/>
    <m/>
    <m/>
    <m/>
    <m/>
    <m/>
    <n v="0.72"/>
    <m/>
    <n v="0.2"/>
    <n v="0.03"/>
    <n v="0.16"/>
    <n v="0.14000000000000001"/>
    <m/>
    <m/>
    <m/>
    <n v="0.72"/>
    <n v="1.25"/>
    <m/>
    <s v="IPCC, 2007"/>
  </r>
  <r>
    <x v="10"/>
    <x v="231"/>
    <s v="Fresh or Not Specified"/>
    <s v="Herbs and Spic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375"/>
    <s v=""/>
    <m/>
    <m/>
    <m/>
    <m/>
    <m/>
    <m/>
    <m/>
    <m/>
    <m/>
    <m/>
    <m/>
    <m/>
    <m/>
    <n v="0.375"/>
    <m/>
    <m/>
    <n v="0.09"/>
    <m/>
    <n v="0.2"/>
    <m/>
    <m/>
    <m/>
    <n v="0.375"/>
    <n v="0.66500000000000004"/>
    <m/>
    <s v="IPCC, 2007"/>
  </r>
  <r>
    <x v="5"/>
    <x v="129"/>
    <s v="Fresh or Not Specified"/>
    <s v="Ric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58"/>
    <n v="4.76"/>
    <m/>
    <m/>
    <m/>
    <m/>
    <m/>
    <m/>
    <m/>
    <m/>
    <m/>
    <m/>
    <m/>
    <m/>
    <m/>
    <n v="4.58"/>
    <m/>
    <n v="0.18"/>
    <n v="0.375"/>
    <n v="1.23"/>
    <n v="0.25"/>
    <m/>
    <m/>
    <m/>
    <n v="4.58"/>
    <n v="6.6150000000000002"/>
    <m/>
    <m/>
  </r>
  <r>
    <x v="2"/>
    <x v="2"/>
    <s v="Fresh or Not Specified"/>
    <s v="Egg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25"/>
    <s v=""/>
    <m/>
    <m/>
    <m/>
    <m/>
    <m/>
    <m/>
    <m/>
    <m/>
    <m/>
    <m/>
    <m/>
    <m/>
    <m/>
    <n v="4.25"/>
    <m/>
    <m/>
    <n v="0.23"/>
    <n v="0.04"/>
    <n v="0.21"/>
    <m/>
    <m/>
    <m/>
    <n v="4.25"/>
    <n v="4.7300000000000004"/>
    <m/>
    <m/>
  </r>
  <r>
    <x v="0"/>
    <x v="4"/>
    <s v="Fresh or Not Specified"/>
    <s v="Cheddar Cheese - U.S. Total"/>
    <s v="No"/>
    <s v="United States"/>
    <n v="2011"/>
    <s v="Aguirre-Villegas, H., S. Kraatz, F. Milani, A. Newenhouse, T. Passos-Fonseca and D. Reinemann "/>
    <s v="University of Wisconsin"/>
    <s v="Other (specify)"/>
    <s v="Aguirre-Villegas H, Kraatz S, Milani F, Newenhouse A, Passos-Fonseca T, Reinemann D. Understand the Carbon Footprint of Cheese: University of Wisconsin Extension; 2011."/>
    <s v="Yes"/>
    <s v="No"/>
    <s v="Yes"/>
    <s v="Yes"/>
    <s v="No"/>
    <s v="Yes"/>
    <s v="No"/>
    <s v="No"/>
    <s v="No"/>
    <s v="No"/>
    <s v="No"/>
    <s v="No"/>
    <s v="no"/>
    <m/>
    <m/>
    <s v="Yes"/>
    <s v="kg CO2 / kg FPCM"/>
    <m/>
    <s v=""/>
    <s v=""/>
    <n v="1.2"/>
    <n v="8.3000000000000007"/>
    <m/>
    <m/>
    <m/>
    <m/>
    <m/>
    <m/>
    <m/>
    <m/>
    <m/>
    <m/>
    <m/>
    <m/>
    <m/>
    <n v="1.2"/>
    <n v="3.0000000000000001E-3"/>
    <n v="7.0970000000000004"/>
    <m/>
    <n v="7.6999999999999999E-2"/>
    <m/>
    <m/>
    <m/>
    <m/>
    <n v="1.2"/>
    <n v="8.3770000000000007"/>
    <m/>
    <m/>
  </r>
  <r>
    <x v="0"/>
    <x v="0"/>
    <s v="Fresh or Not Specified"/>
    <s v="Milk, Highlands of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13.78"/>
    <s v=""/>
    <m/>
    <m/>
    <m/>
    <m/>
    <m/>
    <m/>
    <m/>
    <m/>
    <m/>
    <m/>
    <m/>
    <m/>
    <m/>
    <n v="13.78"/>
    <m/>
    <m/>
    <m/>
    <m/>
    <m/>
    <m/>
    <m/>
    <m/>
    <n v="13.78"/>
    <m/>
    <m/>
    <m/>
  </r>
  <r>
    <x v="0"/>
    <x v="0"/>
    <s v="Fresh or Not Specified"/>
    <s v="Milk, Coastal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3.18"/>
    <s v=""/>
    <m/>
    <m/>
    <m/>
    <m/>
    <m/>
    <m/>
    <m/>
    <m/>
    <m/>
    <m/>
    <m/>
    <m/>
    <m/>
    <n v="3.18"/>
    <m/>
    <m/>
    <m/>
    <m/>
    <m/>
    <m/>
    <m/>
    <m/>
    <n v="3.18"/>
    <m/>
    <m/>
    <m/>
  </r>
  <r>
    <x v="0"/>
    <x v="0"/>
    <s v="Fresh or Not Specified"/>
    <s v="Milk, New Zealand Aver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1"/>
    <s v=""/>
    <n v="0.93300000000000005"/>
    <s v=""/>
    <n v="1.51"/>
    <m/>
    <m/>
    <m/>
    <m/>
    <m/>
    <m/>
    <m/>
    <m/>
    <n v="1.51"/>
    <m/>
    <m/>
    <m/>
    <n v="0.93300000000000005"/>
    <m/>
    <m/>
    <m/>
    <m/>
    <m/>
    <m/>
    <m/>
    <m/>
    <n v="0.93300000000000005"/>
    <m/>
    <m/>
    <m/>
  </r>
  <r>
    <x v="0"/>
    <x v="0"/>
    <s v="Fresh or Not Specified"/>
    <s v="Milk, Low Inputs"/>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0.55000000000000004"/>
    <s v=""/>
    <n v="0.64600000000000002"/>
    <s v=""/>
    <n v="0.55000000000000004"/>
    <m/>
    <m/>
    <m/>
    <m/>
    <m/>
    <m/>
    <m/>
    <m/>
    <n v="0.55000000000000004"/>
    <m/>
    <m/>
    <m/>
    <n v="0.64600000000000002"/>
    <m/>
    <m/>
    <m/>
    <m/>
    <m/>
    <m/>
    <m/>
    <m/>
    <n v="0.64600000000000002"/>
    <m/>
    <m/>
    <m/>
  </r>
  <r>
    <x v="0"/>
    <x v="0"/>
    <s v="Fresh or Not Specified"/>
    <s v="Milk, Nitrogen fertilizer"/>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1299999999999999"/>
    <s v=""/>
    <n v="0.76200000000000001"/>
    <s v=""/>
    <n v="1.1299999999999999"/>
    <m/>
    <m/>
    <m/>
    <m/>
    <m/>
    <m/>
    <m/>
    <m/>
    <n v="1.1299999999999999"/>
    <m/>
    <m/>
    <m/>
    <n v="0.76200000000000001"/>
    <m/>
    <m/>
    <m/>
    <m/>
    <m/>
    <m/>
    <m/>
    <m/>
    <n v="0.76200000000000001"/>
    <m/>
    <m/>
    <m/>
  </r>
  <r>
    <x v="0"/>
    <x v="0"/>
    <s v="Fresh or Not Specified"/>
    <s v="Milk, N fertilizer plus maize sil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5"/>
    <s v=""/>
    <n v="0.754"/>
    <s v=""/>
    <n v="1.55"/>
    <m/>
    <m/>
    <m/>
    <m/>
    <m/>
    <m/>
    <m/>
    <m/>
    <n v="1.55"/>
    <m/>
    <m/>
    <m/>
    <n v="0.754"/>
    <m/>
    <m/>
    <m/>
    <m/>
    <m/>
    <m/>
    <m/>
    <m/>
    <n v="0.754"/>
    <m/>
    <m/>
    <m/>
  </r>
  <r>
    <x v="3"/>
    <x v="206"/>
    <s v="Fresh or Not Specified"/>
    <s v="integrated production"/>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3.5799999999999998E-2"/>
    <s v=""/>
    <m/>
    <m/>
    <m/>
    <m/>
    <m/>
    <m/>
    <m/>
    <m/>
    <m/>
    <m/>
    <m/>
    <m/>
    <m/>
    <n v="3.5799999999999998E-2"/>
    <m/>
    <m/>
    <m/>
    <m/>
    <m/>
    <m/>
    <m/>
    <m/>
    <n v="3.5799999999999998E-2"/>
    <n v="0.68100000000000005"/>
    <m/>
    <m/>
  </r>
  <r>
    <x v="3"/>
    <x v="206"/>
    <s v="Fresh or Not Specified"/>
    <s v="organi DEMETER"/>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68600000000000005"/>
    <m/>
    <m/>
  </r>
  <r>
    <x v="3"/>
    <x v="206"/>
    <s v="Fresh or Not Specified"/>
    <s v="large farm business"/>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1.46E-2"/>
    <s v=""/>
    <m/>
    <m/>
    <m/>
    <m/>
    <m/>
    <m/>
    <m/>
    <m/>
    <m/>
    <m/>
    <m/>
    <m/>
    <m/>
    <n v="1.46E-2"/>
    <m/>
    <m/>
    <m/>
    <m/>
    <m/>
    <m/>
    <m/>
    <m/>
    <n v="1.46E-2"/>
    <n v="0.104"/>
    <m/>
    <m/>
  </r>
  <r>
    <x v="3"/>
    <x v="206"/>
    <s v="Fresh or Not Specified"/>
    <s v="Argentinian organic"/>
    <s v="Yes"/>
    <s v="Argentina"/>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20499999999999999"/>
    <m/>
    <m/>
  </r>
  <r>
    <x v="3"/>
    <x v="139"/>
    <s v="Fresh or Not Specified"/>
    <m/>
    <m/>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0.315"/>
    <n v="0.40100000000000002"/>
    <m/>
    <m/>
    <m/>
    <m/>
    <m/>
    <m/>
    <m/>
    <m/>
    <m/>
    <m/>
    <m/>
    <m/>
    <m/>
    <n v="0.315"/>
    <m/>
    <n v="8.5999999999999993E-2"/>
    <m/>
    <n v="9.6000000000000002E-2"/>
    <m/>
    <n v="0.30399999999999999"/>
    <m/>
    <m/>
    <n v="0.315"/>
    <n v="0.80099999999999993"/>
    <m/>
    <m/>
  </r>
  <r>
    <x v="4"/>
    <x v="81"/>
    <s v="Fresh or Not Specified"/>
    <s v="Spain produced, imported to UK"/>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8.3000000000000007"/>
    <s v=""/>
    <n v="0.3"/>
    <s v=""/>
    <n v="8.3000000000000007"/>
    <m/>
    <m/>
    <m/>
    <n v="3"/>
    <m/>
    <m/>
    <m/>
    <m/>
    <n v="8.3000000000000007"/>
    <n v="13.3"/>
    <m/>
    <m/>
    <n v="0.3"/>
    <m/>
    <m/>
    <m/>
    <n v="0.3"/>
    <m/>
    <m/>
    <m/>
    <m/>
    <n v="0.3"/>
    <n v="0.9"/>
    <m/>
    <m/>
  </r>
  <r>
    <x v="4"/>
    <x v="81"/>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s v="per tonne"/>
    <m/>
    <n v="12.9"/>
    <s v=""/>
    <n v="0.8"/>
    <s v=""/>
    <n v="12.9"/>
    <m/>
    <m/>
    <m/>
    <m/>
    <m/>
    <m/>
    <m/>
    <m/>
    <n v="12.9"/>
    <n v="14.6"/>
    <m/>
    <m/>
    <n v="0.8"/>
    <m/>
    <m/>
    <m/>
    <m/>
    <m/>
    <m/>
    <m/>
    <m/>
    <n v="0.8"/>
    <n v="1"/>
    <m/>
    <m/>
  </r>
  <r>
    <x v="3"/>
    <x v="44"/>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5"/>
    <s v=""/>
    <n v="0.2"/>
    <s v=""/>
    <n v="1.5"/>
    <m/>
    <m/>
    <m/>
    <m/>
    <m/>
    <m/>
    <m/>
    <m/>
    <n v="1.5"/>
    <n v="2.8"/>
    <m/>
    <m/>
    <n v="0.2"/>
    <m/>
    <m/>
    <m/>
    <m/>
    <m/>
    <m/>
    <m/>
    <m/>
    <n v="0.2"/>
    <n v="0.3"/>
    <m/>
    <m/>
  </r>
  <r>
    <x v="3"/>
    <x v="44"/>
    <s v="Fresh or Not Specified"/>
    <s v="imported to UK"/>
    <m/>
    <s v="Israe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9"/>
    <s v=""/>
    <n v="0.2"/>
    <s v=""/>
    <n v="1.9"/>
    <m/>
    <m/>
    <m/>
    <n v="8.6"/>
    <m/>
    <m/>
    <m/>
    <m/>
    <n v="1.9"/>
    <n v="10.5"/>
    <m/>
    <m/>
    <n v="0.2"/>
    <m/>
    <m/>
    <m/>
    <n v="0.3"/>
    <m/>
    <m/>
    <m/>
    <m/>
    <n v="0.2"/>
    <n v="0.5"/>
    <m/>
    <m/>
  </r>
  <r>
    <x v="4"/>
    <x v="66"/>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2.1"/>
    <s v=""/>
    <n v="0.2"/>
    <s v=""/>
    <n v="2.1"/>
    <m/>
    <m/>
    <m/>
    <m/>
    <m/>
    <m/>
    <m/>
    <m/>
    <n v="2.1"/>
    <n v="5.0999999999999996"/>
    <m/>
    <m/>
    <n v="0.2"/>
    <m/>
    <m/>
    <m/>
    <m/>
    <m/>
    <m/>
    <m/>
    <m/>
    <n v="0.2"/>
    <n v="0.4"/>
    <m/>
    <m/>
  </r>
  <r>
    <x v="4"/>
    <x v="66"/>
    <s v="Fresh or Not Specified"/>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2"/>
    <s v=""/>
    <n v="0.1"/>
    <s v=""/>
    <n v="1.2"/>
    <m/>
    <m/>
    <m/>
    <n v="7.5"/>
    <m/>
    <m/>
    <m/>
    <m/>
    <n v="1.2"/>
    <n v="11.2"/>
    <m/>
    <m/>
    <n v="0.1"/>
    <m/>
    <m/>
    <m/>
    <n v="0.7"/>
    <m/>
    <m/>
    <m/>
    <m/>
    <n v="0.1"/>
    <n v="0.9"/>
    <m/>
    <m/>
  </r>
  <r>
    <x v="1"/>
    <x v="1"/>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7.899999999999999"/>
    <s v=""/>
    <n v="13.5"/>
    <s v=""/>
    <n v="17.899999999999999"/>
    <m/>
    <m/>
    <m/>
    <m/>
    <m/>
    <m/>
    <m/>
    <m/>
    <n v="17.899999999999999"/>
    <n v="30.7"/>
    <m/>
    <m/>
    <n v="13.5"/>
    <m/>
    <m/>
    <m/>
    <m/>
    <m/>
    <m/>
    <m/>
    <m/>
    <n v="13.5"/>
    <n v="14.1"/>
    <m/>
    <m/>
  </r>
  <r>
    <x v="1"/>
    <x v="1"/>
    <s v="Frozen"/>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9.6999999999999993"/>
    <s v=""/>
    <n v="12.2"/>
    <m/>
    <m/>
    <m/>
    <n v="7.5"/>
    <m/>
    <m/>
    <m/>
    <m/>
    <n v="12.2"/>
    <n v="37"/>
    <m/>
    <m/>
    <n v="9.6999999999999993"/>
    <m/>
    <m/>
    <m/>
    <n v="0.6"/>
    <m/>
    <m/>
    <m/>
    <m/>
    <n v="9.6999999999999993"/>
    <n v="11.6"/>
    <m/>
    <m/>
  </r>
  <r>
    <x v="1"/>
    <x v="30"/>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5.9"/>
    <s v=""/>
    <n v="2.5"/>
    <s v=""/>
    <n v="15.9"/>
    <m/>
    <m/>
    <m/>
    <m/>
    <m/>
    <m/>
    <m/>
    <m/>
    <n v="15.9"/>
    <n v="21.1"/>
    <m/>
    <m/>
    <n v="2.5"/>
    <m/>
    <m/>
    <m/>
    <m/>
    <m/>
    <m/>
    <m/>
    <m/>
    <n v="2.5"/>
    <n v="2.8"/>
    <m/>
    <m/>
  </r>
  <r>
    <x v="1"/>
    <x v="30"/>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2.1"/>
    <s v=""/>
    <n v="12.2"/>
    <m/>
    <m/>
    <m/>
    <n v="4.0999999999999996"/>
    <m/>
    <m/>
    <m/>
    <m/>
    <n v="12.2"/>
    <n v="24.7"/>
    <m/>
    <m/>
    <n v="2.1"/>
    <m/>
    <m/>
    <m/>
    <n v="0.4"/>
    <m/>
    <m/>
    <m/>
    <m/>
    <n v="2.1"/>
    <n v="2.6"/>
    <m/>
    <m/>
  </r>
  <r>
    <x v="1"/>
    <x v="3"/>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41.3"/>
    <s v=""/>
    <n v="23.8"/>
    <s v=""/>
    <n v="41.3"/>
    <m/>
    <m/>
    <m/>
    <m/>
    <m/>
    <m/>
    <m/>
    <m/>
    <n v="41.3"/>
    <n v="44.4"/>
    <m/>
    <m/>
    <n v="23.8"/>
    <m/>
    <m/>
    <m/>
    <m/>
    <m/>
    <m/>
    <m/>
    <m/>
    <n v="23.8"/>
    <n v="24"/>
    <m/>
    <m/>
  </r>
  <r>
    <x v="1"/>
    <x v="3"/>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7.8"/>
    <s v=""/>
    <n v="31.7"/>
    <s v=""/>
    <n v="7.8"/>
    <m/>
    <m/>
    <m/>
    <n v="4"/>
    <m/>
    <m/>
    <m/>
    <m/>
    <n v="7.8"/>
    <n v="17.100000000000001"/>
    <m/>
    <m/>
    <n v="31.7"/>
    <m/>
    <m/>
    <m/>
    <n v="0.3"/>
    <m/>
    <m/>
    <m/>
    <m/>
    <n v="31.7"/>
    <n v="32.200000000000003"/>
    <m/>
    <m/>
  </r>
  <r>
    <x v="3"/>
    <x v="187"/>
    <s v="Fresh or Not Specified"/>
    <m/>
    <m/>
    <s v="Sicily"/>
    <n v="2014"/>
    <s v="Lo Giudice, A., Mbohwa, C, Clasadonte, M.T and Ingrao, C"/>
    <m/>
    <s v="Peer Reviewed Journal"/>
    <s v="Lo Giudice, A., Mbohwa, C., Clasadonte, M. and Ingrao, C., Life cycle assessment interpretation and improvement of the Sicilian artichokes production. International Journal of Environmental Research 2014, 8 (2), 305-316."/>
    <s v="Yes"/>
    <m/>
    <m/>
    <m/>
    <m/>
    <m/>
    <m/>
    <m/>
    <m/>
    <m/>
    <m/>
    <m/>
    <m/>
    <m/>
    <m/>
    <m/>
    <s v="per ha, @12.5 tonnes/ha"/>
    <m/>
    <n v="6.77"/>
    <s v=""/>
    <n v="0.1968"/>
    <s v=""/>
    <n v="6.77"/>
    <m/>
    <m/>
    <m/>
    <m/>
    <m/>
    <m/>
    <m/>
    <m/>
    <n v="6.77"/>
    <m/>
    <m/>
    <m/>
    <n v="0.1968"/>
    <m/>
    <m/>
    <m/>
    <m/>
    <m/>
    <m/>
    <m/>
    <m/>
    <n v="0.1968"/>
    <m/>
    <m/>
    <m/>
  </r>
  <r>
    <x v="3"/>
    <x v="92"/>
    <s v="Fresh or Not Specified"/>
    <s v="conventional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9.4E-2"/>
    <s v=""/>
    <m/>
    <m/>
    <m/>
    <m/>
    <m/>
    <m/>
    <m/>
    <m/>
    <m/>
    <m/>
    <m/>
    <m/>
    <m/>
    <n v="9.4E-2"/>
    <m/>
    <m/>
    <m/>
    <m/>
    <m/>
    <m/>
    <m/>
    <m/>
    <n v="9.4E-2"/>
    <m/>
    <m/>
    <m/>
  </r>
  <r>
    <x v="3"/>
    <x v="92"/>
    <s v="Fresh or Not Specified"/>
    <s v="organic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4.3999999999999997E-2"/>
    <s v=""/>
    <m/>
    <m/>
    <m/>
    <m/>
    <m/>
    <m/>
    <m/>
    <m/>
    <m/>
    <m/>
    <m/>
    <m/>
    <m/>
    <n v="4.3999999999999997E-2"/>
    <m/>
    <m/>
    <m/>
    <m/>
    <m/>
    <m/>
    <m/>
    <m/>
    <n v="4.3999999999999997E-2"/>
    <m/>
    <m/>
    <m/>
  </r>
  <r>
    <x v="3"/>
    <x v="77"/>
    <s v="Fresh or Not Specified"/>
    <s v="open field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3600000000000001"/>
    <s v=""/>
    <m/>
    <m/>
    <m/>
    <m/>
    <m/>
    <m/>
    <m/>
    <m/>
    <m/>
    <m/>
    <m/>
    <m/>
    <m/>
    <n v="0.13600000000000001"/>
    <m/>
    <m/>
    <m/>
    <m/>
    <m/>
    <m/>
    <m/>
    <m/>
    <n v="0.13600000000000001"/>
    <m/>
    <m/>
    <m/>
  </r>
  <r>
    <x v="3"/>
    <x v="77"/>
    <s v="Fresh or Not Specified"/>
    <s v="open field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35599999999999998"/>
    <s v=""/>
    <m/>
    <m/>
    <m/>
    <m/>
    <m/>
    <m/>
    <m/>
    <m/>
    <m/>
    <m/>
    <m/>
    <m/>
    <m/>
    <n v="0.35599999999999998"/>
    <m/>
    <m/>
    <m/>
    <m/>
    <m/>
    <m/>
    <m/>
    <m/>
    <n v="0.35599999999999998"/>
    <m/>
    <m/>
    <m/>
  </r>
  <r>
    <x v="3"/>
    <x v="77"/>
    <s v="Fresh or Not Specified"/>
    <s v="screenhouse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99999999999999"/>
    <s v=""/>
    <m/>
    <m/>
    <m/>
    <m/>
    <m/>
    <m/>
    <m/>
    <m/>
    <m/>
    <m/>
    <m/>
    <m/>
    <m/>
    <n v="0.10199999999999999"/>
    <m/>
    <m/>
    <m/>
    <m/>
    <m/>
    <m/>
    <m/>
    <m/>
    <n v="0.10199999999999999"/>
    <m/>
    <m/>
    <m/>
  </r>
  <r>
    <x v="3"/>
    <x v="77"/>
    <s v="Fresh or Not Specified"/>
    <s v="screenhouse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6900000000000001"/>
    <s v=""/>
    <m/>
    <m/>
    <m/>
    <m/>
    <m/>
    <m/>
    <m/>
    <m/>
    <m/>
    <m/>
    <m/>
    <m/>
    <m/>
    <n v="0.16900000000000001"/>
    <m/>
    <m/>
    <m/>
    <m/>
    <m/>
    <m/>
    <m/>
    <m/>
    <n v="0.16900000000000001"/>
    <m/>
    <m/>
    <m/>
  </r>
  <r>
    <x v="3"/>
    <x v="77"/>
    <s v="Fresh or Not Specified"/>
    <s v="screenhouse w mist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00000000000001"/>
    <s v=""/>
    <m/>
    <m/>
    <m/>
    <m/>
    <m/>
    <m/>
    <m/>
    <m/>
    <m/>
    <m/>
    <m/>
    <m/>
    <m/>
    <n v="0.10100000000000001"/>
    <m/>
    <m/>
    <m/>
    <m/>
    <m/>
    <m/>
    <m/>
    <m/>
    <n v="0.10100000000000001"/>
    <m/>
    <m/>
    <m/>
  </r>
  <r>
    <x v="3"/>
    <x v="77"/>
    <s v="Fresh or Not Specified"/>
    <s v="screenhouse w mist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2.89"/>
    <s v=""/>
    <m/>
    <m/>
    <m/>
    <m/>
    <m/>
    <m/>
    <m/>
    <m/>
    <m/>
    <m/>
    <m/>
    <m/>
    <m/>
    <n v="2.89"/>
    <m/>
    <m/>
    <m/>
    <m/>
    <m/>
    <m/>
    <m/>
    <m/>
    <n v="2.89"/>
    <m/>
    <m/>
    <m/>
  </r>
  <r>
    <x v="5"/>
    <x v="67"/>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m/>
    <m/>
    <s v=""/>
    <s v=""/>
    <n v="0.3"/>
    <n v="0.52"/>
    <m/>
    <m/>
    <m/>
    <m/>
    <m/>
    <m/>
    <m/>
    <m/>
    <m/>
    <m/>
    <m/>
    <m/>
    <m/>
    <n v="0.3"/>
    <m/>
    <n v="0.22"/>
    <n v="0.17"/>
    <n v="4.2999999999999997E-2"/>
    <n v="4.3999999999999997E-2"/>
    <n v="0.28400000000000003"/>
    <m/>
    <m/>
    <n v="0.3"/>
    <n v="1.0610000000000002"/>
    <s v="+-0.13"/>
    <m/>
  </r>
  <r>
    <x v="1"/>
    <x v="3"/>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s v="carcass weight, includes bones"/>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037037037037038"/>
    <n v="37.338820301783265"/>
    <m/>
    <m/>
    <m/>
    <m/>
    <m/>
    <m/>
    <m/>
    <m/>
    <m/>
    <m/>
    <m/>
    <m/>
    <m/>
    <n v="37.037037037037038"/>
    <m/>
    <n v="0.30178326474622774"/>
    <n v="0.23319615912208508"/>
    <n v="1.2757201646090537"/>
    <n v="0.46639231824417016"/>
    <n v="2.9629629629629632"/>
    <m/>
    <m/>
    <n v="37.037037037037038"/>
    <n v="42.277091906721537"/>
    <s v="+-11.1"/>
    <m/>
  </r>
  <r>
    <x v="11"/>
    <x v="178"/>
    <s v="Fresh or Not Specified"/>
    <s v="fresh"/>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37"/>
    <m/>
    <m/>
    <m/>
    <m/>
    <m/>
    <m/>
    <m/>
    <m/>
    <m/>
    <m/>
    <m/>
    <m/>
    <m/>
    <n v="1.32"/>
    <m/>
    <n v="0.05"/>
    <m/>
    <m/>
    <m/>
    <m/>
    <m/>
    <m/>
    <n v="1.32"/>
    <n v="1.37"/>
    <m/>
    <m/>
  </r>
  <r>
    <x v="11"/>
    <x v="178"/>
    <s v="Frozen"/>
    <s v="frozen"/>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55"/>
    <m/>
    <m/>
    <m/>
    <m/>
    <m/>
    <m/>
    <m/>
    <m/>
    <m/>
    <m/>
    <m/>
    <m/>
    <m/>
    <n v="1.32"/>
    <m/>
    <n v="0.23"/>
    <m/>
    <m/>
    <m/>
    <m/>
    <m/>
    <m/>
    <n v="1.32"/>
    <n v="1.55"/>
    <m/>
    <m/>
  </r>
  <r>
    <x v="4"/>
    <x v="136"/>
    <s v="Fresh or Not Specified"/>
    <s v="groundwater,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799310938845826"/>
    <s v=""/>
    <m/>
    <m/>
    <m/>
    <m/>
    <m/>
    <m/>
    <m/>
    <m/>
    <m/>
    <m/>
    <m/>
    <m/>
    <m/>
    <n v="0.22799310938845826"/>
    <m/>
    <m/>
    <m/>
    <m/>
    <m/>
    <m/>
    <m/>
    <m/>
    <n v="0.22799310938845826"/>
    <m/>
    <m/>
    <m/>
  </r>
  <r>
    <x v="4"/>
    <x v="136"/>
    <s v="Fresh or Not Specified"/>
    <s v="groundwater,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7168389319552111"/>
    <s v=""/>
    <m/>
    <m/>
    <m/>
    <m/>
    <m/>
    <m/>
    <m/>
    <m/>
    <m/>
    <m/>
    <m/>
    <m/>
    <m/>
    <n v="0.27168389319552111"/>
    <m/>
    <m/>
    <m/>
    <m/>
    <m/>
    <m/>
    <m/>
    <m/>
    <n v="0.27168389319552111"/>
    <m/>
    <m/>
    <m/>
  </r>
  <r>
    <x v="4"/>
    <x v="136"/>
    <s v="Fresh or Not Specified"/>
    <s v="surface,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198535745047376"/>
    <s v=""/>
    <m/>
    <m/>
    <m/>
    <m/>
    <m/>
    <m/>
    <m/>
    <m/>
    <m/>
    <m/>
    <m/>
    <m/>
    <m/>
    <n v="0.22198535745047376"/>
    <m/>
    <m/>
    <m/>
    <m/>
    <m/>
    <m/>
    <m/>
    <m/>
    <n v="0.22198535745047376"/>
    <m/>
    <m/>
    <m/>
  </r>
  <r>
    <x v="4"/>
    <x v="136"/>
    <s v="Fresh or Not Specified"/>
    <s v="surface,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6401808785529723"/>
    <s v=""/>
    <m/>
    <m/>
    <m/>
    <m/>
    <m/>
    <m/>
    <m/>
    <m/>
    <m/>
    <m/>
    <m/>
    <m/>
    <m/>
    <n v="0.26401808785529723"/>
    <m/>
    <m/>
    <m/>
    <m/>
    <m/>
    <m/>
    <m/>
    <m/>
    <n v="0.26401808785529723"/>
    <m/>
    <m/>
    <m/>
  </r>
  <r>
    <x v="4"/>
    <x v="136"/>
    <s v="Fresh or Not Specified"/>
    <s v="groundwater, gravity,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4414298018949185"/>
    <s v=""/>
    <m/>
    <m/>
    <m/>
    <m/>
    <m/>
    <m/>
    <m/>
    <m/>
    <m/>
    <m/>
    <m/>
    <m/>
    <m/>
    <n v="0.24414298018949185"/>
    <m/>
    <m/>
    <m/>
    <m/>
    <m/>
    <m/>
    <m/>
    <m/>
    <n v="0.24414298018949185"/>
    <m/>
    <m/>
    <m/>
  </r>
  <r>
    <x v="4"/>
    <x v="136"/>
    <s v="Fresh or Not Specified"/>
    <s v="groundwater,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847975882859606"/>
    <s v=""/>
    <m/>
    <m/>
    <m/>
    <m/>
    <m/>
    <m/>
    <m/>
    <m/>
    <m/>
    <m/>
    <m/>
    <m/>
    <m/>
    <n v="0.28847975882859606"/>
    <m/>
    <m/>
    <m/>
    <m/>
    <m/>
    <m/>
    <m/>
    <m/>
    <n v="0.28847975882859606"/>
    <m/>
    <m/>
    <m/>
  </r>
  <r>
    <x v="4"/>
    <x v="136"/>
    <s v="Fresh or Not Specified"/>
    <s v="surface, gravity,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3858742463393631"/>
    <s v=""/>
    <m/>
    <m/>
    <m/>
    <m/>
    <m/>
    <m/>
    <m/>
    <m/>
    <m/>
    <m/>
    <m/>
    <m/>
    <m/>
    <n v="0.23858742463393631"/>
    <m/>
    <m/>
    <m/>
    <m/>
    <m/>
    <m/>
    <m/>
    <m/>
    <n v="0.23858742463393631"/>
    <m/>
    <m/>
    <m/>
  </r>
  <r>
    <x v="4"/>
    <x v="136"/>
    <s v="Fresh or Not Specified"/>
    <s v="surface,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277347114556417"/>
    <s v=""/>
    <m/>
    <m/>
    <m/>
    <m/>
    <m/>
    <m/>
    <m/>
    <m/>
    <m/>
    <m/>
    <m/>
    <m/>
    <m/>
    <n v="0.28277347114556417"/>
    <m/>
    <m/>
    <m/>
    <m/>
    <m/>
    <m/>
    <m/>
    <m/>
    <n v="0.28277347114556417"/>
    <m/>
    <m/>
    <m/>
  </r>
  <r>
    <x v="1"/>
    <x v="3"/>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22.6"/>
    <s v=""/>
    <m/>
    <m/>
    <m/>
    <m/>
    <m/>
    <m/>
    <m/>
    <m/>
    <m/>
    <m/>
    <m/>
    <m/>
    <m/>
    <n v="22.6"/>
    <m/>
    <m/>
    <m/>
    <m/>
    <m/>
    <m/>
    <m/>
    <m/>
    <n v="22.6"/>
    <m/>
    <m/>
    <m/>
  </r>
  <r>
    <x v="1"/>
    <x v="3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1.6"/>
    <s v=""/>
    <m/>
    <m/>
    <m/>
    <m/>
    <m/>
    <m/>
    <m/>
    <m/>
    <m/>
    <m/>
    <m/>
    <m/>
    <m/>
    <n v="1.6"/>
    <m/>
    <m/>
    <m/>
    <m/>
    <m/>
    <m/>
    <m/>
    <m/>
    <n v="1.6"/>
    <m/>
    <m/>
    <m/>
  </r>
  <r>
    <x v="2"/>
    <x v="2"/>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ggs in shell"/>
    <m/>
    <s v=""/>
    <s v=""/>
    <n v="1.7"/>
    <s v=""/>
    <m/>
    <m/>
    <m/>
    <m/>
    <m/>
    <m/>
    <m/>
    <m/>
    <m/>
    <m/>
    <m/>
    <m/>
    <m/>
    <n v="1.7"/>
    <m/>
    <m/>
    <m/>
    <m/>
    <m/>
    <m/>
    <m/>
    <m/>
    <n v="1.7"/>
    <m/>
    <m/>
    <m/>
  </r>
  <r>
    <x v="0"/>
    <x v="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whole fresh cows milk"/>
    <m/>
    <s v=""/>
    <s v=""/>
    <n v="14.3"/>
    <s v=""/>
    <m/>
    <m/>
    <m/>
    <m/>
    <m/>
    <m/>
    <m/>
    <m/>
    <m/>
    <m/>
    <m/>
    <m/>
    <m/>
    <n v="14.3"/>
    <m/>
    <m/>
    <m/>
    <m/>
    <m/>
    <m/>
    <m/>
    <m/>
    <n v="14.3"/>
    <m/>
    <m/>
    <m/>
  </r>
  <r>
    <x v="0"/>
    <x v="0"/>
    <m/>
    <s v="based on 8 Dutch organic dairy farms, year 2000"/>
    <m/>
    <s v="Netherlands"/>
    <n v="2005"/>
    <s v="Thomassen, M. A._x000a_de Boer, I. J. M."/>
    <s v="Wageningen Inst."/>
    <s v="Peer Reviewed Journal"/>
    <s v="Thomassen, M. A. and De Boer, I. J. M., Evaluation of indicators to assess the environmental impact of dairy production systems. Agriculture, Ecosystems &amp; Environment 2005, 111 (1–4), 185-199."/>
    <s v="Yes"/>
    <s v="No"/>
    <m/>
    <m/>
    <m/>
    <m/>
    <m/>
    <m/>
    <m/>
    <m/>
    <m/>
    <m/>
    <m/>
    <s v="farm gate"/>
    <m/>
    <m/>
    <s v="kg FPCM"/>
    <m/>
    <n v="2.48"/>
    <s v=""/>
    <n v="1.81"/>
    <s v=""/>
    <n v="2.48"/>
    <m/>
    <m/>
    <m/>
    <m/>
    <m/>
    <m/>
    <m/>
    <m/>
    <n v="2.48"/>
    <m/>
    <m/>
    <s v="SD=0.91; CV=37%"/>
    <n v="1.81"/>
    <m/>
    <m/>
    <m/>
    <m/>
    <m/>
    <m/>
    <m/>
    <m/>
    <n v="1.81"/>
    <m/>
    <s v="SD=0.86; CV=48%"/>
    <m/>
  </r>
  <r>
    <x v="1"/>
    <x v="3"/>
    <m/>
    <s v="typical Irish beef-suckler system, su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8.04245717672725"/>
    <s v=""/>
    <m/>
    <m/>
    <m/>
    <m/>
    <m/>
    <m/>
    <m/>
    <m/>
    <m/>
    <m/>
    <m/>
    <m/>
    <m/>
    <n v="28.04245717672725"/>
    <m/>
    <m/>
    <m/>
    <m/>
    <m/>
    <m/>
    <m/>
    <m/>
    <n v="28.04245717672725"/>
    <m/>
    <m/>
    <m/>
  </r>
  <r>
    <x v="1"/>
    <x v="3"/>
    <m/>
    <s v="typical Irish beef-suckler system, su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718698790139815"/>
    <s v=""/>
    <m/>
    <m/>
    <m/>
    <m/>
    <m/>
    <m/>
    <m/>
    <m/>
    <m/>
    <m/>
    <m/>
    <m/>
    <m/>
    <n v="27.718698790139815"/>
    <m/>
    <m/>
    <m/>
    <m/>
    <m/>
    <m/>
    <m/>
    <m/>
    <n v="27.718698790139815"/>
    <m/>
    <m/>
    <m/>
  </r>
  <r>
    <x v="1"/>
    <x v="3"/>
    <m/>
    <s v="typical Irish beef-suckler system, su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4945583686562"/>
    <s v=""/>
    <m/>
    <m/>
    <m/>
    <m/>
    <m/>
    <m/>
    <m/>
    <m/>
    <m/>
    <m/>
    <m/>
    <m/>
    <m/>
    <n v="27.4945583686562"/>
    <m/>
    <m/>
    <m/>
    <m/>
    <m/>
    <m/>
    <m/>
    <m/>
    <n v="27.4945583686562"/>
    <m/>
    <m/>
    <m/>
  </r>
  <r>
    <x v="1"/>
    <x v="3"/>
    <m/>
    <s v="shorter life scenario, harvesting younger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25575418270931"/>
    <s v=""/>
    <m/>
    <m/>
    <m/>
    <m/>
    <m/>
    <m/>
    <m/>
    <m/>
    <m/>
    <m/>
    <m/>
    <m/>
    <m/>
    <n v="25.925575418270931"/>
    <m/>
    <m/>
    <m/>
    <m/>
    <m/>
    <m/>
    <m/>
    <m/>
    <n v="25.925575418270931"/>
    <m/>
    <m/>
    <m/>
  </r>
  <r>
    <x v="1"/>
    <x v="3"/>
    <m/>
    <s v="non-castrated males in intensive indoor feedlot"/>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99646854313707"/>
    <s v=""/>
    <m/>
    <m/>
    <m/>
    <m/>
    <m/>
    <m/>
    <m/>
    <m/>
    <m/>
    <m/>
    <m/>
    <m/>
    <m/>
    <n v="26.99646854313707"/>
    <m/>
    <m/>
    <m/>
    <m/>
    <m/>
    <m/>
    <m/>
    <m/>
    <n v="26.99646854313707"/>
    <m/>
    <m/>
    <m/>
  </r>
  <r>
    <x v="1"/>
    <x v="3"/>
    <m/>
    <s v="same management as scenario 1 but using dairy-bred beef, s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281878994057788"/>
    <s v=""/>
    <m/>
    <m/>
    <m/>
    <m/>
    <m/>
    <m/>
    <m/>
    <m/>
    <m/>
    <m/>
    <m/>
    <m/>
    <m/>
    <n v="24.281878994057788"/>
    <m/>
    <m/>
    <m/>
    <m/>
    <m/>
    <m/>
    <m/>
    <m/>
    <n v="24.281878994057788"/>
    <m/>
    <m/>
    <m/>
  </r>
  <r>
    <x v="1"/>
    <x v="3"/>
    <m/>
    <s v="same management as scenario 1 but using dairy-bred beef, s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7609517500389"/>
    <s v=""/>
    <m/>
    <m/>
    <m/>
    <m/>
    <m/>
    <m/>
    <m/>
    <m/>
    <m/>
    <m/>
    <m/>
    <m/>
    <m/>
    <n v="22.787609517500389"/>
    <m/>
    <m/>
    <m/>
    <m/>
    <m/>
    <m/>
    <m/>
    <m/>
    <n v="22.787609517500389"/>
    <m/>
    <m/>
    <m/>
  </r>
  <r>
    <x v="1"/>
    <x v="3"/>
    <m/>
    <s v="same management as scenario 1 but using dairy-bred beef, s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563469096016778"/>
    <s v=""/>
    <m/>
    <m/>
    <m/>
    <m/>
    <m/>
    <m/>
    <m/>
    <m/>
    <m/>
    <m/>
    <m/>
    <m/>
    <m/>
    <n v="22.563469096016778"/>
    <m/>
    <m/>
    <m/>
    <m/>
    <m/>
    <m/>
    <m/>
    <m/>
    <n v="22.563469096016778"/>
    <m/>
    <m/>
    <m/>
  </r>
  <r>
    <x v="1"/>
    <x v="3"/>
    <m/>
    <s v="same as scenario 2, with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7.85652024486096"/>
    <s v=""/>
    <m/>
    <m/>
    <m/>
    <m/>
    <m/>
    <m/>
    <m/>
    <m/>
    <m/>
    <m/>
    <m/>
    <m/>
    <m/>
    <n v="17.85652024486096"/>
    <m/>
    <m/>
    <m/>
    <m/>
    <m/>
    <m/>
    <m/>
    <m/>
    <n v="17.85652024486096"/>
    <m/>
    <m/>
    <m/>
  </r>
  <r>
    <x v="1"/>
    <x v="3"/>
    <m/>
    <s v="same as scenario 3, but using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8.82779540462327"/>
    <s v=""/>
    <m/>
    <m/>
    <m/>
    <m/>
    <m/>
    <m/>
    <m/>
    <m/>
    <m/>
    <m/>
    <m/>
    <m/>
    <m/>
    <n v="18.82779540462327"/>
    <m/>
    <m/>
    <m/>
    <m/>
    <m/>
    <m/>
    <m/>
    <m/>
    <n v="18.82779540462327"/>
    <m/>
    <m/>
    <m/>
  </r>
  <r>
    <x v="3"/>
    <x v="94"/>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223"/>
    <s v=""/>
    <n v="1.7999999999999999E-2"/>
    <s v=""/>
    <n v="0.223"/>
    <m/>
    <m/>
    <n v="2.16"/>
    <n v="0.26"/>
    <m/>
    <m/>
    <m/>
    <m/>
    <n v="0.223"/>
    <n v="2.6429999999999998"/>
    <m/>
    <m/>
    <n v="1.7999999999999999E-2"/>
    <m/>
    <m/>
    <n v="3.2000000000000001E-2"/>
    <n v="1.9E-2"/>
    <m/>
    <m/>
    <m/>
    <m/>
    <n v="1.7999999999999999E-2"/>
    <n v="6.9000000000000006E-2"/>
    <m/>
    <m/>
  </r>
  <r>
    <x v="3"/>
    <x v="232"/>
    <s v="Frozen"/>
    <s v="frozen, cut carrots at wholesaler"/>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59000000000000008"/>
    <n v="6.8900000000000006"/>
    <n v="2.3E-2"/>
    <n v="0.218"/>
    <n v="0.59000000000000008"/>
    <m/>
    <n v="6.3000000000000007"/>
    <m/>
    <n v="0.67"/>
    <m/>
    <m/>
    <m/>
    <m/>
    <n v="0.59000000000000008"/>
    <n v="7.5600000000000005"/>
    <m/>
    <m/>
    <n v="2.3E-2"/>
    <m/>
    <n v="0.19500000000000001"/>
    <m/>
    <n v="4.9000000000000002E-2"/>
    <m/>
    <m/>
    <m/>
    <m/>
    <n v="2.3E-2"/>
    <n v="0.26700000000000002"/>
    <m/>
    <m/>
  </r>
  <r>
    <x v="3"/>
    <x v="94"/>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216"/>
    <s v=""/>
    <n v="0.04"/>
    <s v=""/>
    <n v="1.216"/>
    <m/>
    <m/>
    <n v="1.88"/>
    <n v="0.98"/>
    <m/>
    <m/>
    <m/>
    <m/>
    <n v="1.216"/>
    <n v="4.0760000000000005"/>
    <m/>
    <m/>
    <n v="0.04"/>
    <m/>
    <m/>
    <n v="4.3999999999999997E-2"/>
    <n v="7.0999999999999994E-2"/>
    <m/>
    <m/>
    <m/>
    <m/>
    <n v="0.04"/>
    <n v="0.15499999999999997"/>
    <m/>
    <m/>
  </r>
  <r>
    <x v="3"/>
    <x v="233"/>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131"/>
    <s v=""/>
    <n v="3.9E-2"/>
    <s v=""/>
    <n v="1.131"/>
    <m/>
    <m/>
    <n v="0.52"/>
    <n v="0.26"/>
    <m/>
    <m/>
    <m/>
    <m/>
    <n v="1.131"/>
    <n v="1.911"/>
    <m/>
    <m/>
    <n v="3.9E-2"/>
    <m/>
    <m/>
    <n v="1.0999999999999999E-2"/>
    <n v="1.9E-2"/>
    <m/>
    <m/>
    <m/>
    <m/>
    <n v="3.9E-2"/>
    <n v="6.9000000000000006E-2"/>
    <m/>
    <m/>
  </r>
  <r>
    <x v="3"/>
    <x v="233"/>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49"/>
    <s v=""/>
    <n v="4.5999999999999999E-2"/>
    <s v=""/>
    <n v="1.49"/>
    <m/>
    <m/>
    <n v="0.98"/>
    <n v="0.55000000000000004"/>
    <m/>
    <m/>
    <m/>
    <m/>
    <n v="1.49"/>
    <n v="3.0199999999999996"/>
    <m/>
    <m/>
    <n v="4.5999999999999999E-2"/>
    <m/>
    <m/>
    <n v="5.8999999999999997E-2"/>
    <n v="0.04"/>
    <m/>
    <m/>
    <m/>
    <m/>
    <n v="4.5999999999999999E-2"/>
    <n v="0.14499999999999999"/>
    <m/>
    <m/>
  </r>
  <r>
    <x v="3"/>
    <x v="18"/>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1"/>
    <s v=""/>
    <n v="2.694"/>
    <s v=""/>
    <n v="51"/>
    <m/>
    <m/>
    <m/>
    <n v="0.41"/>
    <m/>
    <m/>
    <m/>
    <m/>
    <n v="51"/>
    <n v="51.41"/>
    <m/>
    <m/>
    <n v="2.694"/>
    <m/>
    <m/>
    <m/>
    <n v="0.03"/>
    <m/>
    <m/>
    <m/>
    <m/>
    <n v="2.694"/>
    <n v="2.7239999999999998"/>
    <m/>
    <m/>
  </r>
  <r>
    <x v="3"/>
    <x v="18"/>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2.4"/>
    <s v=""/>
    <n v="2.8330000000000002"/>
    <s v=""/>
    <n v="52.4"/>
    <m/>
    <m/>
    <m/>
    <n v="1.1000000000000001"/>
    <m/>
    <m/>
    <m/>
    <m/>
    <n v="52.4"/>
    <n v="53.5"/>
    <m/>
    <m/>
    <n v="2.8330000000000002"/>
    <m/>
    <m/>
    <m/>
    <n v="7.3999999999999996E-2"/>
    <m/>
    <m/>
    <m/>
    <m/>
    <n v="2.8330000000000002"/>
    <n v="2.907"/>
    <m/>
    <m/>
  </r>
  <r>
    <x v="3"/>
    <x v="18"/>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60.91"/>
    <s v=""/>
    <n v="3.62"/>
    <s v=""/>
    <n v="60.91"/>
    <m/>
    <m/>
    <m/>
    <n v="0.55000000000000004"/>
    <m/>
    <m/>
    <m/>
    <m/>
    <n v="60.91"/>
    <n v="61.459999999999994"/>
    <m/>
    <m/>
    <n v="3.62"/>
    <m/>
    <m/>
    <m/>
    <n v="3.7999999999999999E-2"/>
    <m/>
    <m/>
    <m/>
    <m/>
    <n v="3.62"/>
    <n v="3.6579999999999999"/>
    <m/>
    <m/>
  </r>
  <r>
    <x v="3"/>
    <x v="75"/>
    <s v="Frozen"/>
    <s v="possible Swe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7.4509090909090903"/>
    <n v="12.212727272727271"/>
    <n v="0.61181818181818182"/>
    <n v="0.66723636363636363"/>
    <n v="7.4509090909090903"/>
    <m/>
    <n v="4.7618181818181817"/>
    <n v="0.49454545454545457"/>
    <n v="7.5545454545454547"/>
    <m/>
    <n v="7.045454545454545"/>
    <m/>
    <m/>
    <n v="7.4509090909090903"/>
    <n v="27.307272727272725"/>
    <m/>
    <m/>
    <n v="0.61181818181818182"/>
    <m/>
    <n v="5.5418181818181811E-2"/>
    <n v="1.5090909090909091E-2"/>
    <n v="0.15999999999999998"/>
    <m/>
    <n v="4.4272727272727269E-2"/>
    <m/>
    <m/>
    <n v="0.61181818181818182"/>
    <n v="0.88659999999999983"/>
    <m/>
    <m/>
  </r>
  <r>
    <x v="3"/>
    <x v="75"/>
    <s v="Frozen"/>
    <s v="South Europe case 1"/>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6636363636363636"/>
    <n v="9.6818181818181817"/>
    <n v="0.36363636363636365"/>
    <n v="0.41905454545454546"/>
    <n v="3.6636363636363636"/>
    <m/>
    <n v="6.0181818181818176"/>
    <n v="0.49454545454545457"/>
    <n v="9.9"/>
    <m/>
    <n v="7.2363636363636354"/>
    <m/>
    <m/>
    <n v="3.6636363636363636"/>
    <n v="27.312727272727273"/>
    <m/>
    <m/>
    <n v="0.36363636363636365"/>
    <m/>
    <n v="5.5418181818181811E-2"/>
    <n v="1.5090909090909091E-2"/>
    <n v="0.32454545454545453"/>
    <m/>
    <n v="4.4272727272727269E-2"/>
    <m/>
    <m/>
    <n v="0.36363636363636365"/>
    <n v="0.80296363636363632"/>
    <m/>
    <m/>
  </r>
  <r>
    <x v="3"/>
    <x v="75"/>
    <s v="Frozen"/>
    <s v="South Europe case 2"/>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3626363636363634"/>
    <n v="9.5899090909090905"/>
    <n v="0.33909090909090905"/>
    <n v="0.70045454545454544"/>
    <n v="3.3626363636363634"/>
    <m/>
    <n v="6.2272727272727266"/>
    <n v="0.49454545454545457"/>
    <n v="6.540909090909091"/>
    <m/>
    <n v="7.045454545454545"/>
    <m/>
    <m/>
    <n v="3.3626363636363634"/>
    <n v="23.670818181818184"/>
    <m/>
    <m/>
    <n v="0.33909090909090905"/>
    <m/>
    <n v="0.36136363636363633"/>
    <n v="1.5090909090909091E-2"/>
    <n v="0.18772727272727271"/>
    <m/>
    <n v="4.4272727272727269E-2"/>
    <m/>
    <m/>
    <n v="0.33909090909090905"/>
    <n v="0.94754545454545447"/>
    <m/>
    <m/>
  </r>
  <r>
    <x v="3"/>
    <x v="75"/>
    <s v="Frozen"/>
    <s v="S and C American case 1"/>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0909090909090904"/>
    <n v="7.3818181818181809"/>
    <n v="0.57390909090909081"/>
    <n v="0.7827272727272726"/>
    <n v="3.0909090909090904"/>
    <m/>
    <n v="4.2909090909090901"/>
    <n v="0.49454545454545457"/>
    <n v="8.0272727272727273"/>
    <m/>
    <n v="7.2363636363636354"/>
    <m/>
    <m/>
    <n v="3.0909090909090904"/>
    <n v="23.139999999999997"/>
    <m/>
    <m/>
    <n v="0.57390909090909081"/>
    <m/>
    <n v="0.20881818181818179"/>
    <n v="1.5090909090909091E-2"/>
    <n v="0.34909090909090906"/>
    <m/>
    <n v="4.4272727272727269E-2"/>
    <m/>
    <m/>
    <n v="0.57390909090909081"/>
    <n v="1.1911818181818179"/>
    <m/>
    <m/>
  </r>
  <r>
    <x v="3"/>
    <x v="75"/>
    <s v="Frozen"/>
    <s v="S and C American case 2"/>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s v=""/>
    <n v="5.1090909090909085"/>
    <n v="0.21636363636363634"/>
    <n v="0.53818181818181809"/>
    <n v="0"/>
    <m/>
    <n v="5.1090909090909085"/>
    <n v="0.49454545454545457"/>
    <n v="7.8090909090909086"/>
    <m/>
    <n v="7.045454545454545"/>
    <m/>
    <m/>
    <n v="0"/>
    <n v="20.458181818181814"/>
    <m/>
    <m/>
    <n v="0.21636363636363634"/>
    <m/>
    <n v="0.32181818181818178"/>
    <n v="1.5090909090909091E-2"/>
    <n v="0.30727272727272725"/>
    <m/>
    <n v="4.4272727272727269E-2"/>
    <m/>
    <m/>
    <n v="0.21636363636363634"/>
    <n v="0.90481818181818163"/>
    <m/>
    <m/>
  </r>
  <r>
    <x v="3"/>
    <x v="75"/>
    <s v="Fresh or Not Specified"/>
    <s v="possible Swed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7.5"/>
    <n v="8.11"/>
    <n v="0.629"/>
    <n v="0.64370000000000005"/>
    <n v="7.5"/>
    <m/>
    <n v="0.61"/>
    <n v="0.90500000000000003"/>
    <n v="2.79"/>
    <m/>
    <n v="6.61"/>
    <m/>
    <m/>
    <n v="7.5"/>
    <n v="18.414999999999999"/>
    <m/>
    <m/>
    <n v="0.629"/>
    <m/>
    <n v="1.47E-2"/>
    <n v="1.66E-2"/>
    <n v="0.17499999999999999"/>
    <m/>
    <n v="0.159"/>
    <m/>
    <m/>
    <n v="0.629"/>
    <n v="0.99429999999999996"/>
    <m/>
    <m/>
  </r>
  <r>
    <x v="3"/>
    <x v="75"/>
    <s v="Fresh or Not Specified"/>
    <s v="South Europe case 1,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5"/>
    <n v="4.452"/>
    <n v="0.39700000000000002"/>
    <n v="0.41170000000000001"/>
    <n v="3.95"/>
    <m/>
    <n v="0.502"/>
    <n v="1.1200000000000001"/>
    <n v="4.95"/>
    <m/>
    <n v="6.3440000000000003"/>
    <m/>
    <m/>
    <n v="3.95"/>
    <n v="16.866"/>
    <m/>
    <m/>
    <n v="0.39700000000000002"/>
    <m/>
    <n v="1.47E-2"/>
    <n v="1.66E-2"/>
    <n v="0.246"/>
    <m/>
    <n v="0.16400000000000001"/>
    <m/>
    <m/>
    <n v="0.39700000000000002"/>
    <n v="0.83830000000000005"/>
    <m/>
    <m/>
  </r>
  <r>
    <x v="3"/>
    <x v="75"/>
    <s v="Fresh or Not Specified"/>
    <s v="South Europe case 2,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9"/>
    <n v="4.492"/>
    <n v="0.42699999999999999"/>
    <n v="0.46179999999999999"/>
    <n v="3.99"/>
    <m/>
    <n v="0.502"/>
    <n v="1.1200000000000001"/>
    <n v="5.22"/>
    <m/>
    <n v="6.3440000000000003"/>
    <m/>
    <m/>
    <n v="3.99"/>
    <n v="17.176000000000002"/>
    <m/>
    <m/>
    <n v="0.42699999999999999"/>
    <m/>
    <n v="3.4799999999999998E-2"/>
    <n v="3.6600000000000001E-2"/>
    <n v="0.27600000000000002"/>
    <m/>
    <n v="0.14899999999999999"/>
    <m/>
    <m/>
    <n v="0.42699999999999999"/>
    <n v="0.9234"/>
    <m/>
    <m/>
  </r>
  <r>
    <x v="12"/>
    <x v="101"/>
    <s v="Fresh or Not Specified"/>
    <s v="albacor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388303448275867"/>
    <s v=""/>
    <n v="1.8279310344827588"/>
    <s v=""/>
    <n v="27.388303448275867"/>
    <m/>
    <m/>
    <m/>
    <m/>
    <m/>
    <m/>
    <m/>
    <m/>
    <n v="27.388303448275867"/>
    <m/>
    <m/>
    <m/>
    <n v="1.8279310344827588"/>
    <m/>
    <m/>
    <m/>
    <m/>
    <m/>
    <m/>
    <m/>
    <m/>
    <n v="1.8279310344827588"/>
    <m/>
    <m/>
    <m/>
  </r>
  <r>
    <x v="12"/>
    <x v="101"/>
    <s v="Fresh or Not Specified"/>
    <s v="bigey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156331034482761"/>
    <s v=""/>
    <n v="2.3463793103448278"/>
    <s v=""/>
    <n v="35.156331034482761"/>
    <m/>
    <m/>
    <m/>
    <m/>
    <m/>
    <m/>
    <m/>
    <m/>
    <n v="35.156331034482761"/>
    <m/>
    <m/>
    <m/>
    <n v="2.3463793103448278"/>
    <m/>
    <m/>
    <m/>
    <m/>
    <m/>
    <m/>
    <m/>
    <m/>
    <n v="2.3463793103448278"/>
    <m/>
    <m/>
    <m/>
  </r>
  <r>
    <x v="12"/>
    <x v="101"/>
    <s v="Fresh or Not Specified"/>
    <s v="skipjack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636827586206898"/>
    <s v=""/>
    <n v="2.3784482758620693"/>
    <s v=""/>
    <n v="35.636827586206898"/>
    <m/>
    <m/>
    <m/>
    <m/>
    <m/>
    <m/>
    <m/>
    <m/>
    <n v="35.636827586206898"/>
    <m/>
    <m/>
    <m/>
    <n v="2.3784482758620693"/>
    <m/>
    <m/>
    <m/>
    <m/>
    <m/>
    <m/>
    <m/>
    <m/>
    <n v="2.3784482758620693"/>
    <m/>
    <m/>
    <m/>
  </r>
  <r>
    <x v="12"/>
    <x v="101"/>
    <s v="Fresh or Not Specified"/>
    <s v="yellowfin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3.875006896551724"/>
    <s v=""/>
    <n v="2.2608620689655172"/>
    <s v=""/>
    <n v="33.875006896551724"/>
    <m/>
    <m/>
    <m/>
    <m/>
    <m/>
    <m/>
    <m/>
    <m/>
    <n v="33.875006896551724"/>
    <m/>
    <m/>
    <m/>
    <n v="2.2608620689655172"/>
    <m/>
    <m/>
    <m/>
    <m/>
    <m/>
    <m/>
    <m/>
    <m/>
    <n v="2.2608620689655172"/>
    <m/>
    <m/>
    <m/>
  </r>
  <r>
    <x v="12"/>
    <x v="101"/>
    <s v="Fresh or Not Specified"/>
    <s v="albacor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4.104910344827587"/>
    <s v=""/>
    <n v="1.6087931034482761"/>
    <s v=""/>
    <n v="24.104910344827587"/>
    <m/>
    <m/>
    <m/>
    <m/>
    <m/>
    <m/>
    <m/>
    <m/>
    <n v="24.104910344827587"/>
    <m/>
    <m/>
    <m/>
    <n v="1.6087931034482761"/>
    <m/>
    <m/>
    <m/>
    <m/>
    <m/>
    <m/>
    <m/>
    <m/>
    <n v="1.6087931034482761"/>
    <m/>
    <m/>
    <m/>
  </r>
  <r>
    <x v="12"/>
    <x v="101"/>
    <s v="Fresh or Not Specified"/>
    <s v="bigey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318565517241389"/>
    <s v=""/>
    <n v="2.4906896551724143"/>
    <s v=""/>
    <n v="37.318565517241389"/>
    <m/>
    <m/>
    <m/>
    <m/>
    <m/>
    <m/>
    <m/>
    <m/>
    <n v="37.318565517241389"/>
    <m/>
    <m/>
    <m/>
    <n v="2.4906896551724143"/>
    <m/>
    <m/>
    <m/>
    <m/>
    <m/>
    <m/>
    <m/>
    <m/>
    <n v="2.4906896551724143"/>
    <m/>
    <m/>
    <m/>
  </r>
  <r>
    <x v="12"/>
    <x v="101"/>
    <s v="Fresh or Not Specified"/>
    <s v="skipjack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6.757986206896561"/>
    <s v=""/>
    <n v="2.4532758620689656"/>
    <s v=""/>
    <n v="36.757986206896561"/>
    <m/>
    <m/>
    <m/>
    <m/>
    <m/>
    <m/>
    <m/>
    <m/>
    <n v="36.757986206896561"/>
    <m/>
    <m/>
    <m/>
    <n v="2.4532758620689656"/>
    <m/>
    <m/>
    <m/>
    <m/>
    <m/>
    <m/>
    <m/>
    <m/>
    <n v="2.4532758620689656"/>
    <m/>
    <m/>
    <m/>
  </r>
  <r>
    <x v="12"/>
    <x v="101"/>
    <s v="Fresh or Not Specified"/>
    <s v="yellowfin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396579310344826"/>
    <s v=""/>
    <n v="2.3624137931034488"/>
    <s v=""/>
    <n v="35.396579310344826"/>
    <m/>
    <m/>
    <m/>
    <m/>
    <m/>
    <m/>
    <m/>
    <m/>
    <n v="35.396579310344826"/>
    <m/>
    <m/>
    <m/>
    <n v="2.3624137931034488"/>
    <m/>
    <m/>
    <m/>
    <m/>
    <m/>
    <m/>
    <m/>
    <m/>
    <n v="2.3624137931034488"/>
    <m/>
    <m/>
    <m/>
  </r>
  <r>
    <x v="12"/>
    <x v="101"/>
    <s v="Fresh or Not Specified"/>
    <s v="albacor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5.866731034482761"/>
    <s v=""/>
    <n v="1.7263793103448279"/>
    <s v=""/>
    <n v="25.866731034482761"/>
    <m/>
    <m/>
    <m/>
    <m/>
    <m/>
    <m/>
    <m/>
    <m/>
    <n v="25.866731034482761"/>
    <m/>
    <m/>
    <m/>
    <n v="1.7263793103448279"/>
    <m/>
    <m/>
    <m/>
    <m/>
    <m/>
    <m/>
    <m/>
    <m/>
    <n v="1.7263793103448279"/>
    <m/>
    <m/>
    <m/>
  </r>
  <r>
    <x v="12"/>
    <x v="101"/>
    <s v="Fresh or Not Specified"/>
    <s v="bigey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718979310344828"/>
    <s v=""/>
    <n v="2.5174137931034481"/>
    <s v=""/>
    <n v="37.718979310344828"/>
    <m/>
    <m/>
    <m/>
    <m/>
    <m/>
    <m/>
    <m/>
    <m/>
    <n v="37.718979310344828"/>
    <m/>
    <m/>
    <m/>
    <n v="2.5174137931034481"/>
    <m/>
    <m/>
    <m/>
    <m/>
    <m/>
    <m/>
    <m/>
    <m/>
    <n v="2.5174137931034481"/>
    <m/>
    <m/>
    <m/>
  </r>
  <r>
    <x v="12"/>
    <x v="101"/>
    <s v="Fresh or Not Specified"/>
    <s v="skipjack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948882758620691"/>
    <s v=""/>
    <n v="1.8653448275862068"/>
    <s v=""/>
    <n v="27.948882758620691"/>
    <m/>
    <m/>
    <m/>
    <m/>
    <m/>
    <m/>
    <m/>
    <m/>
    <n v="27.948882758620691"/>
    <m/>
    <m/>
    <m/>
    <n v="1.8653448275862068"/>
    <m/>
    <m/>
    <m/>
    <m/>
    <m/>
    <m/>
    <m/>
    <m/>
    <n v="1.8653448275862068"/>
    <m/>
    <m/>
    <m/>
  </r>
  <r>
    <x v="12"/>
    <x v="101"/>
    <s v="Fresh or Not Specified"/>
    <s v="yellowfin tuna in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8.989958620689656"/>
    <s v=""/>
    <n v="1.9348275862068969"/>
    <s v=""/>
    <n v="28.989958620689656"/>
    <m/>
    <m/>
    <m/>
    <m/>
    <m/>
    <m/>
    <m/>
    <m/>
    <n v="28.989958620689656"/>
    <m/>
    <m/>
    <m/>
    <n v="1.9348275862068969"/>
    <m/>
    <m/>
    <m/>
    <m/>
    <m/>
    <m/>
    <m/>
    <m/>
    <n v="1.9348275862068969"/>
    <m/>
    <m/>
    <m/>
  </r>
  <r>
    <x v="12"/>
    <x v="111"/>
    <s v="Fresh or Not Specified"/>
    <s v="mangrove shrimp farms, 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34.736842105263165"/>
    <s v=""/>
    <m/>
    <m/>
    <m/>
    <m/>
    <m/>
    <m/>
    <m/>
    <m/>
    <m/>
    <m/>
    <m/>
    <m/>
    <m/>
    <n v="34.736842105263165"/>
    <m/>
    <m/>
    <m/>
    <m/>
    <m/>
    <m/>
    <m/>
    <m/>
    <n v="34.736842105263165"/>
    <m/>
    <m/>
    <m/>
  </r>
  <r>
    <x v="12"/>
    <x v="111"/>
    <s v="Fresh or Not Specified"/>
    <s v="mangrove shrimp farms, non-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54.736842105263165"/>
    <s v=""/>
    <m/>
    <m/>
    <m/>
    <m/>
    <m/>
    <m/>
    <m/>
    <m/>
    <m/>
    <m/>
    <m/>
    <m/>
    <m/>
    <n v="54.736842105263165"/>
    <m/>
    <m/>
    <m/>
    <m/>
    <m/>
    <m/>
    <m/>
    <m/>
    <n v="54.736842105263165"/>
    <m/>
    <m/>
    <m/>
  </r>
  <r>
    <x v="12"/>
    <x v="111"/>
    <s v="Fresh or Not Specified"/>
    <s v="wild-caught banana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n v="114.6"/>
    <n v="182.6181818181818"/>
    <n v="7.8"/>
    <n v="12.6"/>
    <n v="114.6"/>
    <m/>
    <n v="68.018181818181802"/>
    <m/>
    <n v="7.1999999999999993"/>
    <m/>
    <m/>
    <m/>
    <m/>
    <n v="114.6"/>
    <n v="189.81818181818178"/>
    <m/>
    <m/>
    <n v="7.8"/>
    <m/>
    <n v="4.8"/>
    <m/>
    <n v="0.49090909090909091"/>
    <m/>
    <m/>
    <m/>
    <m/>
    <n v="7.8"/>
    <n v="13.09090909090909"/>
    <m/>
    <m/>
  </r>
  <r>
    <x v="12"/>
    <x v="111"/>
    <s v="Fresh or Not Specified"/>
    <s v="wild-caught Tiger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s v=""/>
    <s v=""/>
    <n v="58.18181818181818"/>
    <s v=""/>
    <m/>
    <m/>
    <m/>
    <m/>
    <m/>
    <m/>
    <m/>
    <m/>
    <m/>
    <m/>
    <m/>
    <m/>
    <m/>
    <n v="58.18181818181818"/>
    <m/>
    <m/>
    <m/>
    <m/>
    <m/>
    <m/>
    <m/>
    <m/>
    <n v="58.18181818181818"/>
    <m/>
    <m/>
    <m/>
  </r>
  <r>
    <x v="1"/>
    <x v="23"/>
    <s v="Fresh or Not Specified"/>
    <m/>
    <m/>
    <s v="Brazil"/>
    <n v="2015"/>
    <s v="Cherubini, Edivan_x000a_Zanghelini, Guilherme Marcelo_x000a_Alvarenga, Rodrigo Augusto Freitas_x000a_Franco, Davide_x000a_Soares, Sebastião Roberto"/>
    <m/>
    <s v="Peer Reviewed Journal"/>
    <s v="Cherubini, E., Zanghelini, G. M., Alvarenga, R. a. F., Franco, D. and Soares, S. R., Life cycle assessment of swine production in Brazil: a comparison of four manure management systems. Journal of Cleaner Production 2015, 87, 68-77."/>
    <s v="Yes"/>
    <s v="Yes"/>
    <s v="Yes"/>
    <s v="Yes"/>
    <s v="No"/>
    <s v="No"/>
    <s v="No"/>
    <s v="No"/>
    <s v="No"/>
    <s v="No"/>
    <s v="No"/>
    <s v="No"/>
    <s v="no"/>
    <m/>
    <m/>
    <m/>
    <s v="1000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1.918106995884774"/>
    <n v="33.595061728395059"/>
    <n v="4.9883401920438954"/>
    <n v="5.0553635116598077"/>
    <n v="31.918106995884774"/>
    <m/>
    <n v="1.676954732510288"/>
    <m/>
    <m/>
    <m/>
    <m/>
    <n v="-4.0733882030178332"/>
    <m/>
    <n v="31.918106995884774"/>
    <n v="29.521673525377224"/>
    <m/>
    <m/>
    <n v="4.9883401920438954"/>
    <m/>
    <n v="6.7023319615912208E-2"/>
    <m/>
    <m/>
    <m/>
    <m/>
    <n v="-0.2496570644718793"/>
    <m/>
    <n v="4.9883401920438954"/>
    <n v="4.8057064471879283"/>
    <m/>
    <m/>
  </r>
  <r>
    <x v="0"/>
    <x v="0"/>
    <s v="Fresh or Not Specified"/>
    <s v="paper looks at coproduction of milk and energy via AD; only including base case without energy here"/>
    <m/>
    <s v="USA (Wisconcin)"/>
    <n v="2015"/>
    <s v="Aguirre-Villegas, Horacio A_x000a_Passos-Fonseca, Thaís H_x000a_Reinemann, Douglas J_x000a_Armentano, Louis E_x000a_Wattiaux, Michel A_x000a_Cabrera, Victor E_x000a_Norman, John M_x000a_Larson, R"/>
    <m/>
    <s v="Peer Reviewed Journal"/>
    <s v="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
    <s v="Yes"/>
    <s v="No"/>
    <s v="No"/>
    <s v="No"/>
    <s v="No"/>
    <s v="No"/>
    <s v="No"/>
    <s v="No"/>
    <s v="No"/>
    <s v="No"/>
    <s v="No"/>
    <s v="No"/>
    <s v="no"/>
    <s v="farm gate"/>
    <m/>
    <m/>
    <s v="kg FPCM"/>
    <m/>
    <n v="3.9"/>
    <s v=""/>
    <n v="1.03"/>
    <s v=""/>
    <n v="3.9"/>
    <m/>
    <m/>
    <m/>
    <m/>
    <m/>
    <m/>
    <m/>
    <m/>
    <n v="3.9"/>
    <m/>
    <m/>
    <m/>
    <n v="1.03"/>
    <m/>
    <m/>
    <m/>
    <m/>
    <m/>
    <m/>
    <m/>
    <m/>
    <n v="1.03"/>
    <m/>
    <m/>
    <m/>
  </r>
  <r>
    <x v="5"/>
    <x v="122"/>
    <s v="Dried"/>
    <s v="rain-fed paddy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25"/>
    <s v=""/>
    <n v="2.97"/>
    <s v=""/>
    <n v="7.25"/>
    <m/>
    <m/>
    <m/>
    <m/>
    <m/>
    <m/>
    <m/>
    <m/>
    <n v="7.25"/>
    <m/>
    <m/>
    <m/>
    <n v="2.97"/>
    <m/>
    <m/>
    <m/>
    <m/>
    <m/>
    <m/>
    <m/>
    <m/>
    <n v="2.97"/>
    <m/>
    <s v="2.84-3.45"/>
    <m/>
  </r>
  <r>
    <x v="5"/>
    <x v="122"/>
    <s v="Dried"/>
    <s v="wet-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44"/>
    <s v=""/>
    <n v="4.87"/>
    <s v=""/>
    <n v="7.44"/>
    <m/>
    <m/>
    <m/>
    <m/>
    <m/>
    <m/>
    <m/>
    <m/>
    <n v="7.44"/>
    <m/>
    <m/>
    <m/>
    <n v="4.87"/>
    <m/>
    <m/>
    <m/>
    <m/>
    <m/>
    <m/>
    <m/>
    <m/>
    <n v="4.87"/>
    <m/>
    <s v="4.51-5.12"/>
    <m/>
  </r>
  <r>
    <x v="5"/>
    <x v="122"/>
    <s v="Dried"/>
    <s v="dry-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9.5299999999999994"/>
    <s v=""/>
    <n v="5.55"/>
    <s v=""/>
    <n v="9.5299999999999994"/>
    <m/>
    <m/>
    <m/>
    <m/>
    <m/>
    <m/>
    <m/>
    <m/>
    <n v="9.5299999999999994"/>
    <m/>
    <m/>
    <m/>
    <n v="5.55"/>
    <m/>
    <m/>
    <m/>
    <m/>
    <m/>
    <m/>
    <m/>
    <m/>
    <n v="5.55"/>
    <m/>
    <s v="5.06-6.20"/>
    <m/>
  </r>
  <r>
    <x v="1"/>
    <x v="24"/>
    <s v="Fresh or Not Specified"/>
    <s v="standard French production"/>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4.753246753246749"/>
    <n v="38.961038961038959"/>
    <n v="4.0348831168831172"/>
    <n v="4.1298701298701301"/>
    <n v="34.753246753246749"/>
    <m/>
    <n v="4.2077922077922079"/>
    <m/>
    <m/>
    <m/>
    <m/>
    <m/>
    <m/>
    <n v="34.753246753246749"/>
    <n v="38.961038961038959"/>
    <m/>
    <m/>
    <n v="4.0348831168831172"/>
    <m/>
    <n v="9.4987012987012995E-2"/>
    <m/>
    <m/>
    <m/>
    <m/>
    <m/>
    <m/>
    <n v="4.0348831168831172"/>
    <m/>
    <m/>
    <m/>
  </r>
  <r>
    <x v="1"/>
    <x v="24"/>
    <s v="Fresh or Not Specified"/>
    <s v="Label Rouge, France (Southwest"/>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56.041558441558436"/>
    <n v="60.259740259740255"/>
    <n v="5.1268051948051943"/>
    <n v="5.2207792207792201"/>
    <n v="56.041558441558436"/>
    <m/>
    <n v="4.2181818181818178"/>
    <m/>
    <m/>
    <m/>
    <m/>
    <m/>
    <m/>
    <n v="56.041558441558436"/>
    <n v="60.259740259740255"/>
    <m/>
    <m/>
    <n v="5.1268051948051943"/>
    <m/>
    <n v="9.397402597402596E-2"/>
    <m/>
    <m/>
    <m/>
    <m/>
    <m/>
    <m/>
    <n v="5.1268051948051943"/>
    <m/>
    <m/>
    <m/>
  </r>
  <r>
    <x v="1"/>
    <x v="24"/>
    <s v="Fresh or Not Specified"/>
    <s v="Center-West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Yes"/>
    <s v="Yes"/>
    <s v="Yes"/>
    <s v="Yes"/>
    <s v="No"/>
    <s v="No"/>
    <s v="No"/>
    <s v="No"/>
    <s v="No"/>
    <s v="No"/>
    <s v="No"/>
    <m/>
    <s v="cooled &amp; packaged chicken at slaughterhouse gate"/>
    <m/>
    <m/>
    <s v="1 tonne cooled &amp; packaged chicken at slaughterhouse"/>
    <s v="/1000/.77"/>
    <n v="30.647272727272732"/>
    <n v="39.090909090909093"/>
    <n v="3.5142857142857138"/>
    <n v="3.5714285714285707"/>
    <n v="30.647272727272732"/>
    <m/>
    <n v="8.4436363636363634"/>
    <m/>
    <m/>
    <m/>
    <m/>
    <m/>
    <m/>
    <n v="30.647272727272732"/>
    <n v="39.090909090909093"/>
    <m/>
    <m/>
    <n v="3.5142857142857138"/>
    <m/>
    <n v="5.7142857142857141E-2"/>
    <m/>
    <m/>
    <m/>
    <m/>
    <m/>
    <m/>
    <n v="3.5142857142857138"/>
    <m/>
    <m/>
    <m/>
  </r>
  <r>
    <x v="1"/>
    <x v="24"/>
    <s v="Fresh or Not Specified"/>
    <s v="South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2.68805194805195"/>
    <n v="41.168831168831169"/>
    <n v="2.4742207792207789"/>
    <n v="2.5324675324675323"/>
    <n v="32.68805194805195"/>
    <m/>
    <n v="8.4807792207792208"/>
    <m/>
    <m/>
    <m/>
    <m/>
    <m/>
    <m/>
    <n v="32.68805194805195"/>
    <n v="41.168831168831169"/>
    <m/>
    <m/>
    <n v="2.4742207792207789"/>
    <m/>
    <n v="5.8246753246753241E-2"/>
    <m/>
    <m/>
    <m/>
    <m/>
    <m/>
    <m/>
    <n v="2.4742207792207789"/>
    <m/>
    <m/>
    <m/>
  </r>
  <r>
    <x v="5"/>
    <x v="234"/>
    <s v="Dried"/>
    <s v="bulk quinoa from AlterEco 2012 emissions report"/>
    <m/>
    <s v="Bolivia"/>
    <n v="2012"/>
    <s v="ALTER ECO"/>
    <m/>
    <s v="Industry Based Report"/>
    <s v="Alter Eco. 2012 Emissions Report &amp; Impact Assessment; 2012."/>
    <m/>
    <m/>
    <m/>
    <m/>
    <m/>
    <m/>
    <m/>
    <m/>
    <m/>
    <m/>
    <m/>
    <m/>
    <m/>
    <s v="does not provide details on methods"/>
    <m/>
    <m/>
    <s v="kg bulk quinoa"/>
    <m/>
    <s v=""/>
    <s v=""/>
    <n v="0.91971728887277993"/>
    <n v="1.134650235592606"/>
    <m/>
    <m/>
    <m/>
    <m/>
    <m/>
    <m/>
    <m/>
    <m/>
    <m/>
    <m/>
    <m/>
    <m/>
    <m/>
    <n v="0.91971728887277993"/>
    <n v="0.21493294671982602"/>
    <m/>
    <n v="3.0808263863718738E-2"/>
    <n v="4.603117071402682E-2"/>
    <m/>
    <n v="6.6147154766219643E-2"/>
    <m/>
    <m/>
    <n v="0.91971728887277993"/>
    <n v="1.2776368249365713"/>
    <m/>
    <m/>
  </r>
  <r>
    <x v="0"/>
    <x v="26"/>
    <s v="Fresh or Not Specified"/>
    <s v="average of 6 Italian buffalo farms"/>
    <m/>
    <s v="Italy"/>
    <n v="2014"/>
    <s v="Prilo"/>
    <s v="Pirlo, G_x000a_Terzano, G_x000a_Pacelli, C_x000a_Abeni, F_x000a_Care, S"/>
    <s v="Peer Reviewed Journal"/>
    <s v="Pirlo, G., Terzano, G., Pacelli, C., Abeni, F. and Care, S., Carbon footprint of milk produced at Italian buffalo farms. Livestock Science 2014, 161, 176-184."/>
    <s v="Yes"/>
    <s v="No"/>
    <s v="No"/>
    <s v="No"/>
    <s v="No"/>
    <s v="No"/>
    <s v="No"/>
    <s v="No"/>
    <s v="No"/>
    <s v="No"/>
    <s v="No"/>
    <s v="No"/>
    <s v="no"/>
    <m/>
    <m/>
    <m/>
    <s v="kg FPCM"/>
    <m/>
    <s v=""/>
    <s v=""/>
    <n v="3.75"/>
    <s v=""/>
    <m/>
    <m/>
    <m/>
    <m/>
    <m/>
    <m/>
    <m/>
    <m/>
    <m/>
    <m/>
    <m/>
    <m/>
    <m/>
    <n v="3.75"/>
    <m/>
    <m/>
    <m/>
    <m/>
    <m/>
    <m/>
    <m/>
    <m/>
    <n v="3.75"/>
    <m/>
    <m/>
    <m/>
  </r>
  <r>
    <x v="0"/>
    <x v="0"/>
    <s v="Fresh or Not Specified"/>
    <s v="Irish pasture based dairy"/>
    <m/>
    <s v="Ireland"/>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s v="kg ECM"/>
    <m/>
    <s v=""/>
    <s v=""/>
    <n v="0.91400000000000003"/>
    <s v=""/>
    <m/>
    <m/>
    <m/>
    <m/>
    <m/>
    <m/>
    <m/>
    <m/>
    <m/>
    <m/>
    <m/>
    <m/>
    <m/>
    <n v="0.91400000000000003"/>
    <m/>
    <m/>
    <m/>
    <m/>
    <m/>
    <m/>
    <m/>
    <m/>
    <n v="0.91400000000000003"/>
    <m/>
    <m/>
    <m/>
  </r>
  <r>
    <x v="0"/>
    <x v="0"/>
    <s v="Fresh or Not Specified"/>
    <s v="UK confinement dairy"/>
    <m/>
    <s v="UK"/>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500000000000002"/>
    <s v=""/>
    <m/>
    <m/>
    <m/>
    <m/>
    <m/>
    <m/>
    <m/>
    <m/>
    <m/>
    <m/>
    <m/>
    <m/>
    <m/>
    <n v="0.89500000000000002"/>
    <m/>
    <m/>
    <m/>
    <m/>
    <m/>
    <m/>
    <m/>
    <m/>
    <n v="0.89500000000000002"/>
    <m/>
    <m/>
    <m/>
  </r>
  <r>
    <x v="0"/>
    <x v="0"/>
    <s v="Fresh or Not Specified"/>
    <s v="US confinement dairy"/>
    <m/>
    <s v="USA"/>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800000000000002"/>
    <s v=""/>
    <m/>
    <m/>
    <m/>
    <m/>
    <m/>
    <m/>
    <m/>
    <m/>
    <m/>
    <m/>
    <m/>
    <m/>
    <m/>
    <n v="0.89800000000000002"/>
    <m/>
    <m/>
    <m/>
    <m/>
    <m/>
    <m/>
    <m/>
    <m/>
    <n v="0.89800000000000002"/>
    <m/>
    <m/>
    <m/>
  </r>
  <r>
    <x v="4"/>
    <x v="20"/>
    <s v="Fresh or Not Specified"/>
    <s v="premium quality export bananas, 2009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1"/>
    <n v="0.219"/>
    <m/>
    <m/>
    <m/>
    <m/>
    <m/>
    <m/>
    <m/>
    <m/>
    <m/>
    <m/>
    <m/>
    <m/>
    <m/>
    <n v="0.21"/>
    <n v="8.0000000000000002E-3"/>
    <n v="1E-3"/>
    <n v="0.08"/>
    <n v="0.12"/>
    <m/>
    <m/>
    <m/>
    <m/>
    <n v="0.21"/>
    <n v="0.41899999999999998"/>
    <m/>
    <s v="distribution represents best case scenario: worst case scenario is 0.71"/>
  </r>
  <r>
    <x v="4"/>
    <x v="20"/>
    <s v="Fresh or Not Specified"/>
    <s v="premium quality export bananas, 2010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4"/>
    <n v="0.249"/>
    <m/>
    <m/>
    <m/>
    <m/>
    <m/>
    <m/>
    <m/>
    <m/>
    <m/>
    <m/>
    <m/>
    <m/>
    <m/>
    <n v="0.24"/>
    <n v="8.0000000000000002E-3"/>
    <n v="1E-3"/>
    <n v="0.09"/>
    <n v="0.12"/>
    <m/>
    <m/>
    <m/>
    <m/>
    <n v="0.24"/>
    <n v="0.45899999999999996"/>
    <m/>
    <s v="distribution represents best case scenario: worst case scenario is 0.70"/>
  </r>
  <r>
    <x v="4"/>
    <x v="20"/>
    <s v="Fresh or Not Specified"/>
    <s v="premium quality export bananas, 2011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6"/>
    <n v="0.27300000000000002"/>
    <m/>
    <m/>
    <m/>
    <m/>
    <m/>
    <m/>
    <m/>
    <m/>
    <m/>
    <m/>
    <m/>
    <m/>
    <m/>
    <n v="0.26"/>
    <n v="8.0000000000000002E-3"/>
    <n v="5.0000000000000001E-3"/>
    <n v="0.09"/>
    <n v="0.12"/>
    <m/>
    <m/>
    <m/>
    <m/>
    <n v="0.26"/>
    <n v="0.48299999999999998"/>
    <m/>
    <s v="distribution represents best case scenario: worst case scenario is 0.70"/>
  </r>
  <r>
    <x v="1"/>
    <x v="3"/>
    <s v="Fresh or Not Specified"/>
    <s v="culled cow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0"/>
    <s v=""/>
    <m/>
    <m/>
    <m/>
    <m/>
    <m/>
    <m/>
    <m/>
    <m/>
    <m/>
    <m/>
    <m/>
    <m/>
    <m/>
    <n v="20"/>
    <m/>
    <m/>
    <m/>
    <m/>
    <m/>
    <m/>
    <m/>
    <m/>
    <n v="20"/>
    <m/>
    <m/>
    <m/>
  </r>
  <r>
    <x v="1"/>
    <x v="3"/>
    <s v="Fresh or Not Specified"/>
    <s v="bull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2"/>
    <s v=""/>
    <m/>
    <m/>
    <m/>
    <m/>
    <m/>
    <m/>
    <m/>
    <m/>
    <m/>
    <m/>
    <m/>
    <m/>
    <m/>
    <n v="22"/>
    <m/>
    <m/>
    <m/>
    <m/>
    <m/>
    <m/>
    <m/>
    <m/>
    <n v="22"/>
    <m/>
    <m/>
    <m/>
  </r>
  <r>
    <x v="1"/>
    <x v="3"/>
    <s v="Fresh or Not Specified"/>
    <s v="ste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8"/>
    <s v=""/>
    <m/>
    <m/>
    <m/>
    <m/>
    <m/>
    <m/>
    <m/>
    <m/>
    <m/>
    <m/>
    <m/>
    <m/>
    <m/>
    <n v="28"/>
    <m/>
    <m/>
    <m/>
    <m/>
    <m/>
    <m/>
    <m/>
    <m/>
    <n v="28"/>
    <m/>
    <m/>
    <m/>
  </r>
  <r>
    <x v="1"/>
    <x v="3"/>
    <s v="Fresh or Not Specified"/>
    <s v="heif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suckler production (cows and off-spring)"/>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suckler production (cows and off-spring)"/>
    <m/>
    <s v="Irelan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bulls from milk production"/>
    <m/>
    <s v="Germany, Poland and Denmark"/>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1"/>
    <s v=""/>
    <m/>
    <m/>
    <m/>
    <m/>
    <m/>
    <m/>
    <m/>
    <m/>
    <m/>
    <m/>
    <m/>
    <m/>
    <m/>
    <n v="21"/>
    <m/>
    <m/>
    <m/>
    <m/>
    <m/>
    <m/>
    <m/>
    <m/>
    <n v="21"/>
    <m/>
    <m/>
    <m/>
  </r>
  <r>
    <x v="1"/>
    <x v="3"/>
    <s v="Fresh or Not Specified"/>
    <s v="suckler production (cows and off-spring)"/>
    <m/>
    <s v="Uruguay"/>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Extensive suckler production"/>
    <m/>
    <s v="Brazil"/>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41"/>
    <s v=""/>
    <m/>
    <m/>
    <m/>
    <m/>
    <m/>
    <m/>
    <m/>
    <m/>
    <m/>
    <m/>
    <m/>
    <m/>
    <m/>
    <n v="41"/>
    <m/>
    <m/>
    <m/>
    <m/>
    <m/>
    <m/>
    <m/>
    <m/>
    <n v="41"/>
    <m/>
    <m/>
    <m/>
  </r>
  <r>
    <x v="1"/>
    <x v="3"/>
    <s v="Fresh or Not Specified"/>
    <s v="calves from milk production, extensive"/>
    <m/>
    <s v="other 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5"/>
    <s v=""/>
    <m/>
    <m/>
    <m/>
    <m/>
    <m/>
    <m/>
    <m/>
    <m/>
    <m/>
    <m/>
    <m/>
    <m/>
    <m/>
    <n v="25"/>
    <m/>
    <m/>
    <m/>
    <m/>
    <m/>
    <m/>
    <m/>
    <m/>
    <n v="25"/>
    <m/>
    <m/>
    <m/>
  </r>
  <r>
    <x v="1"/>
    <x v="23"/>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m/>
    <m/>
  </r>
  <r>
    <x v="1"/>
    <x v="23"/>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m/>
    <m/>
  </r>
  <r>
    <x v="1"/>
    <x v="24"/>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m/>
    <m/>
  </r>
  <r>
    <x v="1"/>
    <x v="24"/>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m/>
    <m/>
  </r>
  <r>
    <x v="1"/>
    <x v="24"/>
    <s v="Fresh or Not Specified"/>
    <m/>
    <m/>
    <s v="Portugal"/>
    <n v="2014"/>
    <s v="González-García, Sara_x000a_Gomez-Fernández, Zaira_x000a_Dias, Ana Cláudia_x000a_Feijoo, Gumersindo_x000a_Moreira, Mª Teresa_x000a_Arroja, Luis"/>
    <m/>
    <s v="Peer Reviewed Journal"/>
    <s v="González-García, S., Gomez-Fernández, Z., Dias, A. C., Feijoo, G., Moreira, M. T. and Arroja, L., Life Cycle Assessment of broiler chicken production: a Portuguese case study. Journal of Cleaner Production 2014, 74, 125-134."/>
    <s v="Yes"/>
    <s v="No"/>
    <s v="Yes"/>
    <s v="Yes"/>
    <s v="Yes"/>
    <s v="No"/>
    <s v="No"/>
    <s v="No"/>
    <s v="No"/>
    <s v="No"/>
    <s v="No"/>
    <s v="No"/>
    <m/>
    <s v="cradle to processor gate"/>
    <m/>
    <m/>
    <s v="1.2 kg broilder chicken meat ready to be distributed"/>
    <s v="/1.2"/>
    <n v="15.500000000000002"/>
    <n v="17.333333333333336"/>
    <n v="2.2500000000000004"/>
    <n v="2.3775000000000004"/>
    <n v="15.500000000000002"/>
    <m/>
    <n v="1.8333333333333335"/>
    <n v="1.1666666666666667"/>
    <m/>
    <m/>
    <m/>
    <m/>
    <m/>
    <n v="15.500000000000002"/>
    <n v="18.500000000000004"/>
    <m/>
    <m/>
    <n v="2.2500000000000004"/>
    <m/>
    <n v="0.12750000000000003"/>
    <n v="3.9166666666666669E-2"/>
    <m/>
    <m/>
    <m/>
    <m/>
    <m/>
    <n v="2.2500000000000004"/>
    <n v="2.416666666666667"/>
    <m/>
    <m/>
  </r>
  <r>
    <x v="0"/>
    <x v="0"/>
    <s v="Fresh or Not Specified"/>
    <m/>
    <m/>
    <s v="Australia"/>
    <n v="2014"/>
    <s v="Gollnow, Sebastian_x000a_Lundie, Sven_x000a_Moore, Andrew D._x000a_McLaren, Jake_x000a_van Buuren, Neil_x000a_Stahle, Peter_x000a_Christie, Karen_x000a_Thylmann, Daniel_x000a_Rehl, Torsten"/>
    <m/>
    <s v="Peer Reviewed Journal"/>
    <s v="Gollnow, S., Lundie, S., Moore, A. D., Mclaren, J., Van Buuren, N., Stahle, P., Christie, K., Thylmann, D. and Rehl, T., Carbon footprint of milk production from dairy cows in Australia. International Dairy Journal 2014, 37 (1), 31-38."/>
    <s v="Yes"/>
    <s v="Yes"/>
    <s v="No"/>
    <s v="No"/>
    <s v="No"/>
    <s v="No"/>
    <s v="No"/>
    <s v="No"/>
    <s v="No"/>
    <s v="No"/>
    <s v="No"/>
    <s v="No"/>
    <m/>
    <s v="cradle to farm gate"/>
    <m/>
    <m/>
    <s v="1 kg FPCM"/>
    <m/>
    <s v=""/>
    <s v=""/>
    <n v="1.1100000000000001"/>
    <s v=""/>
    <m/>
    <m/>
    <m/>
    <m/>
    <m/>
    <m/>
    <m/>
    <m/>
    <m/>
    <m/>
    <m/>
    <m/>
    <m/>
    <n v="1.1100000000000001"/>
    <m/>
    <m/>
    <m/>
    <m/>
    <m/>
    <m/>
    <m/>
    <m/>
    <n v="1.1100000000000001"/>
    <m/>
    <m/>
    <m/>
  </r>
  <r>
    <x v="1"/>
    <x v="1"/>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42.481391953665359"/>
    <s v=""/>
    <m/>
    <m/>
    <m/>
    <m/>
    <m/>
    <m/>
    <m/>
    <m/>
    <m/>
    <m/>
    <m/>
    <m/>
    <m/>
    <n v="42.481391953665359"/>
    <m/>
    <m/>
    <m/>
    <m/>
    <m/>
    <m/>
    <m/>
    <m/>
    <n v="42.481391953665359"/>
    <m/>
    <m/>
    <m/>
  </r>
  <r>
    <x v="1"/>
    <x v="1"/>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39.489744632984703"/>
    <s v=""/>
    <m/>
    <m/>
    <m/>
    <m/>
    <m/>
    <m/>
    <m/>
    <m/>
    <m/>
    <m/>
    <m/>
    <m/>
    <m/>
    <n v="39.489744632984703"/>
    <m/>
    <m/>
    <m/>
    <m/>
    <m/>
    <m/>
    <m/>
    <m/>
    <n v="39.489744632984703"/>
    <m/>
    <m/>
    <m/>
  </r>
  <r>
    <x v="1"/>
    <x v="3"/>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5.115332699098957"/>
    <s v=""/>
    <m/>
    <m/>
    <m/>
    <m/>
    <m/>
    <m/>
    <m/>
    <m/>
    <m/>
    <m/>
    <m/>
    <m/>
    <m/>
    <n v="35.115332699098957"/>
    <m/>
    <m/>
    <m/>
    <m/>
    <m/>
    <m/>
    <m/>
    <m/>
    <n v="35.115332699098957"/>
    <m/>
    <m/>
    <m/>
  </r>
  <r>
    <x v="1"/>
    <x v="3"/>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0067092699497"/>
    <s v=""/>
    <m/>
    <m/>
    <m/>
    <m/>
    <m/>
    <m/>
    <m/>
    <m/>
    <m/>
    <m/>
    <m/>
    <m/>
    <m/>
    <n v="25.90067092699497"/>
    <m/>
    <m/>
    <m/>
    <m/>
    <m/>
    <m/>
    <m/>
    <m/>
    <n v="25.90067092699497"/>
    <m/>
    <m/>
    <m/>
  </r>
  <r>
    <x v="12"/>
    <x v="235"/>
    <s v="Frozen"/>
    <s v="based on Patagonian grenadier fishery"/>
    <m/>
    <s v="Spain"/>
    <n v="2013"/>
    <s v="Vázquez-Rowe, Ian_x000a_Villanueva-Rey, Pedro_x000a_Mallo, Juan_x000a_De la Cerda, Juan José_x000a_Moreira, Ma Teresa_x000a_Feijoo, Gumersindo"/>
    <m/>
    <s v="Peer Reviewed Journal"/>
    <s v="Vázquez-Rowe, I., Villanueva-Rey, P., Mallo, J., De La Cerda, J. J., Moreira, M. T. and Feijoo, G., Carbon footprint of a multi-ingredient seafood product from a business-to-business perspective. Journal of Cleaner Production 2013, 44, 200-210."/>
    <s v="Yes"/>
    <s v="No"/>
    <s v="Yes"/>
    <s v="Yes"/>
    <s v="Yes"/>
    <s v="No"/>
    <s v="No"/>
    <s v="No"/>
    <s v="No"/>
    <s v="No"/>
    <s v="No"/>
    <s v="No"/>
    <m/>
    <m/>
    <m/>
    <m/>
    <s v="1 package - 320g  edible product"/>
    <s v="/.32"/>
    <s v=""/>
    <s v=""/>
    <n v="1.98084375"/>
    <n v="2.1531562499999999"/>
    <m/>
    <m/>
    <m/>
    <m/>
    <m/>
    <m/>
    <m/>
    <m/>
    <m/>
    <m/>
    <m/>
    <m/>
    <m/>
    <n v="1.98084375"/>
    <m/>
    <n v="0.17231250000000001"/>
    <n v="5.7999999999999996E-2"/>
    <m/>
    <m/>
    <m/>
    <m/>
    <m/>
    <n v="1.98084375"/>
    <n v="2.2111562499999997"/>
    <m/>
    <m/>
  </r>
  <r>
    <x v="1"/>
    <x v="24"/>
    <s v="Fresh or Not Specified"/>
    <m/>
    <m/>
    <s v="Reunion Island (Indian Ocean)"/>
    <n v="2013"/>
    <s v="Thévenot, Alexandre_x000a_Aubin, Joël_x000a_Tillard, Emmanuel_x000a_Vayssières, Jonathan"/>
    <m/>
    <s v="Peer Reviewed Journal"/>
    <s v="Thévenot, A., Aubin, J., Tillard, E. and Vayssières, J., Accounting for farm diversity in Life Cycle Assessment studies – the case of poultry production in a tropical island. Journal of Cleaner Production 2013, 57, 280-292."/>
    <s v="Yes"/>
    <s v="No"/>
    <s v="Yes"/>
    <s v="Yes"/>
    <s v="Yes"/>
    <s v="No"/>
    <s v="No"/>
    <s v="No"/>
    <s v="No"/>
    <s v="No"/>
    <s v="No"/>
    <s v="No"/>
    <m/>
    <m/>
    <m/>
    <m/>
    <s v="1 tonne bone-in chicken ready for retail"/>
    <m/>
    <n v="30.509999999999998"/>
    <n v="33.866250000000001"/>
    <n v="2.2311000000000001"/>
    <n v="2.4469799999999999"/>
    <n v="30.509999999999998"/>
    <m/>
    <n v="3.3562499999999997"/>
    <n v="1.1187499999999999"/>
    <m/>
    <m/>
    <m/>
    <m/>
    <m/>
    <n v="30.509999999999998"/>
    <n v="34.984999999999999"/>
    <m/>
    <m/>
    <n v="2.2311000000000001"/>
    <m/>
    <n v="0.21587999999999999"/>
    <n v="4.1120000000000004E-2"/>
    <m/>
    <m/>
    <m/>
    <m/>
    <m/>
    <n v="2.2311000000000001"/>
    <n v="2.4880999999999998"/>
    <m/>
    <m/>
  </r>
  <r>
    <x v="0"/>
    <x v="0"/>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4.6619999999999999"/>
    <s v=""/>
    <n v="1.59"/>
    <s v=""/>
    <n v="4.6619999999999999"/>
    <m/>
    <m/>
    <m/>
    <m/>
    <m/>
    <m/>
    <m/>
    <m/>
    <n v="4.6619999999999999"/>
    <m/>
    <m/>
    <m/>
    <n v="1.59"/>
    <m/>
    <m/>
    <m/>
    <m/>
    <m/>
    <m/>
    <m/>
    <m/>
    <n v="1.59"/>
    <m/>
    <m/>
    <m/>
  </r>
  <r>
    <x v="0"/>
    <x v="0"/>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9438"/>
    <s v=""/>
    <n v="1.54"/>
    <s v=""/>
    <n v="3.9438"/>
    <m/>
    <m/>
    <m/>
    <m/>
    <m/>
    <m/>
    <m/>
    <m/>
    <n v="3.9438"/>
    <m/>
    <m/>
    <m/>
    <n v="1.54"/>
    <m/>
    <m/>
    <m/>
    <m/>
    <m/>
    <m/>
    <m/>
    <m/>
    <n v="1.54"/>
    <m/>
    <m/>
    <m/>
  </r>
  <r>
    <x v="0"/>
    <x v="0"/>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7506000000000004"/>
    <s v=""/>
    <n v="1.47"/>
    <s v=""/>
    <n v="3.7506000000000004"/>
    <m/>
    <m/>
    <m/>
    <m/>
    <m/>
    <m/>
    <m/>
    <m/>
    <n v="3.7506000000000004"/>
    <m/>
    <m/>
    <m/>
    <n v="1.47"/>
    <m/>
    <m/>
    <m/>
    <m/>
    <m/>
    <m/>
    <m/>
    <m/>
    <n v="1.47"/>
    <m/>
    <m/>
    <m/>
  </r>
  <r>
    <x v="1"/>
    <x v="25"/>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80.599700149925027"/>
    <s v=""/>
    <n v="27.586206896551719"/>
    <s v=""/>
    <n v="80.599700149925027"/>
    <m/>
    <m/>
    <m/>
    <m/>
    <m/>
    <m/>
    <m/>
    <m/>
    <n v="80.599700149925027"/>
    <m/>
    <m/>
    <m/>
    <n v="27.586206896551719"/>
    <m/>
    <m/>
    <m/>
    <m/>
    <m/>
    <m/>
    <m/>
    <m/>
    <n v="27.586206896551719"/>
    <m/>
    <m/>
    <m/>
  </r>
  <r>
    <x v="1"/>
    <x v="25"/>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1.784107946026978"/>
    <s v=""/>
    <n v="26.536731634182907"/>
    <s v=""/>
    <n v="71.784107946026978"/>
    <m/>
    <m/>
    <m/>
    <m/>
    <m/>
    <m/>
    <m/>
    <m/>
    <n v="71.784107946026978"/>
    <m/>
    <m/>
    <m/>
    <n v="26.536731634182907"/>
    <m/>
    <m/>
    <m/>
    <m/>
    <m/>
    <m/>
    <m/>
    <m/>
    <n v="26.536731634182907"/>
    <m/>
    <m/>
    <m/>
  </r>
  <r>
    <x v="1"/>
    <x v="25"/>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3.673163418290855"/>
    <s v=""/>
    <n v="27.286356821589202"/>
    <s v=""/>
    <n v="73.673163418290855"/>
    <m/>
    <m/>
    <m/>
    <m/>
    <m/>
    <m/>
    <m/>
    <m/>
    <n v="73.673163418290855"/>
    <m/>
    <m/>
    <m/>
    <n v="27.286356821589202"/>
    <m/>
    <m/>
    <m/>
    <m/>
    <m/>
    <m/>
    <m/>
    <m/>
    <n v="27.286356821589202"/>
    <m/>
    <m/>
    <m/>
  </r>
  <r>
    <x v="1"/>
    <x v="1"/>
    <s v="Fresh or Not Specified"/>
    <s v="pasture bas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51.7"/>
    <s v=""/>
    <m/>
    <m/>
    <m/>
    <m/>
    <m/>
    <m/>
    <m/>
    <m/>
    <m/>
    <m/>
    <m/>
    <m/>
    <m/>
    <n v="51.7"/>
    <m/>
    <m/>
    <m/>
    <m/>
    <m/>
    <m/>
    <m/>
    <m/>
    <n v="51.7"/>
    <m/>
    <m/>
    <m/>
  </r>
  <r>
    <x v="1"/>
    <x v="1"/>
    <s v="Fresh or Not Specified"/>
    <s v="mixed pasture &amp;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47.9"/>
    <s v=""/>
    <m/>
    <m/>
    <m/>
    <m/>
    <m/>
    <m/>
    <m/>
    <m/>
    <m/>
    <m/>
    <m/>
    <m/>
    <m/>
    <n v="47.9"/>
    <m/>
    <m/>
    <m/>
    <m/>
    <m/>
    <m/>
    <m/>
    <m/>
    <n v="47.9"/>
    <m/>
    <m/>
    <m/>
  </r>
  <r>
    <x v="1"/>
    <x v="1"/>
    <s v="Fresh or Not Specified"/>
    <s v="zero grazing (all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38.9"/>
    <s v=""/>
    <m/>
    <m/>
    <m/>
    <m/>
    <m/>
    <m/>
    <m/>
    <m/>
    <m/>
    <m/>
    <m/>
    <m/>
    <m/>
    <n v="38.9"/>
    <m/>
    <m/>
    <m/>
    <m/>
    <m/>
    <m/>
    <m/>
    <m/>
    <n v="38.9"/>
    <m/>
    <m/>
    <m/>
  </r>
  <r>
    <x v="1"/>
    <x v="3"/>
    <s v="Fresh or Not Specified"/>
    <s v="Japanese ox-grassfed steers (Scone)"/>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402581101475839"/>
    <s v=""/>
    <m/>
    <m/>
    <m/>
    <m/>
    <m/>
    <m/>
    <m/>
    <m/>
    <m/>
    <m/>
    <m/>
    <m/>
    <m/>
    <n v="25.402581101475839"/>
    <m/>
    <m/>
    <m/>
    <m/>
    <m/>
    <m/>
    <m/>
    <m/>
    <n v="25.402581101475839"/>
    <m/>
    <m/>
    <m/>
  </r>
  <r>
    <x v="1"/>
    <x v="3"/>
    <s v="Fresh or Not Specified"/>
    <s v="EU Cattle (Parkes)"/>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896850578033245"/>
    <s v=""/>
    <m/>
    <m/>
    <m/>
    <m/>
    <m/>
    <m/>
    <m/>
    <m/>
    <m/>
    <m/>
    <m/>
    <m/>
    <m/>
    <n v="26.896850578033245"/>
    <m/>
    <m/>
    <m/>
    <m/>
    <m/>
    <m/>
    <m/>
    <m/>
    <n v="26.896850578033245"/>
    <m/>
    <m/>
    <m/>
  </r>
  <r>
    <x v="1"/>
    <x v="3"/>
    <s v="Fresh or Not Specified"/>
    <s v="Inland weaners, grass fattened and feedlot finished (Walgett, Gunnedah, Quirind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15353618871627"/>
    <s v=""/>
    <m/>
    <m/>
    <m/>
    <m/>
    <m/>
    <m/>
    <m/>
    <m/>
    <m/>
    <m/>
    <m/>
    <m/>
    <m/>
    <n v="25.15353618871627"/>
    <m/>
    <m/>
    <m/>
    <m/>
    <m/>
    <m/>
    <m/>
    <m/>
    <n v="25.15353618871627"/>
    <m/>
    <m/>
    <m/>
  </r>
  <r>
    <x v="1"/>
    <x v="3"/>
    <s v="Fresh or Not Specified"/>
    <s v="North coast weanters, grass fattened and feedlot finished (Casino, Glen Innes, Rangers Valley)"/>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31.628703920465011"/>
    <s v=""/>
    <m/>
    <m/>
    <m/>
    <m/>
    <m/>
    <m/>
    <m/>
    <m/>
    <m/>
    <m/>
    <m/>
    <m/>
    <m/>
    <n v="31.628703920465011"/>
    <m/>
    <m/>
    <m/>
    <m/>
    <m/>
    <m/>
    <m/>
    <m/>
    <n v="31.628703920465011"/>
    <m/>
    <m/>
    <m/>
  </r>
  <r>
    <x v="1"/>
    <x v="3"/>
    <s v="Fresh or Not Specified"/>
    <s v="Yearling (Gundaga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900670926994973"/>
    <s v=""/>
    <m/>
    <m/>
    <m/>
    <m/>
    <m/>
    <m/>
    <m/>
    <m/>
    <m/>
    <m/>
    <m/>
    <m/>
    <m/>
    <n v="25.900670926994973"/>
    <m/>
    <m/>
    <m/>
    <m/>
    <m/>
    <m/>
    <m/>
    <m/>
    <n v="25.900670926994973"/>
    <m/>
    <m/>
    <m/>
  </r>
  <r>
    <x v="1"/>
    <x v="3"/>
    <s v="Fresh or Not Specified"/>
    <s v="Yearling (Bathurst)"/>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398760752514107"/>
    <s v=""/>
    <m/>
    <m/>
    <m/>
    <m/>
    <m/>
    <m/>
    <m/>
    <m/>
    <m/>
    <m/>
    <m/>
    <m/>
    <m/>
    <n v="26.398760752514107"/>
    <m/>
    <m/>
    <m/>
    <m/>
    <m/>
    <m/>
    <m/>
    <m/>
    <n v="26.398760752514107"/>
    <m/>
    <m/>
    <m/>
  </r>
  <r>
    <x v="4"/>
    <x v="73"/>
    <s v="Fresh or Not Specified"/>
    <s v="conventional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2.8"/>
    <s v=""/>
    <n v="0.11"/>
    <s v=""/>
    <n v="2.8"/>
    <m/>
    <m/>
    <m/>
    <m/>
    <m/>
    <m/>
    <m/>
    <m/>
    <n v="2.8"/>
    <m/>
    <m/>
    <m/>
    <n v="0.11"/>
    <m/>
    <m/>
    <m/>
    <m/>
    <m/>
    <m/>
    <m/>
    <m/>
    <n v="0.11"/>
    <m/>
    <m/>
    <m/>
  </r>
  <r>
    <x v="4"/>
    <x v="73"/>
    <s v="Fresh or Not Specified"/>
    <s v="sustainable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4.43"/>
    <s v=""/>
    <n v="0.08"/>
    <s v=""/>
    <n v="4.43"/>
    <m/>
    <m/>
    <m/>
    <m/>
    <m/>
    <m/>
    <m/>
    <m/>
    <n v="4.43"/>
    <m/>
    <m/>
    <m/>
    <n v="0.08"/>
    <m/>
    <m/>
    <m/>
    <m/>
    <m/>
    <m/>
    <m/>
    <m/>
    <n v="0.08"/>
    <m/>
    <m/>
    <m/>
  </r>
  <r>
    <x v="4"/>
    <x v="173"/>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85"/>
    <s v=""/>
    <n v="0.12"/>
    <s v=""/>
    <n v="2.85"/>
    <m/>
    <m/>
    <m/>
    <m/>
    <m/>
    <m/>
    <m/>
    <m/>
    <n v="2.85"/>
    <m/>
    <m/>
    <m/>
    <n v="0.12"/>
    <m/>
    <m/>
    <m/>
    <m/>
    <m/>
    <m/>
    <m/>
    <m/>
    <n v="0.12"/>
    <m/>
    <m/>
    <m/>
  </r>
  <r>
    <x v="4"/>
    <x v="173"/>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1"/>
    <s v=""/>
    <n v="0.04"/>
    <s v=""/>
    <n v="2.1"/>
    <m/>
    <m/>
    <m/>
    <m/>
    <m/>
    <m/>
    <m/>
    <m/>
    <n v="2.1"/>
    <m/>
    <m/>
    <m/>
    <n v="0.04"/>
    <m/>
    <m/>
    <m/>
    <m/>
    <m/>
    <m/>
    <m/>
    <m/>
    <n v="0.04"/>
    <m/>
    <m/>
    <m/>
  </r>
  <r>
    <x v="4"/>
    <x v="136"/>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87"/>
    <s v=""/>
    <n v="0.13"/>
    <s v=""/>
    <n v="2.87"/>
    <m/>
    <m/>
    <m/>
    <m/>
    <m/>
    <m/>
    <m/>
    <m/>
    <n v="2.87"/>
    <m/>
    <m/>
    <m/>
    <n v="0.13"/>
    <m/>
    <m/>
    <m/>
    <m/>
    <m/>
    <m/>
    <m/>
    <m/>
    <n v="0.13"/>
    <m/>
    <m/>
    <m/>
  </r>
  <r>
    <x v="4"/>
    <x v="136"/>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38"/>
    <s v=""/>
    <n v="0.04"/>
    <s v=""/>
    <n v="2.38"/>
    <m/>
    <m/>
    <m/>
    <m/>
    <m/>
    <m/>
    <m/>
    <m/>
    <n v="2.38"/>
    <m/>
    <m/>
    <m/>
    <n v="0.04"/>
    <m/>
    <m/>
    <m/>
    <m/>
    <m/>
    <m/>
    <m/>
    <m/>
    <n v="0.04"/>
    <m/>
    <m/>
    <m/>
  </r>
  <r>
    <x v="0"/>
    <x v="0"/>
    <s v="Fresh or Not Specified"/>
    <s v="grass fed Normande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4.29"/>
    <s v=""/>
    <n v="1.45"/>
    <s v=""/>
    <n v="4.29"/>
    <m/>
    <m/>
    <m/>
    <m/>
    <m/>
    <m/>
    <m/>
    <m/>
    <n v="4.29"/>
    <m/>
    <m/>
    <m/>
    <n v="1.45"/>
    <m/>
    <m/>
    <m/>
    <m/>
    <m/>
    <m/>
    <m/>
    <m/>
    <n v="1.45"/>
    <m/>
    <m/>
    <m/>
  </r>
  <r>
    <x v="0"/>
    <x v="0"/>
    <s v="Fresh or Not Specified"/>
    <s v="Grass fed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7"/>
    <s v=""/>
    <n v="1.33"/>
    <s v=""/>
    <n v="3.97"/>
    <m/>
    <m/>
    <m/>
    <m/>
    <m/>
    <m/>
    <m/>
    <m/>
    <n v="3.97"/>
    <m/>
    <m/>
    <m/>
    <n v="1.33"/>
    <m/>
    <m/>
    <m/>
    <m/>
    <m/>
    <m/>
    <m/>
    <m/>
    <n v="1.33"/>
    <m/>
    <m/>
    <m/>
  </r>
  <r>
    <x v="0"/>
    <x v="0"/>
    <s v="Fresh or Not Specified"/>
    <s v="grass with low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3"/>
    <s v=""/>
    <n v="1.29"/>
    <s v=""/>
    <n v="3.93"/>
    <m/>
    <m/>
    <m/>
    <m/>
    <m/>
    <m/>
    <m/>
    <m/>
    <n v="3.93"/>
    <m/>
    <m/>
    <m/>
    <n v="1.29"/>
    <m/>
    <m/>
    <m/>
    <m/>
    <m/>
    <m/>
    <m/>
    <m/>
    <n v="1.29"/>
    <m/>
    <m/>
    <m/>
  </r>
  <r>
    <x v="0"/>
    <x v="0"/>
    <s v="Fresh or Not Specified"/>
    <s v="grass with high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75"/>
    <s v=""/>
    <n v="1.17"/>
    <s v=""/>
    <n v="3.75"/>
    <m/>
    <m/>
    <m/>
    <m/>
    <m/>
    <m/>
    <m/>
    <m/>
    <n v="3.75"/>
    <m/>
    <m/>
    <m/>
    <n v="1.17"/>
    <m/>
    <m/>
    <m/>
    <m/>
    <m/>
    <m/>
    <m/>
    <m/>
    <n v="1.17"/>
    <m/>
    <m/>
    <m/>
  </r>
  <r>
    <x v="0"/>
    <x v="0"/>
    <s v="Fresh or Not Specified"/>
    <s v="grass with low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8"/>
    <s v=""/>
    <n v="1.28"/>
    <s v=""/>
    <n v="3.98"/>
    <m/>
    <m/>
    <m/>
    <m/>
    <m/>
    <m/>
    <m/>
    <m/>
    <n v="3.98"/>
    <m/>
    <m/>
    <m/>
    <n v="1.28"/>
    <m/>
    <m/>
    <m/>
    <m/>
    <m/>
    <m/>
    <m/>
    <m/>
    <n v="1.28"/>
    <m/>
    <m/>
    <m/>
  </r>
  <r>
    <x v="0"/>
    <x v="0"/>
    <s v="Fresh or Not Specified"/>
    <s v="grass with high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87"/>
    <s v=""/>
    <n v="1.1599999999999999"/>
    <s v=""/>
    <n v="3.87"/>
    <m/>
    <m/>
    <m/>
    <m/>
    <m/>
    <m/>
    <m/>
    <m/>
    <n v="3.87"/>
    <m/>
    <m/>
    <m/>
    <n v="1.1599999999999999"/>
    <m/>
    <m/>
    <m/>
    <m/>
    <m/>
    <m/>
    <m/>
    <m/>
    <n v="1.1599999999999999"/>
    <m/>
    <m/>
    <m/>
  </r>
  <r>
    <x v="12"/>
    <x v="102"/>
    <s v="Fresh or Not Specified"/>
    <s v="carp and tilapia, feed 2,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77.418918918918919"/>
    <s v=""/>
    <n v="4.6675675675675681"/>
    <s v=""/>
    <n v="77.418918918918919"/>
    <m/>
    <m/>
    <m/>
    <m/>
    <m/>
    <m/>
    <m/>
    <m/>
    <n v="77.418918918918919"/>
    <m/>
    <m/>
    <m/>
    <n v="4.6675675675675681"/>
    <m/>
    <m/>
    <m/>
    <m/>
    <m/>
    <m/>
    <m/>
    <m/>
    <n v="4.6675675675675681"/>
    <m/>
    <m/>
    <m/>
  </r>
  <r>
    <x v="12"/>
    <x v="102"/>
    <s v="Fresh or Not Specified"/>
    <s v="carp and tilapia, feed 2, practice 2 (small farms and relatively lower fish stocking density, feeding efficiency or water quality than for practice 1)"/>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9.040540540540547"/>
    <s v=""/>
    <n v="5.4729729729729728"/>
    <s v=""/>
    <n v="89.040540540540547"/>
    <m/>
    <m/>
    <m/>
    <m/>
    <m/>
    <m/>
    <m/>
    <m/>
    <n v="89.040540540540547"/>
    <m/>
    <m/>
    <m/>
    <n v="5.4729729729729728"/>
    <m/>
    <m/>
    <m/>
    <m/>
    <m/>
    <m/>
    <m/>
    <m/>
    <n v="5.4729729729729728"/>
    <m/>
    <m/>
    <m/>
  </r>
  <r>
    <x v="12"/>
    <x v="102"/>
    <s v="Fresh or Not Specified"/>
    <s v="carp and tilapia, feed 3,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99.086486486486478"/>
    <s v=""/>
    <n v="4.7621621621621619"/>
    <s v=""/>
    <n v="99.086486486486478"/>
    <m/>
    <m/>
    <m/>
    <m/>
    <m/>
    <m/>
    <m/>
    <m/>
    <n v="99.086486486486478"/>
    <m/>
    <m/>
    <m/>
    <n v="4.7621621621621619"/>
    <m/>
    <m/>
    <m/>
    <m/>
    <m/>
    <m/>
    <m/>
    <m/>
    <n v="4.7621621621621619"/>
    <m/>
    <m/>
    <m/>
  </r>
  <r>
    <x v="12"/>
    <x v="102"/>
    <s v="Fresh or Not Specified"/>
    <s v="carp and tilapia, feed 4,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6.994594594594602"/>
    <s v=""/>
    <n v="5.2027027027027026"/>
    <s v=""/>
    <n v="86.994594594594602"/>
    <m/>
    <m/>
    <m/>
    <m/>
    <m/>
    <m/>
    <m/>
    <m/>
    <n v="86.994594594594602"/>
    <m/>
    <m/>
    <m/>
    <n v="5.2027027027027026"/>
    <m/>
    <m/>
    <m/>
    <m/>
    <m/>
    <m/>
    <m/>
    <m/>
    <n v="5.2027027027027026"/>
    <m/>
    <m/>
    <m/>
  </r>
  <r>
    <x v="0"/>
    <x v="0"/>
    <s v="Fresh or Not Specified"/>
    <s v="pedigree milk production index &lt;1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03"/>
    <s v=""/>
    <m/>
    <m/>
    <m/>
    <m/>
    <m/>
    <m/>
    <m/>
    <m/>
    <m/>
    <m/>
    <m/>
    <m/>
    <m/>
    <n v="1.103"/>
    <m/>
    <m/>
    <m/>
    <m/>
    <m/>
    <m/>
    <m/>
    <m/>
    <n v="1.103"/>
    <m/>
    <m/>
    <m/>
  </r>
  <r>
    <x v="0"/>
    <x v="0"/>
    <s v="Fresh or Not Specified"/>
    <s v="pedigree milk production index &lt;1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840000000000001"/>
    <s v=""/>
    <m/>
    <m/>
    <m/>
    <m/>
    <m/>
    <m/>
    <m/>
    <m/>
    <m/>
    <m/>
    <m/>
    <m/>
    <m/>
    <n v="1.0840000000000001"/>
    <m/>
    <m/>
    <m/>
    <m/>
    <m/>
    <m/>
    <m/>
    <m/>
    <n v="1.0840000000000001"/>
    <m/>
    <m/>
    <m/>
  </r>
  <r>
    <x v="0"/>
    <x v="0"/>
    <s v="Fresh or Not Specified"/>
    <s v="pedigree milk production index &lt;1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09999999999999"/>
    <s v=""/>
    <m/>
    <m/>
    <m/>
    <m/>
    <m/>
    <m/>
    <m/>
    <m/>
    <m/>
    <m/>
    <m/>
    <m/>
    <m/>
    <n v="1.0409999999999999"/>
    <m/>
    <m/>
    <m/>
    <m/>
    <m/>
    <m/>
    <m/>
    <m/>
    <n v="1.0409999999999999"/>
    <m/>
    <m/>
    <m/>
  </r>
  <r>
    <x v="0"/>
    <x v="0"/>
    <s v="Fresh or Not Specified"/>
    <s v="pedigree milk production index 100kg-2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45"/>
    <s v=""/>
    <m/>
    <m/>
    <m/>
    <m/>
    <m/>
    <m/>
    <m/>
    <m/>
    <m/>
    <m/>
    <m/>
    <m/>
    <m/>
    <n v="1.145"/>
    <m/>
    <m/>
    <m/>
    <m/>
    <m/>
    <m/>
    <m/>
    <m/>
    <n v="1.145"/>
    <m/>
    <m/>
    <m/>
  </r>
  <r>
    <x v="0"/>
    <x v="0"/>
    <s v="Fresh or Not Specified"/>
    <s v="pedigree milk production index 100kg-2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920000000000001"/>
    <s v=""/>
    <m/>
    <m/>
    <m/>
    <m/>
    <m/>
    <m/>
    <m/>
    <m/>
    <m/>
    <m/>
    <m/>
    <m/>
    <m/>
    <n v="1.0920000000000001"/>
    <m/>
    <m/>
    <m/>
    <m/>
    <m/>
    <m/>
    <m/>
    <m/>
    <n v="1.0920000000000001"/>
    <m/>
    <m/>
    <m/>
  </r>
  <r>
    <x v="0"/>
    <x v="0"/>
    <s v="Fresh or Not Specified"/>
    <s v="pedigree milk production index 100kg-2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329999999999999"/>
    <s v=""/>
    <m/>
    <m/>
    <m/>
    <m/>
    <m/>
    <m/>
    <m/>
    <m/>
    <m/>
    <m/>
    <m/>
    <m/>
    <m/>
    <n v="1.0329999999999999"/>
    <m/>
    <m/>
    <m/>
    <m/>
    <m/>
    <m/>
    <m/>
    <m/>
    <n v="1.0329999999999999"/>
    <m/>
    <m/>
    <m/>
  </r>
  <r>
    <x v="0"/>
    <x v="0"/>
    <s v="Fresh or Not Specified"/>
    <s v="pedigree milk production index 200-3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2"/>
    <s v=""/>
    <m/>
    <m/>
    <m/>
    <m/>
    <m/>
    <m/>
    <m/>
    <m/>
    <m/>
    <m/>
    <m/>
    <m/>
    <m/>
    <n v="1.2"/>
    <m/>
    <m/>
    <m/>
    <m/>
    <m/>
    <m/>
    <m/>
    <m/>
    <n v="1.2"/>
    <m/>
    <m/>
    <m/>
  </r>
  <r>
    <x v="0"/>
    <x v="0"/>
    <s v="Fresh or Not Specified"/>
    <s v="pedigree milk production index 200-3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319999999999999"/>
    <s v=""/>
    <m/>
    <m/>
    <m/>
    <m/>
    <m/>
    <m/>
    <m/>
    <m/>
    <m/>
    <m/>
    <m/>
    <m/>
    <m/>
    <n v="1.1319999999999999"/>
    <m/>
    <m/>
    <m/>
    <m/>
    <m/>
    <m/>
    <m/>
    <m/>
    <n v="1.1319999999999999"/>
    <m/>
    <m/>
    <m/>
  </r>
  <r>
    <x v="0"/>
    <x v="0"/>
    <s v="Fresh or Not Specified"/>
    <s v="pedigree milk production index 200-3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69999999999999"/>
    <s v=""/>
    <m/>
    <m/>
    <m/>
    <m/>
    <m/>
    <m/>
    <m/>
    <m/>
    <m/>
    <m/>
    <m/>
    <m/>
    <m/>
    <n v="1.0469999999999999"/>
    <m/>
    <m/>
    <m/>
    <m/>
    <m/>
    <m/>
    <m/>
    <m/>
    <n v="1.0469999999999999"/>
    <m/>
    <m/>
    <m/>
  </r>
  <r>
    <x v="4"/>
    <x v="66"/>
    <s v="Fresh or Not Specified"/>
    <s v="braeburn apples, Hawke's Bay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0"/>
    <n v="0.41699999999999998"/>
    <s v=""/>
    <n v="3.9699999999999999E-2"/>
    <s v=""/>
    <n v="0.41699999999999998"/>
    <m/>
    <m/>
    <m/>
    <m/>
    <m/>
    <m/>
    <m/>
    <m/>
    <n v="0.41699999999999998"/>
    <m/>
    <m/>
    <m/>
    <n v="3.9699999999999999E-2"/>
    <m/>
    <m/>
    <m/>
    <m/>
    <m/>
    <m/>
    <m/>
    <m/>
    <n v="3.9699999999999999E-2"/>
    <m/>
    <m/>
    <m/>
  </r>
  <r>
    <x v="4"/>
    <x v="66"/>
    <s v="Fresh or Not Specified"/>
    <s v="braeburn apples, Hawke's Bay site #2"/>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1"/>
    <n v="0.44600000000000001"/>
    <s v=""/>
    <n v="4.0599999999999997E-2"/>
    <s v=""/>
    <n v="0.44600000000000001"/>
    <m/>
    <m/>
    <m/>
    <m/>
    <m/>
    <m/>
    <m/>
    <m/>
    <n v="0.44600000000000001"/>
    <m/>
    <m/>
    <m/>
    <n v="4.0599999999999997E-2"/>
    <m/>
    <m/>
    <m/>
    <m/>
    <m/>
    <m/>
    <m/>
    <m/>
    <n v="4.0599999999999997E-2"/>
    <m/>
    <m/>
    <m/>
  </r>
  <r>
    <x v="4"/>
    <x v="66"/>
    <s v="Fresh or Not Specified"/>
    <s v="braeburn apples, Hawke's Bay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2"/>
    <n v="0.71050000000000002"/>
    <s v=""/>
    <n v="9.5500000000000002E-2"/>
    <s v=""/>
    <n v="0.71050000000000002"/>
    <m/>
    <m/>
    <m/>
    <m/>
    <m/>
    <m/>
    <m/>
    <m/>
    <n v="0.71050000000000002"/>
    <m/>
    <m/>
    <m/>
    <n v="9.5500000000000002E-2"/>
    <m/>
    <m/>
    <m/>
    <m/>
    <m/>
    <m/>
    <m/>
    <m/>
    <n v="9.5500000000000002E-2"/>
    <m/>
    <m/>
    <m/>
  </r>
  <r>
    <x v="4"/>
    <x v="66"/>
    <s v="Fresh or Not Specified"/>
    <s v="braeburn apples,Central Otago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3"/>
    <n v="0.54500000000000004"/>
    <s v=""/>
    <n v="6.268E-2"/>
    <s v=""/>
    <n v="0.54500000000000004"/>
    <m/>
    <m/>
    <m/>
    <m/>
    <m/>
    <m/>
    <m/>
    <m/>
    <n v="0.54500000000000004"/>
    <m/>
    <m/>
    <m/>
    <n v="6.268E-2"/>
    <m/>
    <m/>
    <m/>
    <m/>
    <m/>
    <m/>
    <m/>
    <m/>
    <n v="6.268E-2"/>
    <m/>
    <m/>
    <m/>
  </r>
  <r>
    <x v="4"/>
    <x v="66"/>
    <s v="Fresh or Not Specified"/>
    <s v="braeburn apples,Central Otago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4"/>
    <n v="0.68300000000000005"/>
    <s v=""/>
    <n v="9.4600000000000004E-2"/>
    <s v=""/>
    <n v="0.68300000000000005"/>
    <m/>
    <m/>
    <m/>
    <m/>
    <m/>
    <m/>
    <m/>
    <m/>
    <n v="0.68300000000000005"/>
    <m/>
    <m/>
    <m/>
    <n v="9.4600000000000004E-2"/>
    <m/>
    <m/>
    <m/>
    <m/>
    <m/>
    <m/>
    <m/>
    <m/>
    <n v="9.4600000000000004E-2"/>
    <m/>
    <m/>
    <m/>
  </r>
  <r>
    <x v="12"/>
    <x v="104"/>
    <s v="Frozen"/>
    <s v="flatfish filet"/>
    <s v="No"/>
    <s v="Denmark"/>
    <n v="2006"/>
    <s v="Thrane, Mikkel"/>
    <m/>
    <s v="Peer Reviewed Journal"/>
    <s v="Thrane, M., LCA of Danish Fish Products. New methods and insights. The International Journal of Life Cycle Assessment 2006, 11 (1), 66-74."/>
    <s v="Yes"/>
    <s v="No"/>
    <s v="Yes"/>
    <s v="Yes"/>
    <s v="No"/>
    <s v="Yes"/>
    <s v="Yes"/>
    <s v="Yes"/>
    <s v="Yes"/>
    <s v="Yes"/>
    <s v="No"/>
    <s v="No"/>
    <m/>
    <m/>
    <s v="Yes"/>
    <m/>
    <s v="1 kg consumed frozen flatfish filet"/>
    <m/>
    <s v=""/>
    <s v=""/>
    <n v="9.8648880000000005"/>
    <n v="10.8784896"/>
    <m/>
    <m/>
    <m/>
    <m/>
    <m/>
    <m/>
    <m/>
    <m/>
    <m/>
    <m/>
    <m/>
    <m/>
    <m/>
    <n v="9.8648880000000005"/>
    <m/>
    <n v="1.0136016000000001"/>
    <m/>
    <n v="0.36299999999999999"/>
    <n v="3.6915119999999999"/>
    <n v="5.9231040000000004"/>
    <m/>
    <m/>
    <n v="9.8648880000000005"/>
    <n v="20.856105599999999"/>
    <m/>
    <m/>
  </r>
  <r>
    <x v="1"/>
    <x v="23"/>
    <s v="Fresh or Not Specified"/>
    <m/>
    <m/>
    <s v="Denmark"/>
    <n v="2007"/>
    <s v="Dalgaard, Randi"/>
    <m/>
    <s v="Other (specify)"/>
    <s v="Dalgaard, R., The environmental impact of pork production from a life cycle perspective. 2007, PhD, ."/>
    <s v="Yes"/>
    <s v="No"/>
    <s v="Yes"/>
    <s v="Yes"/>
    <s v="No"/>
    <s v="Yes"/>
    <s v="No"/>
    <s v="No"/>
    <s v="No"/>
    <s v="No"/>
    <s v="No"/>
    <s v="No"/>
    <m/>
    <m/>
    <m/>
    <m/>
    <s v="1 kg carcass weight"/>
    <s v="/0.729"/>
    <s v=""/>
    <s v=""/>
    <n v="4.9128943758573387"/>
    <n v="5.1197530864197534"/>
    <m/>
    <m/>
    <m/>
    <m/>
    <m/>
    <m/>
    <m/>
    <m/>
    <m/>
    <m/>
    <m/>
    <m/>
    <m/>
    <n v="4.9128943758573387"/>
    <m/>
    <n v="0.20685871056241428"/>
    <m/>
    <n v="5.1714677640603571E-2"/>
    <m/>
    <m/>
    <m/>
    <m/>
    <n v="4.9128943758573387"/>
    <n v="5.171467764060357"/>
    <m/>
    <m/>
  </r>
  <r>
    <x v="1"/>
    <x v="3"/>
    <s v="Fresh or Not Specified"/>
    <s v="Japanese Wagyu beef"/>
    <m/>
    <s v="Japan"/>
    <n v="2007"/>
    <s v="Ogino, Akifumi_x000a_Orito, Hideki_x000a_Shimada, Kazuhiro_x000a_Hirooka, Hiroyuki"/>
    <m/>
    <s v="Peer Reviewed Journal"/>
    <s v="Ogino, A., Orito, H., Shimada, K. and Hirooka, H., Evaluating environmental impacts of the Japanese beef cow–calf system by the life cycle assessment method. Animal Science Journal 2007, 78 (4), 424-432."/>
    <s v="Yes"/>
    <s v="No"/>
    <s v="No"/>
    <s v="No"/>
    <s v="No"/>
    <s v="No"/>
    <s v="No"/>
    <s v="No"/>
    <s v="No"/>
    <s v="No"/>
    <s v="No"/>
    <s v="No"/>
    <s v="no"/>
    <s v="study focuses on cow-calf stage but extrapolates to finished beef"/>
    <m/>
    <m/>
    <s v="presents a value per kg retail beef; assuming this refers to boneless"/>
    <m/>
    <n v="169"/>
    <s v=""/>
    <n v="36.4"/>
    <s v=""/>
    <n v="169"/>
    <m/>
    <m/>
    <m/>
    <m/>
    <m/>
    <m/>
    <m/>
    <m/>
    <n v="169"/>
    <m/>
    <m/>
    <m/>
    <n v="36.4"/>
    <m/>
    <m/>
    <m/>
    <m/>
    <m/>
    <m/>
    <m/>
    <m/>
    <n v="36.4"/>
    <m/>
    <m/>
    <m/>
  </r>
  <r>
    <x v="0"/>
    <x v="0"/>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5.8"/>
    <m/>
    <m/>
    <m/>
    <m/>
    <m/>
    <m/>
    <m/>
    <m/>
    <m/>
    <m/>
    <m/>
    <m/>
    <n v="1.1399999999999999"/>
    <m/>
    <m/>
  </r>
  <r>
    <x v="0"/>
    <x v="4"/>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40"/>
    <m/>
    <m/>
    <m/>
    <m/>
    <m/>
    <m/>
    <m/>
    <m/>
    <m/>
    <m/>
    <m/>
    <m/>
    <n v="10.7"/>
    <m/>
    <m/>
  </r>
  <r>
    <x v="0"/>
    <x v="5"/>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8.9"/>
    <m/>
    <m/>
    <m/>
    <m/>
    <m/>
    <m/>
    <m/>
    <m/>
    <m/>
    <m/>
    <m/>
    <m/>
    <n v="1.45"/>
    <m/>
    <m/>
  </r>
  <r>
    <x v="12"/>
    <x v="102"/>
    <s v="Frozen"/>
    <s v="farmed salmon, filleted, frozen and delivered to consumer in Paris"/>
    <m/>
    <s v="Norway"/>
    <n v="2008"/>
    <s v="Ellingsen, H_x000a_Olaussen, JO_x000a_Utne, IB"/>
    <m/>
    <s v="Peer Reviewed Journal"/>
    <s v="Ellingsen, H., Olaussen, J. and Utne, I., Environmental analysis of the Norwegian fishery and aquaculture industry—A preliminary study focusing on farmed salmon. Marine Policy 2009, 33 (3), 479-488."/>
    <s v="Yes"/>
    <s v="No"/>
    <s v="Yes"/>
    <s v="Yes"/>
    <s v="No"/>
    <s v="Yes"/>
    <s v="No"/>
    <s v="Yes"/>
    <s v="No"/>
    <s v="No"/>
    <s v="No"/>
    <s v="No"/>
    <m/>
    <m/>
    <m/>
    <m/>
    <s v="1 kg salmon fillet"/>
    <m/>
    <s v=""/>
    <s v=""/>
    <n v="2.25"/>
    <n v="2.3311000000000002"/>
    <m/>
    <m/>
    <m/>
    <m/>
    <m/>
    <m/>
    <m/>
    <m/>
    <m/>
    <m/>
    <m/>
    <m/>
    <m/>
    <n v="2.25"/>
    <n v="8.1100000000000005E-2"/>
    <n v="0"/>
    <m/>
    <n v="0.36906800000000001"/>
    <m/>
    <n v="0.33040000000000003"/>
    <m/>
    <m/>
    <n v="2.25"/>
    <n v="3.0305680000000002"/>
    <m/>
    <m/>
  </r>
  <r>
    <x v="3"/>
    <x v="18"/>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742500000000007"/>
    <m/>
    <m/>
    <m/>
    <m/>
    <m/>
    <m/>
    <m/>
    <m/>
    <m/>
    <m/>
    <m/>
    <m/>
    <m/>
    <n v="0.81"/>
    <n v="5.5599999999999998E-3"/>
    <n v="1.8649999999999999E-3"/>
    <n v="5.8799999999999998E-2"/>
    <n v="1.2529999999999998E-4"/>
    <m/>
    <m/>
    <m/>
    <m/>
    <n v="0.81"/>
    <n v="0.87635030000000003"/>
    <m/>
    <m/>
  </r>
  <r>
    <x v="3"/>
    <x v="19"/>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942500000000003"/>
    <m/>
    <m/>
    <m/>
    <m/>
    <m/>
    <m/>
    <m/>
    <m/>
    <m/>
    <m/>
    <m/>
    <m/>
    <m/>
    <n v="0.20200000000000001"/>
    <n v="5.5599999999999998E-3"/>
    <n v="1.8649999999999999E-3"/>
    <n v="5.8799999999999998E-2"/>
    <n v="1.2529999999999998E-4"/>
    <m/>
    <m/>
    <m/>
    <m/>
    <n v="0.20200000000000001"/>
    <n v="0.26835030000000004"/>
    <m/>
    <m/>
  </r>
  <r>
    <x v="3"/>
    <x v="18"/>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556000000000006"/>
    <m/>
    <m/>
    <m/>
    <m/>
    <m/>
    <m/>
    <m/>
    <m/>
    <m/>
    <m/>
    <m/>
    <m/>
    <m/>
    <n v="0.81"/>
    <n v="5.5599999999999998E-3"/>
    <m/>
    <n v="7.4190000000000006E-2"/>
    <n v="1.0450000000000001E-4"/>
    <m/>
    <m/>
    <m/>
    <m/>
    <n v="0.81"/>
    <n v="0.88985449999999999"/>
    <m/>
    <m/>
  </r>
  <r>
    <x v="3"/>
    <x v="19"/>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756000000000002"/>
    <m/>
    <m/>
    <m/>
    <m/>
    <m/>
    <m/>
    <m/>
    <m/>
    <m/>
    <m/>
    <m/>
    <m/>
    <m/>
    <n v="0.20200000000000001"/>
    <n v="5.5599999999999998E-3"/>
    <m/>
    <n v="7.4190000000000006E-2"/>
    <n v="1.0450000000000001E-4"/>
    <m/>
    <m/>
    <m/>
    <m/>
    <n v="0.20200000000000001"/>
    <n v="0.28185450000000006"/>
    <m/>
    <m/>
  </r>
  <r>
    <x v="0"/>
    <x v="0"/>
    <s v="Fresh or Not Specified"/>
    <s v="mass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5.77"/>
    <s v=""/>
    <n v="1.56"/>
    <s v=""/>
    <n v="5.77"/>
    <m/>
    <m/>
    <m/>
    <m/>
    <m/>
    <m/>
    <m/>
    <m/>
    <n v="5.77"/>
    <m/>
    <m/>
    <m/>
    <n v="1.56"/>
    <m/>
    <m/>
    <m/>
    <m/>
    <m/>
    <m/>
    <m/>
    <m/>
    <n v="1.56"/>
    <m/>
    <m/>
    <m/>
  </r>
  <r>
    <x v="0"/>
    <x v="0"/>
    <s v="Fresh or Not Specified"/>
    <s v="economic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6.91"/>
    <s v=""/>
    <n v="1.61"/>
    <s v=""/>
    <n v="6.91"/>
    <m/>
    <m/>
    <m/>
    <m/>
    <m/>
    <m/>
    <m/>
    <m/>
    <n v="6.91"/>
    <m/>
    <m/>
    <m/>
    <n v="1.61"/>
    <m/>
    <m/>
    <m/>
    <m/>
    <m/>
    <m/>
    <m/>
    <m/>
    <n v="1.61"/>
    <m/>
    <m/>
    <m/>
  </r>
  <r>
    <x v="1"/>
    <x v="3"/>
    <s v="Fresh or Not Specified"/>
    <s v="ea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30.408383847943142"/>
    <s v=""/>
    <m/>
    <m/>
    <m/>
    <m/>
    <m/>
    <m/>
    <m/>
    <m/>
    <m/>
    <m/>
    <m/>
    <m/>
    <m/>
    <n v="30.408383847943142"/>
    <m/>
    <m/>
    <m/>
    <m/>
    <m/>
    <m/>
    <m/>
    <m/>
    <n v="30.408383847943142"/>
    <m/>
    <m/>
    <m/>
  </r>
  <r>
    <x v="1"/>
    <x v="3"/>
    <s v="Fresh or Not Specified"/>
    <s v="We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053918223612449"/>
    <s v=""/>
    <m/>
    <m/>
    <m/>
    <m/>
    <m/>
    <m/>
    <m/>
    <m/>
    <m/>
    <m/>
    <m/>
    <m/>
    <m/>
    <n v="25.053918223612449"/>
    <m/>
    <m/>
    <m/>
    <m/>
    <m/>
    <m/>
    <m/>
    <m/>
    <n v="25.053918223612449"/>
    <m/>
    <m/>
    <m/>
  </r>
  <r>
    <x v="1"/>
    <x v="3"/>
    <s v="Fresh or Not Specified"/>
    <s v="Canada wide"/>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825957453167099"/>
    <s v=""/>
    <m/>
    <m/>
    <m/>
    <m/>
    <m/>
    <m/>
    <m/>
    <m/>
    <m/>
    <m/>
    <m/>
    <m/>
    <m/>
    <n v="25.825957453167099"/>
    <m/>
    <m/>
    <m/>
    <m/>
    <m/>
    <m/>
    <m/>
    <m/>
    <n v="25.825957453167099"/>
    <m/>
    <m/>
    <m/>
  </r>
  <r>
    <x v="12"/>
    <x v="111"/>
    <s v="Fresh or Not Specified"/>
    <s v="Norway Lobster, traw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1066.6666666666667"/>
    <s v=""/>
    <n v="105.66666666666667"/>
    <s v=""/>
    <n v="1066.6666666666667"/>
    <m/>
    <m/>
    <m/>
    <n v="33.333333333333336"/>
    <m/>
    <n v="83.333333333333343"/>
    <m/>
    <m/>
    <n v="1066.6666666666667"/>
    <n v="1183.3333333333333"/>
    <m/>
    <m/>
    <n v="105.66666666666667"/>
    <m/>
    <m/>
    <m/>
    <n v="1.8293800000000002"/>
    <n v="1.19"/>
    <n v="9.9333333333333336"/>
    <n v="6.1000000000000004E-3"/>
    <m/>
    <n v="105.66666666666667"/>
    <n v="118.62548000000001"/>
    <m/>
    <m/>
  </r>
  <r>
    <x v="12"/>
    <x v="111"/>
    <s v="Fresh or Not Specified"/>
    <s v="Norway Lobster, cree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250"/>
    <s v=""/>
    <n v="37"/>
    <s v=""/>
    <n v="250"/>
    <m/>
    <m/>
    <m/>
    <n v="33.333333333333336"/>
    <m/>
    <n v="83.333333333333343"/>
    <m/>
    <m/>
    <n v="250"/>
    <n v="366.66666666666663"/>
    <m/>
    <m/>
    <n v="37"/>
    <m/>
    <m/>
    <m/>
    <n v="1.8293800000000002"/>
    <n v="1.19"/>
    <n v="9.9333333333333336"/>
    <n v="6.1000000000000004E-3"/>
    <m/>
    <n v="37"/>
    <n v="49.958813333333339"/>
    <m/>
    <m/>
  </r>
  <r>
    <x v="1"/>
    <x v="1"/>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43.617021276595743"/>
    <s v=""/>
    <m/>
    <m/>
    <m/>
    <m/>
    <m/>
    <m/>
    <m/>
    <m/>
    <m/>
    <m/>
    <m/>
    <m/>
    <m/>
    <n v="43.617021276595743"/>
    <m/>
    <m/>
    <m/>
    <m/>
    <m/>
    <m/>
    <m/>
    <m/>
    <n v="43.617021276595743"/>
    <m/>
    <m/>
    <m/>
  </r>
  <r>
    <x v="1"/>
    <x v="1"/>
    <s v="Fresh or Not Specified"/>
    <s v="conventional, 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166.71732522796353"/>
    <s v=""/>
    <m/>
    <m/>
    <m/>
    <m/>
    <m/>
    <m/>
    <m/>
    <m/>
    <m/>
    <m/>
    <m/>
    <m/>
    <m/>
    <n v="166.71732522796353"/>
    <m/>
    <m/>
    <m/>
    <m/>
    <m/>
    <m/>
    <m/>
    <m/>
    <n v="166.71732522796353"/>
    <m/>
    <m/>
    <m/>
  </r>
  <r>
    <x v="1"/>
    <x v="3"/>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38.6019614777329"/>
    <s v=""/>
    <m/>
    <m/>
    <m/>
    <m/>
    <m/>
    <m/>
    <m/>
    <m/>
    <m/>
    <m/>
    <m/>
    <m/>
    <m/>
    <n v="38.6019614777329"/>
    <m/>
    <m/>
    <m/>
    <m/>
    <m/>
    <m/>
    <m/>
    <m/>
    <n v="38.6019614777329"/>
    <m/>
    <m/>
    <m/>
  </r>
  <r>
    <x v="1"/>
    <x v="3"/>
    <s v="Fresh or Not Specified"/>
    <s v="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118.54537847355391"/>
    <s v=""/>
    <m/>
    <m/>
    <m/>
    <m/>
    <m/>
    <m/>
    <m/>
    <m/>
    <m/>
    <m/>
    <m/>
    <m/>
    <m/>
    <n v="118.54537847355391"/>
    <m/>
    <m/>
    <m/>
    <m/>
    <m/>
    <m/>
    <m/>
    <m/>
    <n v="118.54537847355391"/>
    <m/>
    <m/>
    <m/>
  </r>
  <r>
    <x v="12"/>
    <x v="104"/>
    <s v="Frozen"/>
    <s v="cod, processed, long lin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1.19529"/>
    <n v="1.42272"/>
    <n v="1.2008000000000001"/>
    <n v="1.2128080000000001"/>
    <n v="1.19529"/>
    <m/>
    <n v="0.22743000000000002"/>
    <m/>
    <n v="0.38303999999999999"/>
    <m/>
    <m/>
    <m/>
    <m/>
    <n v="1.19529"/>
    <n v="1.71"/>
    <m/>
    <m/>
    <n v="1.2008000000000001"/>
    <m/>
    <n v="1.2008000000000001E-2"/>
    <m/>
    <n v="0.37446000000000002"/>
    <m/>
    <m/>
    <m/>
    <m/>
    <n v="1.2008000000000001"/>
    <n v="1.58"/>
    <m/>
    <m/>
  </r>
  <r>
    <x v="12"/>
    <x v="104"/>
    <s v="Frozen"/>
    <s v="cod, processed, bottom trawl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3.4701600000000004"/>
    <n v="7.4121400000000008"/>
    <n v="3.4438"/>
    <n v="4.883"/>
    <n v="3.4701600000000004"/>
    <m/>
    <n v="3.9419800000000005"/>
    <m/>
    <n v="0.23667099999999999"/>
    <m/>
    <m/>
    <m/>
    <m/>
    <n v="3.4701600000000004"/>
    <n v="7.61"/>
    <m/>
    <m/>
    <n v="3.4438"/>
    <m/>
    <n v="1.4392"/>
    <m/>
    <n v="0.25700000000000001"/>
    <m/>
    <m/>
    <m/>
    <m/>
    <n v="3.4438"/>
    <n v="5.14"/>
    <m/>
    <m/>
  </r>
  <r>
    <x v="5"/>
    <x v="122"/>
    <m/>
    <s v="conventional"/>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5"/>
    <s v=""/>
    <m/>
    <m/>
    <m/>
    <m/>
    <m/>
    <m/>
    <m/>
    <m/>
    <m/>
    <m/>
    <m/>
    <m/>
    <m/>
    <n v="1.5"/>
    <m/>
    <m/>
    <m/>
    <m/>
    <m/>
    <m/>
    <m/>
    <m/>
    <n v="1.5"/>
    <m/>
    <m/>
    <m/>
  </r>
  <r>
    <x v="5"/>
    <x v="122"/>
    <m/>
    <s v="sustainable"/>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33"/>
    <s v=""/>
    <m/>
    <m/>
    <m/>
    <m/>
    <m/>
    <m/>
    <m/>
    <m/>
    <m/>
    <m/>
    <m/>
    <m/>
    <m/>
    <n v="1.33"/>
    <m/>
    <m/>
    <m/>
    <m/>
    <m/>
    <m/>
    <m/>
    <m/>
    <n v="1.33"/>
    <m/>
    <m/>
    <m/>
  </r>
  <r>
    <x v="5"/>
    <x v="122"/>
    <m/>
    <s v="organic"/>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62"/>
    <s v=""/>
    <m/>
    <m/>
    <m/>
    <m/>
    <m/>
    <m/>
    <m/>
    <m/>
    <m/>
    <m/>
    <m/>
    <m/>
    <m/>
    <n v="1.62"/>
    <m/>
    <m/>
    <m/>
    <m/>
    <m/>
    <m/>
    <m/>
    <m/>
    <n v="1.62"/>
    <m/>
    <m/>
    <m/>
  </r>
  <r>
    <x v="3"/>
    <x v="57"/>
    <m/>
    <s v="british farms (outdoors)"/>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3067000000000001"/>
    <n v="0.27423000000000003"/>
    <m/>
    <m/>
    <m/>
    <m/>
    <m/>
    <m/>
    <m/>
    <m/>
    <m/>
    <m/>
    <m/>
    <m/>
    <m/>
    <n v="0.23067000000000001"/>
    <m/>
    <n v="4.3560000000000001E-2"/>
    <m/>
    <n v="5.5770000000000007E-2"/>
    <m/>
    <m/>
    <m/>
    <m/>
    <n v="0.23067000000000001"/>
    <n v="0.33"/>
    <m/>
    <m/>
  </r>
  <r>
    <x v="3"/>
    <x v="57"/>
    <m/>
    <s v="Spanish farms (imported to UK)"/>
    <m/>
    <s v="Spain"/>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1042"/>
    <n v="0.24149999999999999"/>
    <m/>
    <m/>
    <m/>
    <m/>
    <m/>
    <m/>
    <m/>
    <m/>
    <m/>
    <m/>
    <m/>
    <m/>
    <m/>
    <n v="0.21042"/>
    <m/>
    <n v="3.1079999999999997E-2"/>
    <m/>
    <n v="0.17849999999999999"/>
    <m/>
    <m/>
    <m/>
    <m/>
    <n v="0.21042"/>
    <n v="0.42"/>
    <m/>
    <m/>
  </r>
  <r>
    <x v="3"/>
    <x v="59"/>
    <m/>
    <s v="British farms (with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2.45756"/>
    <n v="2.5492599999999999"/>
    <m/>
    <m/>
    <m/>
    <m/>
    <m/>
    <m/>
    <m/>
    <m/>
    <m/>
    <m/>
    <m/>
    <m/>
    <m/>
    <n v="2.45756"/>
    <m/>
    <n v="9.1700000000000018E-2"/>
    <m/>
    <n v="7.0739999999999997E-2"/>
    <m/>
    <m/>
    <m/>
    <m/>
    <n v="2.45756"/>
    <n v="2.62"/>
    <m/>
    <m/>
  </r>
  <r>
    <x v="3"/>
    <x v="57"/>
    <m/>
    <s v="british farms (without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9.7200000000000009E-2"/>
    <n v="0.18359999999999999"/>
    <m/>
    <m/>
    <m/>
    <m/>
    <m/>
    <m/>
    <m/>
    <m/>
    <m/>
    <m/>
    <m/>
    <m/>
    <m/>
    <n v="9.7200000000000009E-2"/>
    <m/>
    <n v="8.6399999999999991E-2"/>
    <m/>
    <n v="5.6399999999999992E-2"/>
    <m/>
    <m/>
    <m/>
    <m/>
    <n v="9.7200000000000009E-2"/>
    <n v="0.24"/>
    <m/>
    <m/>
  </r>
  <r>
    <x v="5"/>
    <x v="129"/>
    <m/>
    <m/>
    <m/>
    <s v="Thailand"/>
    <n v="2009"/>
    <s v="Kasmaprapruet, Sakaorat_x000a_Paengjuntuek, Woranee_x000a_Saikhwan, Phanida_x000a_Phungrassami, Harnpon"/>
    <m/>
    <s v="Peer Reviewed Journal"/>
    <s v="Kasmaprapruet, S., Paengjuntuek, W., Saikhwan, P. and Phungrassami, H., Life cycle assessment of milled rice production: case study in Thailand. European Journal of Scientific Research 2009, 30 (2), 195-203."/>
    <s v="Yes"/>
    <s v="No"/>
    <s v="Yes"/>
    <s v="Yes"/>
    <s v="No"/>
    <s v="No"/>
    <s v="No"/>
    <s v="No"/>
    <s v="No"/>
    <s v="No"/>
    <s v="No"/>
    <s v="No"/>
    <m/>
    <s v="note that rice hulls are used as energy source for drying; this contribution is not included in the CED data"/>
    <m/>
    <m/>
    <s v="1 kg milled rice at mill gate"/>
    <m/>
    <n v="1.456"/>
    <n v="1.8596999999999999"/>
    <n v="2.4506189999999997"/>
    <n v="2.4929999999999999"/>
    <n v="1.456"/>
    <n v="0.23769999999999999"/>
    <n v="0.16600000000000001"/>
    <m/>
    <m/>
    <m/>
    <m/>
    <m/>
    <m/>
    <n v="1.456"/>
    <n v="1.8596999999999999"/>
    <m/>
    <m/>
    <n v="2.4506189999999997"/>
    <n v="1.7525789999999999E-2"/>
    <n v="2.4855210000000225E-2"/>
    <m/>
    <m/>
    <m/>
    <m/>
    <m/>
    <m/>
    <n v="2.4506189999999997"/>
    <n v="2.4929999999999999"/>
    <m/>
    <m/>
  </r>
  <r>
    <x v="0"/>
    <x v="0"/>
    <m/>
    <s v="based on analysis of 119 Dutch dairy farms; economic allocation"/>
    <m/>
    <s v="Netherlands"/>
    <n v="2009"/>
    <s v="Thomassen, MA_x000a_Dolman, MA_x000a_Van Calker, KJ_x000a_De Boer, IJM"/>
    <m/>
    <s v="Peer Reviewed Journal"/>
    <s v="Thomassen, M., Dolman, M., Van Calker, K. and De Boer, I., Relating life cycle assessment indicators to gross value added for Dutch dairy farms. Ecological Economics 2009, 68 (8), 2278-2284."/>
    <s v="Yes"/>
    <s v="No"/>
    <s v="No"/>
    <s v="No"/>
    <s v="No"/>
    <s v="No"/>
    <s v="No"/>
    <s v="No"/>
    <s v="No"/>
    <s v="No"/>
    <s v="No"/>
    <s v="No"/>
    <m/>
    <m/>
    <m/>
    <m/>
    <s v="1 kg FPCM"/>
    <m/>
    <n v="5.3"/>
    <s v=""/>
    <n v="1.36"/>
    <s v=""/>
    <n v="5.3"/>
    <m/>
    <m/>
    <m/>
    <m/>
    <m/>
    <m/>
    <m/>
    <m/>
    <n v="5.3"/>
    <m/>
    <m/>
    <m/>
    <n v="1.36"/>
    <m/>
    <m/>
    <m/>
    <m/>
    <m/>
    <m/>
    <m/>
    <m/>
    <n v="1.36"/>
    <m/>
    <s v="SD=.3"/>
    <m/>
  </r>
  <r>
    <x v="1"/>
    <x v="3"/>
    <m/>
    <s v="UK1 (~10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57"/>
    <n v="33.770000000000003"/>
    <m/>
    <m/>
    <m/>
    <m/>
    <m/>
    <m/>
    <m/>
    <m/>
    <m/>
    <m/>
    <m/>
    <m/>
    <m/>
    <n v="33.57"/>
    <m/>
    <n v="0.2"/>
    <m/>
    <n v="8.3699999999999997E-2"/>
    <m/>
    <m/>
    <m/>
    <m/>
    <n v="33.57"/>
    <n v="33.853700000000003"/>
    <m/>
    <m/>
  </r>
  <r>
    <x v="1"/>
    <x v="3"/>
    <m/>
    <s v="UK2 (~5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710000000000008"/>
    <n v="33.910000000000011"/>
    <m/>
    <m/>
    <m/>
    <m/>
    <m/>
    <m/>
    <m/>
    <m/>
    <m/>
    <m/>
    <m/>
    <m/>
    <m/>
    <n v="33.710000000000008"/>
    <m/>
    <n v="0.2"/>
    <m/>
    <n v="7.9500000000000001E-2"/>
    <m/>
    <m/>
    <m/>
    <m/>
    <n v="33.710000000000008"/>
    <n v="33.989500000000014"/>
    <m/>
    <m/>
  </r>
  <r>
    <x v="1"/>
    <x v="3"/>
    <m/>
    <s v="Brazil (~300 cow farm)"/>
    <m/>
    <s v="Brazil"/>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44.75"/>
    <n v="44.95"/>
    <m/>
    <m/>
    <m/>
    <m/>
    <m/>
    <m/>
    <m/>
    <m/>
    <m/>
    <m/>
    <m/>
    <m/>
    <m/>
    <n v="44.75"/>
    <m/>
    <n v="0.2"/>
    <m/>
    <n v="0.1179"/>
    <m/>
    <m/>
    <m/>
    <m/>
    <n v="44.75"/>
    <n v="45.067900000000002"/>
    <m/>
    <m/>
  </r>
  <r>
    <x v="0"/>
    <x v="0"/>
    <m/>
    <s v="organic"/>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6"/>
    <s v=""/>
    <n v="1.0820000000000001"/>
    <s v=""/>
    <n v="2.6"/>
    <m/>
    <m/>
    <m/>
    <m/>
    <m/>
    <m/>
    <m/>
    <m/>
    <n v="2.6"/>
    <m/>
    <m/>
    <s v="CV=34%, n=6"/>
    <n v="1.0820000000000001"/>
    <m/>
    <m/>
    <m/>
    <m/>
    <m/>
    <m/>
    <m/>
    <m/>
    <n v="1.0820000000000001"/>
    <m/>
    <s v="CV=12%, n=6"/>
    <m/>
  </r>
  <r>
    <x v="0"/>
    <x v="0"/>
    <m/>
    <s v="conventional"/>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8"/>
    <s v=""/>
    <n v="1.0369999999999999"/>
    <s v=""/>
    <n v="2.8"/>
    <m/>
    <m/>
    <m/>
    <m/>
    <m/>
    <m/>
    <m/>
    <m/>
    <n v="2.8"/>
    <m/>
    <m/>
    <s v="CV=16%, n=41"/>
    <n v="1.0369999999999999"/>
    <m/>
    <m/>
    <m/>
    <m/>
    <m/>
    <m/>
    <m/>
    <m/>
    <n v="1.0369999999999999"/>
    <m/>
    <s v="CV=14%, n=41"/>
    <m/>
  </r>
  <r>
    <x v="12"/>
    <x v="102"/>
    <m/>
    <s v="aquaculture, salmon,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55.4"/>
    <m/>
    <m/>
    <n v="2.8600000000000003"/>
    <m/>
    <n v="0.03"/>
    <n v="0.2"/>
    <n v="0.51"/>
    <m/>
    <m/>
    <m/>
    <m/>
    <n v="2.8600000000000003"/>
    <n v="3.6000000000000005"/>
    <m/>
    <m/>
  </r>
  <r>
    <x v="12"/>
    <x v="102"/>
    <m/>
    <s v="aquaculture, salmon, fresh gutted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49.9"/>
    <m/>
    <m/>
    <n v="2.8600000000000003"/>
    <m/>
    <n v="0.03"/>
    <n v="0.2"/>
    <n v="0.2"/>
    <m/>
    <m/>
    <m/>
    <m/>
    <n v="2.8600000000000003"/>
    <n v="3.2900000000000005"/>
    <m/>
    <m/>
  </r>
  <r>
    <x v="12"/>
    <x v="102"/>
    <m/>
    <s v="aquaculture, salmon, fresh gutted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62.3"/>
    <m/>
    <m/>
    <n v="2.8600000000000003"/>
    <m/>
    <n v="0.03"/>
    <n v="0.2"/>
    <n v="1.05"/>
    <m/>
    <m/>
    <m/>
    <m/>
    <n v="2.8600000000000003"/>
    <n v="4.1400000000000006"/>
    <m/>
    <m/>
  </r>
  <r>
    <x v="12"/>
    <x v="102"/>
    <m/>
    <s v="aquaculture, salmon, fresh gutted to Tokyo (by air)"/>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210.2"/>
    <m/>
    <m/>
    <n v="2.8600000000000003"/>
    <m/>
    <n v="0.03"/>
    <n v="0.14000000000000001"/>
    <n v="10.83"/>
    <m/>
    <m/>
    <m/>
    <m/>
    <n v="2.8600000000000003"/>
    <n v="13.86"/>
    <m/>
    <m/>
  </r>
  <r>
    <x v="12"/>
    <x v="102"/>
    <m/>
    <s v="aquaculture, salmon, frozen gutted to Shanghai (by boat)"/>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91"/>
    <m/>
    <m/>
    <m/>
    <m/>
    <m/>
    <m/>
    <m/>
    <m/>
    <m/>
    <m/>
    <n v="61.5"/>
    <m/>
    <m/>
    <n v="2.8600000000000003"/>
    <m/>
    <n v="0.05"/>
    <n v="0.11"/>
    <n v="1.18"/>
    <m/>
    <m/>
    <m/>
    <m/>
    <n v="2.8600000000000003"/>
    <n v="4.2"/>
    <m/>
    <m/>
  </r>
  <r>
    <x v="12"/>
    <x v="102"/>
    <m/>
    <s v="aquaculture, salmon,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4"/>
    <m/>
    <m/>
    <m/>
    <m/>
    <m/>
    <m/>
    <m/>
    <m/>
    <m/>
    <m/>
    <n v="40.700000000000003"/>
    <m/>
    <m/>
    <n v="2"/>
    <m/>
    <n v="0.14000000000000001"/>
    <n v="0.09"/>
    <n v="0.26"/>
    <m/>
    <m/>
    <m/>
    <m/>
    <n v="2"/>
    <n v="2.4900000000000002"/>
    <m/>
    <m/>
  </r>
  <r>
    <x v="12"/>
    <x v="102"/>
    <m/>
    <s v="aquaculture, salmon,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800000000000002"/>
    <m/>
    <m/>
    <m/>
    <m/>
    <m/>
    <m/>
    <m/>
    <m/>
    <m/>
    <m/>
    <n v="40.700000000000003"/>
    <m/>
    <m/>
    <n v="2"/>
    <m/>
    <n v="0.18"/>
    <n v="7.0000000000000007E-2"/>
    <n v="0.21"/>
    <m/>
    <m/>
    <m/>
    <m/>
    <n v="2"/>
    <n v="2.46"/>
    <m/>
    <m/>
  </r>
  <r>
    <x v="12"/>
    <x v="103"/>
    <m/>
    <s v="aquaculture, blue mussels, Fresh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24"/>
    <s v=""/>
    <m/>
    <m/>
    <m/>
    <m/>
    <m/>
    <m/>
    <m/>
    <m/>
    <m/>
    <m/>
    <n v="45.1"/>
    <m/>
    <m/>
    <n v="1.24"/>
    <m/>
    <n v="0"/>
    <n v="0.11"/>
    <n v="1.19"/>
    <m/>
    <m/>
    <m/>
    <m/>
    <n v="1.24"/>
    <n v="2.54"/>
    <m/>
    <m/>
  </r>
  <r>
    <x v="12"/>
    <x v="104"/>
    <m/>
    <s v="wild capture, cod,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s v=""/>
    <m/>
    <m/>
    <m/>
    <m/>
    <m/>
    <m/>
    <m/>
    <m/>
    <m/>
    <m/>
    <n v="42.6"/>
    <m/>
    <m/>
    <n v="2.8600000000000003"/>
    <m/>
    <n v="0"/>
    <n v="0.19"/>
    <n v="0.56999999999999995"/>
    <m/>
    <m/>
    <m/>
    <m/>
    <n v="2.8600000000000003"/>
    <n v="3.62"/>
    <m/>
    <m/>
  </r>
  <r>
    <x v="12"/>
    <x v="104"/>
    <m/>
    <s v="wild capture, cod, fresh fillet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28.6"/>
    <m/>
    <m/>
    <n v="2.0099999999999998"/>
    <m/>
    <n v="0.12"/>
    <n v="0.09"/>
    <n v="0.13"/>
    <m/>
    <m/>
    <m/>
    <m/>
    <n v="2.0099999999999998"/>
    <n v="2.3499999999999996"/>
    <m/>
    <m/>
  </r>
  <r>
    <x v="12"/>
    <x v="104"/>
    <m/>
    <s v="wild capture, cod,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31.3"/>
    <m/>
    <m/>
    <n v="2.0099999999999998"/>
    <m/>
    <n v="0.12"/>
    <n v="0.09"/>
    <n v="0.28000000000000003"/>
    <m/>
    <m/>
    <m/>
    <m/>
    <n v="2.0099999999999998"/>
    <n v="2.5"/>
    <m/>
    <m/>
  </r>
  <r>
    <x v="12"/>
    <x v="104"/>
    <m/>
    <s v="wild capture, cod,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799999999999997"/>
    <m/>
    <m/>
    <m/>
    <m/>
    <m/>
    <m/>
    <m/>
    <m/>
    <m/>
    <m/>
    <n v="31.5"/>
    <m/>
    <m/>
    <n v="2.0099999999999998"/>
    <m/>
    <n v="0.17"/>
    <n v="7.0000000000000007E-2"/>
    <n v="0.26"/>
    <m/>
    <m/>
    <m/>
    <m/>
    <n v="2.0099999999999998"/>
    <n v="2.5099999999999998"/>
    <m/>
    <m/>
  </r>
  <r>
    <x v="12"/>
    <x v="104"/>
    <m/>
    <s v="wild capture, cod, frozen fillet to Paris, via China"/>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400000000000002"/>
    <n v="2.31"/>
    <m/>
    <m/>
    <m/>
    <m/>
    <m/>
    <m/>
    <m/>
    <m/>
    <m/>
    <m/>
    <n v="45.7"/>
    <m/>
    <m/>
    <n v="1.7400000000000002"/>
    <m/>
    <n v="0.56999999999999995"/>
    <n v="0.13"/>
    <n v="1.34"/>
    <m/>
    <m/>
    <m/>
    <m/>
    <n v="1.7400000000000002"/>
    <n v="3.7800000000000002"/>
    <m/>
    <m/>
  </r>
  <r>
    <x v="12"/>
    <x v="104"/>
    <m/>
    <s v="wild capture, cod, salt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1.9100000000000001"/>
    <m/>
    <m/>
    <m/>
    <m/>
    <m/>
    <m/>
    <m/>
    <m/>
    <m/>
    <m/>
    <n v="26.6"/>
    <m/>
    <m/>
    <n v="1.7000000000000002"/>
    <m/>
    <n v="0.21"/>
    <n v="0.05"/>
    <n v="0.24"/>
    <m/>
    <m/>
    <m/>
    <m/>
    <n v="1.7000000000000002"/>
    <n v="2.2000000000000002"/>
    <m/>
    <m/>
  </r>
  <r>
    <x v="12"/>
    <x v="104"/>
    <m/>
    <s v="wild capture, cod, clip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2.06"/>
    <m/>
    <m/>
    <m/>
    <m/>
    <m/>
    <m/>
    <m/>
    <m/>
    <m/>
    <m/>
    <n v="28"/>
    <m/>
    <m/>
    <n v="1.7000000000000002"/>
    <m/>
    <n v="0.36"/>
    <n v="0.03"/>
    <n v="0.17"/>
    <m/>
    <m/>
    <m/>
    <m/>
    <n v="1.7000000000000002"/>
    <n v="2.2599999999999998"/>
    <m/>
    <m/>
  </r>
  <r>
    <x v="12"/>
    <x v="104"/>
    <m/>
    <s v="wild capture, saithe, frozen fillets to Berli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13"/>
    <n v="2.2999999999999998"/>
    <m/>
    <m/>
    <m/>
    <m/>
    <m/>
    <m/>
    <m/>
    <m/>
    <m/>
    <m/>
    <n v="32.700000000000003"/>
    <m/>
    <m/>
    <n v="2.13"/>
    <m/>
    <n v="0.17"/>
    <n v="7.0000000000000007E-2"/>
    <n v="0.19"/>
    <m/>
    <m/>
    <m/>
    <m/>
    <n v="2.13"/>
    <n v="2.5599999999999996"/>
    <m/>
    <m/>
  </r>
  <r>
    <x v="12"/>
    <x v="104"/>
    <m/>
    <s v="wild capture, haddock, frozen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n v="3.36"/>
    <m/>
    <m/>
    <m/>
    <m/>
    <m/>
    <m/>
    <m/>
    <m/>
    <m/>
    <m/>
    <n v="40.9"/>
    <m/>
    <m/>
    <n v="3.33"/>
    <m/>
    <n v="0.03"/>
    <n v="0.16"/>
    <n v="0.2"/>
    <m/>
    <m/>
    <m/>
    <m/>
    <n v="3.33"/>
    <n v="3.72"/>
    <m/>
    <m/>
  </r>
  <r>
    <x v="12"/>
    <x v="104"/>
    <m/>
    <s v="wild capture, haddock, fresh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s v=""/>
    <m/>
    <m/>
    <m/>
    <m/>
    <m/>
    <m/>
    <m/>
    <m/>
    <m/>
    <m/>
    <n v="44.7"/>
    <m/>
    <m/>
    <n v="3.33"/>
    <m/>
    <n v="0"/>
    <n v="0.21"/>
    <n v="0.3"/>
    <m/>
    <m/>
    <m/>
    <m/>
    <n v="3.33"/>
    <n v="3.84"/>
    <m/>
    <m/>
  </r>
  <r>
    <x v="12"/>
    <x v="104"/>
    <m/>
    <s v="wild capture, herring, round frozen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2"/>
    <n v="0.61"/>
    <m/>
    <m/>
    <m/>
    <m/>
    <m/>
    <m/>
    <m/>
    <m/>
    <m/>
    <m/>
    <n v="16.100000000000001"/>
    <m/>
    <m/>
    <n v="0.52"/>
    <m/>
    <n v="0.09"/>
    <n v="0.12"/>
    <n v="0.24"/>
    <m/>
    <m/>
    <m/>
    <m/>
    <n v="0.52"/>
    <n v="0.97"/>
    <m/>
    <m/>
  </r>
  <r>
    <x v="12"/>
    <x v="104"/>
    <m/>
    <s v="wild capture, herring, frozen fillet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32"/>
    <n v="0.48"/>
    <m/>
    <m/>
    <m/>
    <m/>
    <m/>
    <m/>
    <m/>
    <m/>
    <m/>
    <m/>
    <n v="23.8"/>
    <m/>
    <m/>
    <n v="0.32"/>
    <m/>
    <n v="0.16"/>
    <n v="7.0000000000000007E-2"/>
    <n v="0.83"/>
    <m/>
    <m/>
    <m/>
    <m/>
    <n v="0.32"/>
    <n v="1.38"/>
    <m/>
    <m/>
  </r>
  <r>
    <x v="12"/>
    <x v="104"/>
    <m/>
    <s v="wild capture, round frozen mackerel Toky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4"/>
    <n v="0.63"/>
    <m/>
    <m/>
    <m/>
    <m/>
    <m/>
    <m/>
    <m/>
    <m/>
    <m/>
    <m/>
    <n v="29"/>
    <m/>
    <m/>
    <n v="0.54"/>
    <m/>
    <n v="0.09"/>
    <n v="0.12"/>
    <n v="1.18"/>
    <m/>
    <m/>
    <m/>
    <m/>
    <n v="0.54"/>
    <n v="1.93"/>
    <m/>
    <m/>
  </r>
  <r>
    <x v="12"/>
    <x v="104"/>
    <m/>
    <s v="wild capture, round frozen mackerel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s v="Yes"/>
    <s v="No"/>
    <s v="No"/>
    <s v="Yes"/>
    <s v="Yes"/>
    <s v="Yes"/>
    <s v="No"/>
    <s v="No"/>
    <s v="No"/>
    <s v="No"/>
    <s v="No"/>
    <s v="No"/>
    <m/>
    <m/>
    <m/>
    <m/>
    <s v="1 kg edible product"/>
    <m/>
    <s v=""/>
    <s v=""/>
    <n v="0.54"/>
    <n v="0.63"/>
    <m/>
    <m/>
    <m/>
    <m/>
    <m/>
    <m/>
    <m/>
    <m/>
    <m/>
    <m/>
    <n v="16.3"/>
    <m/>
    <m/>
    <n v="0.54"/>
    <m/>
    <n v="0.09"/>
    <n v="0.12"/>
    <n v="0.24"/>
    <m/>
    <m/>
    <m/>
    <m/>
    <n v="0.54"/>
    <n v="0.99"/>
    <m/>
    <m/>
  </r>
  <r>
    <x v="1"/>
    <x v="1"/>
    <m/>
    <s v="sub-clover"/>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6.633559102984464"/>
    <s v=""/>
    <m/>
    <m/>
    <m/>
    <m/>
    <m/>
    <m/>
    <m/>
    <m/>
    <m/>
    <m/>
    <m/>
    <m/>
    <m/>
    <n v="16.633559102984464"/>
    <m/>
    <m/>
    <m/>
    <m/>
    <m/>
    <m/>
    <m/>
    <m/>
    <n v="16.633559102984464"/>
    <m/>
    <m/>
    <m/>
  </r>
  <r>
    <x v="1"/>
    <x v="1"/>
    <m/>
    <s v="mixed pasture"/>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5.227484862264557"/>
    <s v=""/>
    <m/>
    <m/>
    <m/>
    <m/>
    <m/>
    <m/>
    <m/>
    <m/>
    <m/>
    <m/>
    <m/>
    <m/>
    <m/>
    <n v="15.227484862264557"/>
    <m/>
    <m/>
    <m/>
    <m/>
    <m/>
    <m/>
    <m/>
    <m/>
    <n v="15.227484862264557"/>
    <m/>
    <m/>
    <m/>
  </r>
  <r>
    <x v="5"/>
    <x v="67"/>
    <m/>
    <m/>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m/>
    <s v=""/>
    <s v=""/>
    <n v="0.4"/>
    <s v=""/>
    <m/>
    <m/>
    <m/>
    <m/>
    <m/>
    <m/>
    <m/>
    <m/>
    <m/>
    <m/>
    <m/>
    <m/>
    <m/>
    <n v="0.4"/>
    <m/>
    <m/>
    <m/>
    <m/>
    <m/>
    <m/>
    <m/>
    <m/>
    <n v="0.4"/>
    <m/>
    <m/>
    <m/>
  </r>
  <r>
    <x v="12"/>
    <x v="104"/>
    <m/>
    <s v="combined purse seiner and pelagic trawler in NE Atlantic"/>
    <m/>
    <s v="Norway"/>
    <n v="2010"/>
    <s v=" Fet, Annik Magerholm_x000a_Schau, Erwin M_x000a_Haskins, Cecilia"/>
    <m/>
    <s v="Peer Reviewed Journal"/>
    <s v="Fet, A. M., Schau, E. M. and Haskins, C., A framework for environmental analyses of fish food production systems based on systems engineering principles. Systems Engineering 2010, 13 (2), 109-118."/>
    <s v="Yes"/>
    <s v="No"/>
    <s v="No"/>
    <s v="Yes"/>
    <s v="Yes"/>
    <s v="Yes"/>
    <s v="No"/>
    <s v="No"/>
    <s v="No"/>
    <s v="No"/>
    <s v="No"/>
    <s v="No"/>
    <m/>
    <m/>
    <m/>
    <m/>
    <s v="1 kg frozen fish fillet, delivered to Paris"/>
    <m/>
    <s v=""/>
    <s v=""/>
    <n v="0.82300000000000006"/>
    <n v="0.82517000000000007"/>
    <m/>
    <m/>
    <m/>
    <m/>
    <m/>
    <m/>
    <m/>
    <m/>
    <m/>
    <m/>
    <m/>
    <m/>
    <m/>
    <n v="0.82300000000000006"/>
    <m/>
    <n v="2.1700000000000001E-3"/>
    <n v="8.4000000000000005E-2"/>
    <n v="0.13800000000000001"/>
    <m/>
    <m/>
    <m/>
    <m/>
    <n v="0.82300000000000006"/>
    <n v="1.0471699999999999"/>
    <m/>
    <m/>
  </r>
  <r>
    <x v="1"/>
    <x v="1"/>
    <m/>
    <s v="typical New Zealand production"/>
    <m/>
    <s v="New Zealand"/>
    <n v="2010"/>
    <s v="Ledgard, SF_x000a_Lieffering, M_x000a_McDevitt, J_x000a_Boyes, M_x000a_Kemp, R"/>
    <m/>
    <s v="Peer Reviewed Journal"/>
    <s v="Ledgard, S., Lieffering, M., Mcdevitt, J., Boyes, M. and Kemp, R., A greenhouse gas footprint study for exported New Zealand lamb. Report for Meat Industry Association, Ballance Agri-nutrients, Landcorp and MAF. AgResearch, Hamilton, 26pp 2010."/>
    <s v="Yes"/>
    <s v="No"/>
    <s v="Yes"/>
    <s v="Yes"/>
    <s v="Yes"/>
    <s v="Yes"/>
    <s v="Yes"/>
    <s v="No"/>
    <s v="Yes"/>
    <s v="Yes"/>
    <s v="No"/>
    <s v="No"/>
    <m/>
    <s v="NZ lamb to UK"/>
    <m/>
    <m/>
    <s v="100g portion of raw purchased meat"/>
    <s v="assumed this is bone-free. X10"/>
    <s v=""/>
    <s v=""/>
    <n v="15.200000000000001"/>
    <n v="15.770000000000001"/>
    <m/>
    <m/>
    <m/>
    <m/>
    <m/>
    <m/>
    <m/>
    <m/>
    <m/>
    <m/>
    <m/>
    <m/>
    <m/>
    <n v="15.200000000000001"/>
    <m/>
    <n v="0.56999999999999995"/>
    <m/>
    <n v="0.95000000000000007"/>
    <m/>
    <n v="2.2799999999999998"/>
    <m/>
    <m/>
    <n v="15.200000000000001"/>
    <n v="19"/>
    <m/>
    <m/>
  </r>
  <r>
    <x v="3"/>
    <x v="13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54"/>
    <s v=""/>
    <m/>
    <m/>
    <m/>
    <m/>
    <m/>
    <m/>
    <m/>
    <m/>
    <m/>
    <m/>
    <m/>
    <m/>
    <m/>
    <n v="2.54"/>
    <m/>
    <m/>
    <m/>
    <m/>
    <m/>
    <m/>
    <m/>
    <m/>
    <n v="2.54"/>
    <m/>
    <m/>
    <m/>
  </r>
  <r>
    <x v="3"/>
    <x v="7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7"/>
    <s v=""/>
    <m/>
    <m/>
    <m/>
    <m/>
    <m/>
    <m/>
    <m/>
    <m/>
    <m/>
    <m/>
    <m/>
    <m/>
    <m/>
    <n v="1.37"/>
    <m/>
    <m/>
    <m/>
    <m/>
    <m/>
    <m/>
    <m/>
    <m/>
    <n v="1.37"/>
    <m/>
    <m/>
    <m/>
  </r>
  <r>
    <x v="3"/>
    <x v="19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4"/>
    <s v=""/>
    <m/>
    <m/>
    <m/>
    <m/>
    <m/>
    <m/>
    <m/>
    <m/>
    <m/>
    <m/>
    <m/>
    <m/>
    <m/>
    <n v="0.24"/>
    <m/>
    <m/>
    <m/>
    <m/>
    <m/>
    <m/>
    <m/>
    <m/>
    <n v="0.24"/>
    <m/>
    <m/>
    <m/>
  </r>
  <r>
    <x v="3"/>
    <x v="7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73"/>
    <s v=""/>
    <m/>
    <m/>
    <m/>
    <m/>
    <m/>
    <m/>
    <m/>
    <m/>
    <m/>
    <m/>
    <m/>
    <m/>
    <m/>
    <n v="1.73"/>
    <m/>
    <m/>
    <m/>
    <m/>
    <m/>
    <m/>
    <m/>
    <m/>
    <n v="1.73"/>
    <m/>
    <m/>
    <m/>
  </r>
  <r>
    <x v="3"/>
    <x v="19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3"/>
    <s v=""/>
    <m/>
    <m/>
    <m/>
    <m/>
    <m/>
    <m/>
    <m/>
    <m/>
    <m/>
    <m/>
    <m/>
    <m/>
    <m/>
    <n v="0.23"/>
    <m/>
    <m/>
    <m/>
    <m/>
    <m/>
    <m/>
    <m/>
    <m/>
    <n v="0.23"/>
    <m/>
    <m/>
    <m/>
  </r>
  <r>
    <x v="3"/>
    <x v="8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59"/>
    <s v=""/>
    <m/>
    <m/>
    <m/>
    <m/>
    <m/>
    <m/>
    <m/>
    <m/>
    <m/>
    <m/>
    <m/>
    <m/>
    <m/>
    <n v="0.59"/>
    <m/>
    <m/>
    <m/>
    <m/>
    <m/>
    <m/>
    <m/>
    <m/>
    <n v="0.59"/>
    <m/>
    <m/>
    <m/>
  </r>
  <r>
    <x v="3"/>
    <x v="232"/>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
    <s v=""/>
    <m/>
    <m/>
    <m/>
    <m/>
    <m/>
    <m/>
    <m/>
    <m/>
    <m/>
    <m/>
    <m/>
    <m/>
    <m/>
    <n v="0.2"/>
    <m/>
    <m/>
    <m/>
    <m/>
    <m/>
    <m/>
    <m/>
    <m/>
    <n v="0.2"/>
    <m/>
    <m/>
    <m/>
  </r>
  <r>
    <x v="3"/>
    <x v="9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m/>
    <m/>
  </r>
  <r>
    <x v="3"/>
    <x v="20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8"/>
    <s v=""/>
    <m/>
    <m/>
    <m/>
    <m/>
    <m/>
    <m/>
    <m/>
    <m/>
    <m/>
    <m/>
    <m/>
    <m/>
    <m/>
    <n v="0.18"/>
    <m/>
    <m/>
    <m/>
    <m/>
    <m/>
    <m/>
    <m/>
    <m/>
    <n v="0.18"/>
    <m/>
    <m/>
    <m/>
  </r>
  <r>
    <x v="3"/>
    <x v="23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6"/>
    <s v=""/>
    <m/>
    <m/>
    <m/>
    <m/>
    <m/>
    <m/>
    <m/>
    <m/>
    <m/>
    <m/>
    <m/>
    <m/>
    <m/>
    <n v="0.66"/>
    <m/>
    <m/>
    <m/>
    <m/>
    <m/>
    <m/>
    <m/>
    <m/>
    <n v="0.66"/>
    <m/>
    <m/>
    <m/>
  </r>
  <r>
    <x v="3"/>
    <x v="8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3"/>
    <s v=""/>
    <m/>
    <m/>
    <m/>
    <m/>
    <m/>
    <m/>
    <m/>
    <m/>
    <m/>
    <m/>
    <m/>
    <m/>
    <m/>
    <n v="0.13"/>
    <m/>
    <m/>
    <m/>
    <m/>
    <m/>
    <m/>
    <m/>
    <m/>
    <n v="0.13"/>
    <m/>
    <m/>
    <m/>
  </r>
  <r>
    <x v="3"/>
    <x v="166"/>
    <m/>
    <s v="fresh po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3.94"/>
    <s v=""/>
    <m/>
    <m/>
    <m/>
    <m/>
    <m/>
    <m/>
    <m/>
    <m/>
    <m/>
    <m/>
    <m/>
    <m/>
    <m/>
    <n v="3.94"/>
    <m/>
    <m/>
    <m/>
    <m/>
    <m/>
    <m/>
    <m/>
    <m/>
    <n v="3.94"/>
    <m/>
    <m/>
    <m/>
  </r>
  <r>
    <x v="3"/>
    <x v="166"/>
    <m/>
    <s v="shelle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46"/>
    <s v=""/>
    <m/>
    <m/>
    <m/>
    <m/>
    <m/>
    <m/>
    <m/>
    <m/>
    <m/>
    <m/>
    <m/>
    <m/>
    <m/>
    <n v="2.46"/>
    <m/>
    <m/>
    <m/>
    <m/>
    <m/>
    <m/>
    <m/>
    <m/>
    <n v="2.46"/>
    <m/>
    <m/>
    <m/>
  </r>
  <r>
    <x v="3"/>
    <x v="5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2"/>
    <s v=""/>
    <m/>
    <m/>
    <m/>
    <m/>
    <m/>
    <m/>
    <m/>
    <m/>
    <m/>
    <m/>
    <m/>
    <m/>
    <m/>
    <n v="0.32"/>
    <m/>
    <m/>
    <m/>
    <m/>
    <m/>
    <m/>
    <m/>
    <m/>
    <n v="0.32"/>
    <m/>
    <m/>
    <m/>
  </r>
  <r>
    <x v="3"/>
    <x v="23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5"/>
    <s v=""/>
    <m/>
    <m/>
    <m/>
    <m/>
    <m/>
    <m/>
    <m/>
    <m/>
    <m/>
    <m/>
    <m/>
    <m/>
    <m/>
    <n v="0.25"/>
    <m/>
    <m/>
    <m/>
    <m/>
    <m/>
    <m/>
    <m/>
    <m/>
    <n v="0.25"/>
    <m/>
    <m/>
    <m/>
  </r>
  <r>
    <x v="4"/>
    <x v="1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m/>
    <m/>
  </r>
  <r>
    <x v="3"/>
    <x v="6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06"/>
    <s v=""/>
    <m/>
    <m/>
    <m/>
    <m/>
    <m/>
    <m/>
    <m/>
    <m/>
    <m/>
    <m/>
    <m/>
    <m/>
    <m/>
    <n v="0.06"/>
    <m/>
    <m/>
    <m/>
    <m/>
    <m/>
    <m/>
    <m/>
    <m/>
    <n v="0.06"/>
    <m/>
    <m/>
    <m/>
  </r>
  <r>
    <x v="3"/>
    <x v="23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1"/>
    <s v=""/>
    <m/>
    <m/>
    <m/>
    <m/>
    <m/>
    <m/>
    <m/>
    <m/>
    <m/>
    <m/>
    <m/>
    <m/>
    <m/>
    <n v="0.21"/>
    <m/>
    <m/>
    <m/>
    <m/>
    <m/>
    <m/>
    <m/>
    <m/>
    <n v="0.21"/>
    <m/>
    <m/>
    <m/>
  </r>
  <r>
    <x v="3"/>
    <x v="44"/>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7"/>
    <s v=""/>
    <m/>
    <m/>
    <m/>
    <m/>
    <m/>
    <m/>
    <m/>
    <m/>
    <m/>
    <m/>
    <m/>
    <m/>
    <m/>
    <n v="0.27"/>
    <m/>
    <m/>
    <m/>
    <m/>
    <m/>
    <m/>
    <m/>
    <m/>
    <n v="0.27"/>
    <m/>
    <m/>
    <m/>
  </r>
  <r>
    <x v="3"/>
    <x v="20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3"/>
    <s v=""/>
    <m/>
    <m/>
    <m/>
    <m/>
    <m/>
    <m/>
    <m/>
    <m/>
    <m/>
    <m/>
    <m/>
    <m/>
    <m/>
    <n v="0.63"/>
    <m/>
    <m/>
    <m/>
    <m/>
    <m/>
    <m/>
    <m/>
    <m/>
    <n v="0.63"/>
    <m/>
    <m/>
    <m/>
  </r>
  <r>
    <x v="3"/>
    <x v="23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8"/>
    <s v=""/>
    <m/>
    <m/>
    <m/>
    <m/>
    <m/>
    <m/>
    <m/>
    <m/>
    <m/>
    <m/>
    <m/>
    <m/>
    <m/>
    <n v="1.38"/>
    <m/>
    <m/>
    <m/>
    <m/>
    <m/>
    <m/>
    <m/>
    <m/>
    <n v="1.38"/>
    <m/>
    <m/>
    <m/>
  </r>
  <r>
    <x v="3"/>
    <x v="1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2"/>
    <s v=""/>
    <m/>
    <m/>
    <m/>
    <m/>
    <m/>
    <m/>
    <m/>
    <m/>
    <m/>
    <m/>
    <m/>
    <m/>
    <m/>
    <n v="0.22"/>
    <m/>
    <m/>
    <m/>
    <m/>
    <m/>
    <m/>
    <m/>
    <m/>
    <n v="0.22"/>
    <m/>
    <m/>
    <m/>
  </r>
  <r>
    <x v="3"/>
    <x v="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17"/>
    <s v=""/>
    <m/>
    <m/>
    <m/>
    <m/>
    <m/>
    <m/>
    <m/>
    <m/>
    <m/>
    <m/>
    <m/>
    <m/>
    <m/>
    <n v="1.17"/>
    <m/>
    <m/>
    <m/>
    <m/>
    <m/>
    <m/>
    <m/>
    <m/>
    <n v="1.17"/>
    <m/>
    <m/>
    <m/>
  </r>
  <r>
    <x v="1"/>
    <x v="3"/>
    <m/>
    <s v="specialized beef in grassland area, calf-to-weanling and fattend females"/>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7.034572414789267"/>
    <s v=""/>
    <n v="41.092410605328567"/>
    <s v=""/>
    <n v="77.034572414789267"/>
    <m/>
    <m/>
    <m/>
    <m/>
    <m/>
    <m/>
    <m/>
    <m/>
    <n v="77.034572414789267"/>
    <m/>
    <m/>
    <m/>
    <n v="41.092410605328567"/>
    <m/>
    <m/>
    <m/>
    <m/>
    <m/>
    <m/>
    <m/>
    <m/>
    <n v="41.092410605328567"/>
    <m/>
    <m/>
    <m/>
  </r>
  <r>
    <x v="1"/>
    <x v="3"/>
    <m/>
    <s v="specialized beef in grassland area, calf-to-weanling, 100% grassland farm"/>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3.694880134683487"/>
    <s v=""/>
    <n v="42.586680081885966"/>
    <s v=""/>
    <n v="73.694880134683487"/>
    <m/>
    <m/>
    <m/>
    <m/>
    <m/>
    <m/>
    <m/>
    <m/>
    <n v="73.694880134683487"/>
    <m/>
    <m/>
    <m/>
    <n v="42.586680081885966"/>
    <m/>
    <m/>
    <m/>
    <m/>
    <m/>
    <m/>
    <m/>
    <m/>
    <n v="42.586680081885966"/>
    <m/>
    <m/>
    <m/>
  </r>
  <r>
    <x v="1"/>
    <x v="3"/>
    <m/>
    <s v="specialized beef in grassland area, calf-to-beef, beef steer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2.110954489532631"/>
    <s v=""/>
    <n v="37.107692001175486"/>
    <s v=""/>
    <n v="72.110954489532631"/>
    <m/>
    <m/>
    <m/>
    <m/>
    <m/>
    <m/>
    <m/>
    <m/>
    <n v="72.110954489532631"/>
    <m/>
    <m/>
    <m/>
    <n v="37.107692001175486"/>
    <m/>
    <m/>
    <m/>
    <m/>
    <m/>
    <m/>
    <m/>
    <m/>
    <n v="37.107692001175486"/>
    <m/>
    <m/>
    <m/>
  </r>
  <r>
    <x v="1"/>
    <x v="3"/>
    <m/>
    <s v="mixed crop-livestock, calf-to-beef intensive baby beef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66.497482155932005"/>
    <s v=""/>
    <n v="36.360557262896791"/>
    <s v=""/>
    <n v="66.497482155932005"/>
    <m/>
    <m/>
    <m/>
    <m/>
    <m/>
    <m/>
    <m/>
    <m/>
    <n v="66.497482155932005"/>
    <m/>
    <m/>
    <m/>
    <n v="36.360557262896791"/>
    <m/>
    <m/>
    <m/>
    <m/>
    <m/>
    <m/>
    <m/>
    <m/>
    <n v="36.360557262896791"/>
    <m/>
    <m/>
    <m/>
  </r>
  <r>
    <x v="1"/>
    <x v="3"/>
    <m/>
    <s v="mixed crop-livestock, calf-to-weanling and cereals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5.632449555952917"/>
    <s v=""/>
    <n v="47.318533424317742"/>
    <s v=""/>
    <n v="75.632449555952917"/>
    <m/>
    <m/>
    <m/>
    <m/>
    <m/>
    <m/>
    <m/>
    <m/>
    <n v="75.632449555952917"/>
    <m/>
    <m/>
    <m/>
    <n v="47.318533424317742"/>
    <m/>
    <m/>
    <m/>
    <m/>
    <m/>
    <m/>
    <m/>
    <m/>
    <n v="47.318533424317742"/>
    <m/>
    <m/>
    <m/>
  </r>
  <r>
    <x v="5"/>
    <x v="67"/>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4"/>
    <s v=""/>
    <n v="0.7"/>
    <s v=""/>
    <n v="2.4"/>
    <m/>
    <m/>
    <m/>
    <m/>
    <m/>
    <m/>
    <m/>
    <m/>
    <n v="2.4"/>
    <m/>
    <m/>
    <m/>
    <n v="0.7"/>
    <m/>
    <m/>
    <m/>
    <m/>
    <m/>
    <m/>
    <m/>
    <m/>
    <n v="0.7"/>
    <m/>
    <m/>
    <m/>
  </r>
  <r>
    <x v="5"/>
    <x v="45"/>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4.9000000000000004"/>
    <s v=""/>
    <n v="1.4"/>
    <s v=""/>
    <n v="4.9000000000000004"/>
    <m/>
    <m/>
    <m/>
    <m/>
    <m/>
    <m/>
    <m/>
    <m/>
    <n v="4.9000000000000004"/>
    <m/>
    <m/>
    <m/>
    <n v="1.4"/>
    <m/>
    <m/>
    <m/>
    <m/>
    <m/>
    <m/>
    <m/>
    <m/>
    <n v="1.4"/>
    <m/>
    <m/>
    <m/>
  </r>
  <r>
    <x v="3"/>
    <x v="44"/>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4"/>
    <s v=""/>
    <n v="0.19"/>
    <s v=""/>
    <n v="1.4"/>
    <m/>
    <m/>
    <m/>
    <m/>
    <m/>
    <m/>
    <m/>
    <m/>
    <n v="1.4"/>
    <m/>
    <m/>
    <m/>
    <n v="0.19"/>
    <m/>
    <m/>
    <m/>
    <m/>
    <m/>
    <m/>
    <m/>
    <m/>
    <n v="0.19"/>
    <m/>
    <m/>
    <m/>
  </r>
  <r>
    <x v="5"/>
    <x v="67"/>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
    <s v=""/>
    <n v="0.8"/>
    <s v=""/>
    <n v="2"/>
    <m/>
    <m/>
    <m/>
    <m/>
    <m/>
    <m/>
    <m/>
    <m/>
    <n v="2"/>
    <m/>
    <m/>
    <m/>
    <n v="0.8"/>
    <m/>
    <m/>
    <m/>
    <m/>
    <m/>
    <m/>
    <m/>
    <m/>
    <n v="0.8"/>
    <m/>
    <m/>
    <m/>
  </r>
  <r>
    <x v="3"/>
    <x v="44"/>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6"/>
    <s v=""/>
    <n v="0.2"/>
    <s v=""/>
    <n v="1.6"/>
    <m/>
    <m/>
    <m/>
    <m/>
    <m/>
    <m/>
    <m/>
    <m/>
    <n v="1.6"/>
    <m/>
    <m/>
    <m/>
    <n v="0.2"/>
    <m/>
    <m/>
    <m/>
    <m/>
    <m/>
    <m/>
    <m/>
    <m/>
    <n v="0.2"/>
    <m/>
    <m/>
    <m/>
  </r>
  <r>
    <x v="12"/>
    <x v="102"/>
    <m/>
    <s v="striped catfish (Pangasianodon hypophthalmus), Mekong Delta"/>
    <m/>
    <s v="Vietnam"/>
    <n v="2011"/>
    <s v="Bosma, Roel_x000a_Anh, Pham Thi_x000a_Potting, José"/>
    <m/>
    <s v="Peer Reviewed Journal"/>
    <s v="Bosma, R., Anh, P. T. and Potting, J., Life cycle assessment of intensive striped catfish farming in the Mekong Delta for screening hotspots as input to environmental policy and research agenda. The International Journal of Life Cycle Assessment 2011, 16 (9), 903."/>
    <s v="Yes"/>
    <s v="No"/>
    <s v="No"/>
    <s v="No"/>
    <s v="No"/>
    <s v="No"/>
    <s v="No"/>
    <s v="No"/>
    <s v="No"/>
    <s v="No"/>
    <s v="No"/>
    <s v="No"/>
    <m/>
    <m/>
    <m/>
    <m/>
    <s v="1 tonne fresh fish at farm gate"/>
    <s v="/.65"/>
    <n v="20.307692307692307"/>
    <s v=""/>
    <n v="13.738461538461538"/>
    <s v=""/>
    <n v="20.307692307692307"/>
    <m/>
    <m/>
    <m/>
    <m/>
    <m/>
    <m/>
    <m/>
    <m/>
    <n v="20.307692307692307"/>
    <m/>
    <m/>
    <m/>
    <n v="13.738461538461538"/>
    <m/>
    <m/>
    <m/>
    <m/>
    <m/>
    <m/>
    <m/>
    <m/>
    <n v="13.738461538461538"/>
    <m/>
    <m/>
    <m/>
  </r>
  <r>
    <x v="1"/>
    <x v="1"/>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58/0.508"/>
    <s v=""/>
    <s v=""/>
    <n v="34.10477945575952"/>
    <s v=""/>
    <m/>
    <m/>
    <m/>
    <m/>
    <m/>
    <m/>
    <m/>
    <m/>
    <m/>
    <n v="0"/>
    <m/>
    <m/>
    <m/>
    <n v="34.10477945575952"/>
    <m/>
    <m/>
    <m/>
    <m/>
    <m/>
    <m/>
    <m/>
    <m/>
    <n v="34.10477945575952"/>
    <m/>
    <m/>
    <m/>
  </r>
  <r>
    <x v="1"/>
    <x v="3"/>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67/0.602"/>
    <s v=""/>
    <s v=""/>
    <n v="56.782240109181295"/>
    <s v=""/>
    <m/>
    <m/>
    <m/>
    <m/>
    <m/>
    <m/>
    <m/>
    <m/>
    <m/>
    <m/>
    <m/>
    <m/>
    <m/>
    <n v="56.782240109181295"/>
    <m/>
    <m/>
    <m/>
    <m/>
    <m/>
    <m/>
    <m/>
    <m/>
    <n v="56.782240109181295"/>
    <m/>
    <m/>
    <m/>
  </r>
  <r>
    <x v="0"/>
    <x v="0"/>
    <m/>
    <s v="pasture"/>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9"/>
    <s v=""/>
    <m/>
    <m/>
    <m/>
    <m/>
    <m/>
    <m/>
    <m/>
    <m/>
    <m/>
    <m/>
    <m/>
    <m/>
    <m/>
    <n v="9"/>
    <m/>
    <m/>
    <m/>
    <m/>
    <m/>
    <m/>
    <m/>
    <m/>
    <n v="9"/>
    <m/>
    <m/>
    <m/>
  </r>
  <r>
    <x v="0"/>
    <x v="0"/>
    <m/>
    <s v="pasture/supplement"/>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8.5"/>
    <s v=""/>
    <m/>
    <m/>
    <m/>
    <m/>
    <m/>
    <m/>
    <m/>
    <m/>
    <m/>
    <m/>
    <m/>
    <m/>
    <m/>
    <n v="8.5"/>
    <m/>
    <m/>
    <m/>
    <m/>
    <m/>
    <m/>
    <m/>
    <m/>
    <n v="8.5"/>
    <m/>
    <m/>
    <m/>
  </r>
  <r>
    <x v="5"/>
    <x v="67"/>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
    <m/>
    <s v=""/>
    <s v=""/>
    <n v="0.04"/>
    <s v=""/>
    <m/>
    <m/>
    <m/>
    <m/>
    <m/>
    <m/>
    <m/>
    <m/>
    <m/>
    <m/>
    <m/>
    <m/>
    <m/>
    <n v="0.04"/>
    <m/>
    <m/>
    <m/>
    <m/>
    <m/>
    <m/>
    <m/>
    <m/>
    <n v="0.04"/>
    <m/>
    <m/>
    <m/>
  </r>
  <r>
    <x v="5"/>
    <x v="125"/>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m/>
    <s v=""/>
    <s v=""/>
    <n v="0.15"/>
    <s v=""/>
    <m/>
    <m/>
    <m/>
    <m/>
    <m/>
    <m/>
    <m/>
    <m/>
    <m/>
    <m/>
    <m/>
    <m/>
    <m/>
    <n v="0.15"/>
    <m/>
    <m/>
    <m/>
    <m/>
    <m/>
    <m/>
    <m/>
    <m/>
    <n v="0.15"/>
    <m/>
    <m/>
    <m/>
  </r>
  <r>
    <x v="0"/>
    <x v="0"/>
    <m/>
    <s v="average of 60 Tasmanian dairy farms, estimated by GHGE calculator"/>
    <m/>
    <s v="Australia (Tasmania)"/>
    <n v="2011"/>
    <s v="Christie, KM_x000a_Rawnsley, RP_x000a_Eckard, RJ"/>
    <m/>
    <s v="Peer Reviewed Journal"/>
    <s v="Christie, K., Rawnsley, R. and Eckard, R., A whole farm systems analysis of greenhouse gas emissions of 60 Tasmanian dairy farms. Animal Feed Science and Technology 2011, 166, 653-662."/>
    <s v="Yes"/>
    <s v="No"/>
    <s v="No"/>
    <s v="No"/>
    <s v="No"/>
    <s v="No"/>
    <s v="No"/>
    <s v="No"/>
    <s v="No"/>
    <s v="No"/>
    <s v="No"/>
    <s v="No"/>
    <m/>
    <m/>
    <m/>
    <m/>
    <s v="kg FPCM"/>
    <m/>
    <s v=""/>
    <s v=""/>
    <n v="1.04"/>
    <s v=""/>
    <m/>
    <m/>
    <m/>
    <m/>
    <m/>
    <m/>
    <m/>
    <m/>
    <m/>
    <m/>
    <m/>
    <m/>
    <m/>
    <n v="1.04"/>
    <m/>
    <m/>
    <m/>
    <m/>
    <m/>
    <m/>
    <m/>
    <m/>
    <n v="1.04"/>
    <m/>
    <s v=".83-1.39, SD=.13, n=60"/>
    <m/>
  </r>
  <r>
    <x v="1"/>
    <x v="3"/>
    <m/>
    <s v="National Farm Survey"/>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4.482758620689651"/>
    <s v=""/>
    <m/>
    <m/>
    <m/>
    <m/>
    <m/>
    <m/>
    <m/>
    <m/>
    <m/>
    <m/>
    <m/>
    <m/>
    <m/>
    <n v="34.482758620689651"/>
    <m/>
    <m/>
    <m/>
    <m/>
    <m/>
    <m/>
    <m/>
    <m/>
    <n v="34.482758620689651"/>
    <m/>
    <m/>
    <m/>
  </r>
  <r>
    <x v="1"/>
    <x v="3"/>
    <m/>
    <s v="Steer,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9.535232383808093"/>
    <s v=""/>
    <m/>
    <m/>
    <m/>
    <m/>
    <m/>
    <m/>
    <m/>
    <m/>
    <m/>
    <m/>
    <m/>
    <m/>
    <m/>
    <n v="29.535232383808093"/>
    <m/>
    <m/>
    <m/>
    <m/>
    <m/>
    <m/>
    <m/>
    <m/>
    <n v="29.535232383808093"/>
    <m/>
    <m/>
    <m/>
  </r>
  <r>
    <x v="1"/>
    <x v="3"/>
    <m/>
    <s v="steer,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2.983508245877061"/>
    <s v=""/>
    <m/>
    <m/>
    <m/>
    <m/>
    <m/>
    <m/>
    <m/>
    <m/>
    <m/>
    <m/>
    <m/>
    <m/>
    <m/>
    <n v="32.983508245877061"/>
    <m/>
    <m/>
    <m/>
    <m/>
    <m/>
    <m/>
    <m/>
    <m/>
    <n v="32.983508245877061"/>
    <m/>
    <m/>
    <m/>
  </r>
  <r>
    <x v="1"/>
    <x v="3"/>
    <m/>
    <s v="bull,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8.335832083958017"/>
    <s v=""/>
    <m/>
    <m/>
    <m/>
    <m/>
    <m/>
    <m/>
    <m/>
    <m/>
    <m/>
    <m/>
    <m/>
    <m/>
    <m/>
    <n v="28.335832083958017"/>
    <m/>
    <m/>
    <m/>
    <m/>
    <m/>
    <m/>
    <m/>
    <m/>
    <n v="28.335832083958017"/>
    <m/>
    <m/>
    <m/>
  </r>
  <r>
    <x v="1"/>
    <x v="3"/>
    <m/>
    <s v="bull,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0.584707646176909"/>
    <s v=""/>
    <m/>
    <m/>
    <m/>
    <m/>
    <m/>
    <m/>
    <m/>
    <m/>
    <m/>
    <m/>
    <m/>
    <m/>
    <m/>
    <n v="30.584707646176909"/>
    <m/>
    <m/>
    <m/>
    <m/>
    <m/>
    <m/>
    <m/>
    <m/>
    <n v="30.584707646176909"/>
    <m/>
    <m/>
    <m/>
  </r>
  <r>
    <x v="0"/>
    <x v="0"/>
    <m/>
    <s v="average of 45 model farms in 38 countries"/>
    <m/>
    <s v="world"/>
    <n v="2011"/>
    <s v="Hagemann, Martin_x000a_Hemme, Torsten_x000a_Ndambi, Asaah_x000a_Alqaisi, Othman_x000a_Sultana, Mst Nadira"/>
    <m/>
    <s v="Peer Reviewed Journal"/>
    <s v="Hagemann, M., Hemme, T., Ndambi, A., Alqaisi, O. and Sultana, M. N., Benchmarking of greenhouse gas emissions of bovine milk production systems for 38 countries. Animal feed science and technology 2011, 166, 46-58."/>
    <s v="Yes"/>
    <s v="No"/>
    <s v="No"/>
    <s v="No"/>
    <s v="No"/>
    <s v="No"/>
    <s v="No"/>
    <s v="No"/>
    <s v="No"/>
    <s v="No"/>
    <s v="No"/>
    <s v="No"/>
    <m/>
    <m/>
    <m/>
    <m/>
    <s v="kg ECM"/>
    <m/>
    <s v=""/>
    <s v=""/>
    <n v="1.24"/>
    <s v=""/>
    <m/>
    <m/>
    <m/>
    <m/>
    <m/>
    <m/>
    <m/>
    <m/>
    <m/>
    <m/>
    <m/>
    <m/>
    <m/>
    <n v="1.24"/>
    <m/>
    <m/>
    <m/>
    <m/>
    <m/>
    <m/>
    <m/>
    <m/>
    <n v="1.24"/>
    <m/>
    <s v="SD=.49, n=45"/>
    <m/>
  </r>
  <r>
    <x v="0"/>
    <x v="0"/>
    <m/>
    <s v="Aurora Organic Dairy (vertically integrated organic dairy)"/>
    <m/>
    <s v="US"/>
    <n v="2011"/>
    <s v="Heller, M. C._x000a_Keoleian, G. A."/>
    <m/>
    <s v="Peer Reviewed Journal"/>
    <s v="Heller, M. C. and Keoleian, G. A., Life Cycle Energy and Greenhouse Gas Analysis of a Large-Scale Vertically Integrated Organic Dairy in the United States. Environmental Science and Technology 2011, 45 (5), 1903-1910."/>
    <s v="Yes"/>
    <s v="No"/>
    <s v="Yes"/>
    <s v="Yes"/>
    <s v="Yes"/>
    <s v="Yes"/>
    <s v="Yes"/>
    <s v="Yes"/>
    <s v="Yes"/>
    <s v="No"/>
    <s v="No"/>
    <s v="No"/>
    <m/>
    <s v="reporting average of 2 years"/>
    <m/>
    <m/>
    <s v="1 L packaged fluid milk"/>
    <s v="1.035kg/L"/>
    <n v="5.5993499999999994"/>
    <n v="9.4024251999999997"/>
    <n v="1.516275"/>
    <n v="1.72224"/>
    <n v="5.5993499999999994"/>
    <n v="0.49472999999999995"/>
    <n v="3.3083452000000002"/>
    <n v="2.8255499999999998"/>
    <n v="3.6638999999999999"/>
    <n v="0.67274999999999996"/>
    <n v="2.3463449999999999"/>
    <n v="1.0142999999999999E-2"/>
    <m/>
    <n v="5.5993499999999994"/>
    <n v="18.921113199999997"/>
    <m/>
    <m/>
    <n v="1.516275"/>
    <n v="3.5189999999999999E-2"/>
    <n v="0.17077499999999998"/>
    <n v="0.13734450000000001"/>
    <n v="0.24498449999999997"/>
    <n v="4.0468499999999998E-2"/>
    <n v="0.14862599999999998"/>
    <n v="9.2114999999999989E-2"/>
    <m/>
    <n v="1.516275"/>
    <n v="2.3857785000000002"/>
    <m/>
    <m/>
  </r>
  <r>
    <x v="0"/>
    <x v="0"/>
    <s v="Fresh or Not Specified"/>
    <s v="average of 41 intensive dairy farms in the Po valley "/>
    <m/>
    <s v="Italy"/>
    <n v="2013"/>
    <s v="Guerci, Matteo_x000a_Bava, Luciana_x000a_Zucali, Maddalena_x000a_Sandrucci, Anna_x000a_Penati, Chiara_x000a_Tamburini, Alberto"/>
    <s v="Intensive dairy farms in Italy"/>
    <s v="Peer Reviewed Journal"/>
    <s v="Guerci, M., Bava, L., Zucali, M., Sandrucci, A., Penati, C. and Tamburini, A., Effect of farming strategies on environmental impact of intensive dairy farms in Italy. Journal of Dairy Research 2013, 80 (3), 300-308."/>
    <s v="Yes"/>
    <s v="No"/>
    <s v="No"/>
    <s v="No"/>
    <s v="No"/>
    <s v="No"/>
    <s v="No"/>
    <s v="No"/>
    <s v="No"/>
    <s v="No"/>
    <s v="No"/>
    <s v="No"/>
    <m/>
    <s v="cradle to farm gate"/>
    <m/>
    <m/>
    <s v="kg FPCM"/>
    <m/>
    <n v="5.97"/>
    <s v=""/>
    <n v="1.3"/>
    <s v=""/>
    <n v="5.97"/>
    <m/>
    <m/>
    <m/>
    <m/>
    <m/>
    <m/>
    <m/>
    <m/>
    <n v="5.97"/>
    <m/>
    <m/>
    <s v="sd= 1.32; on-farm and off-farm values"/>
    <n v="1.3"/>
    <m/>
    <m/>
    <m/>
    <m/>
    <m/>
    <m/>
    <m/>
    <m/>
    <n v="1.3"/>
    <m/>
    <n v="0.19"/>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87"/>
    <s v=""/>
    <n v="1.43"/>
    <s v=""/>
    <n v="2.87"/>
    <m/>
    <m/>
    <m/>
    <m/>
    <m/>
    <m/>
    <m/>
    <m/>
    <n v="2.87"/>
    <m/>
    <m/>
    <s v="Provides on-farm %s"/>
    <n v="1.43"/>
    <m/>
    <m/>
    <m/>
    <m/>
    <m/>
    <m/>
    <m/>
    <m/>
    <n v="1.43"/>
    <m/>
    <m/>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5499999999999998"/>
    <s v=""/>
    <n v="1.1000000000000001"/>
    <s v=""/>
    <n v="2.5499999999999998"/>
    <m/>
    <m/>
    <m/>
    <m/>
    <m/>
    <m/>
    <m/>
    <m/>
    <n v="2.5499999999999998"/>
    <m/>
    <m/>
    <s v="Provides on-farm %s"/>
    <n v="1.1000000000000001"/>
    <m/>
    <m/>
    <m/>
    <m/>
    <m/>
    <m/>
    <m/>
    <m/>
    <n v="1.1000000000000001"/>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08"/>
    <s v=""/>
    <n v="1.57"/>
    <s v=""/>
    <n v="3.08"/>
    <m/>
    <m/>
    <m/>
    <m/>
    <m/>
    <m/>
    <m/>
    <m/>
    <n v="3.08"/>
    <m/>
    <m/>
    <s v="Provides on-farm %s"/>
    <n v="1.57"/>
    <m/>
    <m/>
    <m/>
    <m/>
    <m/>
    <m/>
    <m/>
    <m/>
    <n v="1.57"/>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96"/>
    <s v=""/>
    <n v="1.27"/>
    <s v=""/>
    <n v="2.96"/>
    <m/>
    <m/>
    <m/>
    <m/>
    <m/>
    <m/>
    <m/>
    <m/>
    <n v="2.96"/>
    <m/>
    <m/>
    <s v="Provides on-farm %s"/>
    <n v="1.27"/>
    <m/>
    <m/>
    <m/>
    <m/>
    <m/>
    <m/>
    <m/>
    <m/>
    <n v="1.27"/>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5.29"/>
    <s v=""/>
    <n v="1.66"/>
    <s v=""/>
    <n v="5.29"/>
    <m/>
    <m/>
    <m/>
    <m/>
    <m/>
    <m/>
    <m/>
    <m/>
    <n v="5.29"/>
    <m/>
    <m/>
    <s v="Provides on-farm %s"/>
    <n v="1.66"/>
    <m/>
    <m/>
    <m/>
    <m/>
    <m/>
    <m/>
    <m/>
    <m/>
    <n v="1.66"/>
    <m/>
    <m/>
    <m/>
  </r>
  <r>
    <x v="0"/>
    <x v="0"/>
    <s v="Fresh or Not Specified"/>
    <m/>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1"/>
    <s v=""/>
    <n v="1.32"/>
    <s v=""/>
    <n v="3.71"/>
    <m/>
    <m/>
    <m/>
    <m/>
    <m/>
    <m/>
    <m/>
    <m/>
    <n v="3.71"/>
    <m/>
    <m/>
    <s v="Provides on-farm %s"/>
    <n v="1.32"/>
    <m/>
    <m/>
    <m/>
    <m/>
    <m/>
    <m/>
    <m/>
    <m/>
    <n v="1.32"/>
    <m/>
    <m/>
    <m/>
  </r>
  <r>
    <x v="0"/>
    <x v="0"/>
    <s v="Fresh or Not Specified"/>
    <s v="pasture based feeding in the summer"/>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0.92"/>
    <s v=""/>
    <n v="0.55000000000000004"/>
    <s v=""/>
    <n v="0.92"/>
    <m/>
    <m/>
    <m/>
    <m/>
    <m/>
    <m/>
    <m/>
    <m/>
    <n v="0.92"/>
    <m/>
    <m/>
    <s v="Provides on-farm %s"/>
    <n v="0.55000000000000004"/>
    <m/>
    <m/>
    <m/>
    <m/>
    <m/>
    <m/>
    <m/>
    <m/>
    <n v="0.55000000000000004"/>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09"/>
    <s v=""/>
    <n v="1.36"/>
    <s v=""/>
    <n v="4.09"/>
    <m/>
    <m/>
    <m/>
    <m/>
    <m/>
    <m/>
    <m/>
    <m/>
    <n v="4.09"/>
    <m/>
    <m/>
    <s v="Provides on-farm %s"/>
    <n v="1.36"/>
    <m/>
    <m/>
    <m/>
    <m/>
    <m/>
    <m/>
    <m/>
    <m/>
    <n v="1.36"/>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3"/>
    <s v=""/>
    <n v="1.91"/>
    <s v=""/>
    <n v="3.73"/>
    <m/>
    <m/>
    <m/>
    <m/>
    <m/>
    <m/>
    <m/>
    <m/>
    <n v="3.73"/>
    <m/>
    <m/>
    <s v="Provides on-farm %s"/>
    <n v="1.91"/>
    <m/>
    <m/>
    <m/>
    <m/>
    <m/>
    <m/>
    <m/>
    <m/>
    <n v="1.91"/>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12"/>
    <s v=""/>
    <n v="1.47"/>
    <s v=""/>
    <n v="4.12"/>
    <m/>
    <m/>
    <m/>
    <m/>
    <m/>
    <m/>
    <m/>
    <m/>
    <n v="4.12"/>
    <m/>
    <m/>
    <s v="Provides on-farm %s"/>
    <n v="1.47"/>
    <m/>
    <m/>
    <m/>
    <m/>
    <m/>
    <m/>
    <m/>
    <m/>
    <n v="1.47"/>
    <m/>
    <m/>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37"/>
    <s v=""/>
    <n v="1.18"/>
    <s v=""/>
    <n v="3.37"/>
    <m/>
    <m/>
    <m/>
    <m/>
    <m/>
    <m/>
    <m/>
    <m/>
    <n v="3.37"/>
    <m/>
    <m/>
    <s v="Provides on-farm %s"/>
    <n v="1.18"/>
    <m/>
    <m/>
    <m/>
    <m/>
    <m/>
    <m/>
    <m/>
    <m/>
    <n v="1.18"/>
    <m/>
    <m/>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4"/>
    <s v=""/>
    <n v="1.1100000000000001"/>
    <s v=""/>
    <n v="2.4"/>
    <m/>
    <m/>
    <m/>
    <m/>
    <m/>
    <m/>
    <m/>
    <m/>
    <n v="2.4"/>
    <m/>
    <m/>
    <s v="Provides on-farm %s"/>
    <n v="1.1100000000000001"/>
    <m/>
    <m/>
    <m/>
    <m/>
    <m/>
    <m/>
    <m/>
    <m/>
    <n v="1.1100000000000001"/>
    <m/>
    <m/>
    <m/>
  </r>
  <r>
    <x v="0"/>
    <x v="5"/>
    <s v="Fresh or Not Specified"/>
    <s v="an average for different forms (drinking, stirrable, and solid) of  yogurt"/>
    <m/>
    <s v="Portugal"/>
    <n v="2013"/>
    <s v="González-García, Sara_x000a_Castanheira, Érica G._x000a_Dias, Ana Cláudia_x000a_Arroja, Luis"/>
    <s v="Environmental LCA of a diary product"/>
    <s v="Peer Reviewed Journal"/>
    <s v="González-García, S., Castanheira, É. G., Dias, A. C. and Arroja, L., Environmental life cycle assessment of a dairy product: the yoghurt. The International Journal of Life Cycle Assessment 2013, 18 (4), 796-811."/>
    <s v="Yes"/>
    <s v="No"/>
    <s v="Yes"/>
    <s v="Yes"/>
    <s v="Yes"/>
    <s v="Yes"/>
    <s v="Yes"/>
    <s v="Yes"/>
    <s v="Yes"/>
    <s v="No"/>
    <s v="Yes"/>
    <s v="No"/>
    <s v="Final Disposal"/>
    <s v="cradle to grave; uses mass allocation"/>
    <s v="Yes"/>
    <m/>
    <s v="1 tonne yogurt at the household"/>
    <m/>
    <n v="3.1236359999999999"/>
    <n v="9.6909869999999998"/>
    <n v="0.60097"/>
    <n v="1.3679779999999999"/>
    <n v="3.1236359999999999"/>
    <n v="0.80828900000000004"/>
    <n v="5.7590620000000001"/>
    <n v="4.7992179999999998"/>
    <m/>
    <n v="1.7353540000000001"/>
    <n v="0.86767700000000003"/>
    <n v="8.6767999999999998E-2"/>
    <m/>
    <n v="3.1236359999999999"/>
    <n v="17.180004"/>
    <m/>
    <m/>
    <n v="0.60097"/>
    <n v="5.8043999999999998E-2"/>
    <n v="0.70896400000000004"/>
    <n v="0.16583999999999999"/>
    <m/>
    <n v="0.134545"/>
    <n v="8.0726999999999993E-2"/>
    <n v="2.6908999999999999E-2"/>
    <m/>
    <n v="0.60097"/>
    <n v="1.7759989999999999"/>
    <m/>
    <m/>
  </r>
  <r>
    <x v="0"/>
    <x v="0"/>
    <s v="Fresh or Not Specified"/>
    <s v="average for simple (whole, semi-skimmed, and skimmed) UHT milk and cocoa UHT milk"/>
    <m/>
    <s v="Portugal"/>
    <n v="2013"/>
    <s v="González-García, Sara_x000a_Castanheira, Érica G._x000a_Dias, Ana Cláudia_x000a_Arroja, Luis"/>
    <s v="Using LCA to assess UHT milk production"/>
    <s v="Peer Reviewed Journal"/>
    <s v="González-García, S., Castanheira, É. G., Dias, A. C. and Arroja, L., Using Life Cycle Assessment methodology to assess UHT milk production in Portugal. Science of The Total Environment 2013, 442, 225-234."/>
    <s v="Yes"/>
    <s v="No"/>
    <s v="Yes"/>
    <s v="Yes"/>
    <s v="Yes"/>
    <s v="No"/>
    <s v="No"/>
    <s v="No"/>
    <s v="No"/>
    <s v="No"/>
    <s v="No"/>
    <s v="No"/>
    <m/>
    <s v="cradle to factory gate; uses mass allocation"/>
    <m/>
    <m/>
    <s v="1 kg ECM"/>
    <m/>
    <n v="5.0651999999999999"/>
    <n v="10.56295793"/>
    <n v="0.96256799999999998"/>
    <n v="1.734262"/>
    <n v="5.0651999999999999"/>
    <n v="1.2905534999999999"/>
    <n v="4.20720443"/>
    <n v="1.49704207"/>
    <m/>
    <m/>
    <m/>
    <m/>
    <m/>
    <n v="5.0651999999999999"/>
    <n v="12.059999999999999"/>
    <m/>
    <m/>
    <n v="0.96256799999999998"/>
    <n v="9.1800000000000007E-2"/>
    <n v="0.679894"/>
    <n v="5.738E-3"/>
    <m/>
    <m/>
    <m/>
    <m/>
    <m/>
    <n v="0.96256799999999998"/>
    <n v="1.74"/>
    <m/>
    <m/>
  </r>
  <r>
    <x v="0"/>
    <x v="4"/>
    <s v="Fresh or Not Specified"/>
    <s v="San Simon da Costa cheese (a type of Galician cheese)"/>
    <m/>
    <s v="Spain"/>
    <n v="2013"/>
    <s v="González-García, Sara_x000a_Hospido, Almudena_x000a_Moreira, María Teresa_x000a_Feijoo, Gumersindo_x000a_Arroja, Luis"/>
    <s v="Environmental LCA of a Galician cheese"/>
    <s v="Peer Reviewed Journal"/>
    <s v="González-García, S., Hospido, A., Moreira, M. T., Feijoo, G. and Arroja, L., Environmental Life Cycle Assessment of a Galician cheese: San Simon da Costa. Journal of Cleaner Production 2013, 52, 253-262."/>
    <s v="Yes"/>
    <s v="No"/>
    <s v="Yes"/>
    <s v="Yes"/>
    <s v="Yes"/>
    <s v="No"/>
    <s v="No"/>
    <s v="No"/>
    <s v="No"/>
    <s v="No"/>
    <s v="No"/>
    <s v="No"/>
    <s v="Wastewater treatment plant"/>
    <s v="cradle to packaging; with waste included"/>
    <s v="Yes"/>
    <m/>
    <s v="1 kg cheese packaged or ready to be consumed"/>
    <m/>
    <n v="45.29"/>
    <n v="67.600999999999999"/>
    <n v="8.52"/>
    <n v="10.026999999999999"/>
    <n v="45.29"/>
    <n v="3.4860000000000002"/>
    <n v="18.824999999999999"/>
    <n v="1.569"/>
    <m/>
    <m/>
    <m/>
    <n v="2.81"/>
    <m/>
    <n v="45.29"/>
    <n v="71.98"/>
    <m/>
    <m/>
    <n v="8.52"/>
    <n v="0.23860000000000001"/>
    <n v="1.2684"/>
    <n v="0.113"/>
    <m/>
    <m/>
    <m/>
    <n v="0.3"/>
    <m/>
    <n v="8.52"/>
    <n v="10.44"/>
    <m/>
    <m/>
  </r>
  <r>
    <x v="4"/>
    <x v="66"/>
    <s v="Fresh or Not Specified"/>
    <s v="Golden delicious apple; West Viriginia"/>
    <m/>
    <s v="US"/>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63882"/>
    <s v=""/>
    <m/>
    <m/>
    <m/>
    <m/>
    <m/>
    <m/>
    <m/>
    <m/>
    <m/>
    <m/>
    <m/>
    <m/>
    <m/>
    <n v="0.163882"/>
    <m/>
    <m/>
    <m/>
    <m/>
    <m/>
    <m/>
    <m/>
    <m/>
    <n v="0.163882"/>
    <m/>
    <m/>
    <m/>
  </r>
  <r>
    <x v="4"/>
    <x v="66"/>
    <s v="Fresh or Not Specified"/>
    <s v="Grigia di Torriana apple; Cue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20388999999999999"/>
    <s v=""/>
    <m/>
    <m/>
    <m/>
    <m/>
    <m/>
    <m/>
    <m/>
    <m/>
    <m/>
    <m/>
    <m/>
    <m/>
    <m/>
    <n v="0.20388999999999999"/>
    <m/>
    <m/>
    <m/>
    <m/>
    <m/>
    <m/>
    <m/>
    <m/>
    <n v="0.20388999999999999"/>
    <m/>
    <m/>
    <m/>
  </r>
  <r>
    <x v="4"/>
    <x v="66"/>
    <s v="Fresh or Not Specified"/>
    <s v="Magnana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287399999999999"/>
    <s v=""/>
    <m/>
    <m/>
    <m/>
    <m/>
    <m/>
    <m/>
    <m/>
    <m/>
    <m/>
    <m/>
    <m/>
    <m/>
    <m/>
    <n v="0.19287399999999999"/>
    <m/>
    <m/>
    <m/>
    <m/>
    <m/>
    <m/>
    <m/>
    <m/>
    <n v="0.19287399999999999"/>
    <m/>
    <m/>
    <m/>
  </r>
  <r>
    <x v="4"/>
    <x v="66"/>
    <s v="Fresh or Not Specified"/>
    <s v="Runse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654840000000001"/>
    <s v=""/>
    <m/>
    <m/>
    <m/>
    <m/>
    <m/>
    <m/>
    <m/>
    <m/>
    <m/>
    <m/>
    <m/>
    <m/>
    <m/>
    <n v="0.19654840000000001"/>
    <m/>
    <m/>
    <m/>
    <m/>
    <m/>
    <m/>
    <m/>
    <m/>
    <n v="0.19654840000000001"/>
    <m/>
    <m/>
    <m/>
  </r>
  <r>
    <x v="4"/>
    <x v="239"/>
    <s v="Fresh or Not Specified"/>
    <s v="Brazilian yellow melon; produced in non-heated greenhouses"/>
    <m/>
    <s v="Brazil"/>
    <n v="2013"/>
    <s v="Brito de Figueirêdo, Maria Cléa_x000a_Kroeze, Carolien_x000a_Potting, José_x000a_da Silva Barros, Viviane_x000a_Sousa de Aragão, Fernando Antônio_x000a_Gondim, Rubens Sonsol_x000a_de Lima Santos, Tayane_x000a_de Boer, Imke J. M."/>
    <s v="Carbon footprint of Brazilian yellow melon"/>
    <s v="Peer Reviewed Journal"/>
    <s v="Brito De Figueirêdo, M. C., Kroeze, C., Potting, J., Da Silva Barros, V., Sousa De Aragão, F. A., Gondim, R. S., De Lima Santos, T. and De Boer, I. J. M., The carbon footprint of exported Brazilian yellow melon. Journal of Cleaner Production 2013, 47, 404-414."/>
    <s v="Yes"/>
    <s v="No"/>
    <s v="No"/>
    <s v="No"/>
    <s v="No"/>
    <s v="Yes"/>
    <s v="No"/>
    <s v="No"/>
    <s v="No"/>
    <s v="No"/>
    <s v="No"/>
    <s v="No"/>
    <m/>
    <s v="cradle to transport to retail"/>
    <m/>
    <m/>
    <s v="1 tonne of melon"/>
    <m/>
    <s v=""/>
    <s v=""/>
    <n v="0.64634482758620693"/>
    <s v=""/>
    <m/>
    <m/>
    <m/>
    <m/>
    <m/>
    <m/>
    <m/>
    <m/>
    <m/>
    <m/>
    <m/>
    <m/>
    <m/>
    <n v="0.64634482758620693"/>
    <m/>
    <m/>
    <m/>
    <n v="6.3655172413793107E-2"/>
    <m/>
    <m/>
    <m/>
    <m/>
    <n v="0.64634482758620693"/>
    <n v="0.71000000000000008"/>
    <m/>
    <m/>
  </r>
  <r>
    <x v="0"/>
    <x v="0"/>
    <s v="Fresh or Not Specified"/>
    <s v="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FPCM"/>
    <m/>
    <s v=""/>
    <s v=""/>
    <n v="1.02"/>
    <s v=""/>
    <m/>
    <m/>
    <m/>
    <m/>
    <m/>
    <m/>
    <m/>
    <m/>
    <m/>
    <m/>
    <m/>
    <m/>
    <m/>
    <n v="1.02"/>
    <m/>
    <m/>
    <m/>
    <m/>
    <m/>
    <m/>
    <m/>
    <m/>
    <n v="1.02"/>
    <m/>
    <m/>
    <m/>
  </r>
  <r>
    <x v="1"/>
    <x v="3"/>
    <s v="Fresh or Not Specified"/>
    <s v="culled cows and heifer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32.488755622188904"/>
    <s v=""/>
    <m/>
    <m/>
    <m/>
    <m/>
    <m/>
    <m/>
    <m/>
    <m/>
    <m/>
    <m/>
    <m/>
    <m/>
    <m/>
    <n v="32.488755622188904"/>
    <m/>
    <m/>
    <m/>
    <m/>
    <m/>
    <m/>
    <m/>
    <m/>
    <n v="32.488755622188904"/>
    <m/>
    <m/>
    <m/>
  </r>
  <r>
    <x v="1"/>
    <x v="3"/>
    <s v="Fresh or Not Specified"/>
    <s v="young bull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25.862068965517238"/>
    <s v=""/>
    <m/>
    <m/>
    <m/>
    <m/>
    <m/>
    <m/>
    <m/>
    <m/>
    <m/>
    <m/>
    <m/>
    <m/>
    <m/>
    <n v="25.862068965517238"/>
    <m/>
    <m/>
    <m/>
    <m/>
    <m/>
    <m/>
    <m/>
    <m/>
    <n v="25.862068965517238"/>
    <m/>
    <m/>
    <m/>
  </r>
  <r>
    <x v="1"/>
    <x v="24"/>
    <s v="Fresh or Not Specified"/>
    <s v="Queensland;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20.38961038961039"/>
    <n v="26.233766233766232"/>
    <n v="2.5494363636363637"/>
    <n v="3.0909090909090908"/>
    <n v="20.38961038961039"/>
    <m/>
    <n v="5.8441558441558437"/>
    <m/>
    <m/>
    <m/>
    <m/>
    <m/>
    <m/>
    <n v="20.38961038961039"/>
    <n v="26.233766233766232"/>
    <m/>
    <m/>
    <n v="2.5494363636363637"/>
    <m/>
    <n v="0.54147272727272733"/>
    <m/>
    <m/>
    <m/>
    <m/>
    <m/>
    <m/>
    <n v="2.5494363636363637"/>
    <n v="3.0909090909090908"/>
    <m/>
    <m/>
  </r>
  <r>
    <x v="1"/>
    <x v="24"/>
    <s v="Fresh or Not Specified"/>
    <s v="South Australia;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4.285714285714285"/>
    <n v="18.831168831168831"/>
    <n v="2.1918909090909091"/>
    <n v="2.4545454545454546"/>
    <n v="14.285714285714285"/>
    <m/>
    <n v="4.545454545454545"/>
    <m/>
    <m/>
    <m/>
    <m/>
    <m/>
    <m/>
    <n v="14.285714285714285"/>
    <n v="18.831168831168831"/>
    <m/>
    <m/>
    <n v="2.1918909090909091"/>
    <m/>
    <n v="0.26265454545454547"/>
    <m/>
    <m/>
    <m/>
    <m/>
    <m/>
    <m/>
    <n v="2.1918909090909091"/>
    <n v="2.4545454545454546"/>
    <m/>
    <m/>
  </r>
  <r>
    <x v="1"/>
    <x v="24"/>
    <s v="Fresh or Not Specified"/>
    <s v="Free range"/>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7.012987012987011"/>
    <n v="21.818181818181817"/>
    <n v="2.4289506493506492"/>
    <n v="2.8441558441558441"/>
    <n v="17.012987012987011"/>
    <m/>
    <n v="4.8051948051948052"/>
    <m/>
    <m/>
    <m/>
    <m/>
    <m/>
    <m/>
    <n v="17.012987012987011"/>
    <n v="21.818181818181817"/>
    <m/>
    <m/>
    <n v="2.4289506493506492"/>
    <m/>
    <n v="0.4152051948051948"/>
    <m/>
    <m/>
    <m/>
    <m/>
    <m/>
    <m/>
    <n v="2.4289506493506492"/>
    <n v="2.8441558441558441"/>
    <m/>
    <m/>
  </r>
  <r>
    <x v="1"/>
    <x v="24"/>
    <s v="Fresh or Not Specified"/>
    <s v="Organic"/>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1.168831168831169"/>
    <n v="16.623376623376622"/>
    <n v="3.2805"/>
    <n v="3.7142857142857144"/>
    <n v="11.168831168831169"/>
    <m/>
    <n v="5.454545454545455"/>
    <m/>
    <m/>
    <m/>
    <m/>
    <m/>
    <m/>
    <n v="11.168831168831169"/>
    <n v="16.623376623376622"/>
    <m/>
    <m/>
    <n v="3.2805"/>
    <m/>
    <n v="0.43378571428571427"/>
    <m/>
    <m/>
    <m/>
    <m/>
    <m/>
    <m/>
    <n v="3.2805"/>
    <n v="3.7142857142857144"/>
    <m/>
    <m/>
  </r>
  <r>
    <x v="0"/>
    <x v="0"/>
    <s v="Fresh or Not Specified"/>
    <s v="Seasonally grass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2.2999999999999998"/>
    <s v=""/>
    <n v="0.87429999999999997"/>
    <s v=""/>
    <n v="2.2999999999999998"/>
    <m/>
    <m/>
    <m/>
    <m/>
    <m/>
    <m/>
    <m/>
    <m/>
    <n v="2.2999999999999998"/>
    <m/>
    <m/>
    <m/>
    <n v="0.87429999999999997"/>
    <m/>
    <m/>
    <m/>
    <m/>
    <m/>
    <m/>
    <m/>
    <m/>
    <n v="0.87429999999999997"/>
    <m/>
    <m/>
    <m/>
  </r>
  <r>
    <x v="0"/>
    <x v="0"/>
    <s v="Fresh or Not Specified"/>
    <s v="Confinement 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3.9"/>
    <s v=""/>
    <n v="1.0274000000000001"/>
    <s v=""/>
    <n v="3.9"/>
    <m/>
    <m/>
    <m/>
    <m/>
    <m/>
    <m/>
    <m/>
    <m/>
    <n v="3.9"/>
    <m/>
    <m/>
    <m/>
    <n v="1.0274000000000001"/>
    <m/>
    <m/>
    <m/>
    <m/>
    <m/>
    <m/>
    <m/>
    <m/>
    <n v="1.0274000000000001"/>
    <m/>
    <m/>
    <m/>
  </r>
  <r>
    <x v="1"/>
    <x v="3"/>
    <s v="Fresh or Not Specified"/>
    <s v="St-Sm (standard diet for cow-calf herd and silage maize starch for bull-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97.151424287856059"/>
    <s v=""/>
    <n v="41.679160419790101"/>
    <s v=""/>
    <n v="97.151424287856059"/>
    <m/>
    <m/>
    <m/>
    <m/>
    <m/>
    <m/>
    <m/>
    <m/>
    <n v="97.151424287856059"/>
    <m/>
    <m/>
    <m/>
    <n v="41.679160419790101"/>
    <m/>
    <m/>
    <m/>
    <m/>
    <m/>
    <m/>
    <m/>
    <m/>
    <n v="41.679160419790101"/>
    <m/>
    <m/>
    <m/>
  </r>
  <r>
    <x v="1"/>
    <x v="3"/>
    <s v="Fresh or Not Specified"/>
    <s v="O3-SML (maximizing omega-3 fatty acids using wrapped grass silage for cow-calf herd and silage maize starch plus linseed, rich in omega 3s,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2.54872563718141"/>
    <s v=""/>
    <n v="41.52923538230884"/>
    <s v=""/>
    <n v="102.54872563718141"/>
    <m/>
    <m/>
    <m/>
    <m/>
    <m/>
    <m/>
    <m/>
    <m/>
    <n v="102.54872563718141"/>
    <m/>
    <m/>
    <m/>
    <n v="41.52923538230884"/>
    <m/>
    <m/>
    <m/>
    <m/>
    <m/>
    <m/>
    <m/>
    <m/>
    <n v="41.52923538230884"/>
    <m/>
    <m/>
    <m/>
  </r>
  <r>
    <x v="1"/>
    <x v="3"/>
    <s v="Fresh or Not Specified"/>
    <s v="St-FC (standard diet for cow-calf herd and fiber-based concentrate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10.04497751124438"/>
    <s v=""/>
    <n v="41.829085457271361"/>
    <s v=""/>
    <n v="110.04497751124438"/>
    <m/>
    <m/>
    <m/>
    <m/>
    <m/>
    <m/>
    <m/>
    <m/>
    <n v="110.04497751124438"/>
    <m/>
    <m/>
    <m/>
    <n v="41.829085457271361"/>
    <m/>
    <m/>
    <m/>
    <m/>
    <m/>
    <m/>
    <m/>
    <m/>
    <n v="41.829085457271361"/>
    <m/>
    <m/>
    <m/>
  </r>
  <r>
    <x v="1"/>
    <x v="3"/>
    <s v="Fresh or Not Specified"/>
    <s v="O3-SCL (maximizing omega-3 fatty acids using wrapped grass silage for cow-calf herd and starch-based concentrate plus linseed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6.5967016491754"/>
    <s v=""/>
    <n v="40.479760119940025"/>
    <s v=""/>
    <n v="106.5967016491754"/>
    <m/>
    <m/>
    <m/>
    <m/>
    <m/>
    <m/>
    <m/>
    <m/>
    <n v="106.5967016491754"/>
    <m/>
    <m/>
    <m/>
    <n v="40.479760119940025"/>
    <m/>
    <m/>
    <m/>
    <m/>
    <m/>
    <m/>
    <m/>
    <m/>
    <n v="40.479760119940025"/>
    <m/>
    <m/>
    <m/>
  </r>
  <r>
    <x v="3"/>
    <x v="202"/>
    <s v="Fresh or Not Specified"/>
    <s v="Hokaido pumpkin; Small integrated vegetable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3.5799999999999998E-2"/>
    <s v=""/>
    <m/>
    <m/>
    <m/>
    <m/>
    <m/>
    <m/>
    <m/>
    <m/>
    <m/>
    <m/>
    <m/>
    <m/>
    <m/>
    <n v="3.5799999999999998E-2"/>
    <m/>
    <m/>
    <m/>
    <n v="9.9999999999999995E-7"/>
    <n v="7.0500000000000001E-4"/>
    <n v="0.67349999999999999"/>
    <m/>
    <m/>
    <n v="3.5799999999999998E-2"/>
    <n v="0.71000600000000003"/>
    <m/>
    <m/>
  </r>
  <r>
    <x v="3"/>
    <x v="202"/>
    <s v="Fresh or Not Specified"/>
    <s v="Hokaido pumpkin; Small organic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0"/>
    <n v="8.0029999999999999E-4"/>
    <n v="0.67349999999999999"/>
    <m/>
    <m/>
    <n v="4.1300000000000003E-2"/>
    <n v="0.71560029999999997"/>
    <m/>
    <m/>
  </r>
  <r>
    <x v="3"/>
    <x v="202"/>
    <s v="Fresh or Not Specified"/>
    <s v="Hokaido pumpkin; Large farm devoted to pumpkin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1.46E-2"/>
    <s v=""/>
    <m/>
    <m/>
    <m/>
    <m/>
    <m/>
    <m/>
    <m/>
    <m/>
    <m/>
    <m/>
    <m/>
    <m/>
    <m/>
    <n v="1.46E-2"/>
    <m/>
    <m/>
    <m/>
    <n v="5.0000000000000002E-5"/>
    <n v="8.9999999999999998E-4"/>
    <n v="0.1235"/>
    <m/>
    <m/>
    <n v="1.46E-2"/>
    <n v="0.13905000000000001"/>
    <m/>
    <m/>
  </r>
  <r>
    <x v="3"/>
    <x v="202"/>
    <s v="Fresh or Not Specified"/>
    <s v="Imported to Germany from Mendoza; organic"/>
    <s v="Yes"/>
    <s v="Argentina"/>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7.1300000000000002E-2"/>
    <n v="6.7999999999999996E-3"/>
    <n v="0.1235"/>
    <m/>
    <m/>
    <n v="4.1300000000000003E-2"/>
    <n v="0.2429"/>
    <m/>
    <m/>
  </r>
  <r>
    <x v="1"/>
    <x v="24"/>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4.57"/>
    <n v="4.74"/>
    <m/>
    <m/>
    <m/>
    <m/>
    <m/>
    <m/>
    <m/>
    <m/>
    <m/>
    <m/>
    <m/>
    <m/>
    <m/>
    <n v="4.57"/>
    <m/>
    <n v="0.17"/>
    <n v="0.6"/>
    <n v="0.23"/>
    <n v="0.06"/>
    <n v="0.34"/>
    <m/>
    <m/>
    <n v="4.57"/>
    <n v="5.97"/>
    <m/>
    <m/>
  </r>
  <r>
    <x v="1"/>
    <x v="2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5.57"/>
    <n v="5.69"/>
    <m/>
    <m/>
    <m/>
    <m/>
    <m/>
    <m/>
    <m/>
    <m/>
    <m/>
    <m/>
    <m/>
    <m/>
    <m/>
    <n v="5.57"/>
    <m/>
    <n v="0.12"/>
    <n v="0.6"/>
    <n v="0.24"/>
    <n v="7.0000000000000007E-2"/>
    <n v="0.34"/>
    <m/>
    <m/>
    <n v="5.57"/>
    <n v="6.94"/>
    <m/>
    <m/>
  </r>
  <r>
    <x v="1"/>
    <x v="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34.299999999999997"/>
    <n v="34.339999999999996"/>
    <m/>
    <m/>
    <m/>
    <m/>
    <m/>
    <m/>
    <m/>
    <m/>
    <m/>
    <m/>
    <m/>
    <m/>
    <m/>
    <n v="34.299999999999997"/>
    <m/>
    <n v="0.04"/>
    <n v="0.6"/>
    <n v="0.24"/>
    <n v="7.0000000000000007E-2"/>
    <n v="0.34"/>
    <m/>
    <m/>
    <n v="34.299999999999997"/>
    <n v="35.590000000000003"/>
    <m/>
    <m/>
  </r>
  <r>
    <x v="5"/>
    <x v="122"/>
    <s v="Dried"/>
    <s v="Conventional;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5.2"/>
    <s v=""/>
    <n v="1.46"/>
    <s v=""/>
    <n v="5.2"/>
    <m/>
    <m/>
    <m/>
    <m/>
    <m/>
    <m/>
    <m/>
    <m/>
    <n v="5.2"/>
    <m/>
    <m/>
    <m/>
    <n v="1.46"/>
    <m/>
    <m/>
    <m/>
    <m/>
    <m/>
    <m/>
    <m/>
    <m/>
    <n v="1.46"/>
    <m/>
    <m/>
    <m/>
  </r>
  <r>
    <x v="5"/>
    <x v="122"/>
    <s v="Dried"/>
    <s v="Environmentally friendly production;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4.5999999999999996"/>
    <s v=""/>
    <n v="1.58"/>
    <s v=""/>
    <n v="4.5999999999999996"/>
    <m/>
    <m/>
    <m/>
    <m/>
    <m/>
    <m/>
    <m/>
    <m/>
    <n v="4.5999999999999996"/>
    <m/>
    <m/>
    <m/>
    <n v="1.58"/>
    <m/>
    <m/>
    <m/>
    <m/>
    <m/>
    <m/>
    <m/>
    <m/>
    <n v="1.58"/>
    <m/>
    <m/>
    <m/>
  </r>
  <r>
    <x v="5"/>
    <x v="122"/>
    <s v="Dried"/>
    <s v="Organic;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6.1"/>
    <s v=""/>
    <n v="2"/>
    <s v=""/>
    <n v="6.1"/>
    <m/>
    <m/>
    <m/>
    <m/>
    <m/>
    <m/>
    <m/>
    <m/>
    <n v="6.1"/>
    <m/>
    <m/>
    <m/>
    <n v="2"/>
    <m/>
    <m/>
    <m/>
    <m/>
    <m/>
    <m/>
    <m/>
    <m/>
    <n v="2"/>
    <m/>
    <m/>
    <m/>
  </r>
  <r>
    <x v="4"/>
    <x v="73"/>
    <s v="Fresh or Not Specified"/>
    <s v="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54220000000000002"/>
    <s v=""/>
    <m/>
    <m/>
    <m/>
    <m/>
    <m/>
    <m/>
    <m/>
    <m/>
    <m/>
    <m/>
    <m/>
    <m/>
    <m/>
    <n v="0.54220000000000002"/>
    <m/>
    <m/>
    <m/>
    <m/>
    <m/>
    <m/>
    <m/>
    <m/>
    <n v="0.54220000000000002"/>
    <m/>
    <m/>
    <m/>
  </r>
  <r>
    <x v="4"/>
    <x v="73"/>
    <s v="Fresh or Not Specified"/>
    <s v="Super 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70710000000000006"/>
    <s v=""/>
    <m/>
    <m/>
    <m/>
    <m/>
    <m/>
    <m/>
    <m/>
    <m/>
    <m/>
    <m/>
    <m/>
    <m/>
    <m/>
    <n v="0.70710000000000006"/>
    <m/>
    <m/>
    <m/>
    <m/>
    <m/>
    <m/>
    <m/>
    <m/>
    <n v="0.70710000000000006"/>
    <m/>
    <m/>
    <m/>
  </r>
  <r>
    <x v="4"/>
    <x v="240"/>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4"/>
    <m/>
    <s v="Values for each LCA are not able to be broken down accurately"/>
    <m/>
    <m/>
    <m/>
    <m/>
    <m/>
    <m/>
    <m/>
    <m/>
    <m/>
    <m/>
    <n v="1.4275"/>
    <m/>
    <m/>
  </r>
  <r>
    <x v="3"/>
    <x v="241"/>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8"/>
    <m/>
    <s v="Values for each LCA are not able to be broken down accurately"/>
    <m/>
    <m/>
    <m/>
    <m/>
    <m/>
    <m/>
    <m/>
    <m/>
    <m/>
    <m/>
    <n v="0.91549999999999998"/>
    <m/>
    <m/>
  </r>
  <r>
    <x v="3"/>
    <x v="242"/>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9"/>
    <m/>
    <s v="Values for each LCA are not able to be broken down accurately"/>
    <m/>
    <m/>
    <m/>
    <m/>
    <m/>
    <m/>
    <m/>
    <m/>
    <m/>
    <m/>
    <n v="1.571"/>
    <m/>
    <m/>
  </r>
  <r>
    <x v="3"/>
    <x v="18"/>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6.2"/>
    <m/>
    <s v="Values for each LCA are not able to be broken down accurately"/>
    <m/>
    <m/>
    <m/>
    <m/>
    <m/>
    <m/>
    <m/>
    <m/>
    <m/>
    <m/>
    <n v="0.74"/>
    <m/>
    <m/>
  </r>
  <r>
    <x v="3"/>
    <x v="18"/>
    <s v="Fresh or Not Specified"/>
    <s v="Cherry tomato; 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3"/>
    <m/>
    <s v="Values for each LCA are not able to be broken down accurately"/>
    <m/>
    <m/>
    <m/>
    <m/>
    <m/>
    <m/>
    <m/>
    <m/>
    <m/>
    <m/>
    <n v="1.2459"/>
    <m/>
    <m/>
  </r>
  <r>
    <x v="0"/>
    <x v="0"/>
    <s v="Fresh or Not Specified"/>
    <s v="Average allocation attributional modelling"/>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1"/>
    <s v=""/>
    <m/>
    <m/>
    <m/>
    <m/>
    <m/>
    <m/>
    <m/>
    <m/>
    <m/>
    <m/>
    <m/>
    <m/>
    <m/>
    <n v="1.01"/>
    <m/>
    <m/>
    <m/>
    <m/>
    <m/>
    <m/>
    <m/>
    <m/>
    <n v="1.01"/>
    <m/>
    <m/>
    <m/>
  </r>
  <r>
    <x v="0"/>
    <x v="0"/>
    <s v="Fresh or Not Specified"/>
    <s v="Average allocation attributional modelling"/>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25"/>
    <s v=""/>
    <m/>
    <m/>
    <m/>
    <m/>
    <m/>
    <m/>
    <m/>
    <m/>
    <m/>
    <m/>
    <m/>
    <m/>
    <m/>
    <n v="1.25"/>
    <m/>
    <m/>
    <m/>
    <m/>
    <m/>
    <m/>
    <m/>
    <m/>
    <n v="1.25"/>
    <m/>
    <m/>
    <m/>
  </r>
  <r>
    <x v="0"/>
    <x v="0"/>
    <s v="Fresh or Not Specified"/>
    <s v="PAS2050"/>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0.94199999999999995"/>
    <s v=""/>
    <m/>
    <m/>
    <m/>
    <m/>
    <m/>
    <m/>
    <m/>
    <m/>
    <m/>
    <m/>
    <m/>
    <m/>
    <m/>
    <n v="0.94199999999999995"/>
    <m/>
    <m/>
    <m/>
    <m/>
    <m/>
    <m/>
    <m/>
    <m/>
    <n v="0.94199999999999995"/>
    <m/>
    <m/>
    <m/>
  </r>
  <r>
    <x v="0"/>
    <x v="0"/>
    <s v="Fresh or Not Specified"/>
    <s v="PAS2050"/>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1.1599999999999999"/>
    <s v=""/>
    <m/>
    <m/>
    <m/>
    <m/>
    <m/>
    <m/>
    <m/>
    <m/>
    <m/>
    <m/>
    <m/>
    <m/>
    <m/>
    <n v="1.1599999999999999"/>
    <m/>
    <m/>
    <m/>
    <m/>
    <m/>
    <m/>
    <m/>
    <m/>
    <n v="1.1599999999999999"/>
    <m/>
    <m/>
    <m/>
  </r>
  <r>
    <x v="0"/>
    <x v="0"/>
    <s v="Fresh or Not Specified"/>
    <s v="IDF guideline"/>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0.98099999999999998"/>
    <s v=""/>
    <m/>
    <m/>
    <m/>
    <m/>
    <m/>
    <m/>
    <m/>
    <m/>
    <m/>
    <m/>
    <m/>
    <m/>
    <m/>
    <n v="0.98099999999999998"/>
    <m/>
    <m/>
    <m/>
    <m/>
    <m/>
    <m/>
    <m/>
    <m/>
    <n v="0.98099999999999998"/>
    <m/>
    <m/>
    <m/>
  </r>
  <r>
    <x v="0"/>
    <x v="0"/>
    <s v="Fresh or Not Specified"/>
    <s v="IDF guideline"/>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900000000000001"/>
    <s v=""/>
    <m/>
    <m/>
    <m/>
    <m/>
    <m/>
    <m/>
    <m/>
    <m/>
    <m/>
    <m/>
    <m/>
    <m/>
    <m/>
    <n v="1.0900000000000001"/>
    <m/>
    <m/>
    <m/>
    <m/>
    <m/>
    <m/>
    <m/>
    <m/>
    <n v="1.0900000000000001"/>
    <m/>
    <m/>
    <m/>
  </r>
  <r>
    <x v="12"/>
    <x v="102"/>
    <s v="Fresh or Not Specified"/>
    <s v="Rainbow trout farmed in the Archipelago Sea area of the Baltic Sea "/>
    <m/>
    <s v="Finland"/>
    <n v="2012"/>
    <s v="Grönroos, Juha_x000a_Silvenius, Frans_x000a_Kankainen, Markus_x000a_Silvo, Kimmo_x000a_Mäkinen, Timo"/>
    <s v="Life cycle impacts Baltic Sea"/>
    <s v="Other, intergovernmental report"/>
    <s v="Grönroos, J., Silvenius, F., Kankainen, M., Silvo, K. and Mäkinen, T., Life cycle environmental impacts of different fish farming alternatives in the Baltic Sea. 2012,  (ICES CM 2012/Q:3), ."/>
    <s v="Yes"/>
    <s v="No"/>
    <s v="No"/>
    <s v="No"/>
    <s v="No"/>
    <s v="No"/>
    <s v="No"/>
    <s v="No"/>
    <s v="No"/>
    <s v="No"/>
    <s v="No"/>
    <s v="No"/>
    <m/>
    <s v="cradle to farm gate"/>
    <m/>
    <m/>
    <s v="1000 kg ungutted Rainbow trout"/>
    <s v="/1000/0.65"/>
    <n v="28.769230769230766"/>
    <s v=""/>
    <n v="2.6846153846153848"/>
    <s v=""/>
    <n v="28.769230769230766"/>
    <m/>
    <m/>
    <m/>
    <m/>
    <m/>
    <m/>
    <m/>
    <m/>
    <n v="28.769230769230766"/>
    <m/>
    <m/>
    <m/>
    <n v="2.6846153846153848"/>
    <m/>
    <m/>
    <m/>
    <m/>
    <m/>
    <m/>
    <m/>
    <m/>
    <n v="2.6846153846153848"/>
    <m/>
    <m/>
    <m/>
  </r>
  <r>
    <x v="0"/>
    <x v="0"/>
    <s v="Fresh or Not Specified"/>
    <s v="High quality milk; M1 study (follows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3196249999999998"/>
    <n v="1.5059249999999997"/>
    <m/>
    <m/>
    <m/>
    <m/>
    <m/>
    <m/>
    <m/>
    <m/>
    <m/>
    <m/>
    <m/>
    <m/>
    <m/>
    <n v="1.3196249999999998"/>
    <n v="1.5524999999999999E-2"/>
    <n v="0.17077499999999998"/>
    <m/>
    <n v="4.6574999999999991E-2"/>
    <m/>
    <m/>
    <m/>
    <m/>
    <n v="1.3196249999999998"/>
    <n v="1.5524999999999998"/>
    <m/>
    <m/>
  </r>
  <r>
    <x v="0"/>
    <x v="0"/>
    <s v="Fresh or Not Specified"/>
    <s v="High quality milk; M3 study (follows revised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10331"/>
    <n v="1.3051349999999999"/>
    <m/>
    <m/>
    <m/>
    <m/>
    <m/>
    <m/>
    <m/>
    <m/>
    <m/>
    <m/>
    <m/>
    <m/>
    <m/>
    <n v="1.10331"/>
    <n v="1.3455E-2"/>
    <n v="0.18837000000000001"/>
    <m/>
    <n v="4.0364999999999998E-2"/>
    <m/>
    <m/>
    <m/>
    <m/>
    <n v="1.10331"/>
    <n v="1.3454999999999999"/>
    <m/>
    <m/>
  </r>
  <r>
    <x v="1"/>
    <x v="1"/>
    <s v="Fresh or Not Specified"/>
    <s v="Swedish lamb; average of 10 farms (3 conventional indoor breeding, 3 conventional outdoor breeding, &amp; 4 organic)"/>
    <m/>
    <s v="Sweden"/>
    <n v="2011"/>
    <s v="Wallman, M_x000a_Cederberg, C_x000a_Sonesson, U"/>
    <s v="Life cycle assessment of Swedish Lamb Production"/>
    <s v="Other, government report"/>
    <s v="Wallman, M., Cederberg, C. and Sonesson, U., Life cycle assessment of Swedish lamb production. 2011,  (SIK-rapport NR 831), 2011."/>
    <s v="Yes"/>
    <s v="No"/>
    <s v="Yes"/>
    <s v="Yes"/>
    <s v="Yes"/>
    <s v="Yes"/>
    <s v="No"/>
    <s v="No"/>
    <s v="No"/>
    <s v="No"/>
    <s v="No"/>
    <s v="No"/>
    <m/>
    <s v="cradle to regional distribution center"/>
    <m/>
    <m/>
    <s v="1 kg carcass weight"/>
    <s v="/.658"/>
    <n v="47.112462006079028"/>
    <n v="54.711246200607903"/>
    <n v="24.012158054711247"/>
    <n v="24.316109422492403"/>
    <n v="47.112462006079028"/>
    <m/>
    <n v="7.598784194528875"/>
    <m/>
    <m/>
    <m/>
    <m/>
    <m/>
    <m/>
    <n v="47.112462006079028"/>
    <n v="54.711246200607903"/>
    <m/>
    <s v="Transport of animals to slaughter, energy use at slaughter house, packaging, and transport to regional distribution center all included in processing value- no way to separate"/>
    <n v="24.012158054711247"/>
    <m/>
    <n v="0.303951367781155"/>
    <m/>
    <m/>
    <m/>
    <m/>
    <m/>
    <m/>
    <n v="24.012158054711247"/>
    <n v="24.316109422492403"/>
    <m/>
    <m/>
  </r>
  <r>
    <x v="0"/>
    <x v="4"/>
    <s v="Fresh or Not Specified"/>
    <s v="Eight-week old, semi-hard Dutch cheese"/>
    <m/>
    <s v="The Netherlands"/>
    <n v="2011"/>
    <s v="van Middelaar, C. E._x000a_Berentsen, P. B. M._x000a_Dolman, M. A._x000a_de Boer, I. J. M."/>
    <s v="Eco-efficiency in the production chain of Dutch semi-hard cheese"/>
    <s v="Peer Reviewed Journal"/>
    <s v="Van Middelaar, C. E., Berentsen, P. B. M., Dolman, M. A. and De Boer, I. J. M., Eco-efficiency in the production chain of Dutch semi-hard cheese. Livestock Science 2011, 139 (1–2), 91-99."/>
    <s v="Yes"/>
    <s v="Yes"/>
    <s v="Yes"/>
    <s v="Yes"/>
    <s v="Yes"/>
    <s v="Yes"/>
    <s v="Yes"/>
    <s v="No"/>
    <s v="No"/>
    <s v="No"/>
    <s v="No"/>
    <s v="No"/>
    <m/>
    <s v="cradle to retail"/>
    <m/>
    <m/>
    <s v="1 kg cheese"/>
    <m/>
    <n v="32.200000000000003"/>
    <n v="42.67"/>
    <n v="7.5"/>
    <n v="8.09"/>
    <n v="32.200000000000003"/>
    <m/>
    <n v="10.469999999999999"/>
    <n v="3.38"/>
    <m/>
    <n v="1.1100000000000001"/>
    <m/>
    <m/>
    <m/>
    <n v="32.200000000000003"/>
    <n v="47.160000000000004"/>
    <m/>
    <m/>
    <n v="7.5"/>
    <m/>
    <n v="0.59"/>
    <n v="0.38"/>
    <m/>
    <n v="0.02"/>
    <m/>
    <m/>
    <m/>
    <n v="7.5"/>
    <n v="8.49"/>
    <m/>
    <m/>
  </r>
  <r>
    <x v="4"/>
    <x v="20"/>
    <s v="Fresh or Not Specified"/>
    <s v="Site A; Carbon Trust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3780000000000001"/>
    <n v="0.22739999999999999"/>
    <m/>
    <m/>
    <m/>
    <m/>
    <m/>
    <m/>
    <m/>
    <m/>
    <m/>
    <m/>
    <m/>
    <m/>
    <m/>
    <n v="0.13780000000000001"/>
    <m/>
    <n v="8.9599999999999999E-2"/>
    <m/>
    <n v="0.8962"/>
    <m/>
    <m/>
    <m/>
    <m/>
    <n v="0.13780000000000001"/>
    <n v="1.1235999999999999"/>
    <m/>
    <m/>
  </r>
  <r>
    <x v="4"/>
    <x v="20"/>
    <s v="Fresh or Not Specified"/>
    <s v="Site B; Carbon Trust methodology; exported to Europe"/>
    <m/>
    <s v="Not specified"/>
    <n v="2012"/>
    <s v="Lescot, Thierry"/>
    <s v="Carbon footprint analysis in banana production"/>
    <s v="Other"/>
    <s v="Lescot, T., Carbon footprint analysis in banana production. Second Conference of the World Banana Forum 2012, ."/>
    <s v="Yes"/>
    <s v="No"/>
    <s v="Yes"/>
    <s v="No"/>
    <s v="No"/>
    <s v="Yes"/>
    <s v="No"/>
    <s v="No"/>
    <s v="No"/>
    <s v="No"/>
    <s v="No"/>
    <s v="No"/>
    <m/>
    <s v="cradle to transport to retail"/>
    <m/>
    <m/>
    <s v="1 ton bananas"/>
    <m/>
    <s v=""/>
    <s v=""/>
    <n v="0.27750000000000008"/>
    <n v="0.36360000000000009"/>
    <m/>
    <m/>
    <m/>
    <m/>
    <m/>
    <m/>
    <m/>
    <m/>
    <m/>
    <m/>
    <m/>
    <m/>
    <m/>
    <n v="0.27750000000000008"/>
    <n v="8.6099999999999996E-2"/>
    <m/>
    <m/>
    <n v="0.56219999999999992"/>
    <m/>
    <m/>
    <m/>
    <m/>
    <n v="0.27750000000000008"/>
    <n v="0.92579999999999996"/>
    <m/>
    <m/>
  </r>
  <r>
    <x v="4"/>
    <x v="20"/>
    <s v="Fresh or Not Specified"/>
    <s v="Site B; LCA methodology; exported to Europe"/>
    <m/>
    <s v="Not specified"/>
    <n v="2012"/>
    <s v="Lescot, Thierry"/>
    <s v="Carbon footprint analysis in banana production"/>
    <s v="Other"/>
    <s v="Lescot, T., Carbon footprint analysis in banana production. Second Conference of the World Banana Forum 2012, ."/>
    <s v="Yes"/>
    <s v="No"/>
    <s v="No"/>
    <s v="No"/>
    <s v="No"/>
    <s v="Yes"/>
    <s v="No"/>
    <s v="No"/>
    <s v="No"/>
    <s v="No"/>
    <s v="No"/>
    <s v="No"/>
    <m/>
    <s v="cradle to transport to retail"/>
    <m/>
    <m/>
    <s v="1 ton bananas"/>
    <m/>
    <s v=""/>
    <s v=""/>
    <n v="0.36499999999999999"/>
    <s v=""/>
    <m/>
    <m/>
    <m/>
    <m/>
    <m/>
    <m/>
    <m/>
    <m/>
    <m/>
    <m/>
    <m/>
    <m/>
    <m/>
    <n v="0.36499999999999999"/>
    <m/>
    <m/>
    <m/>
    <n v="0.32800000000000001"/>
    <m/>
    <m/>
    <m/>
    <m/>
    <n v="0.36499999999999999"/>
    <n v="0.69300000000000006"/>
    <m/>
    <m/>
  </r>
  <r>
    <x v="4"/>
    <x v="20"/>
    <s v="Fresh or Not Specified"/>
    <s v="Site C; LCA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9159999999999999"/>
    <n v="0.30159999999999998"/>
    <m/>
    <m/>
    <m/>
    <m/>
    <m/>
    <m/>
    <m/>
    <m/>
    <m/>
    <m/>
    <m/>
    <m/>
    <m/>
    <n v="0.19159999999999999"/>
    <m/>
    <n v="0.11"/>
    <m/>
    <n v="0.35110000000000002"/>
    <m/>
    <m/>
    <m/>
    <m/>
    <n v="0.19159999999999999"/>
    <n v="0.65270000000000006"/>
    <m/>
    <m/>
  </r>
  <r>
    <x v="1"/>
    <x v="24"/>
    <s v="Fresh or Not Specified"/>
    <s v="average for Danish broiler chickens at 6 farms"/>
    <m/>
    <s v="Denmark"/>
    <n v="2011"/>
    <s v="Nielsen, NI_x000a_Jørgensen, M_x000a_Bahrndorff, S"/>
    <s v="GHGE from the Danish broiler production"/>
    <s v="Other"/>
    <s v="Nielsen, N., Jørgensen, M. and Bahrndorff, S., Greenhouse gas emission from the Danish broiler production estimated via LCA methodology. 2011, 4-22."/>
    <s v="Yes"/>
    <s v="No"/>
    <s v="No"/>
    <s v="Yes"/>
    <s v="No"/>
    <s v="No"/>
    <s v="No"/>
    <s v="No"/>
    <s v="No"/>
    <s v="No"/>
    <s v="No"/>
    <s v="Yes"/>
    <m/>
    <s v="cradle to processor gate"/>
    <m/>
    <m/>
    <s v="1 kg carcass weight"/>
    <s v="/0.77"/>
    <s v=""/>
    <s v=""/>
    <n v="2.6970000000000001"/>
    <n v="3"/>
    <m/>
    <m/>
    <m/>
    <m/>
    <m/>
    <m/>
    <m/>
    <m/>
    <m/>
    <m/>
    <m/>
    <m/>
    <m/>
    <n v="2.6970000000000001"/>
    <m/>
    <n v="0.30299999999999999"/>
    <m/>
    <m/>
    <m/>
    <m/>
    <m/>
    <m/>
    <n v="2.6970000000000001"/>
    <n v="3"/>
    <m/>
    <m/>
  </r>
  <r>
    <x v="1"/>
    <x v="30"/>
    <s v="50% Fresh; 50% Frozen"/>
    <s v="Typical Australian duck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carcass weight"/>
    <s v="/.45 from {Swanson, 1964 #663}"/>
    <n v="25.555555555555554"/>
    <n v="31.644444444444442"/>
    <n v="3.5999999999999996"/>
    <n v="4.3066666666666666"/>
    <n v="25.555555555555554"/>
    <m/>
    <n v="6.0888888888888895"/>
    <m/>
    <n v="2.3555555555555556"/>
    <m/>
    <m/>
    <m/>
    <m/>
    <n v="25.555555555555554"/>
    <n v="34"/>
    <m/>
    <m/>
    <n v="3.5999999999999996"/>
    <m/>
    <n v="0.70666666666666667"/>
    <m/>
    <n v="0.29333333333333333"/>
    <m/>
    <m/>
    <m/>
    <m/>
    <n v="3.5999999999999996"/>
    <n v="4.5999999999999996"/>
    <m/>
    <m/>
  </r>
  <r>
    <x v="1"/>
    <x v="33"/>
    <s v="50% Fresh; 50% Frozen"/>
    <s v="Typical Australian farmed rabbit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live rabbit produced for ag stage; 1 kg carcass weight for processing and distribution stages"/>
    <s v="/.795 from {Kirton, 1971 #664}"/>
    <n v="55.220125786163514"/>
    <n v="65.132075471698101"/>
    <n v="4.5408805031446535"/>
    <n v="5.3723270440251572"/>
    <n v="55.220125786163514"/>
    <m/>
    <n v="9.9119496855345908"/>
    <m/>
    <n v="1.320754716981132"/>
    <m/>
    <m/>
    <m/>
    <m/>
    <n v="55.220125786163514"/>
    <n v="66.452830188679229"/>
    <m/>
    <m/>
    <n v="4.5408805031446535"/>
    <m/>
    <n v="0.83144654088050318"/>
    <m/>
    <n v="0.13207547169811321"/>
    <m/>
    <m/>
    <m/>
    <m/>
    <n v="4.5408805031446535"/>
    <n v="5.5044025157232701"/>
    <m/>
    <m/>
  </r>
  <r>
    <x v="1"/>
    <x v="30"/>
    <s v="Fresh or Not Specified"/>
    <s v="Typical Australian emu enterprise"/>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processor gate"/>
    <m/>
    <m/>
    <s v="per kg live carcass weighing 45 kg for ag production; per kg of dressed carcass weighing 24 kg for processing"/>
    <s v="/.325 from http://posc.tamu.edu/wp-content/uploads/sites/20/2012/08/emuproduction1.pdf"/>
    <n v="44.246153846153845"/>
    <n v="49.98646153846154"/>
    <n v="4.3538461538461535"/>
    <n v="4.8615384615384611"/>
    <n v="44.246153846153845"/>
    <m/>
    <n v="5.7403076923076917"/>
    <m/>
    <m/>
    <m/>
    <m/>
    <m/>
    <m/>
    <n v="44.246153846153845"/>
    <n v="49.98646153846154"/>
    <m/>
    <s v="using economic allocation"/>
    <n v="4.3538461538461535"/>
    <m/>
    <n v="0.50769230769230766"/>
    <m/>
    <m/>
    <m/>
    <m/>
    <m/>
    <m/>
    <n v="4.3538461538461535"/>
    <n v="4.8615384615384611"/>
    <m/>
    <m/>
  </r>
  <r>
    <x v="0"/>
    <x v="29"/>
    <s v="Fresh or Not Specified"/>
    <s v="Typical Australian dairy goat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9.56"/>
    <s v=""/>
    <n v="5.61"/>
    <s v=""/>
    <n v="9.56"/>
    <m/>
    <m/>
    <m/>
    <m/>
    <m/>
    <m/>
    <m/>
    <m/>
    <n v="9.56"/>
    <m/>
    <m/>
    <m/>
    <n v="5.61"/>
    <m/>
    <m/>
    <m/>
    <m/>
    <m/>
    <m/>
    <m/>
    <m/>
    <n v="5.61"/>
    <m/>
    <m/>
    <m/>
  </r>
  <r>
    <x v="0"/>
    <x v="27"/>
    <s v="Fresh or Not Specified"/>
    <s v="Typical Australian dairy sheep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6.55"/>
    <s v=""/>
    <n v="4.0999999999999996"/>
    <s v=""/>
    <n v="6.55"/>
    <m/>
    <m/>
    <m/>
    <m/>
    <m/>
    <m/>
    <m/>
    <m/>
    <n v="6.55"/>
    <m/>
    <m/>
    <m/>
    <n v="4.0999999999999996"/>
    <m/>
    <m/>
    <m/>
    <m/>
    <m/>
    <m/>
    <m/>
    <m/>
    <n v="4.0999999999999996"/>
    <m/>
    <m/>
    <m/>
  </r>
  <r>
    <x v="12"/>
    <x v="111"/>
    <s v="Frozen"/>
    <s v="Sengalese southern pink shrimp; industri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28.697916666666664"/>
    <n v="35.229166666666664"/>
    <m/>
    <m/>
    <m/>
    <m/>
    <m/>
    <m/>
    <m/>
    <m/>
    <m/>
    <m/>
    <m/>
    <m/>
    <m/>
    <n v="28.697916666666664"/>
    <m/>
    <n v="6.53125"/>
    <m/>
    <n v="2.7708333333333335"/>
    <m/>
    <m/>
    <m/>
    <m/>
    <n v="28.697916666666664"/>
    <n v="38"/>
    <m/>
    <m/>
  </r>
  <r>
    <x v="12"/>
    <x v="111"/>
    <s v="Frozen"/>
    <s v="Sengalese southern pink shrimp; artisan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5.4166666666666669E-2"/>
    <n v="4.3874999999999993"/>
    <m/>
    <m/>
    <m/>
    <m/>
    <m/>
    <m/>
    <m/>
    <m/>
    <m/>
    <m/>
    <m/>
    <m/>
    <m/>
    <n v="5.4166666666666669E-2"/>
    <m/>
    <n v="4.333333333333333"/>
    <n v="9.4791666666666677E-2"/>
    <n v="3.3177083333333335"/>
    <m/>
    <m/>
    <m/>
    <m/>
    <n v="5.4166666666666669E-2"/>
    <n v="7.7999999999999989"/>
    <m/>
    <m/>
  </r>
  <r>
    <x v="0"/>
    <x v="0"/>
    <s v="Fresh or Not Specified"/>
    <s v="Pasture-based dairy farm in Georgia; ISFM "/>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79"/>
    <s v=""/>
    <m/>
    <m/>
    <m/>
    <m/>
    <m/>
    <m/>
    <m/>
    <m/>
    <m/>
    <m/>
    <m/>
    <m/>
    <m/>
    <n v="0.79"/>
    <m/>
    <m/>
    <m/>
    <m/>
    <m/>
    <m/>
    <m/>
    <m/>
    <n v="0.79"/>
    <m/>
    <m/>
    <m/>
  </r>
  <r>
    <x v="0"/>
    <x v="0"/>
    <s v="Fresh or Not Specified"/>
    <s v="Confinement dairy in Georgia; ISFM"/>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87"/>
    <s v=""/>
    <m/>
    <m/>
    <m/>
    <m/>
    <m/>
    <m/>
    <m/>
    <m/>
    <m/>
    <m/>
    <m/>
    <m/>
    <m/>
    <n v="0.87"/>
    <m/>
    <m/>
    <m/>
    <m/>
    <m/>
    <m/>
    <m/>
    <m/>
    <n v="0.87"/>
    <m/>
    <m/>
    <m/>
  </r>
  <r>
    <x v="1"/>
    <x v="23"/>
    <s v="Fresh or Not Specified"/>
    <s v="Typical 2010 production; PAS2050 method"/>
    <m/>
    <s v="Denmark"/>
    <n v="2011"/>
    <s v="Nguyen, T Lan T_x000a_Hermansen, John Erik_x000a_Mogensen, Lisbeth"/>
    <s v="Environmental Assessment of Danish Pork"/>
    <s v="Other, research center report"/>
    <s v="Nguyen, T. L. T., Hermansen, J. E. and Mogensen, L., Environmental assessment of Danish pork. 2011,  (REPORT NO. 103), ."/>
    <s v="Yes"/>
    <s v="No"/>
    <s v="No"/>
    <s v="Yes"/>
    <s v="No"/>
    <s v="No"/>
    <s v="No"/>
    <s v="No"/>
    <s v="No"/>
    <s v="No"/>
    <s v="No"/>
    <s v="No"/>
    <m/>
    <s v="cradle to processor gate"/>
    <m/>
    <m/>
    <s v="1kg live weight for age production; 1 kg carcass weight for processing"/>
    <s v="For ag production: /0.528; For processing: /0.729"/>
    <n v="25.824837156612858"/>
    <n v="28.658061519778379"/>
    <n v="4.134806003964882"/>
    <n v="4.3206962902359232"/>
    <n v="25.824837156612858"/>
    <m/>
    <n v="2.8332243631655194"/>
    <m/>
    <m/>
    <m/>
    <m/>
    <m/>
    <m/>
    <n v="25.824837156612858"/>
    <n v="28.658061519778379"/>
    <m/>
    <m/>
    <n v="4.134806003964882"/>
    <m/>
    <n v="0.18589028627104084"/>
    <m/>
    <m/>
    <m/>
    <m/>
    <m/>
    <m/>
    <n v="4.134806003964882"/>
    <n v="4.3206962902359232"/>
    <m/>
    <m/>
  </r>
  <r>
    <x v="0"/>
    <x v="0"/>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1"/>
    <s v=""/>
    <m/>
    <m/>
    <m/>
    <m/>
    <m/>
    <m/>
    <m/>
    <m/>
    <m/>
    <m/>
    <m/>
    <m/>
    <m/>
    <n v="0.91"/>
    <m/>
    <m/>
    <m/>
    <m/>
    <m/>
    <m/>
    <m/>
    <m/>
    <n v="0.91"/>
    <m/>
    <m/>
    <s v="Biological allocation"/>
  </r>
  <r>
    <x v="0"/>
    <x v="0"/>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
    <s v=""/>
    <m/>
    <m/>
    <m/>
    <m/>
    <m/>
    <m/>
    <m/>
    <m/>
    <m/>
    <m/>
    <m/>
    <m/>
    <m/>
    <n v="0.9"/>
    <m/>
    <m/>
    <m/>
    <m/>
    <m/>
    <m/>
    <m/>
    <m/>
    <n v="0.9"/>
    <m/>
    <m/>
    <s v="Biological allocation"/>
  </r>
  <r>
    <x v="1"/>
    <x v="25"/>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6.92"/>
    <s v=""/>
    <m/>
    <m/>
    <m/>
    <m/>
    <m/>
    <m/>
    <m/>
    <m/>
    <m/>
    <m/>
    <m/>
    <m/>
    <m/>
    <n v="6.92"/>
    <m/>
    <m/>
    <m/>
    <m/>
    <m/>
    <m/>
    <m/>
    <m/>
    <n v="6.92"/>
    <m/>
    <m/>
    <s v="Biological allocation"/>
  </r>
  <r>
    <x v="1"/>
    <x v="25"/>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7.33"/>
    <s v=""/>
    <m/>
    <m/>
    <m/>
    <m/>
    <m/>
    <m/>
    <m/>
    <m/>
    <m/>
    <m/>
    <m/>
    <m/>
    <m/>
    <n v="7.33"/>
    <m/>
    <m/>
    <m/>
    <m/>
    <m/>
    <m/>
    <m/>
    <m/>
    <n v="7.33"/>
    <m/>
    <m/>
    <s v="Biological allocation"/>
  </r>
  <r>
    <x v="7"/>
    <x v="110"/>
    <s v="Fresh or Not Specified"/>
    <s v="Carbonated Beverages, Aluminum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4.9904030710172742E-2"/>
    <m/>
    <m/>
    <m/>
    <m/>
    <m/>
    <m/>
    <m/>
    <m/>
    <m/>
    <m/>
    <n v="4.4145873320537419"/>
    <m/>
    <m/>
    <n v="3.8387715930902108E-2"/>
    <m/>
    <n v="1.1516314779270634E-2"/>
    <n v="0.23800383877159309"/>
    <n v="4.7984644913627635E-3"/>
    <n v="0.14875239923224567"/>
    <m/>
    <n v="6.7178502879078695E-3"/>
    <m/>
    <n v="3.8387715930902108E-2"/>
    <n v="0.44817658349328221"/>
    <m/>
    <s v="CML 2001"/>
  </r>
  <r>
    <x v="7"/>
    <x v="110"/>
    <s v="Fresh or Not Specified"/>
    <s v="Carbonated Beverages, PET 0.5 L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7.4856046065259113E-2"/>
    <m/>
    <m/>
    <m/>
    <m/>
    <m/>
    <m/>
    <m/>
    <m/>
    <m/>
    <m/>
    <n v="7.0057581573896348"/>
    <m/>
    <m/>
    <n v="3.8387715930902108E-2"/>
    <m/>
    <n v="3.6468330134357005E-2"/>
    <n v="0.16698656429942416"/>
    <n v="5.7581573896353169E-3"/>
    <n v="9.1170825335892505E-2"/>
    <m/>
    <n v="3.358925143953935E-2"/>
    <m/>
    <n v="3.8387715930902108E-2"/>
    <n v="0.37236084452975043"/>
    <m/>
    <s v="CML 2001"/>
  </r>
  <r>
    <x v="13"/>
    <x v="243"/>
    <m/>
    <m/>
    <m/>
    <m/>
    <m/>
    <m/>
    <m/>
    <m/>
    <m/>
    <m/>
    <m/>
    <m/>
    <m/>
    <m/>
    <m/>
    <m/>
    <m/>
    <m/>
    <m/>
    <m/>
    <m/>
    <m/>
    <m/>
    <m/>
    <m/>
    <m/>
    <m/>
    <m/>
    <m/>
    <m/>
    <m/>
    <m/>
    <m/>
    <m/>
    <m/>
    <m/>
    <m/>
    <m/>
    <m/>
    <m/>
    <m/>
    <m/>
    <m/>
    <m/>
    <m/>
    <m/>
    <m/>
    <m/>
    <m/>
    <m/>
    <m/>
    <m/>
    <m/>
    <m/>
    <m/>
    <m/>
    <m/>
  </r>
  <r>
    <x v="13"/>
    <x v="243"/>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646">
  <r>
    <x v="0"/>
    <x v="0"/>
    <s v="Fresh or Not Specified"/>
    <s v="Liquid Milk"/>
    <s v="No"/>
    <s v="USA"/>
    <n v="2013"/>
    <s v="Greg Thoma a; Jennie Popp b; Darin Nutter c; David Shonnard d; Richard Ulrich a; Marty Matlock e; Dae Soo Kim a; Zara Neiderman e; Nathan Kemper b; Cashion East a; Felix Adomd d"/>
    <s v="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
    <s v="Peer Reviewed Journal"/>
    <s v="Thoma, G., Popp, J., Nutter, D., Shonnard, D., Ulrich, R., Matlock, M., Kim, D. S., Neiderman, Z., Kemper, N., East, C. and Adom, F., Greenhouse gas emissions from milk production and consumption in the United States: A cradle-to-grave life cycle assessment circa 2008. International Dairy Journal 2013, 31 (1), S3-S14."/>
    <s v="Yes"/>
    <s v="No"/>
    <s v="Yes"/>
    <s v="Yes"/>
    <s v="Yes"/>
    <s v="Yes"/>
    <s v="Yes"/>
    <s v="Yes"/>
    <s v="Yes"/>
    <s v="No"/>
    <s v="No"/>
    <s v="No"/>
    <m/>
    <s v="Cradle-to-farm gate; farm to processor transportation; processing, packaging and distribution; retail channels; consumer transportation and storage; post consumer waste management; supply chain loss/waste; "/>
    <s v="Yes"/>
    <s v="Yes"/>
    <s v="1 kg of milk consumed"/>
    <s v="No"/>
    <s v=""/>
    <s v=""/>
    <n v="1.4759999999999998"/>
    <n v="1.6225999999999998"/>
    <m/>
    <m/>
    <m/>
    <m/>
    <m/>
    <m/>
    <m/>
    <m/>
    <m/>
    <m/>
    <m/>
    <m/>
    <m/>
    <n v="1.4759999999999998"/>
    <n v="6.9599999999999995E-2"/>
    <n v="7.6999999999999999E-2"/>
    <n v="5.3999999999999999E-2"/>
    <n v="7.1999999999999995E-2"/>
    <n v="0.12299999999999998"/>
    <n v="9.6100000000000005E-2"/>
    <n v="6.399999999999989E-3"/>
    <m/>
    <n v="1.4759999999999998"/>
    <n v="2.0499999999999998"/>
  </r>
  <r>
    <x v="1"/>
    <x v="1"/>
    <s v="Fresh or Not Specified"/>
    <s v="low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2.459373429385153"/>
    <s v=""/>
    <m/>
    <m/>
    <m/>
    <m/>
    <m/>
    <m/>
    <m/>
    <m/>
    <m/>
    <m/>
    <m/>
    <m/>
    <m/>
    <m/>
    <m/>
    <m/>
    <m/>
    <m/>
    <m/>
    <m/>
    <m/>
    <m/>
    <n v="32.459373429385153"/>
    <m/>
  </r>
  <r>
    <x v="1"/>
    <x v="1"/>
    <s v="Fresh or Not Specified"/>
    <s v="high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8.442668070746471"/>
    <s v=""/>
    <m/>
    <m/>
    <m/>
    <m/>
    <m/>
    <m/>
    <m/>
    <m/>
    <m/>
    <m/>
    <m/>
    <m/>
    <m/>
    <m/>
    <m/>
    <m/>
    <m/>
    <m/>
    <m/>
    <m/>
    <m/>
    <m/>
    <n v="38.442668070746471"/>
    <m/>
  </r>
  <r>
    <x v="1"/>
    <x v="1"/>
    <s v="Fresh or Not Specified"/>
    <s v="hill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53.430821147356575"/>
    <s v=""/>
    <m/>
    <m/>
    <m/>
    <m/>
    <m/>
    <m/>
    <m/>
    <m/>
    <m/>
    <m/>
    <m/>
    <m/>
    <m/>
    <m/>
    <m/>
    <m/>
    <m/>
    <m/>
    <m/>
    <m/>
    <m/>
    <m/>
    <n v="53.430821147356575"/>
    <m/>
  </r>
  <r>
    <x v="2"/>
    <x v="2"/>
    <s v="Fresh or Not Specified"/>
    <s v="Barn"/>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2"/>
    <s v=""/>
    <n v="2.6"/>
    <s v=""/>
    <m/>
    <m/>
    <m/>
    <m/>
    <m/>
    <m/>
    <m/>
    <m/>
    <m/>
    <n v="23.2"/>
    <m/>
    <m/>
    <m/>
    <m/>
    <m/>
    <m/>
    <m/>
    <m/>
    <m/>
    <m/>
    <m/>
    <m/>
    <n v="2.6"/>
    <m/>
  </r>
  <r>
    <x v="2"/>
    <x v="2"/>
    <s v="Fresh or Not Specified"/>
    <s v="Free ran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8"/>
    <s v=""/>
    <n v="2.7"/>
    <s v=""/>
    <m/>
    <m/>
    <m/>
    <m/>
    <m/>
    <m/>
    <m/>
    <m/>
    <m/>
    <n v="23.8"/>
    <m/>
    <m/>
    <m/>
    <m/>
    <m/>
    <m/>
    <m/>
    <m/>
    <m/>
    <m/>
    <m/>
    <m/>
    <n v="2.7"/>
    <m/>
  </r>
  <r>
    <x v="2"/>
    <x v="2"/>
    <s v="Fresh or Not Specified"/>
    <s v="Organic"/>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8"/>
    <s v=""/>
    <n v="2.5"/>
    <s v=""/>
    <m/>
    <m/>
    <m/>
    <m/>
    <m/>
    <m/>
    <m/>
    <m/>
    <m/>
    <n v="20.8"/>
    <m/>
    <m/>
    <m/>
    <m/>
    <m/>
    <m/>
    <m/>
    <m/>
    <m/>
    <m/>
    <m/>
    <m/>
    <n v="2.5"/>
    <m/>
  </r>
  <r>
    <x v="2"/>
    <x v="2"/>
    <s v="Fresh or Not Specified"/>
    <s v="Conventional enriched ca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7"/>
    <s v=""/>
    <n v="2.2349999999999999"/>
    <s v=""/>
    <m/>
    <m/>
    <m/>
    <m/>
    <m/>
    <m/>
    <m/>
    <m/>
    <m/>
    <n v="20.7"/>
    <m/>
    <m/>
    <m/>
    <m/>
    <m/>
    <m/>
    <m/>
    <m/>
    <m/>
    <m/>
    <m/>
    <m/>
    <n v="2.2349999999999999"/>
    <m/>
  </r>
  <r>
    <x v="1"/>
    <x v="3"/>
    <s v="Fresh or Not Specified"/>
    <s v="grass finished;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18.239999999999998"/>
    <n v="25.9"/>
    <n v="25.49"/>
    <n v="26.47"/>
    <n v="18.239999999999998"/>
    <m/>
    <n v="7.66"/>
    <m/>
    <n v="6.43"/>
    <n v="0.03"/>
    <m/>
    <m/>
    <m/>
    <n v="18.239999999999998"/>
    <n v="32.36"/>
    <m/>
    <m/>
    <n v="25.49"/>
    <m/>
    <n v="0.98"/>
    <m/>
    <n v="0.75600000000000001"/>
    <n v="2E-3"/>
    <m/>
    <m/>
    <m/>
    <n v="25.49"/>
    <n v="27.22"/>
  </r>
  <r>
    <x v="1"/>
    <x v="1"/>
    <s v="Fresh or Not Specified"/>
    <s v="delivered to USA"/>
    <s v="No"/>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in lamb, retail-ready in US"/>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19.468085106382979"/>
    <n v="32.917933034916103"/>
    <n v="21.88449848024316"/>
    <n v="23.268996954437689"/>
    <n v="19.468085010599999"/>
    <m/>
    <n v="13.449848024316108"/>
    <m/>
    <n v="9.7720364741641337"/>
    <n v="0.03"/>
    <m/>
    <m/>
    <m/>
    <n v="19.468085106382979"/>
    <n v="42.735562310030396"/>
    <m/>
    <m/>
    <n v="21.876899689999998"/>
    <m/>
    <n v="1.3920972644376899"/>
    <m/>
    <n v="1.1489361702127658"/>
    <n v="2E-3"/>
    <m/>
    <m/>
    <m/>
    <n v="21.88449848024316"/>
    <n v="24.422492401215806"/>
  </r>
  <r>
    <x v="1"/>
    <x v="3"/>
    <s v="Fresh or Not Specified"/>
    <s v="mid-fed (115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24"/>
    <n v="31.66"/>
    <n v="21.6"/>
    <n v="22.6"/>
    <n v="24"/>
    <m/>
    <n v="7.66"/>
    <m/>
    <n v="6.43"/>
    <n v="0.03"/>
    <m/>
    <m/>
    <m/>
    <n v="24"/>
    <n v="38.119999999999997"/>
    <m/>
    <m/>
    <n v="21.62"/>
    <m/>
    <n v="0.98"/>
    <m/>
    <n v="0.75600000000000001"/>
    <n v="2E-3"/>
    <m/>
    <m/>
    <m/>
    <n v="21.6"/>
    <n v="23.36"/>
  </r>
  <r>
    <x v="1"/>
    <x v="3"/>
    <s v="Fresh or Not Specified"/>
    <s v="long-fed (330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32.54"/>
    <n v="40.200000000000003"/>
    <n v="23.8"/>
    <n v="24.803000000000001"/>
    <n v="32.54"/>
    <m/>
    <n v="7.66"/>
    <m/>
    <n v="6.43"/>
    <n v="0.03"/>
    <m/>
    <m/>
    <m/>
    <n v="32.54"/>
    <n v="46.66"/>
    <m/>
    <m/>
    <n v="23.823"/>
    <m/>
    <n v="0.98"/>
    <m/>
    <n v="0.75600000000000001"/>
    <n v="2E-3"/>
    <m/>
    <m/>
    <m/>
    <n v="23.8"/>
    <n v="25.56"/>
  </r>
  <r>
    <x v="0"/>
    <x v="0"/>
    <s v="Fresh or Not Specified"/>
    <s v="Represents national farm demographics for liquid milk production"/>
    <s v="No"/>
    <s v="USA"/>
    <n v="2012"/>
    <s v="(a);Greg Thoma (a); Jennie Popp (b); David Shonnard (d); Darin Nutter (c); Marty Matlock (e); Richard Ulrich (a); Wayne Kellogg (f); Dae Soo Kim (a); Zara Neiderman (e); Nathan Kemper (b); Felix Adom (d); Cashion East (a)"/>
    <s v="(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
    <s v="Peer Reviewed Journal"/>
    <s v="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
    <s v="Yes"/>
    <s v="No"/>
    <s v="No"/>
    <s v="No"/>
    <s v="No"/>
    <s v="No"/>
    <s v="No"/>
    <s v="No"/>
    <s v="No"/>
    <s v="No"/>
    <s v="No"/>
    <s v="No"/>
    <m/>
    <s v="GHG during production including manure management and enteric methane emissions"/>
    <s v="No"/>
    <s v="No"/>
    <s v="1 kg of fat and protein corrected milk (FPCM; 4% fat, 3.3% protein)"/>
    <m/>
    <s v=""/>
    <s v=""/>
    <n v="1.23"/>
    <s v=""/>
    <m/>
    <m/>
    <m/>
    <m/>
    <m/>
    <m/>
    <m/>
    <m/>
    <m/>
    <m/>
    <m/>
    <m/>
    <m/>
    <m/>
    <m/>
    <m/>
    <m/>
    <m/>
    <m/>
    <m/>
    <m/>
    <m/>
    <n v="1.23"/>
    <m/>
  </r>
  <r>
    <x v="0"/>
    <x v="0"/>
    <s v="Fresh or Not Specified"/>
    <s v="Conventional milk in Galicia (Spain)"/>
    <s v="No"/>
    <s v="Spain"/>
    <n v="2003"/>
    <s v="A. Hospido; M.T. Moreira; G. Feijoo"/>
    <s v="Department of Chemical Engineering, Institute of Technology, University of Santiago de Compostela, 15782"/>
    <s v="Peer Reviewed Journal"/>
    <s v="Hospido, A., Moreira, M. T. and Feijoo, G., Simplified life cycle assessment of galician milk production. International Dairy Journal 2003, 13 (10), 783-796."/>
    <s v="Yes"/>
    <s v="No"/>
    <s v="Yes"/>
    <s v="Yes"/>
    <s v="Yes"/>
    <s v="No"/>
    <s v="No"/>
    <s v="No"/>
    <s v="No"/>
    <s v="No"/>
    <s v="Yes"/>
    <s v="No"/>
    <m/>
    <m/>
    <s v="No"/>
    <s v="No"/>
    <s v="1 L of packaged liquid milk ready to be delivered from dairy to retail"/>
    <s v="1L = .001cubic meters; milk density = 1035 kg/cubic meter"/>
    <s v=""/>
    <s v=""/>
    <n v="0.81159420289855078"/>
    <s v=""/>
    <m/>
    <m/>
    <m/>
    <m/>
    <m/>
    <m/>
    <m/>
    <m/>
    <m/>
    <m/>
    <n v="6"/>
    <s v="BUWAL250 (1996)"/>
    <m/>
    <m/>
    <m/>
    <m/>
    <m/>
    <m/>
    <m/>
    <m/>
    <m/>
    <m/>
    <n v="0.81159420289855078"/>
    <n v="1.0144927536231885"/>
  </r>
  <r>
    <x v="2"/>
    <x v="2"/>
    <s v="Fresh or Not Specified"/>
    <s v="Organic"/>
    <s v="No"/>
    <s v="Denmark"/>
    <n v="2013"/>
    <s v="Nicolaj Ingemann Nielsen a; Malene Jørgensen b; Inger Knude Rasmussen b"/>
    <s v="AgroTech A/S, Institute for Agri Technology and Food Innovation, Agro Food Park 15, 8200 Aarhus N, Denmark; Knowledge Centre for Agriculture, Poultry, Agro Food Park 15, 8200 Aarhus N, Denmark."/>
    <s v="NGO Report"/>
    <s v="Nielsen, N., Jørgensen, M. and Rasmussen, I., Greenhouse Gas Emissions from Danish Organic Egg Production estimated via LCA Methodology. 2013, 1-27."/>
    <s v="Yes"/>
    <s v="No"/>
    <s v="No"/>
    <s v="No"/>
    <s v="No"/>
    <s v="No"/>
    <s v="No"/>
    <s v="No"/>
    <s v="No"/>
    <s v="No"/>
    <s v="No"/>
    <s v="No"/>
    <m/>
    <s v="Combination of aloc and conseq approach. manure produced used to offset manure earlier in LC"/>
    <s v="No"/>
    <s v="No"/>
    <s v="1 kg eggs at farm gate"/>
    <m/>
    <s v=""/>
    <s v=""/>
    <n v="1.8"/>
    <s v=""/>
    <m/>
    <m/>
    <m/>
    <m/>
    <m/>
    <m/>
    <m/>
    <m/>
    <m/>
    <m/>
    <m/>
    <m/>
    <m/>
    <m/>
    <m/>
    <m/>
    <m/>
    <m/>
    <m/>
    <m/>
    <m/>
    <m/>
    <n v="1.8"/>
    <m/>
  </r>
  <r>
    <x v="0"/>
    <x v="0"/>
    <s v="Fresh or Not Specified"/>
    <s v="Liquid milk generated at alpine farms in Italy"/>
    <s v="No"/>
    <s v="Italy"/>
    <n v="2013"/>
    <s v="Chiara A. Penati; Alberto Tamburini, Luciana Bava; Maddalena Zucali; Anna Sandrucci"/>
    <s v="Dipartimento di Scienze Agrarie e Ambientali, Università di Milano, Italy"/>
    <s v="Peer Reviewed Journal"/>
    <s v="Penati, C. A., Tamburini, A., Bava, L., Zucali, M. and Milano, U., Environmental impact of cow milk production in the central Italian Alps using Life Cycle Assessment. Italian Journal of Animal Science 2013, 12 (96), 584-592."/>
    <s v="Yes"/>
    <s v="Yes"/>
    <s v="Yes"/>
    <s v="No"/>
    <s v="No"/>
    <s v="No"/>
    <s v="No"/>
    <s v="No"/>
    <s v="No"/>
    <s v="No"/>
    <s v="No"/>
    <s v="No"/>
    <m/>
    <s v="Cradle-to-farm gate; processes and transport of feed to farm"/>
    <s v="No"/>
    <s v="No"/>
    <s v="1 kg of fat protein corrected milk (FPCM, 4.0% of fat content and 3.2% of protein content)"/>
    <s v="N/A"/>
    <s v=""/>
    <s v=""/>
    <n v="1.1399999999999999"/>
    <s v=""/>
    <m/>
    <m/>
    <m/>
    <m/>
    <m/>
    <m/>
    <m/>
    <m/>
    <m/>
    <m/>
    <m/>
    <m/>
    <m/>
    <m/>
    <m/>
    <m/>
    <m/>
    <m/>
    <m/>
    <m/>
    <m/>
    <m/>
    <n v="1.1399999999999999"/>
    <m/>
  </r>
  <r>
    <x v="0"/>
    <x v="4"/>
    <s v="Fresh or Not Specified"/>
    <s v="USA Cheddar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cheddar cheese consumed, dry weight basis"/>
    <s v="Divide study numbers by 1000, adjusted to 63.2% solids for as sold cheese"/>
    <n v="23.567"/>
    <n v="33.106000000000002"/>
    <n v="6.28"/>
    <n v="7.0293999999999999"/>
    <n v="23.57"/>
    <n v="0.878"/>
    <n v="8.6579999999999995"/>
    <n v="1.226"/>
    <n v="3.0529999999999999"/>
    <n v="4.7270000000000003"/>
    <n v="6.38"/>
    <m/>
    <m/>
    <n v="23.567"/>
    <n v="48.47"/>
    <m/>
    <s v="Less than 1.5% difference"/>
    <n v="6.28"/>
    <n v="6.1400000000000003E-2"/>
    <n v="0.68799999999999994"/>
    <n v="7.8E-2"/>
    <n v="0.21360000000000001"/>
    <n v="0.63800000000000001"/>
    <n v="0.5302"/>
    <m/>
    <m/>
    <n v="6.28"/>
    <n v="8.4700000000000006"/>
  </r>
  <r>
    <x v="0"/>
    <x v="4"/>
    <s v="Fresh or Not Specified"/>
    <s v="USA Mozzarella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mozzarella cheese consumed, dry weight basis"/>
    <s v="Divide study numbers by 1000, adjusted to 51.4% solids for as sold cheese"/>
    <n v="17.55"/>
    <n v="29.19"/>
    <n v="4.68"/>
    <n v="5.8"/>
    <n v="17.55"/>
    <n v="1.1000000000000001"/>
    <n v="10.54"/>
    <n v="1.56"/>
    <n v="3.48"/>
    <n v="4.72"/>
    <n v="6.37"/>
    <m/>
    <m/>
    <n v="17.55"/>
    <n v="45.39"/>
    <m/>
    <s v="Less than 0.3% difference"/>
    <n v="4.68"/>
    <n v="0.08"/>
    <n v="1.04"/>
    <n v="0.11"/>
    <n v="0.24"/>
    <n v="0.64"/>
    <n v="0.53"/>
    <m/>
    <m/>
    <n v="4.68"/>
    <n v="7.3"/>
  </r>
  <r>
    <x v="2"/>
    <x v="2"/>
    <s v="Fresh or Not Specified"/>
    <s v="aggregate eggs - 38% cage, 6% organic, 54% free range"/>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2009, 1-97."/>
    <s v="Yes"/>
    <s v="No"/>
    <s v="No"/>
    <s v="No"/>
    <s v="No"/>
    <s v="No"/>
    <s v="No"/>
    <s v="No"/>
    <s v="No"/>
    <s v="No"/>
    <s v="No"/>
    <s v="No"/>
    <m/>
    <s v="GHG during production - feed and manure"/>
    <s v="No"/>
    <s v="Yes"/>
    <s v="1 kg egg at farm gate"/>
    <m/>
    <s v=""/>
    <s v=""/>
    <n v="1.42"/>
    <s v=""/>
    <m/>
    <m/>
    <m/>
    <m/>
    <m/>
    <m/>
    <m/>
    <m/>
    <m/>
    <m/>
    <m/>
    <m/>
    <m/>
    <m/>
    <m/>
    <m/>
    <m/>
    <m/>
    <m/>
    <m/>
    <m/>
    <m/>
    <n v="1.42"/>
    <m/>
  </r>
  <r>
    <x v="2"/>
    <x v="2"/>
    <s v="Fresh or Not Specified"/>
    <s v="Free range egg production"/>
    <s v="No"/>
    <s v="UK"/>
    <n v="2014"/>
    <s v="R. C. Taylor (a); H. Omed (b); and G. Edwards-Jones (b)"/>
    <s v="(a) British Trust for Ornithology, The Nunnery, Thetford, Norfolk; (b) School of the Environment, Natural Resources and Geography, Bangor University, Bangor, Wales, UK"/>
    <s v="Peer Reviewed Journal"/>
    <s v="Taylor, R. C., Omed, H. and Edwards-Jones, G., The greenhouse emissions footprint of free-range eggs. Poultry science 2014, 93 (1), 231-7."/>
    <s v="Yes"/>
    <s v="No"/>
    <s v="No"/>
    <s v="No"/>
    <s v="Yes"/>
    <s v="No"/>
    <s v="No"/>
    <s v="No"/>
    <s v="No"/>
    <s v="No"/>
    <s v="No"/>
    <s v="No"/>
    <m/>
    <s v="Including packaging, mixed farming methods"/>
    <s v="No"/>
    <s v="Yes"/>
    <s v="I kg egg"/>
    <m/>
    <s v=""/>
    <s v=""/>
    <n v="1.6"/>
    <s v=""/>
    <m/>
    <m/>
    <m/>
    <m/>
    <m/>
    <m/>
    <m/>
    <m/>
    <m/>
    <m/>
    <m/>
    <m/>
    <m/>
    <m/>
    <m/>
    <m/>
    <m/>
    <m/>
    <m/>
    <m/>
    <m/>
    <m/>
    <n v="1.6"/>
    <m/>
  </r>
  <r>
    <x v="0"/>
    <x v="4"/>
    <s v="Fresh or Not Specified"/>
    <s v="Semi-Cured Gouda Cheese"/>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incineratino of spoilage/waste"/>
    <s v="Yes"/>
    <s v="No"/>
    <s v="1 kg packaged cheese"/>
    <m/>
    <s v=""/>
    <s v=""/>
    <n v="7.56"/>
    <s v=""/>
    <m/>
    <m/>
    <m/>
    <m/>
    <m/>
    <m/>
    <m/>
    <m/>
    <m/>
    <m/>
    <m/>
    <m/>
    <m/>
    <m/>
    <m/>
    <m/>
    <m/>
    <m/>
    <m/>
    <m/>
    <m/>
    <m/>
    <n v="7.56"/>
    <n v="8.67"/>
  </r>
  <r>
    <x v="0"/>
    <x v="0"/>
    <s v="Fresh or Not Specified"/>
    <s v="Semi-Skim Milk"/>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spoilage/waste treatment"/>
    <s v="Yes"/>
    <s v="No"/>
    <s v="1 kg packaged semi-skimmed pasteurized milk"/>
    <m/>
    <s v=""/>
    <s v=""/>
    <n v="0.84"/>
    <s v=""/>
    <m/>
    <m/>
    <m/>
    <m/>
    <m/>
    <m/>
    <m/>
    <m/>
    <m/>
    <m/>
    <m/>
    <m/>
    <m/>
    <m/>
    <m/>
    <m/>
    <m/>
    <m/>
    <m/>
    <m/>
    <m/>
    <m/>
    <n v="0.84"/>
    <n v="1.1200000000000001"/>
  </r>
  <r>
    <x v="0"/>
    <x v="4"/>
    <s v="Fresh or Not Specified"/>
    <s v="Semi-Hard Cheese"/>
    <s v="No"/>
    <s v="Sweden"/>
    <n v="2002"/>
    <s v="Johanna Berlin"/>
    <s v="Environmental Systems Analysis, Chalmers University of Technology, SE-412 96 Goeteborg, Sweden; SIK AB, The Swedish Institute for Food and Biotechnology, P.O. Box 5401, SE-402 29 Goeteborg, Sweden"/>
    <s v="Peer Reviewed Journal"/>
    <s v="Berlin, J., Environmental life cycle assessment (LCA) of Swedish semi-hard cheese. International Dairy Journal 2002, 12, 939-953."/>
    <s v="Yes"/>
    <s v="No"/>
    <s v="Yes"/>
    <s v="Yes"/>
    <s v="Yes"/>
    <s v="Yes"/>
    <s v="Yes"/>
    <s v="Yes"/>
    <s v="Yes"/>
    <s v="No"/>
    <s v="Yes"/>
    <s v="No"/>
    <m/>
    <s v="Cradle-to-grave/waste disposal"/>
    <s v="Yes"/>
    <s v="No"/>
    <s v="1 kg of Angsgarden cheese wrapped in plastic"/>
    <m/>
    <s v=""/>
    <s v=""/>
    <n v="8.3000000000000007"/>
    <s v=""/>
    <m/>
    <m/>
    <m/>
    <m/>
    <m/>
    <m/>
    <m/>
    <m/>
    <m/>
    <m/>
    <n v="49.1"/>
    <m/>
    <m/>
    <m/>
    <m/>
    <m/>
    <m/>
    <m/>
    <m/>
    <m/>
    <m/>
    <m/>
    <n v="8.3000000000000007"/>
    <n v="8.7940000000000005"/>
  </r>
  <r>
    <x v="0"/>
    <x v="0"/>
    <s v="Fresh or Not Specified"/>
    <s v="Pasturized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46"/>
  </r>
  <r>
    <x v="0"/>
    <x v="0"/>
    <s v="Fresh or Not Specified"/>
    <s v="Ultra High Temperature (UHT)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31"/>
  </r>
  <r>
    <x v="0"/>
    <x v="5"/>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249999999999999"/>
  </r>
  <r>
    <x v="0"/>
    <x v="6"/>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4.0250000000000004"/>
  </r>
  <r>
    <x v="0"/>
    <x v="7"/>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995000000000001"/>
  </r>
  <r>
    <x v="0"/>
    <x v="4"/>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8.1"/>
  </r>
  <r>
    <x v="2"/>
    <x v="2"/>
    <s v="Other (Specify)"/>
    <s v="Processed - liquid egg"/>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s v="transport supply chains talk only about best and worst case observed in their data"/>
    <s v="No"/>
    <s v="Yes"/>
    <s v="I tonne egg at facility gate"/>
    <s v="*1/1000"/>
    <s v=""/>
    <s v=""/>
    <n v="5.8680000000000003"/>
    <n v="5.9710000000000001"/>
    <m/>
    <m/>
    <m/>
    <m/>
    <m/>
    <m/>
    <m/>
    <m/>
    <m/>
    <m/>
    <m/>
    <m/>
    <m/>
    <n v="5.8680000000000003"/>
    <m/>
    <n v="0.10299999999999976"/>
    <m/>
    <m/>
    <m/>
    <m/>
    <m/>
    <m/>
    <n v="5.8680000000000003"/>
    <n v="5.98"/>
  </r>
  <r>
    <x v="2"/>
    <x v="2"/>
    <s v="Other (Specify)"/>
    <s v="Shell egg processed"/>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m/>
    <s v="No"/>
    <s v="Yes"/>
    <s v="I tonne egg at facility gate"/>
    <s v="*1/1000"/>
    <s v=""/>
    <s v=""/>
    <n v="5.0199999999999996"/>
    <n v="5.1013200000000003"/>
    <m/>
    <m/>
    <m/>
    <m/>
    <m/>
    <m/>
    <m/>
    <m/>
    <m/>
    <m/>
    <m/>
    <m/>
    <m/>
    <n v="5.0199999999999996"/>
    <m/>
    <n v="8.1320000000000475E-2"/>
    <n v="9.5680000000000001E-2"/>
    <m/>
    <m/>
    <m/>
    <m/>
    <m/>
    <n v="5.0199999999999996"/>
    <n v="5.19"/>
  </r>
  <r>
    <x v="2"/>
    <x v="2"/>
    <s v="Fresh or Not Specified"/>
    <s v="Average egg production"/>
    <s v="No"/>
    <s v="USA"/>
    <n v="2014"/>
    <s v="Nathan Pelletier (a); Maro Ibarburu (b); and Hongwei Xin (b)"/>
    <s v="(a) Global Ecologic Environmental Consulting and Management Services, Canada; (b) Egg Industry Center, Iowa State University, USA"/>
    <s v="Peer Reviewed Journal"/>
    <s v="Pelletier, N., Ibarburu, M. and Xin, H., Comparison of the environmental footprint of the egg industry in the United States in 1960 and 2010. Poultry science 2014, 93 (2), 241-55."/>
    <s v="Yes"/>
    <s v="No"/>
    <s v="No"/>
    <s v="No"/>
    <s v="No"/>
    <s v="No"/>
    <s v="No"/>
    <s v="No"/>
    <s v="No"/>
    <s v="No"/>
    <s v="No"/>
    <s v="No"/>
    <m/>
    <s v="Egg 'production' alone - assumed farm gate"/>
    <s v="No"/>
    <s v="Yes"/>
    <s v="1 metric ton eggs"/>
    <s v="*1/1000"/>
    <s v=""/>
    <s v=""/>
    <n v="2.08"/>
    <s v=""/>
    <m/>
    <m/>
    <m/>
    <m/>
    <m/>
    <m/>
    <m/>
    <m/>
    <m/>
    <m/>
    <m/>
    <s v="EcoInvent 2010"/>
    <m/>
    <m/>
    <m/>
    <m/>
    <m/>
    <m/>
    <m/>
    <m/>
    <m/>
    <m/>
    <n v="2.08"/>
    <m/>
  </r>
  <r>
    <x v="3"/>
    <x v="8"/>
    <s v="Other (Specify)"/>
    <s v="Tomato Sauce - tomatoes processed in France"/>
    <s v="Yes"/>
    <s v="France"/>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5.0999999999999997E-2"/>
    <n v="2.3714"/>
    <m/>
    <m/>
    <m/>
    <m/>
    <m/>
    <m/>
    <m/>
    <m/>
    <m/>
    <m/>
    <m/>
    <m/>
    <m/>
    <n v="5.11E-2"/>
    <n v="6.3E-3"/>
    <n v="2.3140000000000001"/>
    <m/>
    <n v="0.12189999999999999"/>
    <n v="2.2100000000000002E-2"/>
    <n v="0.18"/>
    <m/>
    <m/>
    <n v="5.0999999999999997E-2"/>
    <n v="2.6987000000000001"/>
  </r>
  <r>
    <x v="3"/>
    <x v="8"/>
    <s v="Other (Specify)"/>
    <s v="Tomato Sauce - tomatoes processed in France"/>
    <s v="Yes"/>
    <s v="Turkey"/>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8.2299999999999998E-2"/>
    <n v="2.7309999999999999"/>
    <m/>
    <m/>
    <m/>
    <m/>
    <m/>
    <m/>
    <m/>
    <m/>
    <m/>
    <m/>
    <m/>
    <m/>
    <m/>
    <n v="8.2299999999999998E-2"/>
    <n v="2.5899999999999999E-2"/>
    <n v="2.6227999999999998"/>
    <m/>
    <n v="0.12189999999999999"/>
    <n v="2.2100000000000002E-2"/>
    <n v="0.18"/>
    <m/>
    <m/>
    <n v="8.2299999999999998E-2"/>
    <n v="3.06"/>
  </r>
  <r>
    <x v="3"/>
    <x v="8"/>
    <s v="Other (Specify)"/>
    <s v="Tomato puree"/>
    <s v="No"/>
    <s v="Italy"/>
    <n v="2013"/>
    <s v="Michele Manfredi (a); Giuseppe Vignali (a)"/>
    <s v="(a) Department of Industrial Engineering, University of Parma, Viale delle Scienze 181/A, 43124, Parma –Italy"/>
    <s v="Peer Reviewed Journal"/>
    <s v="Manfredi, M. and Vignali, G., Life cycle assessment of a packaged tomato puree: a comparison of environmental impacts produced by different life cycle phases. Journal of Cleaner Production 2014, 73, 275-284."/>
    <s v="Yes"/>
    <s v="No"/>
    <s v="Yes"/>
    <s v="Yes"/>
    <s v="Yes"/>
    <s v="Yes"/>
    <s v="No"/>
    <s v="No"/>
    <s v="No"/>
    <s v="No"/>
    <s v="No"/>
    <s v="No"/>
    <s v="Disposal of packaging"/>
    <s v="From ag.prod. to retail, with 5.5% (avg 4-7) of transport attributed to cultivation "/>
    <s v="No"/>
    <s v="Yes"/>
    <s v="700g packaged tomatoes"/>
    <s v="/0.7"/>
    <n v="1.34"/>
    <n v="3.9000000000000004"/>
    <n v="0.25857142857142856"/>
    <n v="0.41285714285714287"/>
    <n v="1.342857142857143"/>
    <m/>
    <n v="2.5571428571428574"/>
    <n v="7.3857142857142861"/>
    <n v="2.5142857142857147"/>
    <m/>
    <m/>
    <m/>
    <m/>
    <n v="1.34"/>
    <n v="13.785714285714286"/>
    <s v="Ecoinvent V2.2"/>
    <m/>
    <n v="0.25857142857142856"/>
    <m/>
    <n v="0.1542857142857143"/>
    <n v="0.39142857142857146"/>
    <n v="0.15857142857142859"/>
    <m/>
    <m/>
    <m/>
    <m/>
    <n v="0.25857142857142856"/>
    <n v="0.96285714285714297"/>
  </r>
  <r>
    <x v="0"/>
    <x v="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5.3"/>
  </r>
  <r>
    <x v="0"/>
    <x v="9"/>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8"/>
  </r>
  <r>
    <x v="0"/>
    <x v="6"/>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r>
  <r>
    <x v="0"/>
    <x v="1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5"/>
  </r>
  <r>
    <x v="0"/>
    <x v="5"/>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1.2635000000000001"/>
    <n v="1.57325"/>
    <m/>
    <m/>
    <m/>
    <m/>
    <m/>
    <m/>
    <m/>
    <m/>
    <m/>
    <m/>
    <m/>
    <m/>
    <m/>
    <n v="1.2635000000000001"/>
    <n v="1.575E-2"/>
    <n v="0.29400000000000004"/>
    <n v="0.17675000000000002"/>
    <m/>
    <m/>
    <m/>
    <m/>
    <m/>
    <n v="1.2635000000000001"/>
    <n v="1.75"/>
  </r>
  <r>
    <x v="0"/>
    <x v="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0.86899999999999999"/>
    <n v="0.94399999999999995"/>
    <m/>
    <m/>
    <m/>
    <m/>
    <m/>
    <m/>
    <m/>
    <m/>
    <m/>
    <m/>
    <m/>
    <m/>
    <m/>
    <n v="0.86899999999999999"/>
    <n v="0.01"/>
    <n v="6.5000000000000002E-2"/>
    <n v="5.5E-2"/>
    <m/>
    <m/>
    <m/>
    <m/>
    <m/>
    <n v="0.86899999999999999"/>
    <n v="1"/>
  </r>
  <r>
    <x v="0"/>
    <x v="11"/>
    <s v="Fresh or Not Specified"/>
    <s v="Buttermilk, 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1000000000000001"/>
  </r>
  <r>
    <x v="0"/>
    <x v="12"/>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r>
  <r>
    <x v="0"/>
    <x v="13"/>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0.1"/>
  </r>
  <r>
    <x v="0"/>
    <x v="1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3.1"/>
  </r>
  <r>
    <x v="0"/>
    <x v="7"/>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7.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4.5528000000000004"/>
    <n v="7.6028000000000002"/>
    <n v="0.38"/>
    <n v="0.56830000000000003"/>
    <n v="4.5528000000000004"/>
    <m/>
    <n v="3.05"/>
    <n v="7.9802"/>
    <m/>
    <m/>
    <m/>
    <m/>
    <m/>
    <n v="4.5528000000000004"/>
    <n v="15.583"/>
    <s v="International EPD System"/>
    <m/>
    <n v="0.38"/>
    <m/>
    <n v="0.1883"/>
    <n v="0.4985"/>
    <m/>
    <m/>
    <m/>
    <m/>
    <m/>
    <n v="0.38"/>
    <n v="1.0649"/>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50 g"/>
    <s v="Yes"/>
    <s v="Yes"/>
    <s v="1 kg of packaged product"/>
    <s v="N/A"/>
    <n v="7.1342999999999996"/>
    <n v="12.2843"/>
    <n v="0.59240000000000004"/>
    <n v="0.93830000000000002"/>
    <n v="7.1342999999999996"/>
    <m/>
    <n v="5.15"/>
    <n v="11.0403"/>
    <m/>
    <m/>
    <m/>
    <m/>
    <m/>
    <n v="7.1342999999999996"/>
    <n v="23.3247"/>
    <s v="International EPD System"/>
    <m/>
    <n v="0.59240000000000004"/>
    <m/>
    <n v="0.34589999999999999"/>
    <n v="0.69240000000000002"/>
    <m/>
    <m/>
    <m/>
    <m/>
    <m/>
    <n v="0.59240000000000004"/>
    <n v="1.6307"/>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5640000000000001"/>
    <n v="11.944099999999999"/>
    <n v="0.54469999999999996"/>
    <n v="0.87399999999999989"/>
    <n v="6.5640000000000001"/>
    <m/>
    <n v="5.3800999999999997"/>
    <n v="8.2302"/>
    <m/>
    <m/>
    <m/>
    <m/>
    <m/>
    <n v="6.5640000000000001"/>
    <n v="20.164300000000001"/>
    <s v="International EPD System"/>
    <m/>
    <n v="0.54469999999999996"/>
    <m/>
    <n v="0.32929999999999998"/>
    <n v="0.50719999999999998"/>
    <m/>
    <m/>
    <m/>
    <m/>
    <m/>
    <n v="0.54469999999999996"/>
    <n v="1.381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7039999999999997"/>
    <n v="11.674200000000001"/>
    <n v="0.55649999999999999"/>
    <n v="0.8609"/>
    <n v="6.7041000000000004"/>
    <m/>
    <n v="4.9701000000000004"/>
    <n v="7.8301999999999996"/>
    <m/>
    <m/>
    <m/>
    <m/>
    <m/>
    <n v="6.7039999999999997"/>
    <n v="19.5044"/>
    <s v="International EPD System"/>
    <m/>
    <n v="0.55649999999999999"/>
    <m/>
    <n v="0.3044"/>
    <n v="0.49070000000000003"/>
    <m/>
    <m/>
    <m/>
    <m/>
    <m/>
    <n v="0.55649999999999999"/>
    <n v="1.3515999999999999"/>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200 g"/>
    <s v="Yes"/>
    <s v="Yes"/>
    <s v="1 kg of packaged product"/>
    <s v="N/A"/>
    <n v="6.6741000000000001"/>
    <n v="11.900141000000001"/>
    <n v="0.55420000000000003"/>
    <n v="0.87519999999999998"/>
    <n v="6.6700410000000003"/>
    <m/>
    <n v="5.2301000000000002"/>
    <n v="2.1800000000000002"/>
    <m/>
    <m/>
    <m/>
    <m/>
    <m/>
    <n v="6.6741000000000001"/>
    <n v="14.084199999999999"/>
    <s v="International EPD System"/>
    <m/>
    <n v="0.55420000000000003"/>
    <m/>
    <n v="0.32100000000000001"/>
    <n v="0.1202"/>
    <m/>
    <m/>
    <m/>
    <m/>
    <m/>
    <n v="0.55420000000000003"/>
    <n v="0.99539999999999995"/>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500 g"/>
    <s v="Yes"/>
    <s v="Yes"/>
    <s v="1 kg of packaged product"/>
    <s v="N/A"/>
    <n v="6.6741000000000001"/>
    <n v="12.460141"/>
    <n v="0.55420000000000003"/>
    <n v="0.90739999999999998"/>
    <n v="6.6700410000000003"/>
    <m/>
    <n v="5.7900999999999998"/>
    <n v="1.79"/>
    <m/>
    <m/>
    <m/>
    <m/>
    <m/>
    <n v="6.6741000000000001"/>
    <n v="14.244199999999999"/>
    <s v="International EPD System"/>
    <m/>
    <n v="0.55420000000000003"/>
    <m/>
    <n v="0.35320000000000001"/>
    <n v="9.7000000000000003E-2"/>
    <m/>
    <m/>
    <m/>
    <m/>
    <m/>
    <n v="0.55420000000000003"/>
    <n v="1.004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1000 g"/>
    <s v="Yes"/>
    <s v="Yes"/>
    <s v="1 kg of packaged product"/>
    <s v="N/A"/>
    <n v="6.8041"/>
    <n v="12.8842"/>
    <n v="0.56520000000000004"/>
    <n v="0.9355"/>
    <n v="6.8041"/>
    <m/>
    <n v="6.0800999999999998"/>
    <n v="1.78"/>
    <m/>
    <m/>
    <m/>
    <m/>
    <m/>
    <n v="6.8041"/>
    <n v="14.674300000000001"/>
    <s v="International EPD System"/>
    <m/>
    <n v="0.56520000000000004"/>
    <m/>
    <n v="0.37030000000000002"/>
    <n v="0.1007"/>
    <m/>
    <m/>
    <m/>
    <m/>
    <m/>
    <n v="0.56520000000000004"/>
    <n v="1.0362"/>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30 g"/>
    <s v="Yes"/>
    <s v="Yes"/>
    <s v="1 kg of packaged product"/>
    <s v="N/A"/>
    <n v="6.6340000000000003"/>
    <n v="11.824000000000002"/>
    <n v="0.55049999999999999"/>
    <n v="0.86030000000000006"/>
    <n v="6.6340000000000003"/>
    <m/>
    <n v="5.19"/>
    <n v="12.1203"/>
    <m/>
    <m/>
    <m/>
    <m/>
    <m/>
    <n v="6.6340000000000003"/>
    <n v="23.944400000000002"/>
    <s v="International EPD System"/>
    <m/>
    <n v="0.55049999999999999"/>
    <m/>
    <n v="0.30980000000000002"/>
    <n v="0.74760000000000004"/>
    <m/>
    <m/>
    <m/>
    <m/>
    <m/>
    <n v="0.55049999999999999"/>
    <n v="1.6077999999999999"/>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419999999999999"/>
    <n v="0.67730000000000001"/>
    <n v="5.4733000000000001"/>
    <m/>
    <n v="3.6800999999999999"/>
    <n v="12.2705"/>
    <m/>
    <m/>
    <m/>
    <m/>
    <m/>
    <n v="5.4733000000000001"/>
    <n v="21.4239"/>
    <s v="International EPD System"/>
    <m/>
    <n v="0.45419999999999999"/>
    <m/>
    <n v="0.22309999999999999"/>
    <n v="0.82540000000000002"/>
    <m/>
    <m/>
    <m/>
    <m/>
    <m/>
    <n v="0.45419999999999999"/>
    <n v="1.5025999999999999"/>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51"/>
    <n v="0.67820000000000003"/>
    <n v="5.4733000000000001"/>
    <m/>
    <n v="3.6800999999999999"/>
    <n v="12.2005"/>
    <m/>
    <m/>
    <m/>
    <m/>
    <m/>
    <n v="5.4733000000000001"/>
    <n v="21.353899999999999"/>
    <s v="International EPD System"/>
    <m/>
    <n v="0.4551"/>
    <m/>
    <n v="0.22309999999999999"/>
    <n v="0.82650000000000001"/>
    <m/>
    <m/>
    <m/>
    <m/>
    <m/>
    <n v="0.4551"/>
    <n v="1.5038"/>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39999999999997"/>
    <n v="4.883"/>
    <m/>
    <n v="3.46"/>
    <n v="10.1904"/>
    <m/>
    <m/>
    <m/>
    <m/>
    <m/>
    <n v="4.883"/>
    <n v="18.5334"/>
    <s v="International EPD System"/>
    <m/>
    <n v="0.4052"/>
    <m/>
    <n v="0.2412"/>
    <n v="0.68320000000000003"/>
    <m/>
    <m/>
    <m/>
    <m/>
    <m/>
    <n v="0.4052"/>
    <n v="1.3295999999999999"/>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70000000000005"/>
    <n v="4.883"/>
    <m/>
    <n v="3.46"/>
    <n v="10.010400000000001"/>
    <m/>
    <m/>
    <m/>
    <m/>
    <m/>
    <n v="4.883"/>
    <n v="18.353400000000001"/>
    <s v="International EPD System"/>
    <m/>
    <n v="0.4052"/>
    <m/>
    <n v="0.24149999999999999"/>
    <n v="0.6855"/>
    <m/>
    <m/>
    <m/>
    <m/>
    <m/>
    <n v="0.4052"/>
    <n v="1.3321000000000001"/>
  </r>
  <r>
    <x v="3"/>
    <x v="16"/>
    <s v="Canned"/>
    <s v="Peeled tomato"/>
    <s v="No"/>
    <s v="Italy"/>
    <n v="2015"/>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800 g"/>
    <s v="Yes"/>
    <s v="Yes"/>
    <s v="1 kg of packaged product"/>
    <s v="N/A"/>
    <n v="5.2831999999999999"/>
    <n v="8.5332000000000008"/>
    <n v="0.43869999999999998"/>
    <n v="0.66649999999999998"/>
    <n v="5.2831999999999999"/>
    <m/>
    <n v="3.25"/>
    <n v="8.6203000000000003"/>
    <m/>
    <m/>
    <m/>
    <m/>
    <m/>
    <n v="5.2831999999999999"/>
    <n v="17.153600000000001"/>
    <s v="International EPD System"/>
    <m/>
    <n v="0.43869999999999998"/>
    <m/>
    <n v="0.2278"/>
    <n v="0.56910000000000005"/>
    <m/>
    <m/>
    <m/>
    <m/>
    <m/>
    <n v="0.43869999999999998"/>
    <n v="1.2357"/>
  </r>
  <r>
    <x v="3"/>
    <x v="17"/>
    <s v="Canned"/>
    <s v="Paste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19.600000000000001"/>
    <s v="Interviews and published data"/>
    <m/>
    <m/>
    <m/>
    <m/>
    <m/>
    <m/>
    <m/>
    <m/>
    <m/>
    <m/>
    <m/>
    <n v="1.5"/>
  </r>
  <r>
    <x v="3"/>
    <x v="15"/>
    <s v="Canned"/>
    <s v="Diced tomato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9.36"/>
    <s v="Interviews and published data"/>
    <m/>
    <m/>
    <m/>
    <m/>
    <m/>
    <m/>
    <m/>
    <m/>
    <m/>
    <m/>
    <m/>
    <n v="0.71099999999999997"/>
  </r>
  <r>
    <x v="3"/>
    <x v="17"/>
    <s v="Canned"/>
    <s v="Paste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20.399999999999999"/>
    <s v="Interviews and published data"/>
    <m/>
    <m/>
    <m/>
    <m/>
    <m/>
    <m/>
    <m/>
    <m/>
    <m/>
    <m/>
    <m/>
    <n v="1.43"/>
  </r>
  <r>
    <x v="3"/>
    <x v="15"/>
    <s v="Canned"/>
    <s v="Diced tomato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11"/>
    <s v="Interviews and published data"/>
    <m/>
    <m/>
    <m/>
    <m/>
    <m/>
    <m/>
    <m/>
    <m/>
    <m/>
    <m/>
    <m/>
    <n v="0.76500000000000001"/>
  </r>
  <r>
    <x v="3"/>
    <x v="18"/>
    <s v="Fresh or Not Specified"/>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1.2849999999999999"/>
    <n v="1.2919999999999998"/>
    <m/>
    <m/>
    <m/>
    <m/>
    <m/>
    <m/>
    <m/>
    <m/>
    <m/>
    <m/>
    <m/>
    <m/>
    <m/>
    <n v="1.2849999999999999"/>
    <n v="7.0000000000000001E-3"/>
    <m/>
    <n v="7.0999999999999994E-2"/>
    <m/>
    <m/>
    <m/>
    <m/>
    <m/>
    <n v="1.2849999999999999"/>
    <n v="1.367"/>
  </r>
  <r>
    <x v="3"/>
    <x v="19"/>
    <s v="Fresh or Not Specified"/>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2.1000000000000001E-2"/>
    <s v=""/>
    <m/>
    <m/>
    <m/>
    <m/>
    <m/>
    <m/>
    <m/>
    <m/>
    <m/>
    <m/>
    <m/>
    <m/>
    <m/>
    <m/>
    <m/>
    <m/>
    <m/>
    <m/>
    <m/>
    <m/>
    <m/>
    <m/>
    <n v="2.1000000000000001E-2"/>
    <n v="0.109"/>
  </r>
  <r>
    <x v="3"/>
    <x v="19"/>
    <s v="Fresh or Not Specified"/>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0.29299999999999998"/>
    <s v=""/>
    <m/>
    <m/>
    <m/>
    <m/>
    <m/>
    <m/>
    <m/>
    <m/>
    <m/>
    <m/>
    <m/>
    <m/>
    <m/>
    <m/>
    <m/>
    <m/>
    <m/>
    <m/>
    <m/>
    <m/>
    <m/>
    <m/>
    <n v="0.29299999999999998"/>
    <n v="0.60899999999999999"/>
  </r>
  <r>
    <x v="3"/>
    <x v="19"/>
    <s v="Fresh or Not Specifi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loose tomatoes"/>
    <s v="N/A"/>
    <s v=""/>
    <s v=""/>
    <n v="8.5999999999999993E-2"/>
    <s v=""/>
    <m/>
    <m/>
    <m/>
    <m/>
    <m/>
    <m/>
    <m/>
    <m/>
    <m/>
    <m/>
    <m/>
    <m/>
    <m/>
    <m/>
    <m/>
    <m/>
    <m/>
    <m/>
    <m/>
    <m/>
    <m/>
    <m/>
    <n v="8.5999999999999993E-2"/>
    <n v="0.28100000000000003"/>
  </r>
  <r>
    <x v="3"/>
    <x v="18"/>
    <s v="Other (Specify)"/>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s v=""/>
    <s v=""/>
    <m/>
    <m/>
    <m/>
    <m/>
    <m/>
    <m/>
    <m/>
    <m/>
    <m/>
    <m/>
    <m/>
    <m/>
    <m/>
    <m/>
    <m/>
    <m/>
    <m/>
    <m/>
    <m/>
    <m/>
    <m/>
    <m/>
    <m/>
    <n v="1.367"/>
  </r>
  <r>
    <x v="3"/>
    <x v="19"/>
    <s v="Other (Specify)"/>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2.1000000000000001E-2"/>
    <n v="0.10600000000000001"/>
    <m/>
    <m/>
    <m/>
    <m/>
    <m/>
    <m/>
    <m/>
    <m/>
    <m/>
    <m/>
    <m/>
    <m/>
    <m/>
    <n v="2.1000000000000001E-2"/>
    <n v="8.5000000000000006E-2"/>
    <m/>
    <n v="7.0999999999999994E-2"/>
    <m/>
    <m/>
    <m/>
    <m/>
    <m/>
    <n v="2.1000000000000001E-2"/>
    <n v="0.18"/>
  </r>
  <r>
    <x v="3"/>
    <x v="19"/>
    <s v="Other (Specify)"/>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0.29299999999999998"/>
    <n v="0.68500000000000005"/>
    <m/>
    <m/>
    <m/>
    <m/>
    <m/>
    <m/>
    <m/>
    <m/>
    <m/>
    <m/>
    <m/>
    <m/>
    <m/>
    <n v="0.29299999999999998"/>
    <n v="0.39200000000000002"/>
    <m/>
    <n v="7.0999999999999994E-2"/>
    <m/>
    <m/>
    <m/>
    <m/>
    <m/>
    <n v="0.29299999999999998"/>
    <n v="0.75900000000000001"/>
  </r>
  <r>
    <x v="3"/>
    <x v="16"/>
    <s v="Cann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processed and packed tomato"/>
    <s v="N/A"/>
    <s v=""/>
    <s v=""/>
    <n v="8.500000000000002E-2"/>
    <n v="0.24200000000000005"/>
    <m/>
    <m/>
    <m/>
    <m/>
    <m/>
    <m/>
    <m/>
    <m/>
    <m/>
    <m/>
    <m/>
    <m/>
    <m/>
    <n v="8.500000000000002E-2"/>
    <n v="1.7999999999999999E-2"/>
    <n v="0.13900000000000001"/>
    <n v="0.44700000000000001"/>
    <n v="0.17799999999999999"/>
    <m/>
    <m/>
    <m/>
    <m/>
    <n v="8.500000000000002E-2"/>
    <n v="0.86799999999999999"/>
  </r>
  <r>
    <x v="4"/>
    <x v="20"/>
    <s v="Fresh or Not Specified"/>
    <s v="Organic grown "/>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249"/>
    <s v=""/>
    <m/>
    <m/>
    <m/>
    <m/>
    <m/>
    <m/>
    <m/>
    <m/>
    <m/>
    <m/>
    <m/>
    <m/>
    <m/>
    <n v="0.249"/>
    <m/>
    <m/>
    <n v="0.08"/>
    <n v="0.62719999999999998"/>
    <n v="6.4000000000000001E-2"/>
    <n v="0.2432"/>
    <m/>
    <m/>
    <n v="0.249"/>
    <n v="1.28"/>
  </r>
  <r>
    <x v="4"/>
    <x v="20"/>
    <s v="Fresh or Not Specified"/>
    <s v="Conventional grown"/>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30199999999999999"/>
    <s v=""/>
    <m/>
    <m/>
    <m/>
    <m/>
    <m/>
    <m/>
    <m/>
    <m/>
    <m/>
    <m/>
    <m/>
    <m/>
    <m/>
    <n v="0.30199999999999999"/>
    <m/>
    <m/>
    <n v="0.08"/>
    <n v="0.62719999999999998"/>
    <n v="6.4000000000000001E-2"/>
    <n v="0.2432"/>
    <m/>
    <m/>
    <n v="0.30199999999999999"/>
    <n v="1.28"/>
  </r>
  <r>
    <x v="0"/>
    <x v="0"/>
    <s v="Fresh or Not Specified"/>
    <s v="Liquid Milk"/>
    <s v="No"/>
    <s v="Global"/>
    <n v="2010"/>
    <s v="Pierre Gerber; Theun Vellinga; Klaas Dietze; Alessandra Falcucci; Guya Gianni; Jerome Mounsey; Luigi Maiorano; Carolyn Opio; Daniela Sironi; Olaf Thieme; Viola Weiler"/>
    <s v="Food and Agriculture Organization of the United Nations, Animal Production and Health Division"/>
    <s v="Peer Reviewed Journal"/>
    <s v="Gerber, P., Vellinga, T., Dietze, K., Falcucci, A., Gianni, G., Mounsey, J., Maiorano, L., Opio, C., Sironi, D., Thieme, O. and Weiler, V., Greenhouse gas emissions from the dairy sector: A life cycle assessment. FAO; 2010, 1-96."/>
    <s v="Yes"/>
    <s v="Yes"/>
    <s v="Yes"/>
    <s v="Yes"/>
    <s v="Yes"/>
    <s v="Yes"/>
    <s v="No"/>
    <s v="No"/>
    <s v="No"/>
    <s v="No"/>
    <s v="No"/>
    <s v="No"/>
    <m/>
    <s v="Cradle to Farm Gate; Processing to Retail"/>
    <s v="No"/>
    <s v="No"/>
    <s v="1 kg FPCM"/>
    <s v="N/A"/>
    <s v=""/>
    <s v=""/>
    <s v=""/>
    <s v=""/>
    <m/>
    <m/>
    <m/>
    <m/>
    <m/>
    <m/>
    <m/>
    <m/>
    <m/>
    <m/>
    <m/>
    <m/>
    <m/>
    <m/>
    <m/>
    <m/>
    <m/>
    <m/>
    <m/>
    <m/>
    <m/>
    <m/>
    <m/>
    <n v="2.4"/>
  </r>
  <r>
    <x v="0"/>
    <x v="21"/>
    <s v="Fresh or Not Specified"/>
    <s v="Margarine"/>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18.2"/>
    <m/>
    <m/>
    <m/>
    <m/>
    <m/>
    <m/>
    <m/>
    <m/>
    <m/>
    <m/>
    <m/>
    <m/>
    <n v="1.1000000000000001"/>
  </r>
  <r>
    <x v="0"/>
    <x v="7"/>
    <s v="Fresh or Not Specified"/>
    <s v="Butter"/>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42"/>
    <m/>
    <m/>
    <m/>
    <m/>
    <m/>
    <m/>
    <m/>
    <m/>
    <m/>
    <m/>
    <m/>
    <m/>
    <n v="9.6"/>
  </r>
  <r>
    <x v="0"/>
    <x v="21"/>
    <s v="Fresh or Not Specified"/>
    <s v="Margarine"/>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2"/>
    <m/>
    <m/>
    <m/>
    <m/>
    <m/>
    <m/>
    <m/>
    <m/>
    <m/>
    <m/>
    <m/>
    <m/>
    <n v="1.32"/>
  </r>
  <r>
    <x v="0"/>
    <x v="7"/>
    <s v="Fresh or Not Specified"/>
    <s v="Butter"/>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0"/>
    <m/>
    <m/>
    <m/>
    <m/>
    <m/>
    <m/>
    <m/>
    <m/>
    <m/>
    <m/>
    <m/>
    <m/>
    <n v="9"/>
  </r>
  <r>
    <x v="0"/>
    <x v="21"/>
    <s v="Fresh or Not Specified"/>
    <s v="Margarine"/>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6"/>
    <m/>
    <m/>
    <m/>
    <m/>
    <m/>
    <m/>
    <m/>
    <m/>
    <m/>
    <m/>
    <m/>
    <m/>
    <n v="1.66"/>
  </r>
  <r>
    <x v="0"/>
    <x v="7"/>
    <s v="Fresh or Not Specified"/>
    <s v="Butter"/>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2"/>
    <m/>
    <m/>
    <m/>
    <m/>
    <m/>
    <m/>
    <m/>
    <m/>
    <m/>
    <m/>
    <m/>
    <m/>
    <n v="7.2"/>
  </r>
  <r>
    <x v="5"/>
    <x v="22"/>
    <s v="Fresh or Not Specified"/>
    <s v="White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6147683749999999"/>
    <n v="0.93009182499999998"/>
    <m/>
    <m/>
    <m/>
    <m/>
    <m/>
    <m/>
    <m/>
    <m/>
    <m/>
    <m/>
    <m/>
    <m/>
    <m/>
    <n v="0.56147683749999999"/>
    <m/>
    <n v="0.36861498749999999"/>
    <n v="2.4885400000000002E-2"/>
    <n v="6.2057966249999999E-2"/>
    <n v="6.2213500000000005E-2"/>
    <n v="0.40376561500000002"/>
    <n v="7.450066625E-2"/>
    <m/>
    <n v="0.56147683749999999"/>
    <n v="1.5553375"/>
  </r>
  <r>
    <x v="5"/>
    <x v="22"/>
    <s v="Fresh or Not Specified"/>
    <s v="White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7533104874999996"/>
    <n v="0.94453064875000003"/>
    <m/>
    <m/>
    <m/>
    <m/>
    <m/>
    <m/>
    <m/>
    <m/>
    <m/>
    <m/>
    <m/>
    <m/>
    <m/>
    <n v="0.57533104874999996"/>
    <m/>
    <n v="0.36919960000000002"/>
    <n v="1.4983750000000001E-2"/>
    <n v="6.2587123750000001E-2"/>
    <n v="6.8775412500000008E-2"/>
    <n v="0.35046991249999998"/>
    <n v="6.8775412500000008E-2"/>
    <m/>
    <n v="0.57533104874999996"/>
    <n v="1.498375"/>
  </r>
  <r>
    <x v="5"/>
    <x v="22"/>
    <s v="Fresh or Not Specified"/>
    <s v="Wholemeal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7740500000001"/>
    <n v="0.83780455500000017"/>
    <m/>
    <m/>
    <m/>
    <m/>
    <m/>
    <m/>
    <m/>
    <m/>
    <m/>
    <m/>
    <m/>
    <m/>
    <m/>
    <n v="0.4567740500000001"/>
    <m/>
    <n v="0.38103050500000007"/>
    <n v="2.5035843500000002E-2"/>
    <n v="5.6316193000000014E-2"/>
    <n v="5.6316193000000014E-2"/>
    <n v="0.40618198750000012"/>
    <n v="6.8805205000000022E-2"/>
    <m/>
    <n v="0.4567740500000001"/>
    <n v="1.4454875000000003"/>
  </r>
  <r>
    <x v="5"/>
    <x v="22"/>
    <s v="Fresh or Not Specified"/>
    <s v="Wholemeal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80005000000001"/>
    <n v="0.83251461999999998"/>
    <m/>
    <m/>
    <m/>
    <m/>
    <m/>
    <m/>
    <m/>
    <m/>
    <m/>
    <m/>
    <m/>
    <m/>
    <m/>
    <n v="0.45680005000000001"/>
    <m/>
    <n v="0.37571457000000003"/>
    <n v="2.4992099999999996E-2"/>
    <n v="5.6232224999999997E-2"/>
    <n v="5.6232224999999997E-2"/>
    <n v="0.35960855000000003"/>
    <n v="6.2480249999999994E-2"/>
    <m/>
    <n v="0.45680005000000001"/>
    <n v="1.38845"/>
  </r>
  <r>
    <x v="1"/>
    <x v="23"/>
    <s v="Fresh or Not Specified"/>
    <s v="backyard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No"/>
    <s v="No"/>
    <s v="No"/>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5445816186556929"/>
    <s v=""/>
    <m/>
    <m/>
    <m/>
    <m/>
    <m/>
    <m/>
    <m/>
    <m/>
    <m/>
    <m/>
    <m/>
    <m/>
    <m/>
    <m/>
    <m/>
    <m/>
    <m/>
    <m/>
    <m/>
    <m/>
    <m/>
    <m/>
    <n v="7.5445816186556929"/>
    <n v="7.5445816186556929"/>
  </r>
  <r>
    <x v="1"/>
    <x v="23"/>
    <s v="Fresh or Not Specified"/>
    <s v="intermediate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0.5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676268861454037"/>
    <s v=""/>
    <m/>
    <m/>
    <m/>
    <m/>
    <m/>
    <m/>
    <m/>
    <m/>
    <m/>
    <m/>
    <m/>
    <m/>
    <m/>
    <m/>
    <m/>
    <m/>
    <m/>
    <m/>
    <m/>
    <m/>
    <m/>
    <m/>
    <n v="8.3676268861454037"/>
    <n v="8.9163237311385455"/>
  </r>
  <r>
    <x v="1"/>
    <x v="23"/>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1.0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6817558299039774"/>
    <s v=""/>
    <m/>
    <m/>
    <m/>
    <m/>
    <m/>
    <m/>
    <m/>
    <m/>
    <m/>
    <m/>
    <m/>
    <m/>
    <m/>
    <m/>
    <m/>
    <m/>
    <m/>
    <m/>
    <m/>
    <m/>
    <m/>
    <m/>
    <n v="7.6817558299039774"/>
    <n v="8.3676268861454037"/>
  </r>
  <r>
    <x v="1"/>
    <x v="23"/>
    <s v="Fresh or Not Specified"/>
    <s v="industrial production"/>
    <s v="Yes"/>
    <s v="North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6241426611796976"/>
    <s v=""/>
    <m/>
    <m/>
    <m/>
    <m/>
    <m/>
    <m/>
    <m/>
    <m/>
    <m/>
    <m/>
    <m/>
    <m/>
    <m/>
    <m/>
    <m/>
    <m/>
    <m/>
    <m/>
    <m/>
    <m/>
    <m/>
    <m/>
    <n v="5.6241426611796976"/>
    <n v="6.3100137174211248"/>
  </r>
  <r>
    <x v="1"/>
    <x v="24"/>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0 kg CO2e/kg CW here"/>
    <s v="No"/>
    <s v="Yes"/>
    <s v="kg carcass weight"/>
    <s v="boneless = 77%*carcass (Sonesson, 2010)"/>
    <s v=""/>
    <s v=""/>
    <n v="6.3636363636363642"/>
    <s v=""/>
    <m/>
    <m/>
    <m/>
    <m/>
    <m/>
    <m/>
    <m/>
    <m/>
    <m/>
    <m/>
    <m/>
    <m/>
    <m/>
    <m/>
    <m/>
    <m/>
    <m/>
    <m/>
    <m/>
    <m/>
    <m/>
    <m/>
    <n v="6.3636363636363642"/>
    <n v="5.2"/>
  </r>
  <r>
    <x v="1"/>
    <x v="24"/>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boneless = 77%*carcass (Sonesson, 2010)"/>
    <s v=""/>
    <s v=""/>
    <n v="5.1948051948051948"/>
    <s v=""/>
    <m/>
    <m/>
    <m/>
    <m/>
    <m/>
    <m/>
    <m/>
    <m/>
    <m/>
    <m/>
    <m/>
    <m/>
    <m/>
    <m/>
    <m/>
    <m/>
    <m/>
    <m/>
    <m/>
    <m/>
    <m/>
    <m/>
    <n v="5.1948051948051948"/>
    <n v="4.4000000000000004"/>
  </r>
  <r>
    <x v="2"/>
    <x v="2"/>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1 kg CO2e/kg CW here"/>
    <s v="No"/>
    <s v="Yes"/>
    <s v="kg egg"/>
    <m/>
    <s v=""/>
    <s v=""/>
    <n v="3.4"/>
    <s v=""/>
    <m/>
    <m/>
    <m/>
    <m/>
    <m/>
    <m/>
    <m/>
    <m/>
    <m/>
    <m/>
    <m/>
    <m/>
    <m/>
    <m/>
    <m/>
    <m/>
    <m/>
    <m/>
    <m/>
    <m/>
    <m/>
    <m/>
    <n v="3.4"/>
    <n v="3.7"/>
  </r>
  <r>
    <x v="2"/>
    <x v="2"/>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egg"/>
    <m/>
    <s v=""/>
    <s v=""/>
    <n v="2.75"/>
    <s v=""/>
    <m/>
    <m/>
    <m/>
    <m/>
    <m/>
    <m/>
    <m/>
    <m/>
    <m/>
    <m/>
    <m/>
    <m/>
    <m/>
    <m/>
    <m/>
    <m/>
    <m/>
    <m/>
    <m/>
    <m/>
    <m/>
    <m/>
    <n v="2.75"/>
    <n v="2.85"/>
  </r>
  <r>
    <x v="1"/>
    <x v="3"/>
    <s v="Fresh or Not Specified"/>
    <s v="normal operation"/>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482758620689651"/>
    <s v=""/>
    <m/>
    <m/>
    <m/>
    <m/>
    <m/>
    <m/>
    <m/>
    <m/>
    <m/>
    <m/>
    <m/>
    <m/>
    <m/>
    <m/>
    <m/>
    <m/>
    <m/>
    <m/>
    <m/>
    <m/>
    <m/>
    <m/>
    <n v="34.482758620689651"/>
    <m/>
  </r>
  <r>
    <x v="1"/>
    <x v="3"/>
    <s v="Fresh or Not Specified"/>
    <s v="early wean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131934032983509"/>
    <s v=""/>
    <m/>
    <m/>
    <m/>
    <m/>
    <m/>
    <m/>
    <m/>
    <m/>
    <m/>
    <m/>
    <m/>
    <m/>
    <m/>
    <m/>
    <m/>
    <m/>
    <m/>
    <m/>
    <m/>
    <m/>
    <m/>
    <m/>
    <n v="36.131934032983509"/>
    <m/>
  </r>
  <r>
    <x v="1"/>
    <x v="3"/>
    <s v="Fresh or Not Specified"/>
    <s v="fast-track background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332833583208391"/>
    <s v=""/>
    <m/>
    <m/>
    <m/>
    <m/>
    <m/>
    <m/>
    <m/>
    <m/>
    <m/>
    <m/>
    <m/>
    <m/>
    <m/>
    <m/>
    <m/>
    <m/>
    <m/>
    <m/>
    <m/>
    <m/>
    <m/>
    <m/>
    <n v="34.332833583208391"/>
    <m/>
  </r>
  <r>
    <x v="1"/>
    <x v="3"/>
    <s v="Fresh or Not Specified"/>
    <s v="grassfed"/>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376311844077961"/>
    <s v=""/>
    <m/>
    <m/>
    <m/>
    <m/>
    <m/>
    <m/>
    <m/>
    <m/>
    <m/>
    <m/>
    <m/>
    <m/>
    <m/>
    <m/>
    <m/>
    <m/>
    <m/>
    <m/>
    <m/>
    <m/>
    <m/>
    <m/>
    <n v="47.376311844077961"/>
    <m/>
  </r>
  <r>
    <x v="1"/>
    <x v="3"/>
    <s v="Fresh or Not Specified"/>
    <s v="feedlot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815920398009951"/>
    <s v=""/>
    <m/>
    <m/>
    <m/>
    <m/>
    <m/>
    <m/>
    <m/>
    <m/>
    <m/>
    <m/>
    <m/>
    <m/>
    <m/>
    <m/>
    <m/>
    <m/>
    <m/>
    <m/>
    <m/>
    <m/>
    <m/>
    <m/>
    <n v="36.815920398009951"/>
    <m/>
  </r>
  <r>
    <x v="1"/>
    <x v="3"/>
    <s v="Fresh or Not Specified"/>
    <s v="background/feedlot finish"/>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0.298507462686565"/>
    <s v=""/>
    <m/>
    <m/>
    <m/>
    <m/>
    <m/>
    <m/>
    <m/>
    <m/>
    <m/>
    <m/>
    <m/>
    <m/>
    <m/>
    <m/>
    <m/>
    <m/>
    <m/>
    <m/>
    <m/>
    <m/>
    <m/>
    <m/>
    <n v="40.298507462686565"/>
    <m/>
  </r>
  <r>
    <x v="1"/>
    <x v="3"/>
    <s v="Fresh or Not Specified"/>
    <s v="pasture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761194029850742"/>
    <s v=""/>
    <m/>
    <m/>
    <m/>
    <m/>
    <m/>
    <m/>
    <m/>
    <m/>
    <m/>
    <m/>
    <m/>
    <m/>
    <m/>
    <m/>
    <m/>
    <m/>
    <m/>
    <m/>
    <m/>
    <m/>
    <m/>
    <m/>
    <n v="47.761194029850742"/>
    <m/>
  </r>
  <r>
    <x v="1"/>
    <x v="3"/>
    <s v="Fresh or Not Specified"/>
    <s v="feedlot finishing (ave of 2002 &amp; 2004 data)"/>
    <s v="No"/>
    <s v="Australia (New South Wales)"/>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8605697151421"/>
    <s v=""/>
    <m/>
    <m/>
    <m/>
    <m/>
    <m/>
    <m/>
    <m/>
    <m/>
    <m/>
    <m/>
    <m/>
    <s v="primary energy"/>
    <m/>
    <m/>
    <m/>
    <m/>
    <m/>
    <m/>
    <m/>
    <m/>
    <m/>
    <m/>
    <n v="22.788605697151421"/>
    <m/>
  </r>
  <r>
    <x v="1"/>
    <x v="3"/>
    <s v="Fresh or Not Specified"/>
    <s v="organic (ave of 2002 &amp; 2004 data)"/>
    <s v="No"/>
    <s v="Australia (Victoria)"/>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263868065967014"/>
    <s v=""/>
    <m/>
    <m/>
    <m/>
    <m/>
    <m/>
    <m/>
    <m/>
    <m/>
    <m/>
    <m/>
    <m/>
    <m/>
    <m/>
    <m/>
    <m/>
    <m/>
    <m/>
    <m/>
    <m/>
    <m/>
    <m/>
    <m/>
    <n v="22.263868065967014"/>
    <m/>
  </r>
  <r>
    <x v="1"/>
    <x v="1"/>
    <s v="Fresh or Not Specified"/>
    <s v="(ave of 2002 &amp; 2004 data)"/>
    <s v="No"/>
    <s v="Australia (Western)"/>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957446808510637"/>
    <s v=""/>
    <m/>
    <m/>
    <m/>
    <m/>
    <m/>
    <m/>
    <m/>
    <m/>
    <m/>
    <m/>
    <m/>
    <m/>
    <m/>
    <m/>
    <m/>
    <m/>
    <m/>
    <m/>
    <m/>
    <m/>
    <m/>
    <m/>
    <n v="15.957446808510637"/>
    <m/>
  </r>
  <r>
    <x v="1"/>
    <x v="3"/>
    <s v="Fresh or Not Specified"/>
    <s v="Phase 1 study: on-farm data are representative of the U.S. Department of Agriculture’s Roman L. Hruska Meat Animal Research Center (USMARC) located in Clay Center, Nebraska.  Including only 2011 values here"/>
    <s v="n"/>
    <s v="USA"/>
    <n v="2013"/>
    <s v="Thomas Battagliese, Juliana Andrade, Isabel Schulze, Bruce Uhlman, Cristian Barcan"/>
    <s v="BASF Corporation, 100 Park Avenue, Florham Park, NJ, 07932"/>
    <s v="Industry Based Report"/>
    <s v="Battagliese, T., Andrade, J., Schulze, I., Uhlman, B. and Barcan, C., More Sustainable Beef Optimization Project Phase 1. BASF; 2013."/>
    <s v="Yes"/>
    <s v="No"/>
    <s v="Yes"/>
    <s v="Yes"/>
    <s v="Yes"/>
    <s v="Yes"/>
    <s v="Yes"/>
    <s v="Yes"/>
    <s v="Yes"/>
    <s v="Yes"/>
    <s v="No"/>
    <s v="No"/>
    <m/>
    <m/>
    <s v="Yes"/>
    <s v="Yes"/>
    <s v="1 pound of consumed,boneless, edible beef"/>
    <s v="*0.45359237 to convert to kg"/>
    <n v="43.805851496135176"/>
    <n v="54.828964605379056"/>
    <n v="41.226443028572106"/>
    <n v="41.667367552941862"/>
    <n v="43.805851496135176"/>
    <m/>
    <n v="11.023113109243878"/>
    <n v="17.636980974790205"/>
    <m/>
    <n v="55.115565546219393"/>
    <n v="61.729433411765719"/>
    <m/>
    <m/>
    <n v="43.805851496135176"/>
    <n v="189.31094453815436"/>
    <m/>
    <m/>
    <n v="41.226443028572106"/>
    <m/>
    <n v="0.44092452436975516"/>
    <n v="0.66138678655463268"/>
    <m/>
    <n v="5.4013254235295012"/>
    <n v="4.1887829815126736"/>
    <m/>
    <m/>
    <n v="41.226443028572106"/>
    <n v="52.029093875631112"/>
  </r>
  <r>
    <x v="1"/>
    <x v="3"/>
    <s v="Fresh or Not Specified"/>
    <m/>
    <s v="n"/>
    <s v="Canada"/>
    <n v="2010"/>
    <s v="Karen A. Beauchemin *, H. Henry Janzen, Shannan M. Little, Tim A. McAllister, Sean M. McGinn"/>
    <s v="Agriculture and Agri-Food Canada, Lethbridge, AB, Canada T1J 4B1"/>
    <s v="Peer Reviewed Journal"/>
    <s v="Beauchemin, K. A., Janzen, H. H., Little, S. M., Mcallister, T. A. and Mcginn, S. M., Life cycle assessment of greenhouse gas emissions from beef production in western Canada: A case study. Agricultural Systems 2010, 103 (6), 371-379."/>
    <s v="Yes"/>
    <s v="No"/>
    <s v="No"/>
    <s v="No"/>
    <s v="No"/>
    <s v="No"/>
    <s v="No"/>
    <s v="No"/>
    <s v="No"/>
    <s v="No"/>
    <s v="No"/>
    <s v="No"/>
    <m/>
    <s v="considers cow-calf &amp; feedlot operations; to farm ga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2.53373313343328"/>
    <s v=""/>
    <m/>
    <m/>
    <m/>
    <m/>
    <m/>
    <m/>
    <m/>
    <m/>
    <m/>
    <m/>
    <m/>
    <m/>
    <m/>
    <m/>
    <m/>
    <m/>
    <m/>
    <m/>
    <m/>
    <m/>
    <m/>
    <m/>
    <n v="32.53373313343328"/>
    <m/>
  </r>
  <r>
    <x v="1"/>
    <x v="3"/>
    <s v="Fresh or Not Specified"/>
    <s v="suckler cow-calf beef"/>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27.3"/>
    <s v=""/>
    <m/>
    <m/>
    <m/>
    <m/>
    <m/>
    <m/>
    <m/>
    <m/>
    <m/>
    <m/>
    <m/>
    <s v="Impact 2002+"/>
    <m/>
    <m/>
    <m/>
    <m/>
    <m/>
    <m/>
    <m/>
    <m/>
    <m/>
    <m/>
    <n v="27.3"/>
    <m/>
  </r>
  <r>
    <x v="1"/>
    <x v="25"/>
    <s v="Fresh or Not Specified"/>
    <s v="dairy bull calf steers, 24 mo. at slaughter"/>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19.899999999999999"/>
    <s v=""/>
    <m/>
    <m/>
    <m/>
    <m/>
    <m/>
    <m/>
    <m/>
    <m/>
    <m/>
    <m/>
    <m/>
    <s v="Impact 2002+"/>
    <m/>
    <m/>
    <m/>
    <m/>
    <m/>
    <m/>
    <m/>
    <m/>
    <m/>
    <m/>
    <n v="19.899999999999999"/>
    <m/>
  </r>
  <r>
    <x v="1"/>
    <x v="3"/>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8.620689655172413"/>
    <s v=""/>
    <m/>
    <m/>
    <m/>
    <m/>
    <m/>
    <m/>
    <m/>
    <m/>
    <m/>
    <m/>
    <m/>
    <m/>
    <m/>
    <n v="58.620689655172413"/>
    <m/>
    <m/>
    <n v="7.4962518740629688E-2"/>
    <m/>
    <m/>
    <m/>
    <m/>
    <m/>
    <n v="58.620689655172413"/>
    <n v="59.070464767616187"/>
  </r>
  <r>
    <x v="1"/>
    <x v="3"/>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3.478260869565212"/>
    <s v=""/>
    <m/>
    <m/>
    <m/>
    <m/>
    <m/>
    <m/>
    <m/>
    <m/>
    <m/>
    <m/>
    <m/>
    <m/>
    <m/>
    <n v="43.478260869565212"/>
    <m/>
    <m/>
    <n v="7.4962518740629688E-2"/>
    <m/>
    <m/>
    <m/>
    <m/>
    <m/>
    <n v="43.478260869565212"/>
    <n v="43.778110944527732"/>
  </r>
  <r>
    <x v="0"/>
    <x v="0"/>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2.61"/>
    <s v=""/>
    <m/>
    <m/>
    <m/>
    <m/>
    <m/>
    <m/>
    <m/>
    <m/>
    <m/>
    <m/>
    <m/>
    <m/>
    <m/>
    <m/>
    <m/>
    <m/>
    <m/>
    <m/>
    <m/>
    <m/>
    <m/>
    <m/>
    <n v="2.61"/>
    <n v="2.79"/>
  </r>
  <r>
    <x v="0"/>
    <x v="0"/>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1.41"/>
    <s v=""/>
    <m/>
    <m/>
    <m/>
    <m/>
    <m/>
    <m/>
    <m/>
    <m/>
    <m/>
    <m/>
    <m/>
    <m/>
    <m/>
    <m/>
    <m/>
    <m/>
    <m/>
    <m/>
    <m/>
    <m/>
    <m/>
    <m/>
    <n v="1.41"/>
    <n v="1.69"/>
  </r>
  <r>
    <x v="0"/>
    <x v="26"/>
    <s v="Fresh or Not Specified"/>
    <s v="Buffalo Milk, 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3.16"/>
    <s v=""/>
    <m/>
    <m/>
    <m/>
    <m/>
    <m/>
    <m/>
    <m/>
    <m/>
    <m/>
    <m/>
    <m/>
    <m/>
    <m/>
    <m/>
    <m/>
    <m/>
    <m/>
    <m/>
    <m/>
    <m/>
    <m/>
    <m/>
    <n v="3.16"/>
    <n v="3.38"/>
  </r>
  <r>
    <x v="1"/>
    <x v="1"/>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n v="6.8389057750759878"/>
    <n v="36.398176291793312"/>
    <s v=""/>
    <m/>
    <m/>
    <n v="6.8389057750759878"/>
    <m/>
    <m/>
    <m/>
    <m/>
    <m/>
    <m/>
    <m/>
    <m/>
    <m/>
    <m/>
    <n v="36.398176291793312"/>
    <m/>
    <m/>
    <n v="7.598784194528875E-2"/>
    <m/>
    <m/>
    <m/>
    <m/>
    <m/>
    <n v="36.398176291793312"/>
    <n v="36.474164133738597"/>
  </r>
  <r>
    <x v="0"/>
    <x v="27"/>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8.4"/>
  </r>
  <r>
    <x v="1"/>
    <x v="28"/>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assume same as sheep, above"/>
    <s v=""/>
    <s v=""/>
    <s v=""/>
    <s v=""/>
    <m/>
    <m/>
    <m/>
    <m/>
    <m/>
    <m/>
    <m/>
    <m/>
    <m/>
    <m/>
    <m/>
    <m/>
    <m/>
    <m/>
    <m/>
    <m/>
    <m/>
    <m/>
    <m/>
    <m/>
    <m/>
    <m/>
    <m/>
    <n v="35.714285714285715"/>
  </r>
  <r>
    <x v="0"/>
    <x v="29"/>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5.2"/>
  </r>
  <r>
    <x v="1"/>
    <x v="3"/>
    <s v="Fresh or Not Specified"/>
    <s v="conventional (w hormone growth promotants"/>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3.193403298350825"/>
    <m/>
    <m/>
    <m/>
    <m/>
    <m/>
    <m/>
    <m/>
    <m/>
    <m/>
    <m/>
    <m/>
    <m/>
    <n v="23.988005997001498"/>
  </r>
  <r>
    <x v="1"/>
    <x v="3"/>
    <s v="Fresh or Not Specified"/>
    <s v="natural (W/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5.442278860569715"/>
    <m/>
    <m/>
    <m/>
    <m/>
    <m/>
    <m/>
    <m/>
    <m/>
    <m/>
    <m/>
    <m/>
    <m/>
    <n v="28.18590704647676"/>
  </r>
  <r>
    <x v="1"/>
    <x v="3"/>
    <s v="Fresh or Not Specified"/>
    <s v="grass-fed (n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8.440779610194902"/>
    <m/>
    <m/>
    <m/>
    <m/>
    <m/>
    <m/>
    <m/>
    <m/>
    <m/>
    <m/>
    <m/>
    <m/>
    <n v="40.179910044977511"/>
  </r>
  <r>
    <x v="1"/>
    <x v="3"/>
    <s v="Fresh or Not Specified"/>
    <s v="suckler cow-calf beef with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3.883058470764617"/>
    <s v=""/>
    <m/>
    <m/>
    <m/>
    <m/>
    <m/>
    <m/>
    <m/>
    <m/>
    <m/>
    <m/>
    <m/>
    <m/>
    <m/>
    <m/>
    <m/>
    <m/>
    <m/>
    <m/>
    <m/>
    <m/>
    <m/>
    <m/>
    <n v="33.883058470764617"/>
    <m/>
  </r>
  <r>
    <x v="1"/>
    <x v="3"/>
    <s v="Fresh or Not Specified"/>
    <s v="suckler cow-calf beef without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1.934032983508246"/>
    <s v=""/>
    <m/>
    <m/>
    <m/>
    <m/>
    <m/>
    <m/>
    <m/>
    <m/>
    <m/>
    <m/>
    <m/>
    <m/>
    <m/>
    <m/>
    <m/>
    <m/>
    <m/>
    <m/>
    <m/>
    <m/>
    <m/>
    <m/>
    <n v="31.934032983508246"/>
    <m/>
  </r>
  <r>
    <x v="1"/>
    <x v="25"/>
    <s v="Fresh or Not Specified"/>
    <s v="dairy beef (holstein)"/>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6.04197901049475"/>
    <s v=""/>
    <m/>
    <m/>
    <m/>
    <m/>
    <m/>
    <m/>
    <m/>
    <m/>
    <m/>
    <m/>
    <m/>
    <m/>
    <m/>
    <m/>
    <m/>
    <m/>
    <m/>
    <m/>
    <m/>
    <m/>
    <m/>
    <m/>
    <n v="16.04197901049475"/>
    <m/>
  </r>
  <r>
    <x v="1"/>
    <x v="3"/>
    <s v="Fresh or Not Specified"/>
    <s v="in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632683658170912"/>
    <s v=""/>
    <m/>
    <m/>
    <m/>
    <m/>
    <m/>
    <m/>
    <m/>
    <m/>
    <m/>
    <m/>
    <m/>
    <m/>
    <m/>
    <m/>
    <m/>
    <m/>
    <m/>
    <m/>
    <m/>
    <m/>
    <m/>
    <m/>
    <n v="34.632683658170912"/>
    <m/>
  </r>
  <r>
    <x v="1"/>
    <x v="3"/>
    <s v="Fresh or Not Specified"/>
    <s v="intensive beef breed cow-calf herd"/>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8.080959520239873"/>
    <s v=""/>
    <m/>
    <m/>
    <m/>
    <m/>
    <m/>
    <m/>
    <m/>
    <m/>
    <m/>
    <m/>
    <m/>
    <m/>
    <m/>
    <m/>
    <m/>
    <m/>
    <m/>
    <m/>
    <m/>
    <m/>
    <m/>
    <m/>
    <n v="38.080959520239873"/>
    <m/>
  </r>
  <r>
    <x v="1"/>
    <x v="3"/>
    <s v="Fresh or Not Specified"/>
    <s v="ex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4.527736131934027"/>
    <s v=""/>
    <m/>
    <m/>
    <m/>
    <m/>
    <m/>
    <m/>
    <m/>
    <m/>
    <m/>
    <m/>
    <m/>
    <m/>
    <m/>
    <m/>
    <m/>
    <m/>
    <m/>
    <m/>
    <m/>
    <m/>
    <m/>
    <m/>
    <n v="44.527736131934027"/>
    <m/>
  </r>
  <r>
    <x v="1"/>
    <x v="25"/>
    <s v="Fresh or Not Specified"/>
    <s v="dairy beef, steer (harvested at 25 mo.)"/>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887556221889056"/>
    <s v=""/>
    <m/>
    <m/>
    <m/>
    <m/>
    <m/>
    <m/>
    <m/>
    <m/>
    <m/>
    <m/>
    <m/>
    <m/>
    <m/>
    <m/>
    <m/>
    <m/>
    <m/>
    <m/>
    <m/>
    <m/>
    <m/>
    <m/>
    <n v="24.887556221889056"/>
    <m/>
  </r>
  <r>
    <x v="1"/>
    <x v="25"/>
    <s v="Fresh or Not Specified"/>
    <s v="dairy beef, steer (harvested at 25 mo.)"/>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487256371814091"/>
    <s v=""/>
    <m/>
    <m/>
    <m/>
    <m/>
    <m/>
    <m/>
    <m/>
    <m/>
    <m/>
    <m/>
    <m/>
    <m/>
    <m/>
    <m/>
    <m/>
    <m/>
    <m/>
    <m/>
    <m/>
    <m/>
    <m/>
    <m/>
    <n v="25.487256371814091"/>
    <m/>
  </r>
  <r>
    <x v="1"/>
    <x v="3"/>
    <s v="Fresh or Not Specified"/>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6.1"/>
  </r>
  <r>
    <x v="1"/>
    <x v="3"/>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1"/>
  </r>
  <r>
    <x v="1"/>
    <x v="3"/>
    <s v="Fresh or Not Specified"/>
    <m/>
    <s v="Yes"/>
    <s v="German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3"/>
  </r>
  <r>
    <x v="1"/>
    <x v="3"/>
    <s v="Fresh or Not Specified"/>
    <m/>
    <s v="Yes"/>
    <s v="Ire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6"/>
  </r>
  <r>
    <x v="1"/>
    <x v="3"/>
    <s v="Fresh or Not Specified"/>
    <m/>
    <s v="Yes"/>
    <s v="Po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7"/>
  </r>
  <r>
    <x v="1"/>
    <x v="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9"/>
  </r>
  <r>
    <x v="1"/>
    <x v="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6"/>
  </r>
  <r>
    <x v="1"/>
    <x v="3"/>
    <s v="Fresh or Not Specified"/>
    <s v="nature"/>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7"/>
  </r>
  <r>
    <x v="1"/>
    <x v="3"/>
    <s v="Fresh or Not Specified"/>
    <s v="Beef Cuts,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6"/>
  </r>
  <r>
    <x v="1"/>
    <x v="3"/>
    <s v="Fresh or Not Specified"/>
    <s v="Minced Beef, conventional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1999999999999993"/>
  </r>
  <r>
    <x v="1"/>
    <x v="3"/>
    <s v="Fresh or Not Specified"/>
    <s v="Minced Beef, organic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
  </r>
  <r>
    <x v="1"/>
    <x v="2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26"/>
  </r>
  <r>
    <x v="1"/>
    <x v="23"/>
    <s v="Fresh or Not Specified"/>
    <s v="AH 1 sta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AH 2 star"/>
    <s v="Yes"/>
    <s v="United Kingdo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4"/>
  </r>
  <r>
    <x v="1"/>
    <x v="23"/>
    <s v="Fresh or Not Specified"/>
    <s v="Jumbo bewust"/>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Milieukeu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4"/>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5"/>
  </r>
  <r>
    <x v="1"/>
    <x v="24"/>
    <s v="Fresh or Not Specified"/>
    <s v="label rouge"/>
    <s v="Yes"/>
    <s v="France"/>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82"/>
  </r>
  <r>
    <x v="1"/>
    <x v="24"/>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96"/>
  </r>
  <r>
    <x v="1"/>
    <x v="24"/>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8"/>
  </r>
  <r>
    <x v="1"/>
    <x v="24"/>
    <s v="Fresh or Not Specified"/>
    <s v="corn"/>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99999999999996"/>
  </r>
  <r>
    <x v="1"/>
    <x v="24"/>
    <s v="Fresh or Not Specified"/>
    <s v="scharre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4"/>
  </r>
  <r>
    <x v="1"/>
    <x v="24"/>
    <s v="Fresh or Not Specified"/>
    <s v="volwaard"/>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26"/>
  </r>
  <r>
    <x v="1"/>
    <x v="30"/>
    <s v="Fresh or Not Specified"/>
    <s v="Duck"/>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11"/>
  </r>
  <r>
    <x v="1"/>
    <x v="31"/>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5"/>
  </r>
  <r>
    <x v="1"/>
    <x v="31"/>
    <s v="Fresh or Not Specified"/>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4"/>
  </r>
  <r>
    <x v="1"/>
    <x v="1"/>
    <m/>
    <s v="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1"/>
  </r>
  <r>
    <x v="1"/>
    <x v="1"/>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00000000000001"/>
  </r>
  <r>
    <x v="1"/>
    <x v="32"/>
    <m/>
    <s v="rosé,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7.4"/>
  </r>
  <r>
    <x v="1"/>
    <x v="32"/>
    <m/>
    <s v="rosé,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8"/>
  </r>
  <r>
    <x v="1"/>
    <x v="32"/>
    <m/>
    <s v="rosé, 1 star (van Dri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3"/>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14"/>
  </r>
  <r>
    <x v="1"/>
    <x v="33"/>
    <m/>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27"/>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81"/>
  </r>
  <r>
    <x v="6"/>
    <x v="34"/>
    <m/>
    <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099999999999998"/>
  </r>
  <r>
    <x v="6"/>
    <x v="35"/>
    <m/>
    <s v="Groentenschijf, Vivera (Veggie Patt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95"/>
  </r>
  <r>
    <x v="6"/>
    <x v="36"/>
    <m/>
    <s v="Meatless made from lupine and wheat"/>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29"/>
  </r>
  <r>
    <x v="6"/>
    <x v="37"/>
    <m/>
    <s v="Quorn Minc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4"/>
  </r>
  <r>
    <x v="6"/>
    <x v="38"/>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4"/>
  </r>
  <r>
    <x v="6"/>
    <x v="38"/>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
  </r>
  <r>
    <x v="6"/>
    <x v="38"/>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2"/>
  </r>
  <r>
    <x v="6"/>
    <x v="38"/>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24"/>
  </r>
  <r>
    <x v="6"/>
    <x v="39"/>
    <m/>
    <s v="Valess, Schnitzel made from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9"/>
  </r>
  <r>
    <x v="0"/>
    <x v="0"/>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1"/>
  </r>
  <r>
    <x v="0"/>
    <x v="0"/>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r>
  <r>
    <x v="0"/>
    <x v="0"/>
    <m/>
    <s v="pasture (weidegang),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
  </r>
  <r>
    <x v="0"/>
    <x v="0"/>
    <m/>
    <s v="conventional,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1"/>
  </r>
  <r>
    <x v="0"/>
    <x v="0"/>
    <m/>
    <s v="organic,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45"/>
  </r>
  <r>
    <x v="0"/>
    <x v="0"/>
    <m/>
    <s v="pasture (weidegang),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r>
  <r>
    <x v="0"/>
    <x v="0"/>
    <m/>
    <s v="conventional,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
  </r>
  <r>
    <x v="0"/>
    <x v="0"/>
    <m/>
    <s v="organic,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r>
  <r>
    <x v="0"/>
    <x v="0"/>
    <m/>
    <s v="pasture (weidegang),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
  </r>
  <r>
    <x v="0"/>
    <x v="0"/>
    <m/>
    <s v="conventional,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4"/>
  </r>
  <r>
    <x v="0"/>
    <x v="0"/>
    <m/>
    <s v="organic,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3"/>
  </r>
  <r>
    <x v="0"/>
    <x v="0"/>
    <m/>
    <s v="pasture,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3"/>
  </r>
  <r>
    <x v="0"/>
    <x v="29"/>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5"/>
  </r>
  <r>
    <x v="0"/>
    <x v="29"/>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6"/>
  </r>
  <r>
    <x v="7"/>
    <x v="40"/>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61"/>
  </r>
  <r>
    <x v="7"/>
    <x v="40"/>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2"/>
  </r>
  <r>
    <x v="7"/>
    <x v="40"/>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89"/>
  </r>
  <r>
    <x v="7"/>
    <x v="40"/>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8"/>
  </r>
  <r>
    <x v="0"/>
    <x v="4"/>
    <m/>
    <s v="cow,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000000000000007"/>
  </r>
  <r>
    <x v="0"/>
    <x v="4"/>
    <m/>
    <s v="cow,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7"/>
  </r>
  <r>
    <x v="0"/>
    <x v="4"/>
    <m/>
    <s v="cow, old,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5"/>
  </r>
  <r>
    <x v="0"/>
    <x v="4"/>
    <m/>
    <s v="cow,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02"/>
  </r>
  <r>
    <x v="0"/>
    <x v="4"/>
    <m/>
    <s v="cow,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2"/>
  </r>
  <r>
    <x v="0"/>
    <x v="4"/>
    <m/>
    <s v="cow, medium,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98"/>
  </r>
  <r>
    <x v="0"/>
    <x v="4"/>
    <m/>
    <s v="cow,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7"/>
  </r>
  <r>
    <x v="0"/>
    <x v="4"/>
    <m/>
    <s v="cow,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2"/>
  </r>
  <r>
    <x v="0"/>
    <x v="4"/>
    <m/>
    <s v="cow, young,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2"/>
  </r>
  <r>
    <x v="0"/>
    <x v="41"/>
    <m/>
    <s v="goat,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48"/>
  </r>
  <r>
    <x v="0"/>
    <x v="41"/>
    <m/>
    <s v="goat,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30000000000001"/>
  </r>
  <r>
    <x v="0"/>
    <x v="41"/>
    <m/>
    <s v="goat,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71"/>
  </r>
  <r>
    <x v="0"/>
    <x v="41"/>
    <m/>
    <s v="goat,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2899999999999991"/>
  </r>
  <r>
    <x v="0"/>
    <x v="41"/>
    <m/>
    <s v="goat,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27"/>
  </r>
  <r>
    <x v="0"/>
    <x v="41"/>
    <m/>
    <s v="goat,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899999999999991"/>
  </r>
  <r>
    <x v="0"/>
    <x v="42"/>
    <m/>
    <s v="buffalo, mozzarella"/>
    <s v="Yes"/>
    <s v="Ital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99"/>
  </r>
  <r>
    <x v="0"/>
    <x v="4"/>
    <m/>
    <s v="cow, mozzarella"/>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89"/>
  </r>
  <r>
    <x v="0"/>
    <x v="5"/>
    <m/>
    <s v="conventional,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8"/>
  </r>
  <r>
    <x v="0"/>
    <x v="5"/>
    <m/>
    <s v="organic,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6"/>
  </r>
  <r>
    <x v="0"/>
    <x v="5"/>
    <m/>
    <s v="pasture,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79"/>
  </r>
  <r>
    <x v="0"/>
    <x v="5"/>
    <m/>
    <s v="conventional,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
  </r>
  <r>
    <x v="0"/>
    <x v="5"/>
    <m/>
    <s v="organic,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9"/>
  </r>
  <r>
    <x v="0"/>
    <x v="5"/>
    <m/>
    <s v="pasture,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5"/>
  </r>
  <r>
    <x v="0"/>
    <x v="5"/>
    <m/>
    <s v="conventional,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8"/>
  </r>
  <r>
    <x v="0"/>
    <x v="5"/>
    <m/>
    <s v="organic,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7"/>
  </r>
  <r>
    <x v="0"/>
    <x v="5"/>
    <m/>
    <s v="pasture,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r>
  <r>
    <x v="2"/>
    <x v="2"/>
    <m/>
    <s v="batter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r>
  <r>
    <x v="2"/>
    <x v="2"/>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3"/>
  </r>
  <r>
    <x v="2"/>
    <x v="2"/>
    <m/>
    <s v="enriched ca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r>
  <r>
    <x v="2"/>
    <x v="2"/>
    <m/>
    <s v="barn (scharr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1 star (scharrel +)"/>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ronde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6"/>
  </r>
  <r>
    <x v="2"/>
    <x v="2"/>
    <m/>
    <s v="free ran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5599999999999996"/>
  </r>
  <r>
    <x v="2"/>
    <x v="2"/>
    <m/>
    <s v="grass"/>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omega-3"/>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2"/>
  </r>
  <r>
    <x v="2"/>
    <x v="2"/>
    <m/>
    <s v="60% corn"/>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05"/>
  </r>
  <r>
    <x v="4"/>
    <x v="20"/>
    <s v="Fresh or Not Specified"/>
    <s v="fresh bananas"/>
    <s v="No"/>
    <s v="USA"/>
    <n v="2012"/>
    <s v="Anthony J. Craig(a); Yossi Sheffi (a); Edgar E. Blanco (c)"/>
    <s v="(a) Engineering Systems Division Massachusetts Institute of Technology; (b) Center for Transportation &amp; Logistics_x000a_ Massachusetts Institute of Technology"/>
    <s v="NGO Report"/>
    <s v="Craig, A. J., Blanco, E. E. and Sheffi, Y., ESD Working Paper Series A Supply Chain View of Product Carbon Footprints : Results from the Banana Supply Chain 2012,  (ESD-WP-2012-25), ."/>
    <s v="Yes"/>
    <s v="No"/>
    <s v="Yes"/>
    <s v="Yes"/>
    <s v="Yes"/>
    <s v="Yes"/>
    <s v="Yes"/>
    <s v="No"/>
    <s v="No"/>
    <s v="No"/>
    <s v="No"/>
    <s v="No"/>
    <m/>
    <s v="Tracked fro 1 box banana, yet 1 kg impact also reported"/>
    <s v="No"/>
    <s v="Yes"/>
    <s v="1 box banana"/>
    <s v="/18.14 (one box = 18.14 kg)"/>
    <s v=""/>
    <s v=""/>
    <n v="0.20396912899669239"/>
    <s v=""/>
    <m/>
    <m/>
    <m/>
    <m/>
    <m/>
    <m/>
    <m/>
    <m/>
    <m/>
    <m/>
    <m/>
    <m/>
    <m/>
    <n v="0.20396912899669239"/>
    <m/>
    <n v="0"/>
    <n v="7.1664829106945979E-2"/>
    <n v="0.4299889746416759"/>
    <n v="0.19294377067254684"/>
    <m/>
    <m/>
    <m/>
    <n v="0.20396912899669239"/>
    <n v="0.93560814529444125"/>
  </r>
  <r>
    <x v="4"/>
    <x v="20"/>
    <s v="Fresh or Not Specified"/>
    <s v="fresh bananas"/>
    <s v="No"/>
    <s v="Costa Rica"/>
    <n v="2013"/>
    <s v="Erik Svanes  (a); Anna K. S. Aronsson (b)"/>
    <s v="(a) Department of Food and Packaging, Ostfold Research,_x000a_ Gamle Bedding vei 2b,_x000a_ 1671 Fredrikstad, Norway; (b) Swedish Institute for Food and Biotechnology, P.O. Box 5401,_x000a_ 40229 Gothenburg, Sweden"/>
    <s v="Peer Reviewed Journal"/>
    <s v="Svanes, E. and Aronsson, A. K. S., Carbon footprint of a Cavendish banana supply chain. The International Journal of Life Cycle Assessment 2013, 18 (8), 1450-1464."/>
    <s v="Yes"/>
    <s v="No"/>
    <s v="Yes"/>
    <s v="Yes"/>
    <s v="Yes"/>
    <s v="Yes"/>
    <s v="Yes"/>
    <s v="Yes"/>
    <s v="No"/>
    <s v="No"/>
    <s v="No"/>
    <s v="No"/>
    <m/>
    <s v="Cradle to grave"/>
    <s v="Yes"/>
    <s v="Yes"/>
    <s v="1 kg banana"/>
    <m/>
    <s v=""/>
    <s v=""/>
    <n v="0.2944"/>
    <n v="0.33119999999999999"/>
    <m/>
    <m/>
    <m/>
    <m/>
    <m/>
    <m/>
    <m/>
    <m/>
    <m/>
    <m/>
    <m/>
    <m/>
    <m/>
    <n v="0.2944"/>
    <m/>
    <n v="3.6799999999999999E-2"/>
    <n v="0.12880000000000003"/>
    <n v="1.2328000000000001"/>
    <n v="5.5199999999999999E-2"/>
    <n v="9.2000000000000012E-2"/>
    <m/>
    <n v="2.3E-3"/>
    <n v="0.2944"/>
    <n v="1.84"/>
  </r>
  <r>
    <x v="4"/>
    <x v="20"/>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r>
  <r>
    <x v="4"/>
    <x v="20"/>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r>
  <r>
    <x v="4"/>
    <x v="43"/>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43"/>
    <s v="Fresh or Not Specified"/>
    <s v="organic"/>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43"/>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20"/>
    <s v="Fresh or Not Specified"/>
    <s v="conventional"/>
    <s v="No"/>
    <s v="Costa Rica"/>
    <n v="2010"/>
    <s v="Boki Luske"/>
    <s v="Soil &amp; More International Hoofdstraat 24 3972 LA Driebergen The Netherlands"/>
    <s v="Private consulting firm report"/>
    <s v="Luske, B., Comprehensive carbon footprint assessment. Dole bananas. Soil and More International 2010,  (2010), 1-45."/>
    <s v="Yes"/>
    <s v="No"/>
    <s v="Yes"/>
    <s v="Yes"/>
    <s v="Yes"/>
    <s v="Yes"/>
    <s v="No"/>
    <s v="No"/>
    <s v="No"/>
    <s v="No"/>
    <s v="No"/>
    <s v="No"/>
    <m/>
    <s v="Cradle to shelf"/>
    <s v="No"/>
    <s v="Yes"/>
    <s v="1 ton banana"/>
    <s v="/1000"/>
    <s v=""/>
    <s v=""/>
    <n v="0.13783000000000001"/>
    <s v=""/>
    <m/>
    <m/>
    <m/>
    <m/>
    <m/>
    <m/>
    <m/>
    <m/>
    <m/>
    <m/>
    <m/>
    <m/>
    <m/>
    <n v="0.13783000000000001"/>
    <m/>
    <m/>
    <n v="8.9599999999999999E-2"/>
    <n v="0.84267999999999998"/>
    <m/>
    <m/>
    <m/>
    <m/>
    <n v="0.13783000000000001"/>
    <n v="1.1240000000000001"/>
  </r>
  <r>
    <x v="5"/>
    <x v="22"/>
    <s v="Fresh or Not Specified"/>
    <s v="White Loaf Bread - Industrial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Yes"/>
    <s v="No"/>
    <s v="No"/>
    <s v="No"/>
    <s v="No"/>
    <m/>
    <s v="Cradle to Grave"/>
    <s v="No"/>
    <s v="No"/>
    <s v=" kg bread ready for consumption"/>
    <s v="N/A"/>
    <s v=""/>
    <s v=""/>
    <s v=""/>
    <s v=""/>
    <m/>
    <m/>
    <m/>
    <m/>
    <m/>
    <m/>
    <m/>
    <m/>
    <m/>
    <m/>
    <n v="5252.4000000000005"/>
    <m/>
    <m/>
    <m/>
    <m/>
    <m/>
    <m/>
    <m/>
    <m/>
    <m/>
    <m/>
    <m/>
    <m/>
    <n v="-0.56000000000000005"/>
  </r>
  <r>
    <x v="5"/>
    <x v="22"/>
    <s v="Fresh or Not Specified"/>
    <s v="White Loaf Bread - Home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No"/>
    <s v="No"/>
    <s v="Yes"/>
    <s v="No"/>
    <s v="No"/>
    <m/>
    <s v="Cradle to Grave"/>
    <s v="No"/>
    <s v="No"/>
    <s v=" kg bread ready for consumption"/>
    <s v="N/A"/>
    <s v=""/>
    <s v=""/>
    <s v=""/>
    <s v=""/>
    <m/>
    <m/>
    <m/>
    <m/>
    <m/>
    <m/>
    <m/>
    <m/>
    <m/>
    <m/>
    <n v="7200"/>
    <m/>
    <m/>
    <m/>
    <m/>
    <m/>
    <m/>
    <m/>
    <m/>
    <m/>
    <m/>
    <m/>
    <m/>
    <n v="-0.501"/>
  </r>
  <r>
    <x v="5"/>
    <x v="22"/>
    <s v="Fresh or Not Specified"/>
    <s v="Conventional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3.64"/>
    <n v="14.21"/>
    <s v=""/>
    <n v="10.57"/>
    <n v="3.64"/>
    <m/>
    <n v="10.57"/>
    <n v="0.45"/>
    <n v="0.67"/>
    <m/>
    <m/>
    <m/>
    <m/>
    <n v="3.64"/>
    <n v="15.3"/>
    <m/>
    <m/>
    <m/>
    <m/>
    <n v="10.57"/>
    <n v="0.45"/>
    <n v="0.67"/>
    <m/>
    <m/>
    <m/>
    <m/>
    <m/>
    <m/>
  </r>
  <r>
    <x v="5"/>
    <x v="22"/>
    <s v="Fresh or Not Specified"/>
    <s v="Organic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1.61"/>
    <n v="12.18"/>
    <s v=""/>
    <n v="7.57"/>
    <n v="1.61"/>
    <m/>
    <n v="10.57"/>
    <n v="0.45"/>
    <n v="0.71"/>
    <m/>
    <m/>
    <m/>
    <m/>
    <n v="1.61"/>
    <n v="13.3"/>
    <m/>
    <m/>
    <m/>
    <m/>
    <n v="7.57"/>
    <n v="0.45"/>
    <n v="0.71"/>
    <m/>
    <m/>
    <m/>
    <m/>
    <m/>
    <m/>
  </r>
  <r>
    <x v="0"/>
    <x v="0"/>
    <s v="Fresh or Not Specified"/>
    <s v="Conventional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4.2849000000000004"/>
    <n v="5.3095500000000007"/>
    <s v=""/>
    <n v="1.0246500000000001"/>
    <n v="4.2849000000000004"/>
    <m/>
    <n v="1.0246500000000001"/>
    <n v="1.0349999999999999"/>
    <n v="0.25874999999999998"/>
    <m/>
    <m/>
    <m/>
    <m/>
    <n v="4.2849000000000004"/>
    <n v="6.6139999999999999"/>
    <m/>
    <m/>
    <m/>
    <m/>
    <n v="1.0246500000000001"/>
    <n v="1.0349999999999999"/>
    <n v="0.25874999999999998"/>
    <m/>
    <m/>
    <m/>
    <m/>
    <m/>
    <m/>
  </r>
  <r>
    <x v="0"/>
    <x v="0"/>
    <s v="Fresh or Not Specified"/>
    <s v="Organic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2.2149000000000001"/>
    <n v="3.2395500000000004"/>
    <s v=""/>
    <n v="1.0246500000000001"/>
    <n v="2.2149000000000001"/>
    <m/>
    <n v="1.0246500000000001"/>
    <n v="1.0349999999999999"/>
    <n v="0.30015000000000003"/>
    <m/>
    <m/>
    <m/>
    <m/>
    <n v="2.2149000000000001"/>
    <n v="4.5640000000000001"/>
    <m/>
    <m/>
    <m/>
    <m/>
    <n v="1.0246500000000001"/>
    <n v="1.0349999999999999"/>
    <n v="0.30014999999999997"/>
    <m/>
    <m/>
    <m/>
    <m/>
    <m/>
    <m/>
  </r>
  <r>
    <x v="3"/>
    <x v="4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215"/>
    <s v=""/>
    <m/>
    <m/>
    <m/>
    <m/>
    <m/>
    <m/>
    <m/>
    <m/>
    <m/>
    <m/>
    <m/>
    <m/>
    <m/>
    <m/>
    <m/>
    <m/>
    <m/>
    <m/>
    <m/>
    <m/>
    <m/>
    <m/>
    <n v="0.215"/>
    <m/>
  </r>
  <r>
    <x v="3"/>
    <x v="4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19900000000000001"/>
    <s v=""/>
    <m/>
    <m/>
    <m/>
    <m/>
    <m/>
    <m/>
    <m/>
    <m/>
    <m/>
    <m/>
    <m/>
    <m/>
    <m/>
    <m/>
    <m/>
    <m/>
    <m/>
    <m/>
    <m/>
    <m/>
    <m/>
    <m/>
    <n v="0.19900000000000001"/>
    <m/>
  </r>
  <r>
    <x v="5"/>
    <x v="22"/>
    <s v="Fresh or Not Specified"/>
    <s v="Wheat Bread,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80400000000000005"/>
    <s v=""/>
    <m/>
    <m/>
    <m/>
    <m/>
    <m/>
    <m/>
    <m/>
    <m/>
    <m/>
    <m/>
    <m/>
    <m/>
    <m/>
    <m/>
    <m/>
    <m/>
    <m/>
    <m/>
    <m/>
    <m/>
    <m/>
    <m/>
    <n v="0.80400000000000005"/>
    <m/>
  </r>
  <r>
    <x v="5"/>
    <x v="22"/>
    <s v="Fresh or Not Specified"/>
    <s v="Wheat Bread,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78600000000000003"/>
    <s v=""/>
    <m/>
    <m/>
    <m/>
    <m/>
    <m/>
    <m/>
    <m/>
    <m/>
    <m/>
    <m/>
    <m/>
    <m/>
    <m/>
    <m/>
    <m/>
    <m/>
    <m/>
    <m/>
    <m/>
    <m/>
    <m/>
    <m/>
    <n v="0.78600000000000003"/>
    <m/>
  </r>
  <r>
    <x v="5"/>
    <x v="45"/>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71"/>
    <s v=""/>
    <m/>
    <m/>
    <m/>
    <m/>
    <m/>
    <m/>
    <m/>
    <m/>
    <m/>
    <m/>
    <m/>
    <m/>
    <m/>
    <m/>
    <m/>
    <m/>
    <m/>
    <m/>
    <m/>
    <m/>
    <m/>
    <m/>
    <n v="1.71"/>
    <m/>
  </r>
  <r>
    <x v="5"/>
    <x v="45"/>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62"/>
    <s v=""/>
    <m/>
    <m/>
    <m/>
    <m/>
    <m/>
    <m/>
    <m/>
    <m/>
    <m/>
    <m/>
    <m/>
    <m/>
    <m/>
    <m/>
    <m/>
    <m/>
    <m/>
    <m/>
    <m/>
    <m/>
    <m/>
    <m/>
    <n v="1.62"/>
    <m/>
  </r>
  <r>
    <x v="1"/>
    <x v="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68815592203898"/>
    <s v=""/>
    <m/>
    <m/>
    <m/>
    <m/>
    <m/>
    <m/>
    <m/>
    <m/>
    <m/>
    <m/>
    <m/>
    <m/>
    <m/>
    <m/>
    <m/>
    <m/>
    <m/>
    <m/>
    <m/>
    <m/>
    <m/>
    <m/>
    <n v="23.68815592203898"/>
    <m/>
  </r>
  <r>
    <x v="1"/>
    <x v="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286356821589202"/>
    <s v=""/>
    <m/>
    <m/>
    <m/>
    <m/>
    <m/>
    <m/>
    <m/>
    <m/>
    <m/>
    <m/>
    <m/>
    <m/>
    <m/>
    <m/>
    <m/>
    <m/>
    <m/>
    <m/>
    <m/>
    <m/>
    <m/>
    <m/>
    <n v="27.286356821589202"/>
    <m/>
  </r>
  <r>
    <x v="1"/>
    <x v="3"/>
    <s v="Fresh or Not Specified"/>
    <s v="100% suckler"/>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931034482758619"/>
    <s v=""/>
    <m/>
    <m/>
    <m/>
    <m/>
    <m/>
    <m/>
    <m/>
    <m/>
    <m/>
    <m/>
    <m/>
    <m/>
    <m/>
    <m/>
    <m/>
    <m/>
    <m/>
    <m/>
    <m/>
    <m/>
    <m/>
    <m/>
    <n v="37.931034482758619"/>
    <m/>
  </r>
  <r>
    <x v="1"/>
    <x v="3"/>
    <s v="Fresh or Not Specified"/>
    <s v="Low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38830584707646"/>
    <s v=""/>
    <m/>
    <m/>
    <m/>
    <m/>
    <m/>
    <m/>
    <m/>
    <m/>
    <m/>
    <m/>
    <m/>
    <m/>
    <m/>
    <m/>
    <m/>
    <m/>
    <m/>
    <m/>
    <m/>
    <m/>
    <m/>
    <m/>
    <n v="23.38830584707646"/>
    <m/>
  </r>
  <r>
    <x v="1"/>
    <x v="3"/>
    <s v="Fresh or Not Specified"/>
    <s v="Hill &amp; Up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587706146926532"/>
    <s v=""/>
    <m/>
    <m/>
    <m/>
    <m/>
    <m/>
    <m/>
    <m/>
    <m/>
    <m/>
    <m/>
    <m/>
    <m/>
    <m/>
    <m/>
    <m/>
    <m/>
    <m/>
    <m/>
    <m/>
    <m/>
    <m/>
    <m/>
    <n v="24.587706146926532"/>
    <m/>
  </r>
  <r>
    <x v="1"/>
    <x v="2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7242798353909468"/>
    <s v=""/>
    <m/>
    <m/>
    <m/>
    <m/>
    <m/>
    <m/>
    <m/>
    <m/>
    <m/>
    <m/>
    <m/>
    <m/>
    <m/>
    <m/>
    <m/>
    <m/>
    <m/>
    <m/>
    <m/>
    <m/>
    <m/>
    <m/>
    <n v="8.7242798353909468"/>
    <m/>
  </r>
  <r>
    <x v="1"/>
    <x v="2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7366255144032916"/>
    <s v=""/>
    <m/>
    <m/>
    <m/>
    <m/>
    <m/>
    <m/>
    <m/>
    <m/>
    <m/>
    <m/>
    <m/>
    <m/>
    <m/>
    <m/>
    <m/>
    <m/>
    <m/>
    <m/>
    <m/>
    <m/>
    <m/>
    <m/>
    <n v="7.7366255144032916"/>
    <m/>
  </r>
  <r>
    <x v="1"/>
    <x v="23"/>
    <s v="Fresh or Not Specified"/>
    <s v="Heavier finish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401920438957475"/>
    <s v=""/>
    <m/>
    <m/>
    <m/>
    <m/>
    <m/>
    <m/>
    <m/>
    <m/>
    <m/>
    <m/>
    <m/>
    <m/>
    <m/>
    <m/>
    <m/>
    <m/>
    <m/>
    <m/>
    <m/>
    <m/>
    <m/>
    <m/>
    <n v="8.3401920438957475"/>
    <m/>
  </r>
  <r>
    <x v="1"/>
    <x v="23"/>
    <s v="Fresh or Not Specified"/>
    <s v="In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8065843621399171"/>
    <s v=""/>
    <m/>
    <m/>
    <m/>
    <m/>
    <m/>
    <m/>
    <m/>
    <m/>
    <m/>
    <m/>
    <m/>
    <m/>
    <m/>
    <m/>
    <m/>
    <m/>
    <m/>
    <m/>
    <m/>
    <m/>
    <m/>
    <m/>
    <n v="8.8065843621399171"/>
    <m/>
  </r>
  <r>
    <x v="1"/>
    <x v="23"/>
    <s v="Fresh or Not Specified"/>
    <s v="Out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6831275720164616"/>
    <s v=""/>
    <m/>
    <m/>
    <m/>
    <m/>
    <m/>
    <m/>
    <m/>
    <m/>
    <m/>
    <m/>
    <m/>
    <m/>
    <m/>
    <m/>
    <m/>
    <m/>
    <m/>
    <m/>
    <m/>
    <m/>
    <m/>
    <m/>
    <n v="8.6831275720164616"/>
    <m/>
  </r>
  <r>
    <x v="1"/>
    <x v="2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5.9350649350649354"/>
    <s v=""/>
    <m/>
    <m/>
    <m/>
    <m/>
    <m/>
    <m/>
    <m/>
    <m/>
    <m/>
    <m/>
    <m/>
    <m/>
    <m/>
    <m/>
    <m/>
    <m/>
    <m/>
    <m/>
    <m/>
    <m/>
    <m/>
    <m/>
    <n v="5.9350649350649354"/>
    <m/>
  </r>
  <r>
    <x v="1"/>
    <x v="2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8.6753246753246742"/>
    <s v=""/>
    <m/>
    <m/>
    <m/>
    <m/>
    <m/>
    <m/>
    <m/>
    <m/>
    <m/>
    <m/>
    <m/>
    <m/>
    <m/>
    <m/>
    <m/>
    <m/>
    <m/>
    <m/>
    <m/>
    <m/>
    <m/>
    <m/>
    <n v="8.6753246753246742"/>
    <m/>
  </r>
  <r>
    <x v="1"/>
    <x v="24"/>
    <s v="Fresh or Not Specified"/>
    <s v="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7.116883116883117"/>
    <s v=""/>
    <m/>
    <m/>
    <m/>
    <m/>
    <m/>
    <m/>
    <m/>
    <m/>
    <m/>
    <m/>
    <m/>
    <m/>
    <m/>
    <m/>
    <m/>
    <m/>
    <m/>
    <m/>
    <m/>
    <m/>
    <m/>
    <m/>
    <n v="7.116883116883117"/>
    <m/>
  </r>
  <r>
    <x v="1"/>
    <x v="1"/>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595744680851062"/>
    <s v=""/>
    <m/>
    <m/>
    <m/>
    <m/>
    <m/>
    <m/>
    <m/>
    <m/>
    <m/>
    <m/>
    <m/>
    <m/>
    <m/>
    <m/>
    <m/>
    <m/>
    <m/>
    <m/>
    <m/>
    <m/>
    <m/>
    <m/>
    <n v="26.595744680851062"/>
    <m/>
  </r>
  <r>
    <x v="1"/>
    <x v="1"/>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349544072948326"/>
    <s v=""/>
    <m/>
    <m/>
    <m/>
    <m/>
    <m/>
    <m/>
    <m/>
    <m/>
    <m/>
    <m/>
    <m/>
    <m/>
    <m/>
    <m/>
    <m/>
    <m/>
    <m/>
    <m/>
    <m/>
    <m/>
    <m/>
    <m/>
    <n v="15.349544072948326"/>
    <m/>
  </r>
  <r>
    <x v="2"/>
    <x v="2"/>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53"/>
    <s v=""/>
    <m/>
    <m/>
    <m/>
    <m/>
    <m/>
    <m/>
    <m/>
    <m/>
    <m/>
    <m/>
    <m/>
    <m/>
    <m/>
    <m/>
    <m/>
    <m/>
    <m/>
    <m/>
    <m/>
    <m/>
    <m/>
    <m/>
    <n v="5.53"/>
    <m/>
  </r>
  <r>
    <x v="2"/>
    <x v="2"/>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7"/>
    <s v=""/>
    <m/>
    <m/>
    <m/>
    <m/>
    <m/>
    <m/>
    <m/>
    <m/>
    <m/>
    <m/>
    <m/>
    <m/>
    <m/>
    <m/>
    <m/>
    <m/>
    <m/>
    <m/>
    <m/>
    <m/>
    <m/>
    <m/>
    <n v="7"/>
    <m/>
  </r>
  <r>
    <x v="2"/>
    <x v="2"/>
    <s v="Fresh or Not Specified"/>
    <s v="100% ca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25"/>
    <s v=""/>
    <m/>
    <m/>
    <m/>
    <m/>
    <m/>
    <m/>
    <m/>
    <m/>
    <m/>
    <m/>
    <m/>
    <m/>
    <m/>
    <m/>
    <m/>
    <m/>
    <m/>
    <m/>
    <m/>
    <m/>
    <m/>
    <m/>
    <n v="5.25"/>
    <m/>
  </r>
  <r>
    <x v="2"/>
    <x v="2"/>
    <s v="Fresh or Not Specified"/>
    <s v="100% 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6.18"/>
    <s v=""/>
    <m/>
    <m/>
    <m/>
    <m/>
    <m/>
    <m/>
    <m/>
    <m/>
    <m/>
    <m/>
    <m/>
    <m/>
    <m/>
    <m/>
    <m/>
    <m/>
    <m/>
    <m/>
    <m/>
    <m/>
    <m/>
    <m/>
    <n v="6.18"/>
    <m/>
  </r>
  <r>
    <x v="0"/>
    <x v="0"/>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6"/>
    <s v=""/>
    <m/>
    <m/>
    <m/>
    <m/>
    <m/>
    <m/>
    <m/>
    <m/>
    <m/>
    <m/>
    <m/>
    <m/>
    <m/>
    <m/>
    <m/>
    <m/>
    <m/>
    <m/>
    <m/>
    <m/>
    <m/>
    <m/>
    <n v="10.6"/>
    <m/>
  </r>
  <r>
    <x v="0"/>
    <x v="0"/>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2.3"/>
    <s v=""/>
    <m/>
    <m/>
    <m/>
    <m/>
    <m/>
    <m/>
    <m/>
    <m/>
    <m/>
    <m/>
    <m/>
    <m/>
    <m/>
    <m/>
    <m/>
    <m/>
    <m/>
    <m/>
    <m/>
    <m/>
    <m/>
    <m/>
    <n v="12.3"/>
    <m/>
  </r>
  <r>
    <x v="0"/>
    <x v="0"/>
    <s v="Fresh or Not Specified"/>
    <s v="20% autumn calving her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3"/>
    <s v=""/>
    <m/>
    <m/>
    <m/>
    <m/>
    <m/>
    <m/>
    <m/>
    <m/>
    <m/>
    <m/>
    <m/>
    <m/>
    <m/>
    <m/>
    <m/>
    <m/>
    <m/>
    <m/>
    <m/>
    <m/>
    <m/>
    <m/>
    <n v="10.3"/>
    <m/>
  </r>
  <r>
    <x v="3"/>
    <x v="18"/>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7.5"/>
    <s v=""/>
    <m/>
    <m/>
    <m/>
    <m/>
    <m/>
    <m/>
    <m/>
    <m/>
    <m/>
    <m/>
    <m/>
    <m/>
    <m/>
    <m/>
    <m/>
    <m/>
    <m/>
    <m/>
    <m/>
    <m/>
    <m/>
    <m/>
    <n v="17.5"/>
    <m/>
  </r>
  <r>
    <x v="3"/>
    <x v="18"/>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r>
  <r>
    <x v="3"/>
    <x v="18"/>
    <s v="Fresh or Not Specified"/>
    <s v="Nutrient Film Techniqu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r>
  <r>
    <x v="3"/>
    <x v="18"/>
    <s v="Fresh or Not Specified"/>
    <s v="Rockwool bas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2.2"/>
    <s v=""/>
    <m/>
    <m/>
    <m/>
    <m/>
    <m/>
    <m/>
    <m/>
    <m/>
    <m/>
    <m/>
    <m/>
    <m/>
    <m/>
    <m/>
    <m/>
    <m/>
    <m/>
    <m/>
    <m/>
    <m/>
    <m/>
    <m/>
    <n v="12.2"/>
    <m/>
  </r>
  <r>
    <x v="5"/>
    <x v="22"/>
    <s v="Fresh or Not Specified"/>
    <s v="Rye Bread on Industrial Scale"/>
    <s v="Yes"/>
    <s v="Denmark"/>
    <n v="2014"/>
    <s v="Jan Stentoft Arlbjørn; Jesper Kronborg Jensen"/>
    <s v="University of Southern Denmark, Department of Entrepreneurship and Relationship Management"/>
    <s v="Peer Reviewed Journal"/>
    <s v="Jensen, J. K. and Arlbjørn, J. S., Product carbon footprint of rye bread. Journal of Cleaner Production 2014, 82, 45-57."/>
    <s v="Yes"/>
    <s v="No"/>
    <s v="Yes"/>
    <s v="Yes"/>
    <s v="Yes"/>
    <s v="Yes"/>
    <s v="Yes"/>
    <s v="No"/>
    <s v="No"/>
    <s v="No"/>
    <s v="No"/>
    <s v="No"/>
    <m/>
    <s v="Cradle to Grave"/>
    <s v="Yes"/>
    <s v="No"/>
    <s v="1 kg rye bread"/>
    <s v="N/A"/>
    <s v=""/>
    <s v=""/>
    <s v=""/>
    <s v=""/>
    <m/>
    <m/>
    <m/>
    <m/>
    <m/>
    <m/>
    <m/>
    <m/>
    <m/>
    <m/>
    <m/>
    <m/>
    <m/>
    <m/>
    <m/>
    <m/>
    <m/>
    <m/>
    <m/>
    <m/>
    <m/>
    <m/>
    <m/>
    <n v="0.47799999999999998"/>
  </r>
  <r>
    <x v="8"/>
    <x v="46"/>
    <s v="Fresh or Not Specified"/>
    <s v="Palm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r>
  <r>
    <x v="8"/>
    <x v="47"/>
    <s v="Fresh or Not Specified"/>
    <s v="Soybean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r>
  <r>
    <x v="8"/>
    <x v="48"/>
    <s v="Fresh or Not Specified"/>
    <s v="Rapeseed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0.05"/>
  </r>
  <r>
    <x v="8"/>
    <x v="49"/>
    <s v="Fresh or Not Specified"/>
    <s v="Sunflower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3.9"/>
  </r>
  <r>
    <x v="8"/>
    <x v="50"/>
    <s v="Fresh or Not Specified"/>
    <s v="Peanut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6"/>
  </r>
  <r>
    <x v="8"/>
    <x v="51"/>
    <s v="Fresh or Not Specified"/>
    <s v="Olive Oil"/>
    <s v="No"/>
    <s v="Cyprus"/>
    <n v="2007"/>
    <s v="M. Avraamides; D. Fatta"/>
    <s v="Department of Civil and Environmental Engineering, University of Cyprus, 75 Kallipoleos Street, 1678 Nicosia, Cyprus"/>
    <s v="Peer Reviewed Journal"/>
    <s v="Avraamides, M. and Fatta, D., Resource consumption and emissions from olive oil production: a life cycle inventory case study in Cyprus. Journal of Cleaner Production 2008, 16 (7), 809-821."/>
    <s v="Yes"/>
    <s v="No"/>
    <s v="Yes"/>
    <s v="Yes"/>
    <s v="No"/>
    <s v="No"/>
    <s v="Yes"/>
    <s v="No"/>
    <s v="No"/>
    <s v="No"/>
    <s v="No"/>
    <s v="No"/>
    <m/>
    <s v="Cradle to Refinery Gate"/>
    <s v="No"/>
    <s v="No"/>
    <s v="1 Liter EVOO extracted"/>
    <s v="reported value / .001 m3 / density of EVOO (920 kg/m3)"/>
    <n v="19.81304347826087"/>
    <n v="22.616086956521741"/>
    <n v="3.9130434782608696"/>
    <n v="4.1706521739130435"/>
    <n v="19.81304347826087"/>
    <m/>
    <n v="2.8030434782608697"/>
    <m/>
    <m/>
    <m/>
    <m/>
    <m/>
    <m/>
    <n v="19.81304347826087"/>
    <n v="22.616086956521741"/>
    <m/>
    <m/>
    <n v="3.9130434782608696"/>
    <m/>
    <n v="0.25760869565217387"/>
    <m/>
    <m/>
    <m/>
    <m/>
    <m/>
    <m/>
    <n v="3.9130434782608696"/>
    <n v="4.1706521739130435"/>
  </r>
  <r>
    <x v="8"/>
    <x v="49"/>
    <s v="Fresh or Not Specified"/>
    <s v="Sunflower Oil"/>
    <s v="No"/>
    <s v="Italy"/>
    <n v="2014"/>
    <s v="(a) Benedetta Nucci; (a) Monica Puccini; (b) Luigi Pelagagge; (a) Sandra Vitolo; (a) Cristiano Nicolella"/>
    <s v="(a) Department of Civil and Industrial Engineering, University of Pisa, Largo Lucio Lazzarino 1, 56122 Pisa, Italy; (b) SALOV e Società Alimentare Lucchese Oli e Vini S.p.A., Via Montramito 1600, 55040 Massarosa, Italy"/>
    <s v="Peer Reviewed Journal"/>
    <s v=" Nucci, B., Puccini, M., Pelagagge, L., Vitolo, S. and Nicolella, C., Improving the environmental performance of vegetable oil processing through LCA. Journal of Cleaner Production 2014, 64, 310-322."/>
    <s v="Yes"/>
    <s v="No"/>
    <s v="Yes"/>
    <s v="Yes"/>
    <s v="Yes"/>
    <s v="Yes"/>
    <s v="Yes"/>
    <s v="No"/>
    <s v="No"/>
    <s v="No"/>
    <s v="Yes"/>
    <s v="No"/>
    <m/>
    <s v="Cradle to Grave"/>
    <s v="No"/>
    <s v="No"/>
    <s v="1 L of sunflower oil refined and packaged"/>
    <s v="reported value / .001 m3 / density of Sun Oil (920 kg/m3)"/>
    <s v=""/>
    <s v=""/>
    <s v=""/>
    <s v=""/>
    <m/>
    <m/>
    <m/>
    <m/>
    <m/>
    <m/>
    <m/>
    <m/>
    <m/>
    <m/>
    <n v="3.2608695652173911"/>
    <m/>
    <m/>
    <m/>
    <m/>
    <m/>
    <m/>
    <m/>
    <m/>
    <m/>
    <m/>
    <m/>
    <m/>
    <m/>
  </r>
  <r>
    <x v="8"/>
    <x v="51"/>
    <s v="Fresh or Not Specified"/>
    <s v="Olive Oil, Scenario 1A"/>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760 liters of oil: reported value*(4000kg/760L)/.001m3/density (920kg/m3)"/>
    <s v=""/>
    <s v=""/>
    <n v="2.5921167048054916"/>
    <n v="2.751716247139588"/>
    <m/>
    <m/>
    <m/>
    <m/>
    <m/>
    <m/>
    <m/>
    <m/>
    <m/>
    <m/>
    <m/>
    <m/>
    <m/>
    <n v="2.5921167048054916"/>
    <m/>
    <n v="0.15959954233409623"/>
    <m/>
    <m/>
    <m/>
    <m/>
    <m/>
    <m/>
    <n v="2.5921167048054916"/>
    <n v="2.751716247139588"/>
  </r>
  <r>
    <x v="8"/>
    <x v="51"/>
    <s v="Fresh or Not Specified"/>
    <s v="Olive Oil, Scenario 4B"/>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n v="2.3910434782608694"/>
    <n v="2.695652173913043"/>
    <m/>
    <m/>
    <m/>
    <m/>
    <m/>
    <m/>
    <m/>
    <m/>
    <m/>
    <m/>
    <m/>
    <m/>
    <m/>
    <n v="2.3910434782608694"/>
    <m/>
    <n v="0.30460869565217386"/>
    <m/>
    <m/>
    <m/>
    <m/>
    <m/>
    <m/>
    <n v="2.3910434782608694"/>
    <n v="2.6956521739130435"/>
  </r>
  <r>
    <x v="8"/>
    <x v="51"/>
    <s v="Fresh or Not Specified"/>
    <s v="Olive Oil, Scenario 5C"/>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s v=""/>
    <s v=""/>
    <m/>
    <m/>
    <m/>
    <m/>
    <m/>
    <m/>
    <m/>
    <m/>
    <m/>
    <m/>
    <m/>
    <m/>
    <m/>
    <m/>
    <m/>
    <m/>
    <m/>
    <m/>
    <m/>
    <m/>
    <m/>
    <m/>
    <m/>
    <n v="-2.6739130434782612"/>
  </r>
  <r>
    <x v="8"/>
    <x v="51"/>
    <s v="Fresh or Not Specified"/>
    <s v="Olive Oil, Scenario 8D"/>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2000kg olives makes 400 liters of oil: reported value*(2000kg/400L)/.001m3/density (920kg/m3)"/>
    <s v=""/>
    <s v=""/>
    <s v=""/>
    <s v=""/>
    <m/>
    <m/>
    <m/>
    <m/>
    <m/>
    <m/>
    <m/>
    <m/>
    <m/>
    <m/>
    <m/>
    <m/>
    <m/>
    <m/>
    <m/>
    <m/>
    <m/>
    <m/>
    <m/>
    <m/>
    <m/>
    <m/>
    <m/>
    <n v="-3.4347826086956519"/>
  </r>
  <r>
    <x v="1"/>
    <x v="23"/>
    <s v="Fresh or Not Specified"/>
    <s v="National Pork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729*carcass weight"/>
    <s v=""/>
    <s v=""/>
    <n v="4.6639231824417013"/>
    <s v=""/>
    <m/>
    <m/>
    <m/>
    <m/>
    <m/>
    <m/>
    <m/>
    <m/>
    <m/>
    <m/>
    <m/>
    <m/>
    <m/>
    <m/>
    <m/>
    <m/>
    <m/>
    <m/>
    <m/>
    <m/>
    <m/>
    <m/>
    <n v="4.6639231824417013"/>
    <m/>
  </r>
  <r>
    <x v="1"/>
    <x v="3"/>
    <s v="Fresh or Not Specified"/>
    <s v="National Beef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9.685157421289354"/>
    <s v=""/>
    <m/>
    <m/>
    <m/>
    <m/>
    <m/>
    <m/>
    <m/>
    <m/>
    <m/>
    <m/>
    <m/>
    <m/>
    <m/>
    <m/>
    <m/>
    <m/>
    <m/>
    <m/>
    <m/>
    <m/>
    <m/>
    <m/>
    <n v="29.685157421289354"/>
    <m/>
  </r>
  <r>
    <x v="0"/>
    <x v="0"/>
    <s v="Fresh or Not Specified"/>
    <s v="Energy Corrected Milk, Sweden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milk"/>
    <m/>
    <s v=""/>
    <s v=""/>
    <n v="1.02"/>
    <s v=""/>
    <m/>
    <m/>
    <m/>
    <m/>
    <m/>
    <m/>
    <m/>
    <m/>
    <m/>
    <m/>
    <m/>
    <m/>
    <m/>
    <m/>
    <m/>
    <m/>
    <m/>
    <m/>
    <m/>
    <m/>
    <m/>
    <m/>
    <n v="1.02"/>
    <m/>
  </r>
  <r>
    <x v="1"/>
    <x v="24"/>
    <s v="Fresh or Not Specified"/>
    <s v="National Chicken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8485757121439277"/>
    <s v=""/>
    <m/>
    <m/>
    <m/>
    <m/>
    <m/>
    <m/>
    <m/>
    <m/>
    <m/>
    <m/>
    <m/>
    <m/>
    <m/>
    <m/>
    <m/>
    <m/>
    <m/>
    <m/>
    <m/>
    <m/>
    <m/>
    <m/>
    <n v="2.8485757121439277"/>
    <m/>
  </r>
  <r>
    <x v="9"/>
    <x v="52"/>
    <s v="Fresh or Not Specified"/>
    <s v="Honey Production in the US"/>
    <s v="No"/>
    <s v="USA"/>
    <n v="2012"/>
    <s v="(a) Alissa Kendall; (b) Juhong Yuan; (c) Sonja B. Brodt"/>
    <s v="(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
    <m/>
    <s v="Kendall, A., Yuan, J. and Brodt, S. B., Carbon footprint and air emissions inventories for US honey production: Case studies. International Journal of Life Cycle Assessment 2013, 18 (2), 392-400."/>
    <s v="Yes"/>
    <s v="No"/>
    <s v="Yes"/>
    <s v="Yes"/>
    <s v="No"/>
    <s v="No"/>
    <s v="No"/>
    <s v="No"/>
    <s v="No"/>
    <s v="No"/>
    <s v="No"/>
    <s v="No"/>
    <m/>
    <s v="Starts at hive management (not construction) through processing"/>
    <s v="No"/>
    <s v="No"/>
    <s v="1 kg of processed honey"/>
    <s v="None"/>
    <s v=""/>
    <s v=""/>
    <s v=""/>
    <s v=""/>
    <m/>
    <m/>
    <m/>
    <m/>
    <m/>
    <m/>
    <m/>
    <m/>
    <m/>
    <m/>
    <m/>
    <m/>
    <m/>
    <m/>
    <m/>
    <m/>
    <m/>
    <m/>
    <m/>
    <m/>
    <m/>
    <m/>
    <m/>
    <n v="0.81"/>
  </r>
  <r>
    <x v="4"/>
    <x v="53"/>
    <s v="Fresh or Not Specified"/>
    <s v="Wine Grapes in Napa California"/>
    <s v="Yes"/>
    <s v="USA, Napa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6.5289999999999999"/>
    <m/>
    <m/>
    <m/>
    <m/>
    <m/>
    <m/>
    <m/>
    <m/>
    <m/>
    <m/>
    <m/>
    <m/>
    <n v="0.45600000000000002"/>
  </r>
  <r>
    <x v="4"/>
    <x v="53"/>
    <s v="Fresh or Not Specified"/>
    <s v="Wine Grapes in Lodi California"/>
    <s v="Yes"/>
    <s v="USA, Lodi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2.7589999999999999"/>
    <m/>
    <m/>
    <m/>
    <m/>
    <m/>
    <m/>
    <m/>
    <m/>
    <m/>
    <m/>
    <m/>
    <m/>
    <n v="0.20300000000000001"/>
  </r>
  <r>
    <x v="3"/>
    <x v="44"/>
    <s v="Fresh or Not Specified"/>
    <s v="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26"/>
    <s v=""/>
    <m/>
    <m/>
    <m/>
    <m/>
    <m/>
    <m/>
    <m/>
    <m/>
    <m/>
    <m/>
    <m/>
    <m/>
    <m/>
    <n v="0.126"/>
    <m/>
    <m/>
    <m/>
    <n v="6.8000000000000005E-2"/>
    <m/>
    <m/>
    <m/>
    <m/>
    <n v="0.126"/>
    <n v="0.19400000000000001"/>
  </r>
  <r>
    <x v="3"/>
    <x v="44"/>
    <s v="Fresh or Not Specified"/>
    <s v="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4499999999999999"/>
    <s v=""/>
    <m/>
    <m/>
    <m/>
    <m/>
    <m/>
    <m/>
    <m/>
    <m/>
    <m/>
    <m/>
    <m/>
    <m/>
    <m/>
    <n v="0.14499999999999999"/>
    <m/>
    <m/>
    <m/>
    <n v="4.2000000000000003E-2"/>
    <m/>
    <m/>
    <m/>
    <m/>
    <n v="0.14499999999999999"/>
    <n v="0.187"/>
  </r>
  <r>
    <x v="3"/>
    <x v="54"/>
    <s v="Fresh or Not Specified"/>
    <s v="Peel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51"/>
    <n v="0.17799999999999999"/>
    <m/>
    <m/>
    <m/>
    <m/>
    <m/>
    <m/>
    <m/>
    <m/>
    <m/>
    <m/>
    <m/>
    <m/>
    <m/>
    <n v="0.151"/>
    <m/>
    <n v="2.7E-2"/>
    <m/>
    <n v="6.9000000000000006E-2"/>
    <m/>
    <m/>
    <m/>
    <m/>
    <n v="0.151"/>
    <n v="0.247"/>
  </r>
  <r>
    <x v="3"/>
    <x v="54"/>
    <s v="Fresh or Not Specified"/>
    <s v="Peel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7399999999999999"/>
    <n v="0.20099999999999998"/>
    <m/>
    <m/>
    <m/>
    <m/>
    <m/>
    <m/>
    <m/>
    <m/>
    <m/>
    <m/>
    <m/>
    <m/>
    <m/>
    <n v="0.17399999999999999"/>
    <m/>
    <n v="2.7E-2"/>
    <m/>
    <n v="6.0999999999999999E-2"/>
    <m/>
    <m/>
    <m/>
    <m/>
    <n v="0.17399999999999999"/>
    <n v="0.26200000000000001"/>
  </r>
  <r>
    <x v="3"/>
    <x v="55"/>
    <s v="Fresh or Not Specified"/>
    <s v="Mash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82899999999999996"/>
    <n v="2.7759999999999998"/>
    <m/>
    <m/>
    <m/>
    <m/>
    <m/>
    <m/>
    <m/>
    <m/>
    <m/>
    <m/>
    <m/>
    <m/>
    <m/>
    <n v="0.82899999999999996"/>
    <m/>
    <n v="1.9470000000000001"/>
    <m/>
    <n v="0.41499999999999998"/>
    <m/>
    <m/>
    <m/>
    <m/>
    <n v="0.82899999999999996"/>
    <n v="3.1920000000000002"/>
  </r>
  <r>
    <x v="3"/>
    <x v="55"/>
    <s v="Fresh or Not Specified"/>
    <s v="Mash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95499999999999996"/>
    <n v="2.9020000000000001"/>
    <m/>
    <m/>
    <m/>
    <m/>
    <m/>
    <m/>
    <m/>
    <m/>
    <m/>
    <m/>
    <m/>
    <m/>
    <m/>
    <n v="0.95499999999999996"/>
    <m/>
    <n v="1.9470000000000001"/>
    <m/>
    <n v="0.29899999999999999"/>
    <m/>
    <m/>
    <m/>
    <m/>
    <n v="0.95499999999999996"/>
    <n v="3.2010000000000001"/>
  </r>
  <r>
    <x v="10"/>
    <x v="56"/>
    <s v="Fresh or Not Specified"/>
    <s v="Potato chips - organic"/>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44"/>
    <n v="1.72"/>
    <m/>
    <m/>
    <m/>
    <m/>
    <m/>
    <m/>
    <m/>
    <m/>
    <m/>
    <m/>
    <m/>
    <m/>
    <m/>
    <n v="0.44"/>
    <m/>
    <n v="1.28"/>
    <m/>
    <n v="0.55200000000000005"/>
    <m/>
    <m/>
    <m/>
    <m/>
    <n v="0.44"/>
    <n v="2.2709999999999999"/>
  </r>
  <r>
    <x v="3"/>
    <x v="44"/>
    <s v="Fresh or Not Specified"/>
    <s v="Potato chips - conventional"/>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50600000000000001"/>
    <n v="1.786"/>
    <m/>
    <m/>
    <m/>
    <m/>
    <m/>
    <m/>
    <m/>
    <m/>
    <m/>
    <m/>
    <m/>
    <m/>
    <m/>
    <n v="0.50600000000000001"/>
    <m/>
    <n v="1.28"/>
    <m/>
    <n v="0.28599999999999998"/>
    <m/>
    <m/>
    <m/>
    <m/>
    <n v="0.50600000000000001"/>
    <n v="2.0720000000000001"/>
  </r>
  <r>
    <x v="3"/>
    <x v="44"/>
    <s v="Fresh or Not Specified"/>
    <s v="King Edward table potatoes, Ostergotland"/>
    <s v="No"/>
    <s v="Sweden"/>
    <n v="2010"/>
    <s v="Elin Röös; Cecilia Sundberg; Per-Anders Hansson"/>
    <s v="Department of Energy and Technology, Swedish University of Agricultural Sciences, P.O. Box 7032, 750 07 Uppsala, Sweden"/>
    <s v="Peer Reviewed Journal"/>
    <s v="Röös, E., Sundberg, C. and Hansson, P. A., Uncertainties in the carbon footprint of food products: A case study on table potatoes. International Journal of Life Cycle Assessment 2010, 15 (5), 478-488."/>
    <s v="Yes"/>
    <s v="No"/>
    <s v="Yes"/>
    <s v="No"/>
    <s v="Yes"/>
    <s v="Yes"/>
    <s v="No"/>
    <s v="No"/>
    <s v="No"/>
    <s v="No"/>
    <s v="No"/>
    <s v="Yes"/>
    <m/>
    <s v="Cradle to Retail"/>
    <s v="Yes"/>
    <s v="No"/>
    <s v="1 kg table potatoes in 2 kg bag"/>
    <s v="none"/>
    <s v=""/>
    <s v=""/>
    <s v=""/>
    <s v=""/>
    <m/>
    <m/>
    <m/>
    <m/>
    <m/>
    <m/>
    <m/>
    <m/>
    <m/>
    <m/>
    <m/>
    <m/>
    <m/>
    <m/>
    <m/>
    <m/>
    <m/>
    <m/>
    <m/>
    <m/>
    <m/>
    <m/>
    <m/>
    <n v="0.12"/>
  </r>
  <r>
    <x v="3"/>
    <x v="57"/>
    <s v="Fresh or Not Specified"/>
    <s v="Organic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0"/>
    <s v=""/>
    <s v=""/>
    <n v="0.12819999999999998"/>
    <s v=""/>
    <m/>
    <m/>
    <m/>
    <m/>
    <m/>
    <m/>
    <m/>
    <m/>
    <m/>
    <m/>
    <m/>
    <m/>
    <m/>
    <m/>
    <m/>
    <m/>
    <m/>
    <m/>
    <m/>
    <m/>
    <m/>
    <m/>
    <n v="0.12819999999999998"/>
    <m/>
  </r>
  <r>
    <x v="3"/>
    <x v="57"/>
    <s v="Fresh or Not Specified"/>
    <s v="Conventional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1"/>
    <s v=""/>
    <s v=""/>
    <n v="6.3100000000000003E-2"/>
    <s v=""/>
    <m/>
    <m/>
    <m/>
    <m/>
    <m/>
    <m/>
    <m/>
    <m/>
    <m/>
    <m/>
    <m/>
    <m/>
    <m/>
    <m/>
    <m/>
    <m/>
    <m/>
    <m/>
    <m/>
    <m/>
    <m/>
    <m/>
    <n v="6.3100000000000003E-2"/>
    <m/>
  </r>
  <r>
    <x v="5"/>
    <x v="58"/>
    <s v="Fresh or Not Specified"/>
    <s v="Open Field Barley"/>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barley"/>
    <m/>
    <s v=""/>
    <s v=""/>
    <n v="0.17100000000000001"/>
    <s v=""/>
    <m/>
    <m/>
    <m/>
    <m/>
    <m/>
    <m/>
    <m/>
    <m/>
    <m/>
    <m/>
    <m/>
    <m/>
    <m/>
    <m/>
    <m/>
    <m/>
    <m/>
    <m/>
    <m/>
    <m/>
    <m/>
    <m/>
    <n v="0.17100000000000001"/>
    <m/>
  </r>
  <r>
    <x v="3"/>
    <x v="59"/>
    <s v="Fresh or Not Specified"/>
    <s v="Standard Greenhouse"/>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2500000000000001"/>
    <s v=""/>
    <m/>
    <m/>
    <m/>
    <m/>
    <m/>
    <m/>
    <m/>
    <m/>
    <m/>
    <m/>
    <m/>
    <m/>
    <m/>
    <m/>
    <m/>
    <m/>
    <m/>
    <m/>
    <m/>
    <m/>
    <m/>
    <m/>
    <n v="0.22500000000000001"/>
    <m/>
  </r>
  <r>
    <x v="3"/>
    <x v="57"/>
    <s v="Fresh or Not Specified"/>
    <s v="Open Field Lettuc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4299999999999999"/>
    <s v=""/>
    <m/>
    <m/>
    <m/>
    <m/>
    <m/>
    <m/>
    <m/>
    <m/>
    <m/>
    <m/>
    <m/>
    <m/>
    <m/>
    <m/>
    <m/>
    <m/>
    <m/>
    <m/>
    <m/>
    <m/>
    <m/>
    <m/>
    <n v="0.24299999999999999"/>
    <m/>
  </r>
  <r>
    <x v="3"/>
    <x v="59"/>
    <s v="Fresh or Not Specified"/>
    <s v="Standard Greenhous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0499999999999999"/>
    <s v=""/>
    <m/>
    <m/>
    <m/>
    <m/>
    <m/>
    <m/>
    <m/>
    <m/>
    <m/>
    <m/>
    <m/>
    <m/>
    <m/>
    <m/>
    <m/>
    <m/>
    <m/>
    <m/>
    <m/>
    <m/>
    <m/>
    <m/>
    <n v="0.20499999999999999"/>
    <m/>
  </r>
  <r>
    <x v="3"/>
    <x v="57"/>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s v="/1000"/>
    <s v=""/>
    <s v=""/>
    <n v="2.5000000000000001E-2"/>
    <s v=""/>
    <m/>
    <m/>
    <m/>
    <m/>
    <m/>
    <m/>
    <m/>
    <m/>
    <m/>
    <m/>
    <m/>
    <m/>
    <m/>
    <m/>
    <m/>
    <m/>
    <m/>
    <m/>
    <m/>
    <m/>
    <m/>
    <m/>
    <n v="2.5000000000000001E-2"/>
    <m/>
  </r>
  <r>
    <x v="3"/>
    <x v="57"/>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6700000000000003E-2"/>
    <s v=""/>
    <m/>
    <m/>
    <m/>
    <m/>
    <m/>
    <m/>
    <m/>
    <m/>
    <m/>
    <m/>
    <m/>
    <m/>
    <m/>
    <m/>
    <m/>
    <m/>
    <m/>
    <m/>
    <m/>
    <m/>
    <m/>
    <m/>
    <n v="3.6700000000000003E-2"/>
    <m/>
  </r>
  <r>
    <x v="3"/>
    <x v="57"/>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5799999999999998E-2"/>
    <s v=""/>
    <m/>
    <m/>
    <m/>
    <m/>
    <m/>
    <m/>
    <m/>
    <m/>
    <m/>
    <m/>
    <m/>
    <m/>
    <m/>
    <m/>
    <m/>
    <m/>
    <m/>
    <m/>
    <m/>
    <m/>
    <m/>
    <m/>
    <n v="3.5799999999999998E-2"/>
    <m/>
  </r>
  <r>
    <x v="3"/>
    <x v="59"/>
    <s v="Fresh or Not Specified"/>
    <s v="greenhouse grown"/>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0.20899999999999999"/>
    <s v=""/>
    <m/>
    <m/>
    <m/>
    <m/>
    <m/>
    <m/>
    <m/>
    <m/>
    <m/>
    <m/>
    <m/>
    <m/>
    <m/>
    <m/>
    <m/>
    <m/>
    <m/>
    <m/>
    <m/>
    <m/>
    <m/>
    <m/>
    <n v="0.20899999999999999"/>
    <m/>
  </r>
  <r>
    <x v="3"/>
    <x v="60"/>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0.74"/>
    <s v=""/>
    <n v="5.7299999999999997E-2"/>
    <s v=""/>
    <m/>
    <m/>
    <m/>
    <m/>
    <m/>
    <m/>
    <m/>
    <m/>
    <m/>
    <n v="0.74"/>
    <m/>
    <m/>
    <m/>
    <m/>
    <m/>
    <m/>
    <m/>
    <m/>
    <m/>
    <m/>
    <m/>
    <m/>
    <n v="5.7299999999999997E-2"/>
    <m/>
  </r>
  <r>
    <x v="3"/>
    <x v="60"/>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29"/>
    <s v=""/>
    <n v="5.8299999999999998E-2"/>
    <s v=""/>
    <m/>
    <m/>
    <m/>
    <m/>
    <m/>
    <m/>
    <m/>
    <m/>
    <m/>
    <n v="1.29"/>
    <m/>
    <m/>
    <m/>
    <m/>
    <m/>
    <m/>
    <m/>
    <m/>
    <m/>
    <m/>
    <m/>
    <m/>
    <n v="5.8299999999999998E-2"/>
    <m/>
  </r>
  <r>
    <x v="3"/>
    <x v="60"/>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1499999999999999"/>
    <s v=""/>
    <n v="5.1400000000000001E-2"/>
    <s v=""/>
    <m/>
    <m/>
    <m/>
    <m/>
    <m/>
    <m/>
    <m/>
    <m/>
    <m/>
    <n v="1.1499999999999999"/>
    <m/>
    <m/>
    <m/>
    <m/>
    <m/>
    <m/>
    <m/>
    <m/>
    <m/>
    <m/>
    <m/>
    <m/>
    <n v="5.1400000000000001E-2"/>
    <m/>
  </r>
  <r>
    <x v="3"/>
    <x v="61"/>
    <s v="Fresh or Not Specified"/>
    <s v="Greenhous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5.22"/>
    <s v=""/>
    <n v="0.30299999999999999"/>
    <s v=""/>
    <m/>
    <m/>
    <m/>
    <m/>
    <m/>
    <m/>
    <m/>
    <m/>
    <m/>
    <n v="5.22"/>
    <m/>
    <m/>
    <m/>
    <m/>
    <m/>
    <m/>
    <m/>
    <m/>
    <m/>
    <m/>
    <m/>
    <m/>
    <n v="0.30299999999999999"/>
    <m/>
  </r>
  <r>
    <x v="3"/>
    <x v="62"/>
    <s v="Fresh or Not Specified"/>
    <s v="Romaine/co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nutritional energy"/>
    <s v="CO2 emitted in g/1.38g lettuce per kJ"/>
    <s v=""/>
    <s v=""/>
    <n v="2.2971014492753623"/>
    <n v="2.4130434782608692"/>
    <m/>
    <m/>
    <m/>
    <m/>
    <m/>
    <m/>
    <m/>
    <m/>
    <m/>
    <m/>
    <m/>
    <m/>
    <m/>
    <n v="2.2898550724637676"/>
    <n v="0.12318840579710147"/>
    <m/>
    <n v="0.66304347826086962"/>
    <n v="0.66304347826086962"/>
    <m/>
    <m/>
    <m/>
    <m/>
    <n v="2.2971014492753623"/>
    <n v="3.760869565217392"/>
  </r>
  <r>
    <x v="3"/>
    <x v="63"/>
    <s v="Fresh or Not Specified"/>
    <s v="Button mushroom"/>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1.09 g mushrooms per kJ"/>
    <s v=""/>
    <s v=""/>
    <n v="2.1467889908256876"/>
    <n v="2.2935779816513762"/>
    <m/>
    <m/>
    <m/>
    <m/>
    <m/>
    <m/>
    <m/>
    <m/>
    <m/>
    <m/>
    <m/>
    <m/>
    <m/>
    <n v="2.1376146788990824"/>
    <n v="0.15596330275229359"/>
    <m/>
    <n v="0.2293577981651376"/>
    <n v="0.2293577981651376"/>
    <m/>
    <m/>
    <m/>
    <m/>
    <n v="2.1467889908256876"/>
    <n v="2.7614678899082565"/>
  </r>
  <r>
    <x v="4"/>
    <x v="64"/>
    <s v="Fresh or Not Specified"/>
    <s v="Generic Strawberrie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0.746 g strawberries per kJ"/>
    <s v=""/>
    <s v=""/>
    <n v="2.2252010723860591"/>
    <n v="2.4530831099195711"/>
    <m/>
    <m/>
    <m/>
    <m/>
    <m/>
    <m/>
    <m/>
    <m/>
    <m/>
    <m/>
    <m/>
    <m/>
    <m/>
    <n v="2.2252010723860591"/>
    <n v="0.22788203753351208"/>
    <m/>
    <n v="0.42225201072386059"/>
    <n v="0.42225201072386059"/>
    <m/>
    <m/>
    <m/>
    <m/>
    <n v="2.2252010723860591"/>
    <n v="3.2975871313672922"/>
  </r>
  <r>
    <x v="7"/>
    <x v="65"/>
    <s v="Other (Specify)"/>
    <s v="NFC Orange juic"/>
    <s v="No"/>
    <s v="Spain"/>
    <n v="2012"/>
    <s v="Geneviève Doublet _x000a_(a); Niels Jungbluth (a); Matthias Stucki (a); Salome Schori"/>
    <s v="(a) ESU-services Ltd."/>
    <s v="Industry Based Report"/>
    <s v="Doublet, G., Jungbluth, N., Flury, K., Stucki, M. and Schori, S., Life cycle assessment of orange juice. SENSE-Harmonised Environmental Sustainability in the European food and drink chain, Zürich: ESU-services Ltd; 2013."/>
    <s v="Yes"/>
    <s v="Yes"/>
    <s v="Yes"/>
    <s v="Yes"/>
    <s v="Yes"/>
    <s v="No"/>
    <s v="No"/>
    <s v="No"/>
    <s v="No"/>
    <s v="No"/>
    <s v="No"/>
    <s v="Yes"/>
    <m/>
    <s v="Farm to finished product, transport to retail and downstream not included"/>
    <s v="Yes"/>
    <s v="Yes"/>
    <s v="1 litre orange juice"/>
    <s v="*1.048 kg/l"/>
    <s v=""/>
    <s v=""/>
    <n v="0.15744274809160305"/>
    <n v="0.29580152671755722"/>
    <m/>
    <m/>
    <m/>
    <m/>
    <m/>
    <m/>
    <m/>
    <m/>
    <m/>
    <m/>
    <m/>
    <m/>
    <m/>
    <n v="0.15744274809160305"/>
    <m/>
    <n v="0.13835877862595419"/>
    <n v="0.32347328244274809"/>
    <m/>
    <m/>
    <m/>
    <m/>
    <m/>
    <n v="0.15744274809160305"/>
    <n v="0.63740458015267176"/>
  </r>
  <r>
    <x v="7"/>
    <x v="65"/>
    <s v="Other (Specify)"/>
    <s v="NFC, without resetting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54616135235076602"/>
    <n v="0.8129553523507661"/>
    <m/>
    <m/>
    <m/>
    <m/>
    <m/>
    <m/>
    <m/>
    <m/>
    <m/>
    <m/>
    <m/>
    <m/>
    <m/>
    <n v="0.54616135235076602"/>
    <n v="2.6800000000000001E-2"/>
    <n v="0.23999400000000001"/>
    <n v="4.6626000000000001E-2"/>
    <n v="2.2255E-2"/>
    <n v="8.8413000000000005E-2"/>
    <m/>
    <m/>
    <m/>
    <n v="0.54616135235076602"/>
    <n v="0.9732614896988907"/>
  </r>
  <r>
    <x v="7"/>
    <x v="65"/>
    <s v="Other (Specify)"/>
    <s v="NFC, with resetting of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45408904384574755"/>
    <n v="0.71617304384574754"/>
    <m/>
    <m/>
    <m/>
    <m/>
    <m/>
    <m/>
    <m/>
    <m/>
    <m/>
    <m/>
    <m/>
    <m/>
    <m/>
    <n v="0.45408904384574755"/>
    <n v="2.2089999999999999E-2"/>
    <n v="0.23999400000000001"/>
    <n v="4.6626000000000001E-2"/>
    <n v="2.2255E-2"/>
    <n v="8.8413000000000005E-2"/>
    <m/>
    <m/>
    <m/>
    <n v="0.45408904384574755"/>
    <n v="0.87693185419968311"/>
  </r>
  <r>
    <x v="4"/>
    <x v="66"/>
    <s v="Fresh or Not Specified"/>
    <s v="Swedish IP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5.5E-2"/>
    <s v=""/>
    <m/>
    <m/>
    <m/>
    <m/>
    <m/>
    <m/>
    <m/>
    <m/>
    <m/>
    <m/>
    <m/>
    <m/>
    <m/>
    <n v="5.5E-2"/>
    <m/>
    <m/>
    <n v="0.23400000000000001"/>
    <n v="4.1000000000000002E-2"/>
    <m/>
    <m/>
    <m/>
    <m/>
    <n v="5.5E-2"/>
    <n v="0.32900000000000001"/>
  </r>
  <r>
    <x v="4"/>
    <x v="66"/>
    <s v="Fresh or Not Specified"/>
    <s v="Swedish organic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No"/>
    <s v="No"/>
    <s v="No"/>
    <s v="No"/>
    <s v="No"/>
    <s v="No"/>
    <s v="No"/>
    <s v="No"/>
    <s v="No"/>
    <s v="No"/>
    <m/>
    <s v="Only production"/>
    <s v="No"/>
    <s v="Yes"/>
    <s v="1 kg apples"/>
    <m/>
    <s v=""/>
    <s v=""/>
    <n v="1.04"/>
    <s v=""/>
    <m/>
    <m/>
    <m/>
    <m/>
    <m/>
    <m/>
    <m/>
    <m/>
    <m/>
    <m/>
    <m/>
    <m/>
    <m/>
    <m/>
    <m/>
    <m/>
    <m/>
    <m/>
    <m/>
    <m/>
    <m/>
    <m/>
    <n v="1.04"/>
    <n v="1.0409999999999999"/>
  </r>
  <r>
    <x v="4"/>
    <x v="66"/>
    <s v="Fresh or Not Specified"/>
    <s v="Italian IP certified"/>
    <s v="Yes"/>
    <s v="Italy"/>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0.24399999999999999"/>
    <s v=""/>
    <m/>
    <m/>
    <m/>
    <m/>
    <m/>
    <m/>
    <m/>
    <m/>
    <m/>
    <m/>
    <m/>
    <m/>
    <m/>
    <n v="0.24399999999999999"/>
    <m/>
    <m/>
    <n v="0"/>
    <n v="0.21099999999999999"/>
    <m/>
    <m/>
    <m/>
    <m/>
    <n v="0.24399999999999999"/>
    <n v="0.45700000000000002"/>
  </r>
  <r>
    <x v="4"/>
    <x v="66"/>
    <s v="Fresh or Not Specified"/>
    <s v="Hawkes Bay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4.0909000000000001E-2"/>
    <s v=""/>
    <m/>
    <m/>
    <m/>
    <m/>
    <m/>
    <m/>
    <m/>
    <m/>
    <m/>
    <m/>
    <m/>
    <m/>
    <m/>
    <m/>
    <m/>
    <m/>
    <m/>
    <m/>
    <m/>
    <m/>
    <m/>
    <m/>
    <n v="4.0909000000000001E-2"/>
    <m/>
  </r>
  <r>
    <x v="4"/>
    <x v="66"/>
    <s v="Fresh or Not Specified"/>
    <s v="Central Otago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6.3182000000000002E-2"/>
    <s v=""/>
    <m/>
    <m/>
    <m/>
    <m/>
    <m/>
    <m/>
    <m/>
    <m/>
    <m/>
    <m/>
    <m/>
    <m/>
    <m/>
    <m/>
    <m/>
    <m/>
    <m/>
    <m/>
    <m/>
    <m/>
    <m/>
    <m/>
    <n v="6.3182000000000002E-2"/>
    <m/>
  </r>
  <r>
    <x v="4"/>
    <x v="66"/>
    <s v="Fresh or Not Specified"/>
    <s v="Fresh Fruit"/>
    <s v="No"/>
    <s v="Switzerland"/>
    <n v="2006"/>
    <s v="Patrik Mouron (a); Thomas Nemecek (b)_x000a_; Roland W. Scholz (a); Olaf Weber (a)"/>
    <s v="(a) Swiss Federal Institute of Technology, Department of Environmental Sciences, Institute for Human-Environment Systems, ETH Zentrum, CHN J76.1, CH-8092 Zurich, Switzerland (b) Agroscope FAL Reckenholz, Swiss Federal Research Station of Agroecology and Agriculture, CH-8046 Zurich, Switzerland"/>
    <s v="Peer Reviewed Journal"/>
    <s v="Mouron, P., Nemecek, T., Scholz, R. W. and Weber, O., Management influence on environmental impacts in an apple production system on Swiss fruit farms: Combining life cycle assessment with statistical risk assessment. Agriculture, Ecosystems and Environment 2006, 114 (2-4), 311-322."/>
    <s v="Yes"/>
    <s v="No"/>
    <s v="No"/>
    <s v="No"/>
    <s v="No"/>
    <s v="No"/>
    <s v="No"/>
    <s v="No"/>
    <s v="No"/>
    <s v="No"/>
    <s v="No"/>
    <s v="Yes"/>
    <m/>
    <s v="Only average values reported in paper are transferred here. Compares management practices on different farms, but has more of a manager/people focus than process focus."/>
    <s v="No"/>
    <s v="Yes"/>
    <s v="1 ha tilled"/>
    <s v="Avg yield = 31.4 t/ha. Conversion = /31400 (assumed metric ton)"/>
    <s v=""/>
    <s v=""/>
    <n v="8.2802547770700632E-2"/>
    <s v=""/>
    <m/>
    <m/>
    <m/>
    <m/>
    <m/>
    <m/>
    <m/>
    <m/>
    <m/>
    <m/>
    <m/>
    <s v="SALCA database Version 031a"/>
    <m/>
    <m/>
    <m/>
    <m/>
    <m/>
    <m/>
    <m/>
    <m/>
    <m/>
    <m/>
    <n v="8.2802547770700632E-2"/>
    <m/>
  </r>
  <r>
    <x v="4"/>
    <x v="66"/>
    <s v="Fresh or Not Specified"/>
    <s v="Conventional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1000000000000001"/>
    <n v="1.1576000000000002"/>
    <n v="6.4100000000000004E-2"/>
    <n v="6.787E-2"/>
    <n v="1.1000000000000001"/>
    <n v="5.7599999999999998E-2"/>
    <n v="0"/>
    <n v="2.665"/>
    <n v="0.28299999999999997"/>
    <m/>
    <m/>
    <m/>
    <n v="0"/>
    <n v="1.1000000000000001"/>
    <n v="4.0999999999999996"/>
    <m/>
    <m/>
    <n v="6.4100000000000004E-2"/>
    <n v="3.7699999999999999E-3"/>
    <n v="0"/>
    <n v="0.19299999999999998"/>
    <n v="1.4500000000000001E-2"/>
    <m/>
    <m/>
    <m/>
    <n v="4.9499999999999995E-3"/>
    <n v="6.4100000000000004E-2"/>
    <n v="0.27600000000000002"/>
  </r>
  <r>
    <x v="4"/>
    <x v="66"/>
    <s v="Fresh or Not Specified"/>
    <s v="Organic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76"/>
    <n v="1.591"/>
    <n v="7.3200000000000001E-2"/>
    <n v="7.5020000000000003E-2"/>
    <n v="1.56"/>
    <n v="3.1E-2"/>
    <n v="0"/>
    <n v="2.6350000000000002"/>
    <n v="0.23300000000000001"/>
    <m/>
    <m/>
    <m/>
    <n v="0.29959999999999998"/>
    <n v="1.76"/>
    <n v="4.82"/>
    <m/>
    <m/>
    <n v="7.3200000000000001E-2"/>
    <n v="1.82E-3"/>
    <n v="0"/>
    <n v="0.19299999999999998"/>
    <n v="1.4500000000000001E-2"/>
    <m/>
    <m/>
    <m/>
    <n v="1.17363E-2"/>
    <n v="7.3200000000000001E-2"/>
    <n v="0.28299999999999997"/>
  </r>
  <r>
    <x v="3"/>
    <x v="44"/>
    <s v="Fresh or Not Specified"/>
    <s v="Table potatoe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potatoes"/>
    <s v="/1000"/>
    <s v=""/>
    <s v=""/>
    <n v="0.17"/>
    <n v="0.21000000000000002"/>
    <m/>
    <m/>
    <m/>
    <m/>
    <m/>
    <m/>
    <m/>
    <m/>
    <m/>
    <m/>
    <m/>
    <m/>
    <m/>
    <n v="0.17"/>
    <n v="0.04"/>
    <m/>
    <m/>
    <m/>
    <m/>
    <n v="0.30499999999999999"/>
    <m/>
    <m/>
    <n v="0.17"/>
    <n v="0.52"/>
  </r>
  <r>
    <x v="10"/>
    <x v="56"/>
    <s v="Fresh or Not Specified"/>
    <s v="Potato Chip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frozen chips"/>
    <s v="/1000"/>
    <s v=""/>
    <s v=""/>
    <n v="0.25"/>
    <n v="0.92999999999999994"/>
    <m/>
    <m/>
    <m/>
    <m/>
    <m/>
    <m/>
    <m/>
    <m/>
    <m/>
    <m/>
    <m/>
    <m/>
    <m/>
    <n v="0.25"/>
    <n v="0.04"/>
    <n v="0.64"/>
    <m/>
    <m/>
    <m/>
    <n v="1.1199999999999997"/>
    <m/>
    <m/>
    <n v="0.25"/>
    <n v="2.06"/>
  </r>
  <r>
    <x v="5"/>
    <x v="67"/>
    <s v="Fresh or Not Specified"/>
    <s v="Winter wheat - small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4800000000000001"/>
    <s v=""/>
    <m/>
    <m/>
    <m/>
    <m/>
    <m/>
    <m/>
    <m/>
    <m/>
    <m/>
    <m/>
    <m/>
    <m/>
    <m/>
    <m/>
    <m/>
    <m/>
    <m/>
    <m/>
    <m/>
    <m/>
    <m/>
    <m/>
    <n v="0.44800000000000001"/>
    <m/>
  </r>
  <r>
    <x v="5"/>
    <x v="67"/>
    <s v="Fresh or Not Specified"/>
    <s v="Winter wheat - medium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8099999999999998"/>
    <s v=""/>
    <m/>
    <m/>
    <m/>
    <m/>
    <m/>
    <m/>
    <m/>
    <m/>
    <m/>
    <m/>
    <m/>
    <m/>
    <m/>
    <m/>
    <m/>
    <m/>
    <m/>
    <m/>
    <m/>
    <m/>
    <m/>
    <m/>
    <n v="0.48099999999999998"/>
    <m/>
  </r>
  <r>
    <x v="5"/>
    <x v="67"/>
    <s v="Fresh or Not Specified"/>
    <s v="Winter wheat - large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1099999999999998"/>
    <s v=""/>
    <m/>
    <m/>
    <m/>
    <m/>
    <m/>
    <m/>
    <m/>
    <m/>
    <m/>
    <m/>
    <m/>
    <m/>
    <m/>
    <m/>
    <m/>
    <m/>
    <m/>
    <m/>
    <m/>
    <m/>
    <m/>
    <m/>
    <n v="0.41099999999999998"/>
    <m/>
  </r>
  <r>
    <x v="3"/>
    <x v="63"/>
    <s v="Fresh or Not Specified"/>
    <s v="Mushroom"/>
    <s v="No"/>
    <s v="Spain"/>
    <n v="2015"/>
    <s v="F.J. Leivaa(a); J.C. Saenz-Díez (b); E. Martínez (a); E. Jiménez (b); J. Blancoa (a);"/>
    <s v="(a) Department of Mechanical Engineering, University of la Rioja, Edificio Departamental—C/Luis de Ulloa, 20, 26004 Logro ̃no, La Rioja, Spain (b) Department of Electrical Engineering, University of la Rioja, Edificio Departamental—C/Luis de Ulloa, 20, 26004 Logro ̃no, La Rioja, Spain"/>
    <s v="Peer Reviewed Journal"/>
    <s v="Leiva, F. J., Saenz-Díez, J. C., Martínez, E., Jiménez, E. and Blanco, J., Environmental impact of Agaricus bisporus cultivation process. European Journal of Agronomy 2015, 71, 141-148."/>
    <s v="Yes"/>
    <s v="No"/>
    <s v="No"/>
    <s v="No"/>
    <s v="Yes"/>
    <s v="No"/>
    <s v="No"/>
    <s v="Yes"/>
    <s v="No"/>
    <s v="No"/>
    <s v="No"/>
    <s v="No"/>
    <m/>
    <s v="Assumed all produce is distributed as soon as it is grown. Cradle to farm gate to consumer"/>
    <s v="Yes"/>
    <s v="Yes"/>
    <s v="1 kg mushroom"/>
    <m/>
    <s v=""/>
    <s v=""/>
    <n v="4.42"/>
    <s v=""/>
    <m/>
    <m/>
    <m/>
    <m/>
    <m/>
    <m/>
    <m/>
    <m/>
    <m/>
    <m/>
    <m/>
    <m/>
    <m/>
    <m/>
    <m/>
    <m/>
    <m/>
    <m/>
    <m/>
    <m/>
    <m/>
    <m/>
    <n v="4.42"/>
    <m/>
  </r>
  <r>
    <x v="4"/>
    <x v="68"/>
    <s v="Fresh or Not Specified"/>
    <s v="Seasonal - May supply"/>
    <s v="Yes"/>
    <s v="Spain, 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3"/>
  </r>
  <r>
    <x v="4"/>
    <x v="68"/>
    <s v="Fresh or Not Specified"/>
    <s v="Seasonal - July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4"/>
  </r>
  <r>
    <x v="4"/>
    <x v="68"/>
    <s v="Fresh or Not Specified"/>
    <s v="Seasonal - November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7"/>
  </r>
  <r>
    <x v="4"/>
    <x v="69"/>
    <s v="Fresh or Not Specified"/>
    <s v="Conventional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4699999999999999"/>
    <s v=""/>
    <m/>
    <m/>
    <m/>
    <m/>
    <m/>
    <m/>
    <m/>
    <m/>
    <m/>
    <m/>
    <m/>
    <m/>
    <m/>
    <n v="0.14699999999999999"/>
    <m/>
    <m/>
    <m/>
    <m/>
    <m/>
    <m/>
    <m/>
    <n v="6.0000000000000001E-3"/>
    <n v="0.14699999999999999"/>
    <m/>
  </r>
  <r>
    <x v="4"/>
    <x v="70"/>
    <s v="Fresh or Not Specified"/>
    <s v="Conventional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799999999999999"/>
    <s v=""/>
    <m/>
    <m/>
    <m/>
    <m/>
    <m/>
    <m/>
    <m/>
    <m/>
    <m/>
    <m/>
    <m/>
    <m/>
    <m/>
    <n v="0.11799999999999999"/>
    <m/>
    <m/>
    <m/>
    <m/>
    <m/>
    <m/>
    <m/>
    <n v="8.9999999999999993E-3"/>
    <n v="0.11799999999999999"/>
    <m/>
  </r>
  <r>
    <x v="4"/>
    <x v="71"/>
    <s v="Fresh or Not Specified"/>
    <s v="Conventional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0099999999999999"/>
    <s v=""/>
    <m/>
    <m/>
    <m/>
    <m/>
    <m/>
    <m/>
    <m/>
    <m/>
    <m/>
    <m/>
    <m/>
    <m/>
    <m/>
    <n v="0.30099999999999999"/>
    <m/>
    <m/>
    <m/>
    <m/>
    <m/>
    <m/>
    <m/>
    <n v="1.4999999999999999E-2"/>
    <n v="0.30099999999999999"/>
    <m/>
  </r>
  <r>
    <x v="11"/>
    <x v="72"/>
    <s v="Fresh or Not Specified"/>
    <s v="Conventional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7199999999999998"/>
    <s v=""/>
    <m/>
    <m/>
    <m/>
    <m/>
    <m/>
    <m/>
    <m/>
    <m/>
    <m/>
    <m/>
    <m/>
    <m/>
    <m/>
    <n v="0.97199999999999998"/>
    <m/>
    <m/>
    <m/>
    <m/>
    <m/>
    <m/>
    <m/>
    <n v="0.109"/>
    <n v="0.97199999999999998"/>
    <m/>
  </r>
  <r>
    <x v="4"/>
    <x v="53"/>
    <s v="Fresh or Not Specified"/>
    <s v="Conventional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58"/>
    <s v=""/>
    <m/>
    <m/>
    <m/>
    <m/>
    <m/>
    <m/>
    <m/>
    <m/>
    <m/>
    <m/>
    <m/>
    <m/>
    <m/>
    <n v="0.158"/>
    <m/>
    <m/>
    <m/>
    <m/>
    <m/>
    <m/>
    <m/>
    <n v="6.0000000000000001E-3"/>
    <n v="0.158"/>
    <m/>
  </r>
  <r>
    <x v="4"/>
    <x v="73"/>
    <s v="Fresh or Not Specified"/>
    <s v="Conventional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2400000000000001"/>
    <s v=""/>
    <m/>
    <m/>
    <m/>
    <m/>
    <m/>
    <m/>
    <m/>
    <m/>
    <m/>
    <m/>
    <m/>
    <m/>
    <m/>
    <n v="0.32400000000000001"/>
    <m/>
    <m/>
    <m/>
    <m/>
    <m/>
    <m/>
    <m/>
    <n v="0.01"/>
    <n v="0.32400000000000001"/>
    <m/>
  </r>
  <r>
    <x v="4"/>
    <x v="69"/>
    <s v="Fresh or Not Specified"/>
    <s v="organic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83"/>
    <s v=""/>
    <m/>
    <m/>
    <m/>
    <m/>
    <m/>
    <m/>
    <m/>
    <m/>
    <m/>
    <m/>
    <m/>
    <m/>
    <m/>
    <n v="0.83"/>
    <m/>
    <m/>
    <m/>
    <m/>
    <m/>
    <m/>
    <m/>
    <n v="1.2999999999999999E-2"/>
    <n v="0.83"/>
    <m/>
  </r>
  <r>
    <x v="4"/>
    <x v="70"/>
    <s v="Fresh or Not Specified"/>
    <s v="Organic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4"/>
    <s v=""/>
    <m/>
    <m/>
    <m/>
    <m/>
    <m/>
    <m/>
    <m/>
    <m/>
    <m/>
    <m/>
    <m/>
    <m/>
    <m/>
    <n v="0.94"/>
    <m/>
    <m/>
    <m/>
    <m/>
    <m/>
    <m/>
    <m/>
    <n v="1.7000000000000001E-2"/>
    <n v="0.94"/>
    <m/>
  </r>
  <r>
    <x v="4"/>
    <x v="71"/>
    <s v="Fresh or Not Specified"/>
    <s v="Organic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3"/>
    <s v=""/>
    <m/>
    <m/>
    <m/>
    <m/>
    <m/>
    <m/>
    <m/>
    <m/>
    <m/>
    <m/>
    <m/>
    <m/>
    <m/>
    <n v="0.113"/>
    <m/>
    <m/>
    <m/>
    <m/>
    <m/>
    <m/>
    <m/>
    <n v="1.4999999999999999E-2"/>
    <n v="0.113"/>
    <m/>
  </r>
  <r>
    <x v="11"/>
    <x v="72"/>
    <s v="Fresh or Not Specified"/>
    <s v="organic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5499999999999996"/>
    <s v=""/>
    <m/>
    <m/>
    <m/>
    <m/>
    <m/>
    <m/>
    <m/>
    <m/>
    <m/>
    <m/>
    <m/>
    <m/>
    <m/>
    <n v="0.95499999999999996"/>
    <m/>
    <m/>
    <m/>
    <m/>
    <m/>
    <m/>
    <m/>
    <n v="0.121"/>
    <n v="0.95499999999999996"/>
    <m/>
  </r>
  <r>
    <x v="4"/>
    <x v="53"/>
    <s v="Fresh or Not Specified"/>
    <s v="Organic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06"/>
    <s v=""/>
    <m/>
    <m/>
    <m/>
    <m/>
    <m/>
    <m/>
    <m/>
    <m/>
    <m/>
    <m/>
    <m/>
    <m/>
    <m/>
    <n v="0.106"/>
    <m/>
    <m/>
    <m/>
    <m/>
    <m/>
    <m/>
    <m/>
    <n v="8.0000000000000002E-3"/>
    <n v="0.106"/>
    <m/>
  </r>
  <r>
    <x v="4"/>
    <x v="74"/>
    <s v="Fresh or Not Specified"/>
    <s v="Organic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01"/>
    <s v=""/>
    <m/>
    <m/>
    <m/>
    <m/>
    <m/>
    <m/>
    <m/>
    <m/>
    <m/>
    <m/>
    <m/>
    <m/>
    <m/>
    <n v="-0.01"/>
    <m/>
    <m/>
    <m/>
    <m/>
    <m/>
    <m/>
    <m/>
    <n v="8.9999999999999993E-3"/>
    <n v="-0.01"/>
    <m/>
  </r>
  <r>
    <x v="3"/>
    <x v="75"/>
    <s v="Fresh or Not Specified"/>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m/>
    <s v="Capital goods - Machinery included but not buildings. Land Use reported in sq. m. includes cropping, retail, transport, waste disposal, etc."/>
    <s v="Yes"/>
    <s v="Yes"/>
    <s v="1 kg broccoli on plate"/>
    <m/>
    <n v="4.05"/>
    <n v="4.8499999999999996"/>
    <n v="0.4"/>
    <n v="0.42000000000000004"/>
    <n v="4.05"/>
    <m/>
    <n v="0.8"/>
    <m/>
    <n v="2"/>
    <m/>
    <n v="24.05"/>
    <n v="0.8"/>
    <m/>
    <n v="4.05"/>
    <n v="31.6"/>
    <m/>
    <m/>
    <n v="0.4"/>
    <m/>
    <n v="0.02"/>
    <m/>
    <n v="0.15"/>
    <m/>
    <n v="1.3"/>
    <n v="0.2"/>
    <m/>
    <n v="0.4"/>
    <n v="2.0700000000000003"/>
  </r>
  <r>
    <x v="3"/>
    <x v="75"/>
    <s v="Frozen"/>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3.45"/>
    <n v="5.5500000000000007"/>
    <n v="0.2"/>
    <n v="0.35"/>
    <n v="3.45"/>
    <m/>
    <n v="2.1"/>
    <m/>
    <n v="15.1"/>
    <m/>
    <n v="25.45"/>
    <n v="0.9"/>
    <m/>
    <n v="3.45"/>
    <n v="46.9"/>
    <m/>
    <m/>
    <n v="0.2"/>
    <m/>
    <n v="0.15"/>
    <m/>
    <n v="0.75"/>
    <m/>
    <n v="1.3"/>
    <n v="0.2"/>
    <m/>
    <n v="0.2"/>
    <n v="2.6000000000000005"/>
  </r>
  <r>
    <x v="3"/>
    <x v="75"/>
    <s v="Fresh or Not Specified"/>
    <s v="Spanish grown broccoli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7.15"/>
    <n v="9.3000000000000007"/>
    <n v="0.2"/>
    <n v="0.37"/>
    <n v="7.15"/>
    <m/>
    <n v="2.15"/>
    <m/>
    <n v="4.7"/>
    <m/>
    <n v="24.1"/>
    <n v="1.05"/>
    <m/>
    <n v="7.15"/>
    <n v="39.107140000000001"/>
    <m/>
    <m/>
    <n v="0.2"/>
    <m/>
    <n v="0.17"/>
    <m/>
    <n v="0.37"/>
    <m/>
    <n v="1.4"/>
    <n v="0.2"/>
    <m/>
    <n v="0.2"/>
    <n v="2.34"/>
  </r>
  <r>
    <x v="3"/>
    <x v="57"/>
    <s v="Fresh or Not Specified"/>
    <s v="UK out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at market"/>
    <m/>
    <n v="3.7"/>
    <n v="4.45"/>
    <n v="0.28899999999999998"/>
    <n v="0.34499999999999997"/>
    <n v="3.7"/>
    <m/>
    <n v="0.75"/>
    <m/>
    <n v="1.85"/>
    <m/>
    <n v="0.1"/>
    <n v="0.05"/>
    <m/>
    <n v="3.7"/>
    <n v="6.52"/>
    <m/>
    <m/>
    <n v="0.28899999999999998"/>
    <m/>
    <n v="5.6000000000000001E-2"/>
    <m/>
    <n v="0.108"/>
    <m/>
    <n v="9.6699999999999994E-2"/>
    <n v="8.5000000000000006E-2"/>
    <m/>
    <n v="0.28899999999999998"/>
    <n v="0.63469999999999993"/>
  </r>
  <r>
    <x v="3"/>
    <x v="59"/>
    <s v="Fresh or Not Specified"/>
    <s v="UK in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64.099999999999994"/>
    <n v="65.75"/>
    <n v="2.9725000000000001"/>
    <n v="2.9975000000000001"/>
    <n v="64.099999999999994"/>
    <m/>
    <n v="1.65"/>
    <m/>
    <n v="2.25"/>
    <m/>
    <n v="0.05"/>
    <n v="2.5000000000000001E-2"/>
    <m/>
    <n v="64.099999999999994"/>
    <n v="68"/>
    <m/>
    <m/>
    <n v="2.9725000000000001"/>
    <m/>
    <n v="2.5000000000000001E-2"/>
    <m/>
    <n v="0.29799999999999999"/>
    <m/>
    <n v="8.1000000000000003E-2"/>
    <n v="8.5000000000000006E-2"/>
    <m/>
    <n v="2.9725000000000001"/>
    <n v="3.4615"/>
  </r>
  <r>
    <x v="3"/>
    <x v="57"/>
    <s v="Fresh or Not Specified"/>
    <s v="Spanish grown lettuce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4.5999999999999996"/>
    <n v="4.8999999999999995"/>
    <n v="0.214"/>
    <n v="0.2205"/>
    <n v="4.5999999999999996"/>
    <m/>
    <n v="0.3"/>
    <m/>
    <n v="5.45"/>
    <m/>
    <n v="0.05"/>
    <n v="2.5000000000000001E-2"/>
    <m/>
    <n v="4.5999999999999996"/>
    <n v="10.36145"/>
    <m/>
    <m/>
    <n v="0.214"/>
    <m/>
    <n v="6.4999999999999997E-3"/>
    <m/>
    <n v="0.52"/>
    <m/>
    <n v="0.104"/>
    <n v="8.5000000000000006E-2"/>
    <m/>
    <n v="0.214"/>
    <n v="0.92949999999999999"/>
  </r>
  <r>
    <x v="3"/>
    <x v="76"/>
    <s v="Fresh or Not Specified"/>
    <s v="Ugandan lettuce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0.5"/>
    <s v=""/>
    <n v="0.05"/>
    <s v=""/>
    <n v="0.5"/>
    <m/>
    <n v="0"/>
    <m/>
    <n v="147.44"/>
    <m/>
    <n v="0.05"/>
    <n v="2.5000000000000001E-2"/>
    <m/>
    <n v="0.5"/>
    <n v="148.01500000000001"/>
    <m/>
    <m/>
    <n v="0.05"/>
    <m/>
    <n v="0"/>
    <m/>
    <n v="9.9"/>
    <m/>
    <n v="7.3999999999999996E-2"/>
    <n v="8.5000000000000006E-2"/>
    <m/>
    <n v="0.05"/>
    <n v="10.109000000000002"/>
  </r>
  <r>
    <x v="3"/>
    <x v="77"/>
    <s v="Fresh or Not Specified"/>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6.1"/>
    <n v="7.1"/>
    <n v="0.52"/>
    <n v="0.54"/>
    <n v="6.1"/>
    <m/>
    <n v="1"/>
    <m/>
    <n v="0.95"/>
    <m/>
    <n v="11.8"/>
    <n v="1.05"/>
    <m/>
    <n v="6.1"/>
    <n v="20.828399999999998"/>
    <m/>
    <m/>
    <n v="0.52"/>
    <m/>
    <n v="0.02"/>
    <m/>
    <n v="0.12"/>
    <m/>
    <n v="0.7"/>
    <n v="0.27"/>
    <m/>
    <n v="0.52"/>
    <n v="1.63"/>
  </r>
  <r>
    <x v="3"/>
    <x v="77"/>
    <s v="Frozen"/>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4.05"/>
    <n v="6.85"/>
    <n v="0.31"/>
    <n v="0.45999999999999996"/>
    <n v="4.05"/>
    <m/>
    <n v="2.8"/>
    <m/>
    <n v="7.5"/>
    <m/>
    <n v="13.1"/>
    <n v="1.05"/>
    <m/>
    <n v="4.05"/>
    <n v="28.402370000000001"/>
    <m/>
    <m/>
    <n v="0.31"/>
    <m/>
    <n v="0.15"/>
    <m/>
    <n v="0.41"/>
    <m/>
    <n v="0.7"/>
    <n v="0.27"/>
    <m/>
    <n v="0.31"/>
    <n v="1.8399999999999999"/>
  </r>
  <r>
    <x v="3"/>
    <x v="78"/>
    <s v="Fresh or Not Specified"/>
    <s v="Ugandan beans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0.5"/>
    <s v=""/>
    <n v="0.12"/>
    <s v=""/>
    <n v="0.5"/>
    <m/>
    <n v="0"/>
    <m/>
    <n v="145"/>
    <m/>
    <n v="11"/>
    <n v="1.1000000000000001"/>
    <m/>
    <n v="0.5"/>
    <n v="157.15979999999999"/>
    <m/>
    <m/>
    <n v="0.12"/>
    <m/>
    <n v="0"/>
    <m/>
    <n v="9.81"/>
    <m/>
    <n v="0.7"/>
    <n v="0.27"/>
    <m/>
    <n v="0.12"/>
    <n v="10.899999999999999"/>
  </r>
  <r>
    <x v="3"/>
    <x v="78"/>
    <s v="Fresh or Not Specified"/>
    <s v="Kenyan beans sold in UK"/>
    <s v="Yes"/>
    <s v="Keny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1.1000000000000001"/>
    <s v=""/>
    <n v="0.06"/>
    <s v=""/>
    <n v="1.1000000000000001"/>
    <m/>
    <n v="0"/>
    <m/>
    <n v="144.9"/>
    <m/>
    <n v="11"/>
    <n v="1.1000000000000001"/>
    <m/>
    <n v="1.1000000000000001"/>
    <n v="158.10650000000001"/>
    <m/>
    <m/>
    <n v="0.06"/>
    <m/>
    <n v="0"/>
    <m/>
    <n v="9.6999999999999993"/>
    <m/>
    <n v="0.7"/>
    <n v="0.27"/>
    <m/>
    <n v="0.06"/>
    <n v="10.729999999999999"/>
  </r>
  <r>
    <x v="4"/>
    <x v="68"/>
    <s v="Fresh or Not Specified"/>
    <s v="Rasp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6.3972093023255825"/>
    <s v=""/>
    <n v="0.26295652173913026"/>
    <s v=""/>
    <n v="6.3972093023255825"/>
    <m/>
    <m/>
    <n v="2.9525581395348839"/>
    <n v="0.24604651162790703"/>
    <n v="0.24604651162790703"/>
    <m/>
    <m/>
    <m/>
    <n v="6.3972093023255825"/>
    <n v="9.8418604651162802"/>
    <m/>
    <m/>
    <n v="0.26295652173913026"/>
    <m/>
    <m/>
    <n v="0.15026086956521728"/>
    <n v="9.3913043478260801E-3"/>
    <n v="1.408695652173912E-2"/>
    <m/>
    <n v="1.408695652173912E-2"/>
    <m/>
    <n v="0.26295652173913026"/>
    <n v="0.4507826086956519"/>
  </r>
  <r>
    <x v="4"/>
    <x v="79"/>
    <s v="Fresh or Not Specified"/>
    <s v="Blue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3.4533333333333345"/>
    <s v=""/>
    <n v="0.16947368421052647"/>
    <s v=""/>
    <n v="3.4533333333333345"/>
    <m/>
    <m/>
    <n v="4.9333333333333353"/>
    <n v="0.2960000000000001"/>
    <n v="1.1840000000000004"/>
    <m/>
    <m/>
    <m/>
    <n v="3.4533333333333345"/>
    <n v="9.8666666666666671"/>
    <m/>
    <m/>
    <n v="0.16947368421052647"/>
    <m/>
    <m/>
    <n v="0.19368421052631601"/>
    <n v="1.45263157894737E-2"/>
    <n v="8.23157894736843E-2"/>
    <m/>
    <n v="2.4210526315789502E-2"/>
    <m/>
    <n v="0.16947368421052647"/>
    <n v="0.48421052631578998"/>
  </r>
  <r>
    <x v="4"/>
    <x v="79"/>
    <s v="Fresh or Not Specified"/>
    <s v="Conventional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82899999999999996"/>
    <s v=""/>
    <m/>
    <m/>
    <m/>
    <m/>
    <m/>
    <m/>
    <m/>
    <m/>
    <m/>
    <m/>
    <m/>
    <m/>
    <m/>
    <m/>
    <m/>
    <m/>
    <m/>
    <m/>
    <m/>
    <m/>
    <m/>
    <m/>
    <n v="0.82899999999999996"/>
    <m/>
  </r>
  <r>
    <x v="4"/>
    <x v="79"/>
    <s v="Fresh or Not Specified"/>
    <s v="Organic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2299999999999998"/>
    <s v=""/>
    <m/>
    <m/>
    <m/>
    <m/>
    <m/>
    <m/>
    <m/>
    <m/>
    <m/>
    <m/>
    <m/>
    <m/>
    <m/>
    <m/>
    <m/>
    <m/>
    <m/>
    <m/>
    <m/>
    <m/>
    <m/>
    <m/>
    <n v="0.72299999999999998"/>
    <m/>
  </r>
  <r>
    <x v="4"/>
    <x v="66"/>
    <s v="Fresh or Not Specified"/>
    <s v="Conventional - Fuji"/>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88"/>
    <s v=""/>
    <m/>
    <m/>
    <m/>
    <m/>
    <m/>
    <m/>
    <m/>
    <m/>
    <m/>
    <m/>
    <m/>
    <m/>
    <m/>
    <m/>
    <m/>
    <m/>
    <m/>
    <m/>
    <m/>
    <m/>
    <m/>
    <m/>
    <n v="0.188"/>
    <m/>
  </r>
  <r>
    <x v="4"/>
    <x v="66"/>
    <s v="Fresh or Not Specified"/>
    <s v="Organic - McIntos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700000000000002"/>
    <s v=""/>
    <m/>
    <m/>
    <m/>
    <m/>
    <m/>
    <m/>
    <m/>
    <m/>
    <m/>
    <m/>
    <m/>
    <m/>
    <m/>
    <m/>
    <m/>
    <m/>
    <m/>
    <m/>
    <m/>
    <m/>
    <m/>
    <m/>
    <n v="0.26700000000000002"/>
    <m/>
  </r>
  <r>
    <x v="4"/>
    <x v="66"/>
    <s v="Fresh or Not Specified"/>
    <s v="Conventional - Granny Smit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08"/>
    <s v=""/>
    <m/>
    <m/>
    <m/>
    <m/>
    <m/>
    <m/>
    <m/>
    <m/>
    <m/>
    <m/>
    <m/>
    <m/>
    <m/>
    <m/>
    <m/>
    <m/>
    <m/>
    <m/>
    <m/>
    <m/>
    <m/>
    <m/>
    <n v="0.108"/>
    <m/>
  </r>
  <r>
    <x v="4"/>
    <x v="66"/>
    <s v="Fresh or Not Specified"/>
    <s v="Organic - Granny Smit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599999999999999"/>
    <s v=""/>
    <m/>
    <m/>
    <m/>
    <m/>
    <m/>
    <m/>
    <m/>
    <m/>
    <m/>
    <m/>
    <m/>
    <m/>
    <m/>
    <m/>
    <m/>
    <m/>
    <m/>
    <m/>
    <m/>
    <m/>
    <m/>
    <m/>
    <n v="0.17599999999999999"/>
    <m/>
  </r>
  <r>
    <x v="4"/>
    <x v="53"/>
    <s v="Fresh or Not Specified"/>
    <s v="Conventional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7200000000000002"/>
    <s v=""/>
    <m/>
    <m/>
    <m/>
    <m/>
    <m/>
    <m/>
    <m/>
    <m/>
    <m/>
    <m/>
    <m/>
    <m/>
    <m/>
    <m/>
    <m/>
    <m/>
    <m/>
    <m/>
    <m/>
    <m/>
    <m/>
    <m/>
    <n v="0.27200000000000002"/>
    <m/>
  </r>
  <r>
    <x v="4"/>
    <x v="53"/>
    <s v="Fresh or Not Specified"/>
    <s v="Organic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24399999999999999"/>
    <s v=""/>
    <m/>
    <m/>
    <m/>
    <m/>
    <m/>
    <m/>
    <m/>
    <m/>
    <m/>
    <m/>
    <m/>
    <m/>
    <m/>
    <m/>
    <m/>
    <m/>
    <m/>
    <m/>
    <m/>
    <m/>
    <m/>
    <m/>
    <n v="0.24399999999999999"/>
    <m/>
  </r>
  <r>
    <x v="4"/>
    <x v="53"/>
    <s v="Fresh or Not Specified"/>
    <s v="Convenetional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0499999999999999"/>
    <s v=""/>
    <m/>
    <m/>
    <m/>
    <m/>
    <m/>
    <m/>
    <m/>
    <m/>
    <m/>
    <m/>
    <m/>
    <m/>
    <m/>
    <m/>
    <m/>
    <m/>
    <m/>
    <m/>
    <m/>
    <m/>
    <m/>
    <m/>
    <n v="0.20499999999999999"/>
    <m/>
  </r>
  <r>
    <x v="4"/>
    <x v="53"/>
    <s v="Fresh or Not Specified"/>
    <s v="Organic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899999999999999"/>
    <s v=""/>
    <m/>
    <m/>
    <m/>
    <m/>
    <m/>
    <m/>
    <m/>
    <m/>
    <m/>
    <m/>
    <m/>
    <m/>
    <m/>
    <m/>
    <m/>
    <m/>
    <m/>
    <m/>
    <m/>
    <m/>
    <m/>
    <m/>
    <n v="0.17899999999999999"/>
    <m/>
  </r>
  <r>
    <x v="4"/>
    <x v="80"/>
    <s v="Fresh or Not Specified"/>
    <s v="Conventional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66700000000000004"/>
    <s v=""/>
    <m/>
    <m/>
    <m/>
    <m/>
    <m/>
    <m/>
    <m/>
    <m/>
    <m/>
    <m/>
    <m/>
    <m/>
    <m/>
    <m/>
    <m/>
    <m/>
    <m/>
    <m/>
    <m/>
    <m/>
    <m/>
    <m/>
    <n v="0.66700000000000004"/>
    <m/>
  </r>
  <r>
    <x v="4"/>
    <x v="80"/>
    <s v="Fresh or Not Specified"/>
    <s v="Organic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
    <s v=""/>
    <m/>
    <m/>
    <m/>
    <m/>
    <m/>
    <m/>
    <m/>
    <m/>
    <m/>
    <m/>
    <m/>
    <m/>
    <m/>
    <m/>
    <m/>
    <m/>
    <m/>
    <m/>
    <m/>
    <m/>
    <m/>
    <m/>
    <n v="0.7"/>
    <m/>
  </r>
  <r>
    <x v="4"/>
    <x v="81"/>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3700000000000002"/>
    <s v=""/>
    <m/>
    <m/>
    <m/>
    <m/>
    <m/>
    <m/>
    <m/>
    <m/>
    <m/>
    <m/>
    <m/>
    <m/>
    <m/>
    <m/>
    <m/>
    <m/>
    <m/>
    <m/>
    <m/>
    <m/>
    <m/>
    <m/>
    <n v="0.33700000000000002"/>
    <m/>
  </r>
  <r>
    <x v="4"/>
    <x v="81"/>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3400000000000001"/>
    <s v=""/>
    <m/>
    <m/>
    <m/>
    <m/>
    <m/>
    <m/>
    <m/>
    <m/>
    <m/>
    <m/>
    <m/>
    <m/>
    <m/>
    <m/>
    <m/>
    <m/>
    <m/>
    <m/>
    <m/>
    <m/>
    <m/>
    <m/>
    <n v="0.23400000000000001"/>
    <m/>
  </r>
  <r>
    <x v="11"/>
    <x v="82"/>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2.4790000000000001"/>
    <s v=""/>
    <m/>
    <m/>
    <m/>
    <m/>
    <m/>
    <m/>
    <m/>
    <m/>
    <m/>
    <m/>
    <m/>
    <m/>
    <m/>
    <m/>
    <m/>
    <m/>
    <m/>
    <m/>
    <m/>
    <m/>
    <m/>
    <m/>
    <n v="2.4790000000000001"/>
    <m/>
  </r>
  <r>
    <x v="11"/>
    <x v="82"/>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3.7709999999999999"/>
    <s v=""/>
    <m/>
    <m/>
    <m/>
    <m/>
    <m/>
    <m/>
    <m/>
    <m/>
    <m/>
    <m/>
    <m/>
    <m/>
    <m/>
    <m/>
    <m/>
    <m/>
    <m/>
    <m/>
    <m/>
    <m/>
    <m/>
    <m/>
    <n v="3.7709999999999999"/>
    <m/>
  </r>
  <r>
    <x v="11"/>
    <x v="83"/>
    <s v="Fresh or Not Specified"/>
    <s v="Conventional - Chandler"/>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499"/>
    <s v=""/>
    <m/>
    <m/>
    <m/>
    <m/>
    <m/>
    <m/>
    <m/>
    <m/>
    <m/>
    <m/>
    <m/>
    <m/>
    <m/>
    <m/>
    <m/>
    <m/>
    <m/>
    <m/>
    <m/>
    <m/>
    <m/>
    <m/>
    <n v="0.499"/>
    <m/>
  </r>
  <r>
    <x v="11"/>
    <x v="83"/>
    <s v="Fresh or Not Specified"/>
    <s v="Organic - Terminal bearin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2.9420000000000002"/>
    <s v=""/>
    <m/>
    <m/>
    <m/>
    <m/>
    <m/>
    <m/>
    <m/>
    <m/>
    <m/>
    <m/>
    <m/>
    <m/>
    <m/>
    <m/>
    <m/>
    <m/>
    <m/>
    <m/>
    <m/>
    <m/>
    <m/>
    <m/>
    <n v="2.9420000000000002"/>
    <m/>
  </r>
  <r>
    <x v="3"/>
    <x v="75"/>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5299999999999998"/>
    <s v=""/>
    <m/>
    <m/>
    <m/>
    <m/>
    <m/>
    <m/>
    <m/>
    <m/>
    <m/>
    <m/>
    <m/>
    <m/>
    <m/>
    <m/>
    <m/>
    <m/>
    <m/>
    <m/>
    <m/>
    <m/>
    <m/>
    <m/>
    <n v="0.35299999999999998"/>
    <m/>
  </r>
  <r>
    <x v="3"/>
    <x v="75"/>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40899999999999997"/>
    <s v=""/>
    <m/>
    <m/>
    <m/>
    <m/>
    <m/>
    <m/>
    <m/>
    <m/>
    <m/>
    <m/>
    <m/>
    <m/>
    <m/>
    <m/>
    <m/>
    <m/>
    <m/>
    <m/>
    <m/>
    <m/>
    <m/>
    <m/>
    <n v="0.40899999999999997"/>
    <m/>
  </r>
  <r>
    <x v="3"/>
    <x v="57"/>
    <s v="Fresh or Not Specified"/>
    <s v="Conventional - Iceber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92"/>
    <s v=""/>
    <m/>
    <m/>
    <m/>
    <m/>
    <m/>
    <m/>
    <m/>
    <m/>
    <m/>
    <m/>
    <m/>
    <m/>
    <m/>
    <m/>
    <m/>
    <m/>
    <m/>
    <m/>
    <m/>
    <m/>
    <m/>
    <m/>
    <n v="0.192"/>
    <m/>
  </r>
  <r>
    <x v="3"/>
    <x v="57"/>
    <s v="Fresh or Not Specified"/>
    <s v="Organic - Leaf"/>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800000000000002"/>
    <s v=""/>
    <m/>
    <m/>
    <m/>
    <m/>
    <m/>
    <m/>
    <m/>
    <m/>
    <m/>
    <m/>
    <m/>
    <m/>
    <m/>
    <m/>
    <m/>
    <m/>
    <m/>
    <m/>
    <m/>
    <m/>
    <m/>
    <m/>
    <n v="0.26800000000000002"/>
    <m/>
  </r>
  <r>
    <x v="4"/>
    <x v="43"/>
    <s v="Fresh or Not Specified"/>
    <s v="Pineapple"/>
    <s v="No"/>
    <s v="Costa Rica"/>
    <n v="2012"/>
    <s v="Wesley W. Ingwersen;"/>
    <s v="US Environmental Protection Agency, National Risk Management Research Laboratory, Sustainable Technology Division;"/>
    <s v="Peer Reviewed Journal"/>
    <s v="Ingwersen, W. W., Life cycle assessment of fresh pineapple from Costa Rica. Journal of Cleaner Production 2012, 35, 152-163."/>
    <s v="Yes"/>
    <s v="Yes"/>
    <s v="Yes"/>
    <s v="Yes"/>
    <s v="Yes"/>
    <s v="Yes"/>
    <s v="Yes"/>
    <s v="No"/>
    <s v="No"/>
    <s v="No"/>
    <s v="No"/>
    <s v="No"/>
    <m/>
    <s v="Cradle to shelf"/>
    <s v="No"/>
    <s v="Yes"/>
    <s v="1 serving of fruit"/>
    <s v="reported value/0.165 (1 serving pineapple = 165 g)"/>
    <n v="2.8666666666666667"/>
    <s v=""/>
    <n v="0.32727272727272722"/>
    <s v=""/>
    <n v="2.8666666666666667"/>
    <m/>
    <m/>
    <n v="1.9393939392999999"/>
    <n v="1.2121212100000001"/>
    <m/>
    <m/>
    <m/>
    <m/>
    <n v="2.8666666666666667"/>
    <n v="6.0606060606060606"/>
    <m/>
    <m/>
    <n v="0.32727272727272722"/>
    <m/>
    <m/>
    <n v="0.13636363000000001"/>
    <n v="8.1818181000000004E-2"/>
    <m/>
    <m/>
    <m/>
    <m/>
    <n v="0.32727272727272722"/>
    <n v="0.54545454545454541"/>
  </r>
  <r>
    <x v="3"/>
    <x v="84"/>
    <s v="Fresh or Not Specified"/>
    <s v="asparagu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8.8699999999999992"/>
  </r>
  <r>
    <x v="3"/>
    <x v="57"/>
    <s v="Fresh or Not Specified"/>
    <s v="lettuc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3.24"/>
  </r>
  <r>
    <x v="4"/>
    <x v="20"/>
    <s v="Fresh or Not Specified"/>
    <s v="banana"/>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5"/>
  </r>
  <r>
    <x v="3"/>
    <x v="19"/>
    <s v="Fresh or Not Specified"/>
    <s v="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9"/>
  </r>
  <r>
    <x v="4"/>
    <x v="85"/>
    <s v="Fresh or Not Specified"/>
    <s v="pea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r>
  <r>
    <x v="4"/>
    <x v="69"/>
    <s v="Fresh or Not Specified"/>
    <s v="Citrus Fruit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1"/>
  </r>
  <r>
    <x v="3"/>
    <x v="86"/>
    <s v="Fresh or Not Specified"/>
    <s v="cucumb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n v="1.25"/>
    <s v=""/>
    <m/>
    <m/>
    <m/>
    <m/>
    <m/>
    <m/>
    <m/>
    <m/>
    <m/>
    <m/>
    <m/>
    <m/>
    <m/>
    <m/>
    <m/>
    <m/>
    <m/>
    <m/>
    <m/>
    <m/>
    <m/>
    <m/>
    <n v="1.25"/>
    <m/>
  </r>
  <r>
    <x v="4"/>
    <x v="66"/>
    <s v="Fresh or Not Specified"/>
    <s v="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r>
  <r>
    <x v="3"/>
    <x v="19"/>
    <s v="Fresh or Not Specified"/>
    <s v="vine 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7"/>
  </r>
  <r>
    <x v="4"/>
    <x v="87"/>
    <s v="Fresh or Not Specified"/>
    <s v="grape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r>
  <r>
    <x v="3"/>
    <x v="88"/>
    <s v="Fresh or Not Specified"/>
    <s v="bell pepp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88"/>
  </r>
  <r>
    <x v="3"/>
    <x v="44"/>
    <s v="Fresh or Not Specified"/>
    <s v="pot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6"/>
  </r>
  <r>
    <x v="4"/>
    <x v="89"/>
    <s v="Fresh or Not Specified"/>
    <s v="avocad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27"/>
  </r>
  <r>
    <x v="4"/>
    <x v="90"/>
    <s v="Fresh or Not Specified"/>
    <s v="mel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r>
  <r>
    <x v="4"/>
    <x v="91"/>
    <s v="Fresh or Not Specified"/>
    <s v="kiw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
  </r>
  <r>
    <x v="4"/>
    <x v="81"/>
    <s v="Fresh or Not Specified"/>
    <s v="strawberry"/>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000000000000003"/>
  </r>
  <r>
    <x v="3"/>
    <x v="92"/>
    <s v="Fresh or Not Specified"/>
    <s v="leek"/>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3"/>
    <s v="Fresh or Not Specified"/>
    <s v="oni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4"/>
    <s v="Fresh or Not Specified"/>
    <s v="carro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5"/>
    <s v="Fresh or Not Specified"/>
    <s v="cauliflow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9"/>
  </r>
  <r>
    <x v="4"/>
    <x v="43"/>
    <s v="Fresh or Not Specified"/>
    <s v="pine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4"/>
  </r>
  <r>
    <x v="3"/>
    <x v="96"/>
    <s v="Fresh or Not Specified"/>
    <s v="fennel"/>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75"/>
    <s v="Fresh or Not Specified"/>
    <s v="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7"/>
    <s v="Fresh or Not Specified"/>
    <s v="eggplan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3"/>
  </r>
  <r>
    <x v="3"/>
    <x v="98"/>
    <s v="Fresh or Not Specified"/>
    <s v="fennel, cauliflower, 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8"/>
  </r>
  <r>
    <x v="3"/>
    <x v="99"/>
    <s v="Fresh or Not Specified"/>
    <s v="zucchin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
  </r>
  <r>
    <x v="3"/>
    <x v="100"/>
    <s v="Fresh or Not Specified"/>
    <s v="spinach"/>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3"/>
  </r>
  <r>
    <x v="1"/>
    <x v="23"/>
    <s v="Fresh or Not Specified"/>
    <s v="scan level, average US"/>
    <s v="Yes"/>
    <s v="US"/>
    <n v="2011"/>
    <s v="Thoma, Greg; Nutter, Darin; Ulrich, Rick; Maxwell, Charles; Frank, Jason; East, Cashion"/>
    <s v="University of Arkansas"/>
    <s v="Industry Based Report"/>
    <s v="Thoma, G., Martin, R. E., Nutter, D., Ulrich, R., Maxwell, C., Frank, J. and East, C., National Life Cycle Carbon Footprint Study for Production of US Swine. National Pork Board; 2011."/>
    <s v="Yes"/>
    <s v="No"/>
    <s v="Yes"/>
    <s v="Yes"/>
    <s v="Yes"/>
    <s v="Yes"/>
    <s v="Yes"/>
    <s v="Yes"/>
    <s v="Yes"/>
    <s v="Yes"/>
    <s v="No"/>
    <s v="No"/>
    <m/>
    <s v="cradle to grave, although farm gate reported explicitly"/>
    <s v="Yes"/>
    <s v="Yes"/>
    <s v="4 oz boneless serving"/>
    <s v="4 oz = 0.113 kg"/>
    <s v=""/>
    <s v=""/>
    <n v="6.2640707964601781"/>
    <n v="6.8240707964601786"/>
    <m/>
    <m/>
    <m/>
    <m/>
    <m/>
    <m/>
    <m/>
    <m/>
    <m/>
    <m/>
    <m/>
    <m/>
    <m/>
    <n v="6.2640707964601781"/>
    <m/>
    <n v="0.56000000000000005"/>
    <n v="0.13182300884955753"/>
    <m/>
    <n v="0.71957522123893813"/>
    <n v="2.2499115044247793"/>
    <m/>
    <m/>
    <n v="6.2640707964601781"/>
    <n v="9.9115044247787623"/>
  </r>
  <r>
    <x v="1"/>
    <x v="23"/>
    <s v="Fresh or Not Specified"/>
    <s v="Northern Germany, 2010/2011"/>
    <s v="No"/>
    <s v="Germany"/>
    <n v="2013"/>
    <s v="K, Reckmann; I. Traulsen; J. Krieter"/>
    <s v="Institute of Animal Breeding and Husbandry, Christian-Albrechts-University, Olshausenstraße 40, D-24098 Kiel, Germany"/>
    <s v="Peer Reviewed Journal"/>
    <s v="Reckmann, K., Traulsen, I. and Krieter, J., Life Cycle Assessment of pork production: A data inventory for the case of Germany. Livestock Science 2013, 157 (2-3), 586-596."/>
    <s v="Yes"/>
    <s v="No"/>
    <s v="Yes"/>
    <s v="Yes"/>
    <s v="No"/>
    <s v="No"/>
    <s v="No"/>
    <s v="No"/>
    <s v="No"/>
    <s v="No"/>
    <s v="No"/>
    <s v="No"/>
    <m/>
    <m/>
    <s v="No"/>
    <m/>
    <s v="1 kg slaughter weight pork"/>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3.319615912208505"/>
    <n v="26.748970912208506"/>
    <n v="4.1289437585733877"/>
    <n v="4.4170097585733874"/>
    <n v="23.319615912208505"/>
    <m/>
    <n v="3.4293550000000002"/>
    <m/>
    <m/>
    <m/>
    <m/>
    <m/>
    <m/>
    <n v="23.319615912208505"/>
    <n v="26.748971193415638"/>
    <m/>
    <m/>
    <n v="4.1289437585733877"/>
    <m/>
    <n v="0.28806599999999999"/>
    <m/>
    <m/>
    <m/>
    <m/>
    <m/>
    <m/>
    <n v="4.1289437585733877"/>
    <n v="4.4170096021947876"/>
  </r>
  <r>
    <x v="1"/>
    <x v="23"/>
    <s v="Fresh or Not Specified"/>
    <s v="Flanders"/>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s v="Yes"/>
    <m/>
    <s v="Yes"/>
    <s v="Yes"/>
    <m/>
    <m/>
    <m/>
    <m/>
    <m/>
    <m/>
    <m/>
    <m/>
    <m/>
    <m/>
    <m/>
    <m/>
    <s v="1 kg deboned pig meat"/>
    <m/>
    <s v=""/>
    <s v=""/>
    <s v=""/>
    <s v=""/>
    <m/>
    <m/>
    <m/>
    <m/>
    <m/>
    <m/>
    <m/>
    <m/>
    <m/>
    <m/>
    <m/>
    <m/>
    <m/>
    <m/>
    <m/>
    <m/>
    <m/>
    <m/>
    <m/>
    <m/>
    <m/>
    <m/>
    <m/>
    <n v="4.8"/>
  </r>
  <r>
    <x v="1"/>
    <x v="23"/>
    <s v="Fresh or Not Specified"/>
    <m/>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m/>
    <m/>
    <m/>
    <m/>
    <m/>
    <m/>
    <m/>
    <m/>
    <m/>
    <m/>
    <m/>
    <m/>
    <m/>
    <s v="crop production to delivery of pork to Antwerp in Belgium"/>
    <m/>
    <m/>
    <s v="1 kg carcass weight pig mea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4979423868312756"/>
  </r>
  <r>
    <x v="1"/>
    <x v="23"/>
    <s v="Fresh or Not Specified"/>
    <s v="organic; indoor fattening"/>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5324405641573637"/>
    <s v=""/>
    <m/>
    <m/>
    <m/>
    <m/>
    <m/>
    <m/>
    <m/>
    <m/>
    <m/>
    <m/>
    <m/>
    <m/>
    <m/>
    <m/>
    <m/>
    <m/>
    <m/>
    <m/>
    <m/>
    <m/>
    <m/>
    <m/>
    <n v="5.5324405641573637"/>
    <m/>
  </r>
  <r>
    <x v="1"/>
    <x v="23"/>
    <s v="Fresh or Not Specified"/>
    <s v="organic; free range"/>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6.2903091345898794"/>
    <s v=""/>
    <m/>
    <m/>
    <m/>
    <m/>
    <m/>
    <m/>
    <m/>
    <m/>
    <m/>
    <m/>
    <m/>
    <m/>
    <m/>
    <m/>
    <m/>
    <m/>
    <m/>
    <m/>
    <m/>
    <m/>
    <m/>
    <m/>
    <n v="6.2903091345898794"/>
    <m/>
  </r>
  <r>
    <x v="1"/>
    <x v="23"/>
    <s v="Fresh or Not Specified"/>
    <s v="organic; tent system"/>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3619201358100481"/>
    <s v=""/>
    <m/>
    <m/>
    <m/>
    <m/>
    <m/>
    <m/>
    <m/>
    <m/>
    <m/>
    <m/>
    <m/>
    <m/>
    <m/>
    <m/>
    <m/>
    <m/>
    <m/>
    <m/>
    <m/>
    <m/>
    <m/>
    <m/>
    <n v="5.3619201358100481"/>
    <m/>
  </r>
  <r>
    <x v="1"/>
    <x v="23"/>
    <s v="Fresh or Not Specified"/>
    <s v="commodity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18.378312832988502"/>
    <s v=""/>
    <n v="4.6798384224207838"/>
    <s v=""/>
    <m/>
    <m/>
    <m/>
    <m/>
    <m/>
    <m/>
    <m/>
    <m/>
    <m/>
    <n v="18.378312832988502"/>
    <m/>
    <m/>
    <m/>
    <m/>
    <m/>
    <m/>
    <m/>
    <m/>
    <m/>
    <m/>
    <m/>
    <m/>
    <n v="4.6798384224207838"/>
    <m/>
  </r>
  <r>
    <x v="1"/>
    <x v="23"/>
    <s v="Fresh or Not Specified"/>
    <s v="commodity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2.546589970367343"/>
    <s v=""/>
    <n v="5.7787478495479316"/>
    <s v=""/>
    <m/>
    <m/>
    <m/>
    <m/>
    <m/>
    <m/>
    <m/>
    <m/>
    <m/>
    <n v="22.546589970367343"/>
    <m/>
    <m/>
    <m/>
    <m/>
    <m/>
    <m/>
    <m/>
    <m/>
    <m/>
    <m/>
    <m/>
    <m/>
    <n v="5.7787478495479316"/>
    <m/>
  </r>
  <r>
    <x v="1"/>
    <x v="23"/>
    <s v="Fresh or Not Specified"/>
    <s v="deep bedded niche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1.599254257326695"/>
    <s v=""/>
    <n v="4.774571993724849"/>
    <s v=""/>
    <m/>
    <m/>
    <m/>
    <m/>
    <m/>
    <m/>
    <m/>
    <m/>
    <m/>
    <n v="21.599254257326695"/>
    <m/>
    <m/>
    <m/>
    <m/>
    <m/>
    <m/>
    <m/>
    <m/>
    <m/>
    <m/>
    <m/>
    <m/>
    <n v="4.774571993724849"/>
    <m/>
  </r>
  <r>
    <x v="1"/>
    <x v="23"/>
    <s v="Fresh or Not Specified"/>
    <s v="deep bedded niche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7.283268535570564"/>
    <s v=""/>
    <n v="6.3092558488506931"/>
    <s v=""/>
    <m/>
    <m/>
    <m/>
    <m/>
    <m/>
    <m/>
    <m/>
    <m/>
    <m/>
    <n v="27.283268535570564"/>
    <m/>
    <m/>
    <m/>
    <m/>
    <m/>
    <m/>
    <m/>
    <m/>
    <m/>
    <m/>
    <m/>
    <m/>
    <n v="6.3092558488506931"/>
    <m/>
  </r>
  <r>
    <x v="1"/>
    <x v="23"/>
    <s v="Fresh or Not Specified"/>
    <s v="southern Australia (deep litter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4.554183813443071"/>
    <n v="35.880089163237308"/>
    <n v="3.614540466392318"/>
    <n v="4.252400548696845"/>
    <n v="24.554183813443071"/>
    <n v="7.5750000000000002"/>
    <n v="3.7509053497942384"/>
    <m/>
    <m/>
    <m/>
    <m/>
    <m/>
    <m/>
    <n v="24.554183813443071"/>
    <n v="27.846364883401922"/>
    <m/>
    <m/>
    <n v="3.614540466392318"/>
    <m/>
    <n v="0.63786008230452673"/>
    <m/>
    <m/>
    <m/>
    <m/>
    <m/>
    <m/>
    <n v="3.614540466392318"/>
    <n v="4.252400548696845"/>
  </r>
  <r>
    <x v="1"/>
    <x v="23"/>
    <s v="Fresh or Not Specified"/>
    <s v="northern Australia (conventional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0.8641975308642"/>
    <n v="39.165943827160497"/>
    <n v="7.0919067215363505"/>
    <n v="7.544581618655692"/>
    <n v="30.8641975308642"/>
    <n v="5.274"/>
    <n v="3.0277462962962969"/>
    <m/>
    <m/>
    <m/>
    <m/>
    <m/>
    <m/>
    <n v="30.8641975308642"/>
    <n v="33.607681755829908"/>
    <m/>
    <m/>
    <n v="7.0919067215363505"/>
    <m/>
    <n v="0.45267489711934156"/>
    <m/>
    <m/>
    <m/>
    <m/>
    <m/>
    <m/>
    <n v="7.0919067215363505"/>
    <n v="7.5445816186556929"/>
  </r>
  <r>
    <x v="1"/>
    <x v="23"/>
    <s v="Fresh or Not Specified"/>
    <s v="ave of 27 farms"/>
    <s v="Yes"/>
    <s v="Netherlands"/>
    <n v="2012"/>
    <s v="M.A. Dolman a,b,n, H.C.J.Vrolijk a, I.J.M.deBoer b"/>
    <s v="a Agricultural EconomicsResearchInstitute,WageningenUniversityandResearchCentre,POBox29703,NL-2502LS,TheNetherlands_x000a_b Animal ProductionSystemsGroup,WageningenUniversity,TheNetherlands"/>
    <s v="Peer Reviewed Journal"/>
    <s v="Dolman, M. A., Vrolijk, H. C. J. and De Boer, I. J. M., Exploring variation in economic, environmental and societal performance among Dutch fattening pig farms. Livestock Science 2012, 149 (1-2), 143-154."/>
    <s v="Yes"/>
    <s v="No"/>
    <s v="No"/>
    <s v="No"/>
    <s v="No"/>
    <s v="No"/>
    <s v="No"/>
    <s v="No"/>
    <s v="No"/>
    <s v="No"/>
    <s v="No"/>
    <s v="No"/>
    <m/>
    <s v="cradle to farm gate"/>
    <s v="No"/>
    <s v="No"/>
    <s v="100 kg slaughter weight"/>
    <s v="/100/.729"/>
    <n v="38.436213991769549"/>
    <s v=""/>
    <n v="7.4897119341563787"/>
    <s v=""/>
    <m/>
    <m/>
    <m/>
    <m/>
    <m/>
    <m/>
    <m/>
    <m/>
    <m/>
    <n v="38.436213991769549"/>
    <m/>
    <m/>
    <m/>
    <m/>
    <m/>
    <m/>
    <m/>
    <m/>
    <m/>
    <m/>
    <m/>
    <m/>
    <n v="7.4897119341563787"/>
    <m/>
  </r>
  <r>
    <x v="1"/>
    <x v="23"/>
    <s v="Fresh or Not Specified"/>
    <m/>
    <s v="No"/>
    <s v="EU"/>
    <n v="2012"/>
    <s v="Thu Lan T. Nguyen*, John E. Hermansen, Lisbeth Mogensen"/>
    <s v="Department of Agroecology, Aarhus University, Tjele, Denmark"/>
    <s v="Peer Reviewed Journal"/>
    <s v="Nguyen, T. L. T., Hermansen, J. E. and Mogensen, L., Environmental costs of meat production: the case of typical EU pork production. Journal of Cleaner Production 2012, 28, 168-176."/>
    <s v="Yes"/>
    <s v="No"/>
    <s v="No"/>
    <s v="No"/>
    <s v="No"/>
    <s v="No"/>
    <s v="No"/>
    <s v="No"/>
    <s v="No"/>
    <s v="No"/>
    <s v="No"/>
    <s v="No"/>
    <m/>
    <s v="cradle to farm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6.886145404663925"/>
    <s v=""/>
    <n v="6.5843621399176957"/>
    <s v=""/>
    <m/>
    <m/>
    <m/>
    <m/>
    <m/>
    <m/>
    <m/>
    <m/>
    <m/>
    <n v="26.886145404663925"/>
    <m/>
    <m/>
    <m/>
    <m/>
    <m/>
    <m/>
    <m/>
    <m/>
    <m/>
    <m/>
    <m/>
    <m/>
    <n v="6.5843621399176957"/>
    <m/>
  </r>
  <r>
    <x v="1"/>
    <x v="23"/>
    <s v="Fresh or Not Specified"/>
    <s v="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0.731570531038503"/>
    <s v=""/>
    <n v="4.2630107086829003"/>
    <s v=""/>
    <m/>
    <m/>
    <m/>
    <m/>
    <m/>
    <m/>
    <m/>
    <m/>
    <m/>
    <n v="30.731570531038503"/>
    <m/>
    <m/>
    <m/>
    <m/>
    <m/>
    <m/>
    <m/>
    <m/>
    <m/>
    <m/>
    <m/>
    <m/>
    <n v="4.2630107086829003"/>
    <m/>
  </r>
  <r>
    <x v="1"/>
    <x v="23"/>
    <s v="Fresh or Not Specified"/>
    <s v="adapted 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1.26207853034127"/>
    <s v=""/>
    <n v="4.8693055650289123"/>
    <s v=""/>
    <m/>
    <m/>
    <m/>
    <m/>
    <m/>
    <m/>
    <m/>
    <m/>
    <m/>
    <n v="31.26207853034127"/>
    <m/>
    <m/>
    <m/>
    <m/>
    <m/>
    <m/>
    <m/>
    <m/>
    <m/>
    <m/>
    <m/>
    <m/>
    <n v="4.8693055650289123"/>
    <m/>
  </r>
  <r>
    <x v="1"/>
    <x v="23"/>
    <s v="Fresh or Not Specified"/>
    <s v="organic"/>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4.255659383549705"/>
    <s v=""/>
    <n v="4.6040515653775325"/>
    <s v=""/>
    <m/>
    <m/>
    <m/>
    <m/>
    <m/>
    <m/>
    <m/>
    <m/>
    <m/>
    <n v="34.255659383549705"/>
    <m/>
    <m/>
    <m/>
    <m/>
    <m/>
    <m/>
    <m/>
    <m/>
    <m/>
    <m/>
    <m/>
    <m/>
    <n v="4.6040515653775325"/>
    <m/>
  </r>
  <r>
    <x v="1"/>
    <x v="23"/>
    <s v="Fresh or Not Specified"/>
    <s v="tradi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46.002622225253702"/>
    <s v=""/>
    <n v="6.574509848502073"/>
    <s v=""/>
    <m/>
    <m/>
    <m/>
    <m/>
    <m/>
    <m/>
    <m/>
    <m/>
    <m/>
    <n v="46.002622225253702"/>
    <m/>
    <m/>
    <m/>
    <m/>
    <m/>
    <m/>
    <m/>
    <m/>
    <m/>
    <m/>
    <m/>
    <m/>
    <n v="6.574509848502073"/>
    <m/>
  </r>
  <r>
    <x v="1"/>
    <x v="23"/>
    <s v="Fresh or Not Specified"/>
    <s v="comparison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6.4471879286694103"/>
  </r>
  <r>
    <x v="1"/>
    <x v="23"/>
    <s v="Fresh or Not Specified"/>
    <s v="eco-designed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0178326474622774"/>
  </r>
  <r>
    <x v="1"/>
    <x v="24"/>
    <s v="Fresh or Not Specified"/>
    <m/>
    <s v="No"/>
    <s v="US"/>
    <n v="2008"/>
    <s v="N. Pelletier"/>
    <s v="School for Resource and Environmental Studies, Dalhousie University, Kenneth C. Rowe Management Building, 6100 University Avenue, Suite 5010, Halifax,Nova Scotia, Canada, B3H 3J5"/>
    <s v="Peer Reviewed Journal"/>
    <s v="Pelletier, N., Environmental performance in the US broiler poultry sector: Life cycle energy use and greenhouse gas, ozone depleting, acidifying and eutrophying emissions. Agricultural Systems 2008, 98 (2), 67-73."/>
    <s v="Yes"/>
    <s v="No"/>
    <s v="No"/>
    <s v="No"/>
    <s v="No"/>
    <s v="No"/>
    <s v="No"/>
    <s v="No"/>
    <s v="No"/>
    <s v="No"/>
    <s v="No"/>
    <s v="No"/>
    <m/>
    <s v="cradle to farm gate"/>
    <s v="No"/>
    <s v="Yes"/>
    <s v="1 tonne live weight broiler poultry"/>
    <s v="/1000/.56  (paper estimates 56% of live weight is edible)"/>
    <n v="26.712499999999995"/>
    <s v=""/>
    <n v="2.4910714285714284"/>
    <s v=""/>
    <m/>
    <m/>
    <m/>
    <m/>
    <m/>
    <m/>
    <m/>
    <m/>
    <m/>
    <n v="26.712499999999995"/>
    <m/>
    <s v="CED v 1.03"/>
    <m/>
    <m/>
    <m/>
    <m/>
    <m/>
    <m/>
    <m/>
    <m/>
    <m/>
    <m/>
    <n v="2.4910714285714284"/>
    <m/>
  </r>
  <r>
    <x v="1"/>
    <x v="24"/>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1.7857142857142856"/>
    <s v=""/>
    <m/>
    <m/>
    <m/>
    <m/>
    <m/>
    <m/>
    <m/>
    <m/>
    <m/>
    <m/>
    <m/>
    <m/>
    <m/>
    <m/>
    <m/>
    <m/>
    <m/>
    <m/>
    <m/>
    <m/>
    <m/>
    <m/>
    <n v="1.7857142857142856"/>
    <m/>
  </r>
  <r>
    <x v="1"/>
    <x v="31"/>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2.5714285714285712"/>
    <s v=""/>
    <m/>
    <m/>
    <m/>
    <m/>
    <m/>
    <m/>
    <m/>
    <m/>
    <m/>
    <m/>
    <m/>
    <m/>
    <m/>
    <m/>
    <m/>
    <m/>
    <m/>
    <m/>
    <m/>
    <m/>
    <m/>
    <m/>
    <n v="2.5714285714285712"/>
    <m/>
  </r>
  <r>
    <x v="1"/>
    <x v="24"/>
    <s v="Fresh or Not Specified"/>
    <s v="standard indoor"/>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37"/>
    <s v=""/>
    <n v="4.41"/>
    <s v=""/>
    <m/>
    <m/>
    <m/>
    <m/>
    <m/>
    <m/>
    <m/>
    <m/>
    <m/>
    <n v="25.37"/>
    <m/>
    <m/>
    <m/>
    <m/>
    <m/>
    <m/>
    <m/>
    <m/>
    <m/>
    <m/>
    <m/>
    <m/>
    <n v="4.41"/>
    <m/>
  </r>
  <r>
    <x v="1"/>
    <x v="24"/>
    <s v="Fresh or Not Specified"/>
    <s v="free range"/>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65"/>
    <s v=""/>
    <n v="5.13"/>
    <s v=""/>
    <m/>
    <m/>
    <m/>
    <m/>
    <m/>
    <m/>
    <m/>
    <m/>
    <m/>
    <n v="25.65"/>
    <m/>
    <m/>
    <m/>
    <m/>
    <m/>
    <m/>
    <m/>
    <m/>
    <m/>
    <m/>
    <m/>
    <m/>
    <n v="5.13"/>
    <m/>
  </r>
  <r>
    <x v="1"/>
    <x v="24"/>
    <s v="Fresh or Not Specified"/>
    <s v="organic"/>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40.340000000000003"/>
    <s v=""/>
    <n v="5.66"/>
    <s v=""/>
    <m/>
    <m/>
    <m/>
    <m/>
    <m/>
    <m/>
    <m/>
    <m/>
    <m/>
    <n v="40.340000000000003"/>
    <m/>
    <m/>
    <m/>
    <m/>
    <m/>
    <m/>
    <m/>
    <m/>
    <m/>
    <m/>
    <m/>
    <m/>
    <n v="5.66"/>
    <m/>
  </r>
  <r>
    <x v="12"/>
    <x v="101"/>
    <s v="Frozen"/>
    <s v="weighted ave of Atlantic, Indian &amp; Pacific ocean captures"/>
    <s v="No"/>
    <s v="Spain"/>
    <n v="2005"/>
    <s v="A. Hospido; P. Tyedmers"/>
    <s v="a Chemical Engineering Department, Institute of Technology, University of Santiago de Compostela,15782Santia go de Compostela, Spain b School for Resource and Environmental Studies (SRES), Faculty of Management, Dalhousie University, Halifax, NS, Canada "/>
    <s v="Peer Reviewed Journal"/>
    <s v="Hospido, A. and Tyedmers, P., Life cycle environmental impacts of Spanish tuna fisheries. Fisheries Research 2005, 76 (2), 174-186."/>
    <s v="Yes"/>
    <s v="No"/>
    <s v="Yes"/>
    <s v="No"/>
    <s v="No"/>
    <s v="No"/>
    <s v="No"/>
    <s v="No"/>
    <s v="No"/>
    <s v="No"/>
    <s v="No"/>
    <s v="No"/>
    <m/>
    <s v="delivered to Galician port"/>
    <s v="No"/>
    <s v="No"/>
    <s v="1 tonne frozen unprocessed tuna"/>
    <s v="/1000/.58 from http://www.fao.org/docrep/003/t0219e/T0219E01.htm#ch1"/>
    <s v=""/>
    <s v=""/>
    <s v=""/>
    <s v=""/>
    <m/>
    <m/>
    <m/>
    <m/>
    <m/>
    <m/>
    <m/>
    <m/>
    <m/>
    <m/>
    <m/>
    <m/>
    <m/>
    <m/>
    <m/>
    <m/>
    <m/>
    <m/>
    <m/>
    <m/>
    <m/>
    <m/>
    <m/>
    <n v="3.1034482758620694"/>
  </r>
  <r>
    <x v="12"/>
    <x v="102"/>
    <s v="Fresh or Not Specified"/>
    <s v="Farmed trout, flow through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53.644615384615385"/>
    <s v=""/>
    <n v="3.1"/>
    <s v=""/>
    <m/>
    <m/>
    <m/>
    <m/>
    <m/>
    <m/>
    <m/>
    <m/>
    <m/>
    <n v="53.644615384615385"/>
    <m/>
    <m/>
    <m/>
    <m/>
    <m/>
    <m/>
    <m/>
    <m/>
    <m/>
    <m/>
    <m/>
    <m/>
    <n v="3.1"/>
    <m/>
  </r>
  <r>
    <x v="12"/>
    <x v="102"/>
    <s v="Fresh or Not Specified"/>
    <s v="Farmed Trout, recirculation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97.233846153846144"/>
    <s v=""/>
    <n v="3.1430769230769231"/>
    <s v=""/>
    <m/>
    <m/>
    <m/>
    <m/>
    <m/>
    <m/>
    <m/>
    <m/>
    <m/>
    <n v="97.233846153846144"/>
    <m/>
    <m/>
    <m/>
    <m/>
    <m/>
    <m/>
    <m/>
    <m/>
    <m/>
    <m/>
    <m/>
    <m/>
    <n v="3.1430769230769231"/>
    <m/>
  </r>
  <r>
    <x v="12"/>
    <x v="103"/>
    <s v="Fresh or Not Specified"/>
    <s v="fresh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2.5019999999999998"/>
    <n v="13.622"/>
    <m/>
    <m/>
    <m/>
    <m/>
    <m/>
    <m/>
    <m/>
    <m/>
    <m/>
    <m/>
    <m/>
    <m/>
    <m/>
    <n v="2.5019999999999998"/>
    <n v="11.120000000000001"/>
    <m/>
    <m/>
    <m/>
    <m/>
    <n v="0.27800000000000002"/>
    <m/>
    <m/>
    <n v="2.5019999999999998"/>
    <n v="13.9"/>
  </r>
  <r>
    <x v="12"/>
    <x v="103"/>
    <s v="Canned"/>
    <s v="cann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6.0023999999999997"/>
    <n v="9.84"/>
    <m/>
    <m/>
    <m/>
    <m/>
    <m/>
    <m/>
    <m/>
    <m/>
    <m/>
    <m/>
    <m/>
    <m/>
    <m/>
    <n v="6.0023999999999997"/>
    <n v="3.8376000000000001"/>
    <m/>
    <m/>
    <m/>
    <m/>
    <m/>
    <m/>
    <m/>
    <n v="6.0023999999999997"/>
    <n v="9.84"/>
  </r>
  <r>
    <x v="12"/>
    <x v="103"/>
    <s v="Frozen"/>
    <s v="frozen boil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5.8010999999999999"/>
    <n v="9.51"/>
    <m/>
    <m/>
    <m/>
    <m/>
    <m/>
    <m/>
    <m/>
    <m/>
    <m/>
    <m/>
    <m/>
    <m/>
    <m/>
    <n v="5.8010999999999999"/>
    <n v="3.7088999999999999"/>
    <m/>
    <m/>
    <m/>
    <m/>
    <m/>
    <m/>
    <m/>
    <n v="5.8010999999999999"/>
    <n v="9.51"/>
  </r>
  <r>
    <x v="12"/>
    <x v="104"/>
    <s v="Fresh or Not Specified"/>
    <s v="Horse Mackerel, captured by purse sein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1.5307692307692309"/>
  </r>
  <r>
    <x v="12"/>
    <x v="104"/>
    <s v="Fresh or Not Specified"/>
    <s v="Horse Mackerel, captured by bottom trawl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4.3807692307692303"/>
  </r>
  <r>
    <x v="12"/>
    <x v="104"/>
    <s v="Fresh or Not Specified"/>
    <s v="Hake Fillets, captured by offshore long lin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7.66"/>
  </r>
  <r>
    <x v="12"/>
    <x v="104"/>
    <s v="Fresh or Not Specified"/>
    <s v="Hake Fillets, captured by offshore trawl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11.48"/>
  </r>
  <r>
    <x v="4"/>
    <x v="53"/>
    <s v="Fresh or Not Specified"/>
    <s v="Biodynamic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7.6490909090909096E-2"/>
  </r>
  <r>
    <x v="4"/>
    <x v="53"/>
    <s v="Fresh or Not Specified"/>
    <s v="Intermediate Biodynamic-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10678181818181817"/>
  </r>
  <r>
    <x v="4"/>
    <x v="53"/>
    <s v="Fresh or Not Specified"/>
    <s v="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29942272727272728"/>
  </r>
  <r>
    <x v="7"/>
    <x v="105"/>
    <s v="Fresh or Not Specified"/>
    <s v="Spray Dried Soluble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of instant coffee powder; 2 g powder per cup coffee"/>
    <n v="115"/>
    <n v="175"/>
    <n v="7.75"/>
    <n v="11.35"/>
    <n v="115"/>
    <n v="10"/>
    <n v="50"/>
    <n v="45"/>
    <n v="15"/>
    <m/>
    <n v="349.99999999999994"/>
    <n v="-2.5"/>
    <n v="45"/>
    <n v="115"/>
    <n v="627.5"/>
    <m/>
    <m/>
    <n v="7.75"/>
    <n v="0.05"/>
    <n v="3.55"/>
    <n v="3.85"/>
    <n v="0.8"/>
    <m/>
    <n v="17.5"/>
    <n v="-1.1000000000000001"/>
    <n v="2.5999999999999996"/>
    <n v="7.75"/>
    <n v="35"/>
  </r>
  <r>
    <x v="7"/>
    <x v="106"/>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13.5g roasted bean/cup. "/>
    <n v="44.444444444444443"/>
    <n v="55.55555555555555"/>
    <n v="2.8740740740740738"/>
    <n v="3.2888888888888888"/>
    <n v="44.444444444444443"/>
    <n v="4.4444444444444446"/>
    <n v="6.6666666666666661"/>
    <n v="4.4444444444444446"/>
    <n v="5.9259259259259265"/>
    <m/>
    <n v="96.296296296296305"/>
    <n v="-5.185185185185186"/>
    <n v="71.111111111111114"/>
    <n v="44.444444444444443"/>
    <n v="228.14814814814815"/>
    <m/>
    <m/>
    <n v="2.8740740740740738"/>
    <n v="0.1851851851851852"/>
    <n v="0.22962962962962963"/>
    <n v="0.1851851851851852"/>
    <n v="0.2"/>
    <m/>
    <n v="4.7407407407407405"/>
    <n v="-0.25925925925925924"/>
    <n v="0.44444444444444448"/>
    <n v="2.8740740740740738"/>
    <n v="8.6"/>
  </r>
  <r>
    <x v="7"/>
    <x v="106"/>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6.5g roasted bean/cup. Capturing impacts only through roasting and grinding"/>
    <n v="73.846153846153854"/>
    <n v="84.615384615384627"/>
    <n v="4.2615384615384615"/>
    <n v="4.8769230769230765"/>
    <n v="73.846153846153854"/>
    <n v="4.6153846153846159"/>
    <n v="6.1538461538461542"/>
    <n v="76.92307692307692"/>
    <n v="12.307692307692308"/>
    <m/>
    <n v="107.69230769230769"/>
    <n v="-7.6923076923076934"/>
    <n v="23.07692307692308"/>
    <n v="73.846153846153854"/>
    <n v="296.92307692307696"/>
    <m/>
    <m/>
    <n v="4.2615384615384615"/>
    <n v="0.27692307692307694"/>
    <n v="0.33846153846153848"/>
    <n v="3.2307692307692313"/>
    <n v="0.6461538461538463"/>
    <m/>
    <n v="5.6923076923076925"/>
    <n v="0.9538461538461539"/>
    <n v="1.276923076923077"/>
    <n v="4.2615384615384615"/>
    <n v="16.676923076923075"/>
  </r>
  <r>
    <x v="7"/>
    <x v="106"/>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roasted bean.  7g coffee/cup."/>
    <s v=""/>
    <n v="53.571428571428569"/>
    <s v=""/>
    <n v="10.671428571428571"/>
    <m/>
    <m/>
    <n v="53.571428571428569"/>
    <n v="3.7571428571428571"/>
    <m/>
    <m/>
    <n v="34.142857142857139"/>
    <m/>
    <m/>
    <m/>
    <n v="91.471428571428561"/>
    <m/>
    <m/>
    <m/>
    <m/>
    <n v="10.671428571428571"/>
    <n v="0.17571428571428571"/>
    <m/>
    <m/>
    <n v="1.7000000000000002"/>
    <m/>
    <m/>
    <m/>
    <n v="12.547142857142855"/>
  </r>
  <r>
    <x v="7"/>
    <x v="107"/>
    <s v="Fresh or Not Specified"/>
    <s v="Black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6.0019950293336946"/>
    <m/>
    <m/>
    <m/>
    <m/>
    <m/>
    <m/>
    <m/>
    <m/>
    <m/>
    <m/>
    <m/>
    <m/>
    <n v="0.52834463286388156"/>
  </r>
  <r>
    <x v="7"/>
    <x v="105"/>
    <s v="Fresh or Not Specified"/>
    <s v="Black Instant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instant coffee.  2 g powder/cup"/>
    <s v=""/>
    <n v="187.5"/>
    <s v=""/>
    <n v="27.05"/>
    <m/>
    <m/>
    <n v="187.5"/>
    <n v="63"/>
    <m/>
    <m/>
    <n v="167"/>
    <m/>
    <m/>
    <m/>
    <n v="417.5"/>
    <m/>
    <m/>
    <m/>
    <m/>
    <n v="27.05"/>
    <n v="3.5"/>
    <m/>
    <m/>
    <n v="8.9"/>
    <m/>
    <m/>
    <m/>
    <n v="39.450000000000003"/>
  </r>
  <r>
    <x v="7"/>
    <x v="108"/>
    <s v="Fresh or Not Specified"/>
    <s v="Kenyan Tea, Large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07"/>
    <n v="1.1300000000000001"/>
    <m/>
    <m/>
    <m/>
    <m/>
    <m/>
    <m/>
    <m/>
    <m/>
    <m/>
    <m/>
    <m/>
    <m/>
    <m/>
    <n v="1.07"/>
    <m/>
    <n v="0.06"/>
    <m/>
    <n v="0.49"/>
    <m/>
    <n v="10.46"/>
    <m/>
    <m/>
    <n v="1.07"/>
    <n v="12.08"/>
  </r>
  <r>
    <x v="7"/>
    <x v="108"/>
    <s v="Fresh or Not Specified"/>
    <s v="Kenyan Tea, Small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42"/>
    <n v="1.48"/>
    <m/>
    <m/>
    <m/>
    <m/>
    <m/>
    <m/>
    <m/>
    <m/>
    <m/>
    <m/>
    <m/>
    <m/>
    <m/>
    <n v="1.42"/>
    <m/>
    <n v="0.06"/>
    <m/>
    <n v="0.51"/>
    <m/>
    <n v="10.46"/>
    <m/>
    <m/>
    <n v="1.42"/>
    <n v="12.45"/>
  </r>
  <r>
    <x v="7"/>
    <x v="108"/>
    <s v="Fresh or Not Specified"/>
    <s v="Darjeeling Tea, organic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1.428571428571423"/>
    <n v="51.999999999999993"/>
    <n v="2.9142857142857146"/>
    <n v="6.6857142857142859"/>
    <n v="51.428571428571423"/>
    <n v="0.5714285714285714"/>
    <m/>
    <n v="1.7142857142857142"/>
    <n v="0"/>
    <m/>
    <n v="377.14285714285717"/>
    <m/>
    <m/>
    <n v="51.428571428571423"/>
    <n v="430.85714285714289"/>
    <m/>
    <m/>
    <n v="2.9142857142857146"/>
    <m/>
    <n v="3.7714285714285714"/>
    <n v="2.2857142857142856"/>
    <n v="5.1428571428571423"/>
    <n v="0.62857142857142856"/>
    <n v="1.8857142857142857"/>
    <m/>
    <m/>
    <n v="2.9142857142857146"/>
    <n v="16.628571428571426"/>
  </r>
  <r>
    <x v="7"/>
    <x v="109"/>
    <s v="Fresh or Not Specified"/>
    <s v="Darjeeling Tea, organic tea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259702922855775"/>
    <m/>
    <m/>
    <m/>
    <m/>
    <m/>
    <m/>
    <m/>
    <m/>
    <m/>
    <m/>
    <m/>
    <m/>
    <n v="0.20603737422137039"/>
  </r>
  <r>
    <x v="7"/>
    <x v="108"/>
    <s v="Fresh or Not Specified"/>
    <s v="Darjeeling Tea, conventional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7.142857142857146"/>
    <n v="57.714285714285715"/>
    <n v="1.7142857142857142"/>
    <n v="5.4857142857142858"/>
    <n v="57.142857142857146"/>
    <n v="0.5714285714285714"/>
    <m/>
    <n v="1.7142857142857142"/>
    <n v="5.7142857142857144"/>
    <m/>
    <n v="377.14285714285717"/>
    <m/>
    <m/>
    <n v="57.142857142857146"/>
    <n v="442.28571428571433"/>
    <m/>
    <m/>
    <n v="1.7142857142857142"/>
    <m/>
    <n v="3.7714285714285714"/>
    <n v="2.2857142857142856"/>
    <n v="5.1428571428571423"/>
    <n v="0.62857142857142856"/>
    <n v="1.8857142857142857"/>
    <m/>
    <m/>
    <n v="1.7142857142857142"/>
    <n v="15.428571428571429"/>
  </r>
  <r>
    <x v="7"/>
    <x v="109"/>
    <s v="Fresh or Not Specified"/>
    <s v="Darjeeling Tea, conventional tea 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539210988659961"/>
    <m/>
    <m/>
    <m/>
    <m/>
    <m/>
    <m/>
    <m/>
    <m/>
    <m/>
    <m/>
    <m/>
    <m/>
    <n v="0.1964542405366555"/>
  </r>
  <r>
    <x v="7"/>
    <x v="109"/>
    <s v="Fresh or Not Specified"/>
    <s v="Darjeeling Tea, organic loose w/o distribu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No"/>
    <s v="No"/>
    <s v="No"/>
    <s v="No"/>
    <s v="Yes"/>
    <s v="No"/>
    <s v="No"/>
    <m/>
    <s v="Cradle to Grave"/>
    <s v="No"/>
    <s v="No"/>
    <s v="250ml of tea ready for consumption (reference flow = 1.75g dry tea leaves)"/>
    <s v="reported value / density (250.44g/250ml) --&gt; (RV x 1000g/kg)/(250.44g/250ml)"/>
    <s v=""/>
    <s v=""/>
    <s v=""/>
    <s v=""/>
    <m/>
    <m/>
    <m/>
    <m/>
    <m/>
    <m/>
    <m/>
    <m/>
    <m/>
    <m/>
    <n v="3.0346590001597189"/>
    <m/>
    <m/>
    <m/>
    <m/>
    <m/>
    <m/>
    <m/>
    <m/>
    <m/>
    <m/>
    <m/>
    <m/>
    <n v="0.18367672895703563"/>
  </r>
  <r>
    <x v="7"/>
    <x v="110"/>
    <s v="Fresh or Not Specified"/>
    <s v="Carbonated Beverages, Glass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33205374280227"/>
    <n v="2.5492322456813814"/>
    <n v="3.8387715930902108E-2"/>
    <n v="9.2130518234165071E-2"/>
    <n v="1.4733205374280227"/>
    <m/>
    <n v="1.0759117082533587"/>
    <n v="6.6784069097888663"/>
    <n v="0.13570057581573894"/>
    <m/>
    <m/>
    <n v="0.32955854126679462"/>
    <m/>
    <n v="1.4733205374280227"/>
    <n v="9.6928982725527817"/>
    <m/>
    <m/>
    <n v="3.8387715930902108E-2"/>
    <m/>
    <n v="5.3742802303262956E-2"/>
    <n v="0.39731285988483683"/>
    <n v="7.677543186180422E-3"/>
    <m/>
    <m/>
    <n v="3.5508637236084453E-2"/>
    <m/>
    <n v="3.8387715930902108E-2"/>
    <n v="0.53262955854126681"/>
  </r>
  <r>
    <x v="7"/>
    <x v="110"/>
    <s v="Fresh or Not Specified"/>
    <s v="Carbonated Beverages, Aluminum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00575815738961"/>
    <n v="4.2380038387715917"/>
    <n v="3.8387715930902108E-2"/>
    <n v="4.9904030710172742E-2"/>
    <n v="1.4700575815738961"/>
    <m/>
    <n v="0.20748560460652588"/>
    <n v="2.5604606525911699"/>
    <n v="9.270633397312858E-2"/>
    <m/>
    <m/>
    <n v="8.3877159309021093E-2"/>
    <m/>
    <n v="1.4700575815738961"/>
    <n v="4.4145873320537419"/>
    <m/>
    <m/>
    <n v="3.8387715930902108E-2"/>
    <m/>
    <n v="1.1516314779270634E-2"/>
    <n v="0.23800383877159309"/>
    <n v="4.7984644913627635E-3"/>
    <m/>
    <m/>
    <n v="6.7178502879078695E-3"/>
    <m/>
    <n v="3.8387715930902108E-2"/>
    <n v="0.29942418426103651"/>
  </r>
  <r>
    <x v="7"/>
    <x v="110"/>
    <s v="Fresh or Not Specified"/>
    <s v="Carbonated Beverages, PET 0.5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2.0596928982725524"/>
    <n v="2.7231381957773508"/>
    <n v="3.8387715930902108E-2"/>
    <n v="7.4856046065259113E-2"/>
    <n v="2.0596928982725524"/>
    <m/>
    <n v="0.66344529750479841"/>
    <n v="4.0633397312859882"/>
    <n v="7.9165067178502871E-2"/>
    <m/>
    <m/>
    <n v="0.14011516314779271"/>
    <m/>
    <n v="2.0596928982725524"/>
    <n v="7.0057581573896348"/>
    <m/>
    <m/>
    <n v="3.8387715930902108E-2"/>
    <m/>
    <n v="3.6468330134357005E-2"/>
    <n v="0.16698656429942416"/>
    <n v="5.7581573896353169E-3"/>
    <m/>
    <m/>
    <n v="3.358925143953935E-2"/>
    <m/>
    <n v="3.8387715930902108E-2"/>
    <n v="0.28119001919385794"/>
  </r>
  <r>
    <x v="7"/>
    <x v="110"/>
    <s v="Fresh or Not Specified"/>
    <s v="Carbonated Beverages, PET 2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1568138195777349"/>
    <n v="1.5294337811900189"/>
    <n v="3.8387715930902108E-2"/>
    <n v="5.4702495201535507E-2"/>
    <n v="1.1568138195777349"/>
    <m/>
    <n v="0.37261996161228406"/>
    <n v="2.2821497120921301"/>
    <n v="4.4462571976967361E-2"/>
    <m/>
    <m/>
    <n v="7.869481765834932E-2"/>
    <m/>
    <n v="1.1568138195777349"/>
    <n v="3.9347408829174659"/>
    <m/>
    <m/>
    <n v="3.8387715930902108E-2"/>
    <m/>
    <n v="1.6314779270633399E-2"/>
    <n v="7.1017274472168906E-2"/>
    <n v="4.7984644913627635E-3"/>
    <m/>
    <m/>
    <n v="1.3435700575815739E-2"/>
    <m/>
    <n v="3.8387715930902108E-2"/>
    <n v="0.14395393474088292"/>
  </r>
  <r>
    <x v="12"/>
    <x v="103"/>
    <s v="Frozen"/>
    <s v="Common Octopus, delivered to import ports; average of 3 reported"/>
    <s v="No"/>
    <s v="Mauritania (Spanish fleet)"/>
    <n v="2012"/>
    <s v="Ian Va´zquez-Rowe n, Marı´a TeresaMoreira,GumersindoFeijoo"/>
    <s v="Department ofChemicalEngineering,SchoolofEngineering,UniversityofSantiagodeCompostela.15782–SantiagodeCompostela,Spain"/>
    <s v="Peer Reviewed Journal"/>
    <s v="Vázquez-Rowe, I., Moreira, M. T. and Feijoo, G., Environmental assessment of frozen common octopus (Octopus vulgaris) captured by Spanish fishing vessels in the Mauritanian EEZ. Marine Policy 2012, 36, 180-188."/>
    <s v="Yes"/>
    <s v="No"/>
    <s v="Yes"/>
    <s v="No"/>
    <s v="Yes"/>
    <s v="No"/>
    <s v="No"/>
    <s v="No"/>
    <s v="No"/>
    <s v="No"/>
    <s v="No"/>
    <s v="No"/>
    <m/>
    <s v="delivered to port"/>
    <s v="No"/>
    <s v="No"/>
    <s v="24 kg frozen octopus"/>
    <s v="/24/.79  79% meats from http://www.fao.org/docrep/003/t0219e/T0219E01.htm#ch1"/>
    <s v=""/>
    <s v=""/>
    <s v=""/>
    <s v=""/>
    <m/>
    <m/>
    <m/>
    <m/>
    <m/>
    <m/>
    <m/>
    <m/>
    <m/>
    <m/>
    <m/>
    <m/>
    <m/>
    <m/>
    <m/>
    <m/>
    <m/>
    <m/>
    <m/>
    <m/>
    <m/>
    <m/>
    <m/>
    <n v="9.9096343178621655"/>
  </r>
  <r>
    <x v="12"/>
    <x v="111"/>
    <s v="Fresh or Not Specified"/>
    <s v="fresh Tasmanian Southern Rock lobster airfreighted; recording basecase here"/>
    <s v="Yes"/>
    <s v="Tasmania"/>
    <n v="2014"/>
    <s v="Anna Farmery a,*, Caleb Gardner a,1, Bridget S. Green a,2, Sarah Jennings b,3"/>
    <s v="a Institute for Marine and Antarctic Studies, University of Tasmania, Hobart, Tasmania 7001, Australia; b School of Economics and Finance, University of Tasmania, Hobart, Tasmania 7001, Australia"/>
    <s v="Peer Reviewed Journal"/>
    <s v="Farmery, A. K., Gardner, C., Green, B. S. and Jennings, S., Managing fisheries for environmental performance: the effects of marine resource decision-making on the footprint of seafood. Journal of Cleaner Production 2014, 64, 368-376."/>
    <s v="Yes"/>
    <s v="No"/>
    <s v="Yes"/>
    <s v="No"/>
    <s v="Yes"/>
    <s v="No"/>
    <s v="No"/>
    <s v="No"/>
    <s v="No"/>
    <s v="No"/>
    <s v="No"/>
    <s v="No"/>
    <m/>
    <s v="delivered to Beijing, China"/>
    <s v="No"/>
    <s v="Yes"/>
    <s v="1 kg of live lobster at the point of arrival in the main export market of Beijing, China"/>
    <s v="/.31 ~31% meat yield, from DOI:10.1021/jf900237g"/>
    <n v="609.67741935483866"/>
    <s v=""/>
    <n v="40.645161290322577"/>
    <s v=""/>
    <n v="609.67741935483866"/>
    <m/>
    <m/>
    <n v="100"/>
    <n v="854.83870967741939"/>
    <m/>
    <m/>
    <m/>
    <m/>
    <n v="609.67741935483866"/>
    <n v="1564.516129032258"/>
    <s v="CML Baseline 2000"/>
    <m/>
    <n v="40.645161290322577"/>
    <m/>
    <m/>
    <n v="2.967741935483871"/>
    <n v="56.451612903225808"/>
    <m/>
    <m/>
    <m/>
    <m/>
    <n v="40.645161290322577"/>
    <n v="100"/>
  </r>
  <r>
    <x v="12"/>
    <x v="102"/>
    <s v="Fresh (Raw)"/>
    <s v="Salmon, farmed, gutted, head on, trucked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6"/>
  </r>
  <r>
    <x v="12"/>
    <x v="102"/>
    <s v="Fresh (Raw)"/>
    <s v="Salmon, farmed, gutted, head on, trucked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29"/>
  </r>
  <r>
    <x v="12"/>
    <x v="102"/>
    <s v="Fresh (Raw)"/>
    <s v="Salmon, farmed, gutted, head on, trucked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16"/>
  </r>
  <r>
    <x v="12"/>
    <x v="102"/>
    <s v="Fresh (Raw)"/>
    <s v="Salmon, farmed, gutted, head on, ai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13.9"/>
  </r>
  <r>
    <x v="12"/>
    <x v="102"/>
    <s v="Frozen"/>
    <s v="Salmon, farmed, container freight to Shanghai"/>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08"/>
  </r>
  <r>
    <x v="12"/>
    <x v="102"/>
    <s v="Fresh or Not Specified"/>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52"/>
  </r>
  <r>
    <x v="12"/>
    <x v="102"/>
    <s v="Frozen"/>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4700000000000002"/>
  </r>
  <r>
    <x v="12"/>
    <x v="103"/>
    <s v="Fresh (Live)"/>
    <s v="Mussels, farmed,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16900000000000001"/>
    <s v=""/>
    <m/>
    <m/>
    <m/>
    <m/>
    <m/>
    <m/>
    <m/>
    <m/>
    <m/>
    <m/>
    <m/>
    <m/>
    <m/>
    <m/>
    <m/>
    <m/>
    <m/>
    <m/>
    <m/>
    <m/>
    <m/>
    <m/>
    <n v="0.16900000000000001"/>
    <n v="2.5499999999999998"/>
  </r>
  <r>
    <x v="12"/>
    <x v="104"/>
    <s v="Fresh or Not Specified"/>
    <s v="Atlantic Cod, wild caught, gutted, head on,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63"/>
  </r>
  <r>
    <x v="12"/>
    <x v="104"/>
    <s v="Fresh or Not Specified"/>
    <s v="Atlantic Cod, wild caught, fillet, truck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36"/>
  </r>
  <r>
    <x v="12"/>
    <x v="104"/>
    <s v="Fresh or Not Specified"/>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r>
  <r>
    <x v="12"/>
    <x v="104"/>
    <s v="Frozen"/>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r>
  <r>
    <x v="12"/>
    <x v="104"/>
    <s v="Frozen"/>
    <s v="Atlantic Cod, wild, fillet, truck/container to Paris via processing in China"/>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78"/>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1"/>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799999999999998"/>
  </r>
  <r>
    <x v="12"/>
    <x v="104"/>
    <s v="Saithe, frozen"/>
    <s v="wild, fillet, Truck to Berli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
    <s v=""/>
    <m/>
    <m/>
    <m/>
    <m/>
    <m/>
    <m/>
    <m/>
    <m/>
    <m/>
    <m/>
    <m/>
    <m/>
    <m/>
    <m/>
    <m/>
    <m/>
    <m/>
    <m/>
    <m/>
    <m/>
    <m/>
    <m/>
    <n v="1.3"/>
    <n v="2.57"/>
  </r>
  <r>
    <x v="12"/>
    <x v="104"/>
    <s v="Fresh or Not Specified"/>
    <s v="Haddock, wild, gutted, head on, Truck/RoRo vessel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5"/>
    <s v=""/>
    <m/>
    <m/>
    <m/>
    <m/>
    <m/>
    <m/>
    <m/>
    <m/>
    <m/>
    <m/>
    <m/>
    <m/>
    <m/>
    <m/>
    <m/>
    <m/>
    <m/>
    <m/>
    <m/>
    <m/>
    <m/>
    <m/>
    <n v="1.35"/>
    <n v="3.71"/>
  </r>
  <r>
    <x v="12"/>
    <x v="104"/>
    <s v="Frozen"/>
    <s v="Haddock, wild, gutted, head on, Truck/bulk freight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3.84"/>
  </r>
  <r>
    <x v="12"/>
    <x v="104"/>
    <s v="herring, frozen"/>
    <s v="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0.97"/>
  </r>
  <r>
    <x v="12"/>
    <x v="104"/>
    <s v="herring, frozen"/>
    <s v="wild, deskinned fillet, truck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39"/>
  </r>
  <r>
    <x v="12"/>
    <x v="104"/>
    <s v="Frozen"/>
    <s v="Mackerel, wild, round, container freighte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93"/>
  </r>
  <r>
    <x v="12"/>
    <x v="104"/>
    <s v="Frozen"/>
    <s v="Mackerel, 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
  </r>
  <r>
    <x v="12"/>
    <x v="111"/>
    <s v="Fresh (Live)"/>
    <s v="American Lobster, caught in Maine, delivered live to Boston, MA, stored live for 72 hrs"/>
    <s v="No"/>
    <s v="Maine, US"/>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calendar year 2006, delivered to a live storage facility in Boston, Massachusetts, and stored for 72 h."/>
    <s v="/1000/.31  ~31% meat yield, from DOI:10.1021/jf900237g"/>
    <n v="244.11612903225807"/>
    <s v=""/>
    <n v="15.848387096774195"/>
    <s v=""/>
    <n v="244.11612903225807"/>
    <m/>
    <m/>
    <m/>
    <n v="16.896799999999999"/>
    <m/>
    <m/>
    <m/>
    <m/>
    <n v="244.11612903225807"/>
    <n v="261.01290322580644"/>
    <s v="CED v 1.03"/>
    <m/>
    <n v="15.848387096774195"/>
    <m/>
    <m/>
    <m/>
    <n v="0.95483499999999999"/>
    <m/>
    <m/>
    <m/>
    <m/>
    <n v="15.848387096774195"/>
    <n v="16.803225806451611"/>
  </r>
  <r>
    <x v="12"/>
    <x v="111"/>
    <s v="Fresh (Live)"/>
    <s v="American Lobster, caught in Lobster Fishing Area 34, delivered to Las Vegas, NV"/>
    <s v="No"/>
    <s v="Nova Scotia, Canada"/>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the 2005–2006 fishing season and delivered to Las Vegas,Nevada"/>
    <s v="/1000/.31  ~31% meat yield, from DOI:10.1021/jf900237g"/>
    <n v="191.96774193548387"/>
    <n v="219.17096193548389"/>
    <n v="13.445161290322581"/>
    <s v=""/>
    <n v="191.96774193548387"/>
    <n v="27.203220000000002"/>
    <m/>
    <m/>
    <n v="224.858"/>
    <m/>
    <m/>
    <m/>
    <m/>
    <n v="191.96774193548387"/>
    <n v="444.03225806451616"/>
    <s v="CED v 1.03"/>
    <m/>
    <n v="13.445161290322581"/>
    <m/>
    <m/>
    <m/>
    <n v="16.22258064516129"/>
    <m/>
    <m/>
    <m/>
    <m/>
    <n v="13.445161290322581"/>
    <n v="29.667741935483868"/>
  </r>
  <r>
    <x v="12"/>
    <x v="104"/>
    <s v="herring, canned "/>
    <s v="herring,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1 kg fish fillet sold in Swiss supermarket"/>
    <m/>
    <s v=""/>
    <s v=""/>
    <n v="0.55000000000000004"/>
    <n v="1.2"/>
    <m/>
    <m/>
    <m/>
    <m/>
    <m/>
    <m/>
    <m/>
    <m/>
    <m/>
    <m/>
    <m/>
    <m/>
    <m/>
    <n v="0.55000000000000004"/>
    <n v="0.2"/>
    <n v="0.45"/>
    <n v="2.3199999999999998"/>
    <n v="0.22"/>
    <m/>
    <m/>
    <m/>
    <m/>
    <n v="0.55000000000000004"/>
    <n v="3.7"/>
  </r>
  <r>
    <x v="12"/>
    <x v="104"/>
    <s v="canned "/>
    <s v="mackerel,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2 kg fish fillet sold in Swiss supermarket"/>
    <m/>
    <s v=""/>
    <s v=""/>
    <n v="0.45"/>
    <n v="1.1200000000000001"/>
    <m/>
    <m/>
    <m/>
    <m/>
    <m/>
    <m/>
    <m/>
    <m/>
    <m/>
    <m/>
    <m/>
    <m/>
    <m/>
    <n v="0.45"/>
    <n v="0.22"/>
    <n v="0.45"/>
    <n v="2.4"/>
    <n v="0.22"/>
    <m/>
    <m/>
    <m/>
    <m/>
    <n v="0.45"/>
    <n v="3.7"/>
  </r>
  <r>
    <x v="12"/>
    <x v="104"/>
    <s v="Frozen"/>
    <s v="Atlantic Cod"/>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3 kg fish fillet sold in Swiss supermarket"/>
    <m/>
    <s v=""/>
    <s v=""/>
    <n v="3.73"/>
    <n v="4.4000000000000004"/>
    <m/>
    <m/>
    <m/>
    <m/>
    <m/>
    <m/>
    <m/>
    <m/>
    <m/>
    <m/>
    <m/>
    <m/>
    <m/>
    <n v="3.73"/>
    <n v="0.22"/>
    <n v="0.45"/>
    <n v="0.12"/>
    <n v="0.68"/>
    <m/>
    <m/>
    <m/>
    <m/>
    <n v="3.73"/>
    <n v="5.3"/>
  </r>
  <r>
    <x v="12"/>
    <x v="102"/>
    <s v="Cured or Pickled"/>
    <s v="Salmon, filleted, brined &amp; smoked"/>
    <s v="No"/>
    <s v="Norway"/>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farmed in Norway, processed &amp; packaged, transported by truck to Switzerland"/>
    <s v="No"/>
    <s v="Yes"/>
    <s v="4 kg fish fillet sold in Swiss supermarket"/>
    <m/>
    <s v=""/>
    <s v=""/>
    <n v="4.5"/>
    <n v="5.0600000000000005"/>
    <m/>
    <m/>
    <m/>
    <m/>
    <m/>
    <m/>
    <m/>
    <m/>
    <m/>
    <m/>
    <m/>
    <m/>
    <m/>
    <n v="4.5"/>
    <n v="0.48"/>
    <n v="0.08"/>
    <n v="0.45"/>
    <n v="1.0900000000000001"/>
    <m/>
    <m/>
    <m/>
    <m/>
    <n v="4.5"/>
    <n v="6.6"/>
  </r>
  <r>
    <x v="12"/>
    <x v="102"/>
    <s v="Fresh (Raw)"/>
    <s v="Farmed Trout, flow-through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65 assuming 65% fillet yield, ave of high and low FY from http://onlinelibrary.wiley.com/doi/10.1111/j.1745-4573.2010.00214.x/abstract"/>
    <n v="120.35230769230769"/>
    <s v=""/>
    <n v="4.2353846153846151"/>
    <s v=""/>
    <n v="120.35230769230769"/>
    <m/>
    <m/>
    <m/>
    <m/>
    <m/>
    <m/>
    <m/>
    <n v="7.4215384615384608"/>
    <n v="120.35230769230769"/>
    <m/>
    <m/>
    <s v="Only Ag Prod and Capital Goods Reported, not Full LC"/>
    <n v="4.2353846153846151"/>
    <m/>
    <m/>
    <m/>
    <m/>
    <m/>
    <m/>
    <m/>
    <n v="0.37538461538461537"/>
    <n v="4.2353846153846151"/>
    <m/>
  </r>
  <r>
    <x v="12"/>
    <x v="104"/>
    <s v="Fresh (Raw)"/>
    <s v="Farmed Sea Bass, marine-based cages"/>
    <s v="Yes"/>
    <s v="Gree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4 68% round to headed&amp;gutted, 65% headed&amp;gutted to skinless fillet, from http://www.chefs-resources.com/seafood/seafood-yields/"/>
    <n v="124.21818181818182"/>
    <s v=""/>
    <n v="8.1840909090909086"/>
    <s v=""/>
    <n v="124.21818181818182"/>
    <m/>
    <m/>
    <m/>
    <m/>
    <m/>
    <m/>
    <m/>
    <n v="12.520454545454546"/>
    <n v="124.21818181818182"/>
    <m/>
    <m/>
    <s v="Only Ag Prod and Capital Goods Reported, not Full LC"/>
    <n v="8.1840909090909086"/>
    <m/>
    <m/>
    <m/>
    <m/>
    <m/>
    <m/>
    <m/>
    <n v="0.7"/>
    <n v="8.1840909090909086"/>
    <m/>
  </r>
  <r>
    <x v="12"/>
    <x v="104"/>
    <s v="Fresh (Raw)"/>
    <s v="Farmed Turbot, land-based re-circulating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8  from http://www.brownetrading.com/species-spotlight/farm-raised-turbot-from-spain/"/>
    <n v="606.2208333333333"/>
    <s v=""/>
    <n v="12.535416666666668"/>
    <s v=""/>
    <n v="606.2208333333333"/>
    <m/>
    <m/>
    <m/>
    <m/>
    <m/>
    <m/>
    <m/>
    <n v="15.041666666666666"/>
    <n v="606.2208333333333"/>
    <m/>
    <m/>
    <s v="Only Ag Prod and Capital Goods Reported, not Full LC"/>
    <n v="12.535416666666668"/>
    <m/>
    <m/>
    <m/>
    <m/>
    <m/>
    <m/>
    <m/>
    <n v="0.82291666666666674"/>
    <n v="12.535416666666668"/>
    <m/>
  </r>
  <r>
    <x v="12"/>
    <x v="102"/>
    <s v="Fresh (Raw)"/>
    <s v="Salmon, Farmed"/>
    <s v="Yes"/>
    <s v="Norway"/>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36.388888888888886"/>
    <s v=""/>
    <n v="2.4861111111111112"/>
    <s v=""/>
    <m/>
    <m/>
    <m/>
    <m/>
    <m/>
    <m/>
    <m/>
    <m/>
    <m/>
    <n v="36.388888888888886"/>
    <m/>
    <m/>
    <m/>
    <m/>
    <m/>
    <m/>
    <m/>
    <m/>
    <m/>
    <m/>
    <m/>
    <m/>
    <n v="2.4861111111111112"/>
    <m/>
  </r>
  <r>
    <x v="12"/>
    <x v="102"/>
    <s v="Fresh (Raw)"/>
    <s v="Salmon, Farmed"/>
    <s v="Yes"/>
    <s v="UK"/>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66.527777777777771"/>
    <s v=""/>
    <n v="4.541666666666667"/>
    <s v=""/>
    <m/>
    <m/>
    <m/>
    <m/>
    <m/>
    <m/>
    <m/>
    <m/>
    <m/>
    <n v="66.527777777777771"/>
    <m/>
    <m/>
    <m/>
    <m/>
    <m/>
    <m/>
    <m/>
    <m/>
    <m/>
    <m/>
    <m/>
    <m/>
    <n v="4.541666666666667"/>
    <m/>
  </r>
  <r>
    <x v="12"/>
    <x v="102"/>
    <s v="Fresh (Raw)"/>
    <s v="Salmon, Farmed"/>
    <s v="Yes"/>
    <s v="Chile"/>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6.111111111111114"/>
    <s v=""/>
    <n v="3.1944444444444442"/>
    <s v=""/>
    <m/>
    <m/>
    <m/>
    <m/>
    <m/>
    <m/>
    <m/>
    <m/>
    <m/>
    <n v="46.111111111111114"/>
    <m/>
    <m/>
    <m/>
    <m/>
    <m/>
    <m/>
    <m/>
    <m/>
    <m/>
    <m/>
    <m/>
    <m/>
    <n v="3.1944444444444442"/>
    <m/>
  </r>
  <r>
    <x v="12"/>
    <x v="102"/>
    <s v="Fresh (Raw)"/>
    <s v="Salmon, Farmed"/>
    <s v="Yes"/>
    <s v="British Columbia, Canada"/>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3.333333333333336"/>
    <s v=""/>
    <n v="3.291666666666667"/>
    <s v=""/>
    <m/>
    <m/>
    <m/>
    <m/>
    <m/>
    <m/>
    <m/>
    <m/>
    <m/>
    <n v="43.333333333333336"/>
    <m/>
    <m/>
    <m/>
    <m/>
    <m/>
    <m/>
    <m/>
    <m/>
    <m/>
    <m/>
    <m/>
    <m/>
    <n v="3.291666666666667"/>
    <m/>
  </r>
  <r>
    <x v="12"/>
    <x v="102"/>
    <s v="Fresh (Raw)"/>
    <s v="Salmon, Farmed, conventional marine net-pen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37.361111111111107"/>
    <s v=""/>
    <n v="2.8791666666666669"/>
    <s v=""/>
    <m/>
    <m/>
    <m/>
    <m/>
    <m/>
    <m/>
    <m/>
    <m/>
    <m/>
    <n v="37.361111111111107"/>
    <m/>
    <m/>
    <m/>
    <m/>
    <m/>
    <m/>
    <m/>
    <m/>
    <m/>
    <m/>
    <m/>
    <m/>
    <n v="2.8791666666666669"/>
    <m/>
  </r>
  <r>
    <x v="12"/>
    <x v="102"/>
    <s v="Fresh (Raw)"/>
    <s v="Salmon, Farmed, marine floating bag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5.55555555555555"/>
    <s v=""/>
    <n v="2.6388888888888888"/>
    <s v=""/>
    <m/>
    <m/>
    <m/>
    <m/>
    <m/>
    <m/>
    <m/>
    <m/>
    <m/>
    <n v="45.55555555555555"/>
    <m/>
    <m/>
    <m/>
    <m/>
    <m/>
    <m/>
    <m/>
    <m/>
    <m/>
    <m/>
    <m/>
    <m/>
    <n v="2.6388888888888888"/>
    <m/>
  </r>
  <r>
    <x v="12"/>
    <x v="102"/>
    <s v="Fresh (Raw)"/>
    <s v="Salmon, Farmed, land-based saltwater flow-through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135.97222222222223"/>
    <s v=""/>
    <n v="3.8472222222222223"/>
    <s v=""/>
    <m/>
    <m/>
    <m/>
    <m/>
    <m/>
    <m/>
    <m/>
    <m/>
    <m/>
    <n v="135.97222222222223"/>
    <m/>
    <m/>
    <m/>
    <m/>
    <m/>
    <m/>
    <m/>
    <m/>
    <m/>
    <m/>
    <m/>
    <m/>
    <n v="3.8472222222222223"/>
    <m/>
  </r>
  <r>
    <x v="12"/>
    <x v="102"/>
    <s v="Fresh (Raw)"/>
    <s v="Farm Raised Arctic Char, land-based freshwater recirculating system"/>
    <s v="Yes"/>
    <s v="Nova Scot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90.27777777777777"/>
    <s v=""/>
    <n v="39.166666666666664"/>
    <s v=""/>
    <m/>
    <m/>
    <m/>
    <m/>
    <m/>
    <m/>
    <m/>
    <m/>
    <m/>
    <n v="490.27777777777777"/>
    <m/>
    <m/>
    <m/>
    <m/>
    <m/>
    <m/>
    <m/>
    <m/>
    <m/>
    <m/>
    <m/>
    <m/>
    <n v="39.166666666666664"/>
    <m/>
  </r>
  <r>
    <x v="12"/>
    <x v="112"/>
    <s v="Frozen"/>
    <s v="Tilapia, lake-cultured in Indonesia, delivered to Rotterdam"/>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Chicago"/>
    <s v="/1000"/>
    <n v="22.35"/>
    <n v="26.700000000000003"/>
    <n v="1.5708"/>
    <n v="1.9788000000000001"/>
    <n v="22.35"/>
    <m/>
    <n v="4.3499999999999996"/>
    <n v="0"/>
    <n v="3.5329999999999999"/>
    <m/>
    <m/>
    <m/>
    <m/>
    <n v="22.35"/>
    <n v="30.3"/>
    <m/>
    <m/>
    <n v="1.5708"/>
    <m/>
    <n v="0.40800000000000003"/>
    <n v="6.1199999999999997E-2"/>
    <n v="0.25190000000000001"/>
    <m/>
    <m/>
    <m/>
    <m/>
    <n v="1.5708"/>
    <n v="2.29"/>
  </r>
  <r>
    <x v="12"/>
    <x v="112"/>
    <s v="Frozen"/>
    <s v="Tilapia, lake-cultured in Indonesia, delivered to Chicago"/>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Rotterdam"/>
    <s v="/1000"/>
    <n v="22.35"/>
    <n v="23.878999999999998"/>
    <n v="1.5708"/>
    <n v="1.9788000000000001"/>
    <n v="22.15"/>
    <m/>
    <n v="1.7290000000000001"/>
    <n v="2.1210000000000004"/>
    <n v="3.2230000000000003"/>
    <m/>
    <m/>
    <m/>
    <m/>
    <n v="22.35"/>
    <n v="29.3"/>
    <m/>
    <m/>
    <n v="1.5708"/>
    <m/>
    <n v="0.40800000000000003"/>
    <n v="6.1199999999999997E-2"/>
    <n v="0.17982000000000004"/>
    <m/>
    <m/>
    <m/>
    <m/>
    <n v="1.5708"/>
    <n v="2.2200000000000002"/>
  </r>
  <r>
    <x v="10"/>
    <x v="56"/>
    <s v="Fresh or Not Specified"/>
    <s v="Svenska Lantchips Potato Chips (&quot;Crisps&quot;)"/>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200g package of crisps at retailer"/>
    <s v="Reported Value x 5"/>
    <n v="5.5"/>
    <n v="19.75"/>
    <n v="1"/>
    <n v="1.9849999999999999"/>
    <n v="5.5"/>
    <n v="2.25"/>
    <n v="11.999999999999998"/>
    <n v="2.9999999999999996"/>
    <m/>
    <m/>
    <m/>
    <m/>
    <m/>
    <n v="5.5"/>
    <n v="22.75"/>
    <m/>
    <s v="only including non-renewable energy use"/>
    <n v="1"/>
    <n v="0.13499999999999998"/>
    <n v="0.85"/>
    <n v="0.17"/>
    <m/>
    <m/>
    <m/>
    <m/>
    <m/>
    <n v="1"/>
    <n v="2.1549999999999998"/>
  </r>
  <r>
    <x v="10"/>
    <x v="113"/>
    <s v="Fresh or Not Specified"/>
    <s v="Foam Sweet Candy, Ahlgren’s Cars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125g of packaged sweets at retailer"/>
    <s v="Reported Value x 8"/>
    <s v=""/>
    <s v=""/>
    <s v=""/>
    <s v=""/>
    <m/>
    <m/>
    <m/>
    <m/>
    <m/>
    <m/>
    <m/>
    <m/>
    <m/>
    <m/>
    <n v="58.4"/>
    <m/>
    <m/>
    <m/>
    <m/>
    <m/>
    <m/>
    <m/>
    <m/>
    <m/>
    <m/>
    <m/>
    <m/>
    <n v="3.84"/>
  </r>
  <r>
    <x v="10"/>
    <x v="113"/>
    <s v="Fresh or Not Specified"/>
    <s v="Foam Sweet Candy, Stora Zoo jelly sweet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Factory Gate"/>
    <s v="No"/>
    <s v="No"/>
    <s v="2kg of jelly sweets ready for transport to retailer"/>
    <s v="Reported Value / 2"/>
    <s v=""/>
    <s v=""/>
    <s v=""/>
    <s v=""/>
    <m/>
    <m/>
    <m/>
    <m/>
    <m/>
    <m/>
    <m/>
    <m/>
    <m/>
    <m/>
    <n v="34"/>
    <m/>
    <m/>
    <m/>
    <m/>
    <m/>
    <m/>
    <m/>
    <m/>
    <m/>
    <m/>
    <m/>
    <m/>
    <n v="2.4"/>
  </r>
  <r>
    <x v="7"/>
    <x v="110"/>
    <s v="Fresh or Not Specified"/>
    <s v="Nygårda cola soft drink"/>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33cl bottle of cola transported to local retailer"/>
    <s v="Convert to mL, divide by density ((RV x 1000g/kg) / (1.042g/mL x 10ml/cl))"/>
    <s v=""/>
    <s v=""/>
    <s v=""/>
    <s v=""/>
    <m/>
    <m/>
    <m/>
    <m/>
    <m/>
    <m/>
    <m/>
    <m/>
    <m/>
    <m/>
    <n v="1.7158145756994125"/>
    <m/>
    <m/>
    <m/>
    <m/>
    <m/>
    <m/>
    <m/>
    <m/>
    <m/>
    <m/>
    <m/>
    <m/>
    <n v="0.11632641191182458"/>
  </r>
  <r>
    <x v="10"/>
    <x v="114"/>
    <s v="Fresh or Not Specified"/>
    <s v="Cocoa Beans, Cocoa Monoculture"/>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0599999999999996E-2"/>
    <s v=""/>
    <m/>
    <m/>
    <m/>
    <m/>
    <m/>
    <m/>
    <m/>
    <m/>
    <m/>
    <m/>
    <m/>
    <m/>
    <m/>
    <m/>
    <m/>
    <m/>
    <m/>
    <m/>
    <m/>
    <m/>
    <m/>
    <m/>
    <n v="7.0599999999999996E-2"/>
    <m/>
  </r>
  <r>
    <x v="10"/>
    <x v="114"/>
    <s v="Fresh or Not Specified"/>
    <s v="Cocoa Beans, Cocoa-Rubber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6499999999999999E-2"/>
    <s v=""/>
    <m/>
    <m/>
    <m/>
    <m/>
    <m/>
    <m/>
    <m/>
    <m/>
    <m/>
    <m/>
    <m/>
    <m/>
    <m/>
    <m/>
    <m/>
    <m/>
    <m/>
    <m/>
    <m/>
    <m/>
    <m/>
    <m/>
    <n v="7.6499999999999999E-2"/>
    <m/>
  </r>
  <r>
    <x v="10"/>
    <x v="114"/>
    <s v="Fresh or Not Specified"/>
    <s v="Cocoa Beans, Cocoa-Coconut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3.6700000000000003E-2"/>
    <s v=""/>
    <m/>
    <m/>
    <m/>
    <m/>
    <m/>
    <m/>
    <m/>
    <m/>
    <m/>
    <m/>
    <m/>
    <m/>
    <m/>
    <m/>
    <m/>
    <m/>
    <m/>
    <m/>
    <m/>
    <m/>
    <m/>
    <m/>
    <n v="3.6700000000000003E-2"/>
    <m/>
  </r>
  <r>
    <x v="12"/>
    <x v="104"/>
    <s v="Frozen"/>
    <s v="Atlantic Cod, fillet, delivered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83"/>
    <n v="0.56799999999999995"/>
    <s v=""/>
    <n v="8.25"/>
    <m/>
    <n v="1.58"/>
    <n v="1.1599999999999999"/>
    <n v="1.94"/>
    <m/>
    <m/>
    <m/>
    <m/>
    <n v="8.15"/>
    <n v="13"/>
    <s v="Ecoinvent CED"/>
    <m/>
    <n v="0.56799999999999995"/>
    <m/>
    <m/>
    <n v="2.7E-2"/>
    <n v="0.11"/>
    <m/>
    <m/>
    <m/>
    <m/>
    <n v="0.56799999999999995"/>
    <n v="0.7"/>
  </r>
  <r>
    <x v="12"/>
    <x v="104"/>
    <s v="Fresh or Not Specified"/>
    <s v="Atlantic Cod, fillet, delivered by air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5"/>
    <n v="0.56799999999999995"/>
    <s v=""/>
    <n v="8.0500000000000007"/>
    <m/>
    <n v="1.45"/>
    <n v="1.05"/>
    <n v="31.51"/>
    <m/>
    <m/>
    <m/>
    <m/>
    <n v="8.15"/>
    <n v="42"/>
    <s v="Ecoinvent CED"/>
    <m/>
    <n v="0.56799999999999995"/>
    <m/>
    <m/>
    <n v="2.7E-2"/>
    <n v="1.992"/>
    <m/>
    <m/>
    <m/>
    <m/>
    <n v="0.56799999999999995"/>
    <n v="2.6"/>
  </r>
  <r>
    <x v="12"/>
    <x v="104"/>
    <s v="Frozen"/>
    <s v="Alaskan Pollock, fillet, trawler/mothership system, processing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7.64"/>
    <n v="11.27"/>
    <n v="0.5"/>
    <n v="0.76800000000000002"/>
    <n v="7.84"/>
    <n v="1.35"/>
    <n v="2.08"/>
    <n v="1.1000000000000001"/>
    <n v="4.0999999999999996"/>
    <m/>
    <m/>
    <m/>
    <m/>
    <n v="7.64"/>
    <n v="16.5"/>
    <s v="Ecoinvent CED"/>
    <m/>
    <n v="0.5"/>
    <n v="8.7999999999999995E-2"/>
    <n v="0.18"/>
    <n v="2.7E-2"/>
    <n v="0.27200000000000002"/>
    <m/>
    <m/>
    <m/>
    <m/>
    <n v="0.5"/>
    <n v="1.1000000000000001"/>
  </r>
  <r>
    <x v="12"/>
    <x v="104"/>
    <s v="Frozen"/>
    <s v="Alaskan Pollock, fillet, catcher/processor system"/>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5.46"/>
    <s v=""/>
    <n v="0.31"/>
    <s v=""/>
    <n v="5.16"/>
    <m/>
    <m/>
    <n v="0.8"/>
    <n v="3.7"/>
    <m/>
    <m/>
    <m/>
    <m/>
    <n v="5.46"/>
    <n v="9.6"/>
    <s v="Ecoinvent CED"/>
    <m/>
    <n v="0.31"/>
    <m/>
    <m/>
    <n v="2.7E-2"/>
    <n v="0.252"/>
    <m/>
    <m/>
    <m/>
    <m/>
    <n v="0.31"/>
    <n v="0.59"/>
  </r>
  <r>
    <x v="12"/>
    <x v="104"/>
    <s v="Frozen"/>
    <s v="Alaskan Salmon, fillet, processed in Alask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2799999999999994"/>
    <n v="0.182"/>
    <n v="0.28259999999999996"/>
    <n v="2.5299999999999998"/>
    <m/>
    <n v="1.75"/>
    <n v="1.1000000000000001"/>
    <n v="2.86"/>
    <m/>
    <m/>
    <m/>
    <m/>
    <n v="2.5299999999999998"/>
    <n v="8.1999999999999993"/>
    <s v="Ecoinvent CED"/>
    <m/>
    <n v="0.182"/>
    <m/>
    <n v="0.10059999999999999"/>
    <n v="2.7E-2"/>
    <n v="0.17499999999999999"/>
    <m/>
    <m/>
    <m/>
    <m/>
    <n v="0.182"/>
    <n v="0.48"/>
  </r>
  <r>
    <x v="12"/>
    <x v="104"/>
    <s v="Frozen"/>
    <s v="Alaskan Salmon, fillet, processed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66"/>
    <n v="0.182"/>
    <n v="0.374"/>
    <n v="2.5299999999999998"/>
    <m/>
    <n v="2.13"/>
    <n v="1.1000000000000001"/>
    <n v="5.18"/>
    <m/>
    <m/>
    <m/>
    <m/>
    <n v="2.5299999999999998"/>
    <n v="11"/>
    <s v="Ecoinvent CED"/>
    <m/>
    <n v="0.182"/>
    <m/>
    <n v="0.192"/>
    <n v="2.7E-2"/>
    <n v="0.318"/>
    <m/>
    <m/>
    <m/>
    <m/>
    <n v="0.182"/>
    <n v="0.72"/>
  </r>
  <r>
    <x v="12"/>
    <x v="111"/>
    <s v="Fresh (Raw)"/>
    <s v="Farmed shrimp, 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107.89473684210527"/>
    <s v=""/>
    <n v="9.2631578947368425"/>
    <s v=""/>
    <m/>
    <m/>
    <m/>
    <m/>
    <m/>
    <m/>
    <m/>
    <m/>
    <m/>
    <n v="107.89473684210527"/>
    <m/>
    <s v="Ecoinvent CED"/>
    <m/>
    <m/>
    <m/>
    <m/>
    <m/>
    <m/>
    <m/>
    <m/>
    <m/>
    <m/>
    <n v="9.2631578947368425"/>
    <m/>
  </r>
  <r>
    <x v="12"/>
    <x v="111"/>
    <s v="Fresh (Raw)"/>
    <s v="Farmed shrimp, semi-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60.000000000000007"/>
    <s v=""/>
    <n v="4.8245614035087723"/>
    <s v=""/>
    <m/>
    <m/>
    <m/>
    <m/>
    <m/>
    <m/>
    <m/>
    <m/>
    <m/>
    <n v="60.000000000000007"/>
    <m/>
    <s v="Ecoinvent CED"/>
    <m/>
    <m/>
    <m/>
    <m/>
    <m/>
    <m/>
    <m/>
    <m/>
    <m/>
    <m/>
    <n v="4.8245614035087723"/>
    <m/>
  </r>
  <r>
    <x v="12"/>
    <x v="104"/>
    <s v="Frozen"/>
    <s v="Atlantic Cod, Wetpack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retailer in Sweden"/>
    <s v="No"/>
    <s v="Yes"/>
    <s v="1 kg wetpack cod"/>
    <m/>
    <n v="20.100000000000001"/>
    <n v="22.540000000000003"/>
    <n v="1.43"/>
    <n v="1.49"/>
    <n v="20.100000000000001"/>
    <m/>
    <n v="2.44"/>
    <n v="2.4"/>
    <n v="7"/>
    <n v="7"/>
    <m/>
    <m/>
    <m/>
    <n v="20.100000000000001"/>
    <n v="39"/>
    <s v="Ecoinvent CED"/>
    <m/>
    <n v="1.43"/>
    <m/>
    <n v="0.06"/>
    <n v="0.12"/>
    <n v="0.53"/>
    <m/>
    <m/>
    <m/>
    <m/>
    <n v="1.43"/>
    <n v="2.2000000000000002"/>
  </r>
  <r>
    <x v="12"/>
    <x v="104"/>
    <s v="Frozen"/>
    <s v="Atlantic Cod, Fishburgers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institutional user in Sweden"/>
    <s v="No"/>
    <s v="Yes"/>
    <s v="1 kg cod fishburger"/>
    <m/>
    <s v=""/>
    <s v=""/>
    <n v="0.98699999999999999"/>
    <n v="1.347"/>
    <m/>
    <m/>
    <m/>
    <m/>
    <m/>
    <m/>
    <m/>
    <m/>
    <m/>
    <m/>
    <n v="27"/>
    <s v="Ecoinvent CED"/>
    <m/>
    <n v="0.98699999999999999"/>
    <m/>
    <n v="0.36"/>
    <n v="0.12"/>
    <n v="0.38"/>
    <m/>
    <m/>
    <m/>
    <m/>
    <n v="0.98699999999999999"/>
    <n v="1.8"/>
  </r>
  <r>
    <x v="12"/>
    <x v="104"/>
    <s v="Fresh or Not Specified"/>
    <s v="Atlantic Cod, Loin - autoline fisheries, delivered to UK"/>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distribution center in UK"/>
    <s v="No"/>
    <s v="Yes"/>
    <s v="1 kg processed cod loin"/>
    <m/>
    <s v=""/>
    <s v=""/>
    <n v="1.43"/>
    <n v="4.03"/>
    <m/>
    <m/>
    <m/>
    <m/>
    <m/>
    <m/>
    <m/>
    <m/>
    <m/>
    <m/>
    <n v="68"/>
    <s v="Ecoinvent CED"/>
    <m/>
    <n v="1.43"/>
    <n v="1.56"/>
    <n v="1.04"/>
    <n v="0.19"/>
    <n v="0.08"/>
    <m/>
    <m/>
    <m/>
    <m/>
    <n v="1.43"/>
    <n v="4.4000000000000004"/>
  </r>
  <r>
    <x v="12"/>
    <x v="104"/>
    <s v="Fresh (Raw)"/>
    <s v="Farmed Sea Bass, traditional rearing raceways "/>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397.72727272727275"/>
    <s v=""/>
    <n v="25.197727272727271"/>
    <s v=""/>
    <m/>
    <m/>
    <m/>
    <m/>
    <m/>
    <m/>
    <m/>
    <m/>
    <m/>
    <n v="397.72727272727275"/>
    <m/>
    <m/>
    <m/>
    <m/>
    <m/>
    <m/>
    <m/>
    <m/>
    <m/>
    <m/>
    <m/>
    <m/>
    <n v="25.197727272727271"/>
    <m/>
  </r>
  <r>
    <x v="12"/>
    <x v="104"/>
    <s v="Fresh (Raw)"/>
    <s v="Farmed Sea Bass, cascade rearing raceways"/>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636.36363636363637"/>
    <s v=""/>
    <n v="39.656818181818188"/>
    <s v=""/>
    <m/>
    <m/>
    <m/>
    <m/>
    <m/>
    <m/>
    <m/>
    <m/>
    <m/>
    <n v="636.36363636363637"/>
    <m/>
    <m/>
    <m/>
    <m/>
    <m/>
    <m/>
    <m/>
    <m/>
    <m/>
    <m/>
    <m/>
    <m/>
    <n v="39.656818181818188"/>
    <m/>
  </r>
  <r>
    <x v="11"/>
    <x v="115"/>
    <s v="Fresh or Not Specified"/>
    <s v="Small farms &lt;0.5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2700000000000001"/>
    <s v=""/>
    <m/>
    <m/>
    <m/>
    <m/>
    <m/>
    <m/>
    <m/>
    <m/>
    <m/>
    <m/>
    <m/>
    <m/>
    <m/>
    <m/>
    <m/>
    <m/>
    <m/>
    <m/>
    <m/>
    <m/>
    <m/>
    <m/>
    <n v="0.32700000000000001"/>
    <m/>
  </r>
  <r>
    <x v="11"/>
    <x v="115"/>
    <s v="Fresh or Not Specified"/>
    <s v="Medium farms 0.5-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099999999999999"/>
    <s v=""/>
    <m/>
    <m/>
    <m/>
    <m/>
    <m/>
    <m/>
    <m/>
    <m/>
    <m/>
    <m/>
    <m/>
    <m/>
    <m/>
    <m/>
    <m/>
    <m/>
    <m/>
    <m/>
    <m/>
    <m/>
    <m/>
    <m/>
    <n v="0.30099999999999999"/>
    <m/>
  </r>
  <r>
    <x v="11"/>
    <x v="115"/>
    <s v="Fresh or Not Specified"/>
    <s v="Large farms &gt;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199999999999999"/>
    <s v=""/>
    <m/>
    <m/>
    <m/>
    <m/>
    <m/>
    <m/>
    <m/>
    <m/>
    <m/>
    <m/>
    <m/>
    <m/>
    <m/>
    <m/>
    <m/>
    <m/>
    <m/>
    <m/>
    <m/>
    <m/>
    <m/>
    <m/>
    <n v="0.30199999999999999"/>
    <m/>
  </r>
  <r>
    <x v="11"/>
    <x v="116"/>
    <s v="Fresh or Not Specified"/>
    <s v="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1900000000000004"/>
    <s v=""/>
    <m/>
    <m/>
    <m/>
    <m/>
    <m/>
    <m/>
    <m/>
    <m/>
    <m/>
    <m/>
    <m/>
    <m/>
    <m/>
    <m/>
    <m/>
    <m/>
    <m/>
    <m/>
    <m/>
    <m/>
    <m/>
    <m/>
    <n v="4.1900000000000004"/>
    <m/>
  </r>
  <r>
    <x v="11"/>
    <x v="116"/>
    <s v="Fresh or Not Specified"/>
    <s v="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8.94"/>
    <s v=""/>
    <m/>
    <m/>
    <m/>
    <m/>
    <m/>
    <m/>
    <m/>
    <m/>
    <m/>
    <m/>
    <m/>
    <m/>
    <m/>
    <m/>
    <m/>
    <m/>
    <m/>
    <m/>
    <m/>
    <m/>
    <m/>
    <m/>
    <n v="8.94"/>
    <m/>
  </r>
  <r>
    <x v="4"/>
    <x v="117"/>
    <s v="Fresh or Not Specified"/>
    <s v="Cashew Apples, 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2.09"/>
    <s v=""/>
    <m/>
    <m/>
    <m/>
    <m/>
    <m/>
    <m/>
    <m/>
    <m/>
    <m/>
    <m/>
    <m/>
    <m/>
    <m/>
    <m/>
    <m/>
    <m/>
    <m/>
    <m/>
    <m/>
    <m/>
    <m/>
    <m/>
    <n v="2.09"/>
    <m/>
  </r>
  <r>
    <x v="4"/>
    <x v="117"/>
    <s v="Fresh or Not Specified"/>
    <s v="Cashew Apples, 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47"/>
    <s v=""/>
    <m/>
    <m/>
    <m/>
    <m/>
    <m/>
    <m/>
    <m/>
    <m/>
    <m/>
    <m/>
    <m/>
    <m/>
    <m/>
    <m/>
    <m/>
    <m/>
    <m/>
    <m/>
    <m/>
    <m/>
    <m/>
    <m/>
    <n v="4.47"/>
    <m/>
  </r>
  <r>
    <x v="11"/>
    <x v="82"/>
    <s v="Fresh or Not Specified"/>
    <s v="Almonds"/>
    <s v="No"/>
    <s v="USA (california)"/>
    <n v="2015"/>
    <s v="Alissa Kendall (a); Elias Marvinney (a); Sonja Brodt (a); and Weiyuan Zhu (a);"/>
    <s v="(a) Department of Civil and Environmental Engineering, University of California–Davis, One Shields Avenue, Davis, CA 95618;"/>
    <s v="Peer Reviewed Journal"/>
    <s v="Kendall, A., Marvinney, E., Brodt, S. B. and Zhu, W., Life Cycle-based Assessment of Energy Use and Greenhouse Gas Emissions in Almond Production, Part I: Analytical Framework and Baseline Results. Journal of Industrial Ecology 2015, 19 (6), 1008-1018."/>
    <s v="Yes"/>
    <s v="No"/>
    <s v="Yes"/>
    <s v="Yes"/>
    <s v="No"/>
    <s v="No"/>
    <s v="No"/>
    <s v="No"/>
    <s v="No"/>
    <s v="No"/>
    <s v="No"/>
    <s v="No"/>
    <s v="Use of co-products for animal feed/biomass fuel/mulching"/>
    <s v="Economic allocation values. Hulling and Shelling included in farm procesing"/>
    <s v="No"/>
    <s v="Yes"/>
    <s v="1 kg almond kernel"/>
    <m/>
    <n v="24"/>
    <n v="29"/>
    <n v="0.79625000000000001"/>
    <n v="0.91"/>
    <n v="24.442857142857143"/>
    <m/>
    <n v="4.5571428571428569"/>
    <m/>
    <m/>
    <m/>
    <m/>
    <m/>
    <m/>
    <n v="24"/>
    <n v="29"/>
    <m/>
    <m/>
    <n v="0.79625000000000001"/>
    <m/>
    <n v="0.11375000000000002"/>
    <m/>
    <m/>
    <m/>
    <m/>
    <m/>
    <m/>
    <n v="0.79625000000000001"/>
    <n v="0.91"/>
  </r>
  <r>
    <x v="10"/>
    <x v="114"/>
    <s v="Fresh or Not Specified"/>
    <s v="Mil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3.6"/>
  </r>
  <r>
    <x v="10"/>
    <x v="114"/>
    <s v="Fresh or Not Specified"/>
    <s v="Dar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1"/>
  </r>
  <r>
    <x v="10"/>
    <x v="114"/>
    <s v="Fresh or Not Specified"/>
    <s v="White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4.0999999999999996"/>
  </r>
  <r>
    <x v="10"/>
    <x v="114"/>
    <s v="Fresh or Not Specified"/>
    <s v="Chocolate with Saltunas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5"/>
  </r>
  <r>
    <x v="10"/>
    <x v="118"/>
    <s v="Fresh or Not Specified"/>
    <s v="Corn Chips"/>
    <s v="No"/>
    <s v="Australia"/>
    <n v="2006"/>
    <s v="Tim Grant (1) (2); Tom Beer (2)"/>
    <s v="(1) RMIT Centre for Design; (2) CSIRO Marine and Atmospheric Research"/>
    <s v="Conference Proceedings"/>
    <s v="Grant, T. and Beer, T., Life Cycle Assessment of Greenhouse Gas Emissions from Irrigated Maize. 5th Australian Confernce on Life Cycle Assessment 2006, 22-24."/>
    <s v="Yes"/>
    <s v="No"/>
    <s v="Yes"/>
    <s v="Yes"/>
    <s v="Yes"/>
    <s v="Yes"/>
    <s v="No"/>
    <s v="No"/>
    <s v="No"/>
    <s v="No"/>
    <s v="No"/>
    <s v="No"/>
    <m/>
    <s v="Cradle to Grave"/>
    <s v="No"/>
    <s v="No"/>
    <s v="400g packet of corn chips"/>
    <s v="Reported Value x 2.5"/>
    <s v=""/>
    <s v=""/>
    <s v=""/>
    <s v=""/>
    <m/>
    <m/>
    <m/>
    <m/>
    <m/>
    <m/>
    <m/>
    <m/>
    <m/>
    <m/>
    <m/>
    <m/>
    <m/>
    <m/>
    <m/>
    <m/>
    <m/>
    <m/>
    <m/>
    <m/>
    <m/>
    <m/>
    <m/>
    <n v="1.325"/>
  </r>
  <r>
    <x v="10"/>
    <x v="119"/>
    <s v="Fresh or Not Specified"/>
    <s v="Traditional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n v="22.9"/>
    <s v=""/>
    <s v=""/>
    <s v=""/>
    <m/>
    <m/>
    <m/>
    <m/>
    <m/>
    <m/>
    <m/>
    <m/>
    <m/>
    <n v="22.9"/>
    <n v="36.700000000000003"/>
    <m/>
    <m/>
    <m/>
    <m/>
    <m/>
    <m/>
    <m/>
    <m/>
    <m/>
    <m/>
    <m/>
    <m/>
    <n v="2.4900000000000002"/>
  </r>
  <r>
    <x v="10"/>
    <x v="119"/>
    <s v="Fresh or Not Specified"/>
    <s v="Technified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s v=""/>
    <s v=""/>
    <s v=""/>
    <s v=""/>
    <m/>
    <m/>
    <m/>
    <m/>
    <m/>
    <m/>
    <m/>
    <m/>
    <m/>
    <m/>
    <n v="40.700000000000003"/>
    <m/>
    <m/>
    <m/>
    <m/>
    <m/>
    <m/>
    <m/>
    <m/>
    <m/>
    <m/>
    <m/>
    <m/>
    <n v="2.82"/>
  </r>
  <r>
    <x v="5"/>
    <x v="120"/>
    <s v="Fresh or Not Specified"/>
    <s v="Breakfast Cereal (minus consumption)"/>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No"/>
    <s v="No"/>
    <s v="No"/>
    <s v="No"/>
    <s v="No"/>
    <s v="No"/>
    <m/>
    <s v="Cradle to Retail"/>
    <s v="Yes"/>
    <s v="No"/>
    <s v="1kg cereal"/>
    <s v="N/A"/>
    <s v=""/>
    <s v=""/>
    <s v=""/>
    <s v=""/>
    <m/>
    <m/>
    <m/>
    <m/>
    <m/>
    <m/>
    <m/>
    <m/>
    <m/>
    <m/>
    <n v="32.39"/>
    <s v="CML 2001, Updated April 2013"/>
    <m/>
    <m/>
    <m/>
    <m/>
    <m/>
    <m/>
    <m/>
    <m/>
    <m/>
    <m/>
    <m/>
    <n v="2.64"/>
  </r>
  <r>
    <x v="5"/>
    <x v="120"/>
    <s v="Fresh or Not Specified"/>
    <s v="Breakfast Cereal (includes consumption with milk)"/>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Yes"/>
    <s v="Yes"/>
    <s v="No"/>
    <s v="No"/>
    <s v="Yes"/>
    <s v="No"/>
    <m/>
    <s v="Cradle to Grave"/>
    <s v="Yes"/>
    <s v="No"/>
    <s v="1kg cereal"/>
    <s v="N/A"/>
    <s v=""/>
    <s v=""/>
    <s v=""/>
    <s v=""/>
    <m/>
    <m/>
    <m/>
    <m/>
    <m/>
    <m/>
    <m/>
    <m/>
    <m/>
    <m/>
    <n v="77.489999999999995"/>
    <s v="CML 2001, Updated April 2013"/>
    <m/>
    <m/>
    <m/>
    <m/>
    <m/>
    <m/>
    <m/>
    <m/>
    <m/>
    <m/>
    <m/>
    <n v="8.84"/>
  </r>
  <r>
    <x v="6"/>
    <x v="38"/>
    <s v="Fresh or Not Specified"/>
    <s v="Tofu"/>
    <s v="No"/>
    <s v="Indonesia"/>
    <n v="2014"/>
    <s v="Sidharta Sahirman Ardiansyah"/>
    <s v="Universitas Jenderal Soedirman, Purwokerto, Indonesia"/>
    <s v="Conference Proceedings"/>
    <s v="Ardiansyah, S. S., Assessment of Tofu Carbon Footprint in Banyumas, Indonesia - Towards 'Greener' Tofu. Proceeding of International Conference On Research, Implementation And Education Of Mathematics And Sciences 2014, Yogyakarta State University, 18-20 May 2014 S-97 - S-103."/>
    <s v="Yes"/>
    <s v="No"/>
    <s v="Yes"/>
    <s v="Yes"/>
    <s v="No"/>
    <s v="No"/>
    <s v="No"/>
    <s v="No"/>
    <s v="No"/>
    <s v="No"/>
    <s v="No"/>
    <s v="No"/>
    <m/>
    <s v="Cradle to Processing Gate"/>
    <s v="No"/>
    <s v="No"/>
    <s v="1kg tofu"/>
    <s v="N/A"/>
    <s v=""/>
    <s v=""/>
    <s v=""/>
    <s v=""/>
    <m/>
    <m/>
    <m/>
    <m/>
    <m/>
    <m/>
    <m/>
    <m/>
    <m/>
    <m/>
    <n v="11.44"/>
    <m/>
    <m/>
    <m/>
    <m/>
    <m/>
    <m/>
    <m/>
    <m/>
    <m/>
    <m/>
    <m/>
    <m/>
    <n v="1.6995199999999999"/>
  </r>
  <r>
    <x v="6"/>
    <x v="121"/>
    <s v="Fresh or Not Specified"/>
    <s v="Soy Burger"/>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50g soy burger"/>
    <s v="Reported Value x (20/3)"/>
    <s v=""/>
    <s v=""/>
    <s v=""/>
    <s v=""/>
    <m/>
    <m/>
    <m/>
    <m/>
    <m/>
    <m/>
    <m/>
    <m/>
    <m/>
    <m/>
    <m/>
    <m/>
    <m/>
    <m/>
    <m/>
    <m/>
    <m/>
    <m/>
    <m/>
    <m/>
    <m/>
    <m/>
    <m/>
    <m/>
  </r>
  <r>
    <x v="7"/>
    <x v="40"/>
    <s v="Fresh or Not Specified"/>
    <s v="Soy Milk"/>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 liter soy milk"/>
    <s v="Reported value / density of soy milk (1.08 kg/L)"/>
    <s v=""/>
    <s v=""/>
    <s v=""/>
    <s v=""/>
    <m/>
    <m/>
    <m/>
    <m/>
    <m/>
    <m/>
    <m/>
    <m/>
    <m/>
    <m/>
    <m/>
    <m/>
    <m/>
    <m/>
    <m/>
    <m/>
    <m/>
    <m/>
    <m/>
    <m/>
    <m/>
    <m/>
    <m/>
    <m/>
  </r>
  <r>
    <x v="5"/>
    <x v="67"/>
    <s v="Fresh or Not Specified"/>
    <s v="Crop Rotation, Wheat after Wheat"/>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0499999999999999"/>
    <s v=""/>
    <m/>
    <m/>
    <m/>
    <m/>
    <m/>
    <m/>
    <m/>
    <m/>
    <m/>
    <m/>
    <m/>
    <m/>
    <m/>
    <m/>
    <m/>
    <m/>
    <m/>
    <m/>
    <m/>
    <m/>
    <m/>
    <m/>
    <n v="0.20499999999999999"/>
    <m/>
  </r>
  <r>
    <x v="5"/>
    <x v="67"/>
    <s v="Fresh or Not Specified"/>
    <s v="Crop Rotation, Wheat after Canol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899999999999999"/>
    <s v=""/>
    <m/>
    <m/>
    <m/>
    <m/>
    <m/>
    <m/>
    <m/>
    <m/>
    <m/>
    <m/>
    <m/>
    <m/>
    <m/>
    <m/>
    <m/>
    <m/>
    <m/>
    <m/>
    <m/>
    <m/>
    <m/>
    <m/>
    <n v="0.17899999999999999"/>
    <m/>
  </r>
  <r>
    <x v="5"/>
    <x v="67"/>
    <s v="Fresh or Not Specified"/>
    <s v="Crop Rotation, Wheat after Chickpe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54"/>
    <s v=""/>
    <m/>
    <m/>
    <m/>
    <m/>
    <m/>
    <m/>
    <m/>
    <m/>
    <m/>
    <m/>
    <m/>
    <m/>
    <m/>
    <m/>
    <m/>
    <m/>
    <m/>
    <m/>
    <m/>
    <m/>
    <m/>
    <m/>
    <n v="0.154"/>
    <m/>
  </r>
  <r>
    <x v="5"/>
    <x v="67"/>
    <s v="Fresh or Not Specified"/>
    <s v="Crop Rotation, Wheat after Wheat"/>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404"/>
    <s v=""/>
    <m/>
    <m/>
    <m/>
    <m/>
    <m/>
    <m/>
    <m/>
    <m/>
    <m/>
    <m/>
    <m/>
    <m/>
    <m/>
    <m/>
    <m/>
    <m/>
    <m/>
    <m/>
    <m/>
    <m/>
    <m/>
    <m/>
    <n v="0.2404"/>
    <m/>
  </r>
  <r>
    <x v="5"/>
    <x v="67"/>
    <s v="Fresh or Not Specified"/>
    <s v="Crop Rotation, Wheat after Canola"/>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14"/>
    <s v=""/>
    <m/>
    <m/>
    <m/>
    <m/>
    <m/>
    <m/>
    <m/>
    <m/>
    <m/>
    <m/>
    <m/>
    <m/>
    <m/>
    <m/>
    <m/>
    <m/>
    <m/>
    <m/>
    <m/>
    <m/>
    <m/>
    <m/>
    <n v="0.214"/>
    <m/>
  </r>
  <r>
    <x v="5"/>
    <x v="67"/>
    <s v="Fresh or Not Specified"/>
    <s v="Crop Rotation, Wheat after Field Peas"/>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799999999999999"/>
    <s v=""/>
    <m/>
    <m/>
    <m/>
    <m/>
    <m/>
    <m/>
    <m/>
    <m/>
    <m/>
    <m/>
    <m/>
    <m/>
    <m/>
    <m/>
    <m/>
    <m/>
    <m/>
    <m/>
    <m/>
    <m/>
    <m/>
    <m/>
    <n v="0.17799999999999999"/>
    <m/>
  </r>
  <r>
    <x v="5"/>
    <x v="122"/>
    <s v="Fresh or Not Specified"/>
    <s v="Rice - Using measured field emissions and GWP_100"/>
    <s v="No"/>
    <s v="California"/>
    <n v="2014"/>
    <s v="Sonja Brodt (1); Alissa Kendall (2); Yaser Mohammadi (1)(3) Aslihan Arslan (1); Juhong Yuan (2); In-Sung Lee (2); Bruce Linquist (3)"/>
    <s v="(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
    <s v="Peer Reviewed Journal"/>
    <s v="Brodt, S. B., Kendall, A., Mohammadi, Y., Arslan, A., Yuan, J., Lee, I.-S. and Linquist, B., Life cycle greenhouse gas emissions in California rice production. Field Crops Research 2014, 169, 89-98."/>
    <s v="Yes"/>
    <s v="No"/>
    <s v="Yes"/>
    <s v="Yes"/>
    <s v="No"/>
    <s v="No"/>
    <s v="No"/>
    <s v="No"/>
    <s v="No"/>
    <s v="No"/>
    <s v="No"/>
    <s v="No"/>
    <m/>
    <s v="Cradle to Processing"/>
    <s v="No"/>
    <s v="Yes"/>
    <s v="1 kg rice"/>
    <s v="N/A"/>
    <s v=""/>
    <n v="0.13930000000000001"/>
    <n v="1.4993100000000001"/>
    <s v=""/>
    <m/>
    <n v="5.7700000000000001E-2"/>
    <n v="8.1600000000000006E-2"/>
    <m/>
    <m/>
    <m/>
    <m/>
    <m/>
    <m/>
    <m/>
    <m/>
    <m/>
    <s v="No Data except tranport and processing"/>
    <n v="1.4993100000000001"/>
    <m/>
    <m/>
    <m/>
    <m/>
    <m/>
    <m/>
    <m/>
    <m/>
    <n v="1.4993100000000001"/>
    <n v="1.55"/>
  </r>
  <r>
    <x v="8"/>
    <x v="123"/>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oil"/>
    <m/>
    <s v=""/>
    <s v=""/>
    <s v=""/>
    <s v=""/>
    <m/>
    <m/>
    <m/>
    <m/>
    <m/>
    <m/>
    <m/>
    <m/>
    <m/>
    <m/>
    <n v="12.5"/>
    <s v="MJ (net energy)"/>
    <m/>
    <m/>
    <m/>
    <m/>
    <m/>
    <m/>
    <m/>
    <m/>
    <m/>
    <m/>
    <m/>
    <m/>
  </r>
  <r>
    <x v="5"/>
    <x v="124"/>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gluten meal"/>
    <m/>
    <s v=""/>
    <s v=""/>
    <s v=""/>
    <s v=""/>
    <m/>
    <m/>
    <m/>
    <m/>
    <m/>
    <m/>
    <m/>
    <m/>
    <m/>
    <m/>
    <n v="4.2"/>
    <s v="MJ (net energy)"/>
    <m/>
    <m/>
    <m/>
    <m/>
    <m/>
    <m/>
    <m/>
    <m/>
    <m/>
    <m/>
    <m/>
    <m/>
  </r>
  <r>
    <x v="8"/>
    <x v="47"/>
    <s v="Fresh or Not Specified"/>
    <s v="average across US ; accounts for regional variation"/>
    <s v="No"/>
    <s v="US"/>
    <n v="2009"/>
    <s v="Seungdo Kim &amp; Bruce E. Dale"/>
    <s v="Department of Chemical Engineering &amp; Materials Science, Room 2527, Engineering Building, Michigan State University, East Lansing, MI"/>
    <s v="Peer Reviewed Journal"/>
    <s v="Kim, S. and Dale, B. E., Regional variations in greenhouse gas emissions of biobased products in the United States—corn-based ethanol and soybean oil. The International Journal of Life Cycle Assessment 2009, 14 (6), 540-546."/>
    <s v="Yes"/>
    <s v="Yes"/>
    <s v="No"/>
    <s v="Yes"/>
    <s v="No"/>
    <s v="No"/>
    <s v="No"/>
    <s v="No"/>
    <s v="No"/>
    <s v="No"/>
    <s v="No"/>
    <s v="No"/>
    <m/>
    <s v="direct land use change included in the form of changes in soil organic carbon"/>
    <s v="No"/>
    <s v="No"/>
    <s v="kg soybean oil"/>
    <m/>
    <s v=""/>
    <s v=""/>
    <s v=""/>
    <s v=""/>
    <m/>
    <m/>
    <m/>
    <m/>
    <m/>
    <m/>
    <m/>
    <m/>
    <m/>
    <m/>
    <m/>
    <m/>
    <m/>
    <m/>
    <m/>
    <m/>
    <m/>
    <m/>
    <m/>
    <m/>
    <m/>
    <m/>
    <m/>
    <n v="1.2"/>
  </r>
  <r>
    <x v="12"/>
    <x v="104"/>
    <s v="Canned"/>
    <s v="Canned Sardines, purse seine fishery, includes olive oil &amp; salt"/>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Yes"/>
    <s v="1 kg edible"/>
    <m/>
    <n v="8.76"/>
    <s v=""/>
    <n v="1.4169"/>
    <n v="2.0179999999999998"/>
    <n v="8.76"/>
    <m/>
    <m/>
    <n v="41.84"/>
    <n v="0.34"/>
    <m/>
    <m/>
    <m/>
    <m/>
    <n v="8.76"/>
    <n v="51"/>
    <m/>
    <m/>
    <n v="1.4169"/>
    <m/>
    <n v="0.60109999999999997"/>
    <n v="5.5175000000000001"/>
    <n v="2.4E-2"/>
    <m/>
    <m/>
    <m/>
    <m/>
    <n v="1.4169"/>
    <n v="7.6"/>
  </r>
  <r>
    <x v="12"/>
    <x v="104"/>
    <s v="Fresh or Not Specified"/>
    <s v="Fresh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3"/>
    <m/>
    <m/>
    <m/>
    <m/>
    <m/>
    <m/>
    <m/>
    <m/>
    <m/>
    <m/>
    <m/>
    <m/>
    <n v="0.8"/>
  </r>
  <r>
    <x v="12"/>
    <x v="104"/>
    <s v="Frozen"/>
    <s v="Frozen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7"/>
    <m/>
    <m/>
    <m/>
    <m/>
    <m/>
    <m/>
    <m/>
    <m/>
    <m/>
    <m/>
    <m/>
    <m/>
    <n v="0.99"/>
  </r>
  <r>
    <x v="12"/>
    <x v="102"/>
    <s v="Fresh (Live)"/>
    <s v="Atlantic Salmon, copper alloy mesh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43.888888888888893"/>
    <s v=""/>
    <n v="3.0694444444444446"/>
    <s v=""/>
    <m/>
    <m/>
    <m/>
    <m/>
    <m/>
    <m/>
    <m/>
    <m/>
    <m/>
    <n v="43.888888888888893"/>
    <m/>
    <m/>
    <m/>
    <m/>
    <m/>
    <m/>
    <m/>
    <m/>
    <m/>
    <m/>
    <m/>
    <m/>
    <n v="3.0694444444444446"/>
    <m/>
  </r>
  <r>
    <x v="12"/>
    <x v="102"/>
    <s v="Fresh (Live)"/>
    <s v="Atlantic Salmon, nylon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53.472222222222221"/>
    <s v=""/>
    <n v="3.6944444444444446"/>
    <s v=""/>
    <m/>
    <m/>
    <m/>
    <m/>
    <m/>
    <m/>
    <m/>
    <m/>
    <m/>
    <n v="53.472222222222221"/>
    <m/>
    <m/>
    <m/>
    <m/>
    <m/>
    <m/>
    <m/>
    <m/>
    <m/>
    <m/>
    <m/>
    <m/>
    <n v="3.6944444444444446"/>
    <m/>
  </r>
  <r>
    <x v="12"/>
    <x v="111"/>
    <s v="Frozen"/>
    <s v="Tropical Rock Lobster, frozen tail shipped from N. Australia to US"/>
    <s v="No"/>
    <s v="Australia"/>
    <n v="2016"/>
    <s v="Ingrid E. van Putten, Anna K. Farmery, Bridget S. Green, Alistair J. Hobday, Lilly Lim-Camacho, Ana Norman-L´opez, and Robert W. Parker"/>
    <s v="Commonwealth Scientific and Industrial Research Organization, Oceans and Atmosphere, in Hobart, Tasmania, Australia."/>
    <s v="Peer Reviewed Journal"/>
    <s v="Van Putten, I. E., Farmery, A. K., Green, B. S., Hobday, A. J., Lim-Camacho, L., Norman-López, A. and Parker, R. W., The Environmental Impact of Two Australian Rock Lobster Fishery Supply Chains under a Changing Climate. Journal of Industrial Ecology 2016, 20(6), 1384-1398."/>
    <s v="Yes"/>
    <s v="No"/>
    <s v="Yes"/>
    <s v="Yes"/>
    <s v="Yes"/>
    <s v="Yes"/>
    <s v="No"/>
    <s v="No"/>
    <s v="No"/>
    <s v="No"/>
    <s v="No"/>
    <s v="No"/>
    <m/>
    <s v="cradle to import market port in US"/>
    <s v="No"/>
    <s v="Yes"/>
    <s v="1 kg frozen lobster tail"/>
    <m/>
    <n v="244.72"/>
    <n v="246.05"/>
    <n v="18.308"/>
    <n v="18.407499999999999"/>
    <n v="244.72"/>
    <m/>
    <n v="1.33"/>
    <n v="1.33"/>
    <n v="18.62"/>
    <m/>
    <m/>
    <m/>
    <m/>
    <n v="244.72"/>
    <n v="266"/>
    <m/>
    <m/>
    <n v="18.308"/>
    <m/>
    <n v="9.9499999999999991E-2"/>
    <n v="9.9499999999999991E-2"/>
    <n v="1.393"/>
    <m/>
    <m/>
    <m/>
    <m/>
    <n v="18.308"/>
    <n v="19.899999999999999"/>
  </r>
  <r>
    <x v="12"/>
    <x v="102"/>
    <s v="Fresh (Live)"/>
    <s v="Farmed Rainbow Trout, flow-through production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1.7846153846153845"/>
    <s v=""/>
    <m/>
    <m/>
    <m/>
    <m/>
    <m/>
    <m/>
    <m/>
    <m/>
    <m/>
    <m/>
    <m/>
    <m/>
    <m/>
    <m/>
    <m/>
    <m/>
    <m/>
    <m/>
    <m/>
    <m/>
    <m/>
    <m/>
    <n v="1.7846153846153845"/>
    <m/>
  </r>
  <r>
    <x v="12"/>
    <x v="102"/>
    <s v="Fresh (Live)"/>
    <s v="Farmed Rainbow Trout, semi-closed recirc.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8153846153846143"/>
    <s v=""/>
    <m/>
    <m/>
    <m/>
    <m/>
    <m/>
    <m/>
    <m/>
    <m/>
    <m/>
    <m/>
    <m/>
    <m/>
    <m/>
    <m/>
    <m/>
    <m/>
    <m/>
    <m/>
    <m/>
    <m/>
    <m/>
    <m/>
    <n v="9.8153846153846143"/>
    <m/>
  </r>
  <r>
    <x v="12"/>
    <x v="102"/>
    <s v="Fresh (Live)"/>
    <s v="Farmed Rainbow Trout, recirculating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3846153846153832"/>
    <s v=""/>
    <m/>
    <m/>
    <m/>
    <m/>
    <m/>
    <m/>
    <m/>
    <m/>
    <m/>
    <m/>
    <m/>
    <m/>
    <m/>
    <m/>
    <m/>
    <m/>
    <m/>
    <m/>
    <m/>
    <m/>
    <m/>
    <m/>
    <n v="9.3846153846153832"/>
    <m/>
  </r>
  <r>
    <x v="5"/>
    <x v="67"/>
    <s v="Dried"/>
    <s v="average US wheat production"/>
    <s v="No"/>
    <s v="US"/>
    <n v="2006"/>
    <s v="Gerhard Piringer and Laura J. Steinberg"/>
    <s v="Department of Civil and Environmental Engineering Tulane University New Orleans, LA 70118"/>
    <s v="Peer Reviewed Journal"/>
    <s v="Piringer, G. and Steinberg, L. J., Reevaluation of energy use in wheat production in the United States. Journal of Industrial Ecology 2006, 10 (1-2), 149-167."/>
    <s v="Yes"/>
    <s v="No"/>
    <s v="No"/>
    <s v="No"/>
    <s v="No"/>
    <s v="No"/>
    <s v="No"/>
    <s v="No"/>
    <s v="No"/>
    <s v="No"/>
    <s v="No"/>
    <s v="No"/>
    <m/>
    <s v="cradle to farm gate"/>
    <s v="No"/>
    <s v="No"/>
    <s v="1 kg wheat grain"/>
    <m/>
    <n v="3.8849999999999998"/>
    <s v=""/>
    <s v=""/>
    <s v=""/>
    <m/>
    <m/>
    <m/>
    <m/>
    <m/>
    <m/>
    <m/>
    <m/>
    <m/>
    <n v="3.8849999999999998"/>
    <m/>
    <m/>
    <m/>
    <m/>
    <m/>
    <m/>
    <m/>
    <m/>
    <m/>
    <m/>
    <m/>
    <m/>
    <m/>
    <m/>
  </r>
  <r>
    <x v="5"/>
    <x v="125"/>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5.2"/>
    <s v=""/>
    <n v="0.69599999999999995"/>
    <s v=""/>
    <m/>
    <m/>
    <m/>
    <m/>
    <m/>
    <m/>
    <m/>
    <m/>
    <m/>
    <n v="5.2"/>
    <m/>
    <s v="CED v. 1.03"/>
    <m/>
    <m/>
    <m/>
    <m/>
    <m/>
    <m/>
    <m/>
    <m/>
    <m/>
    <m/>
    <n v="0.69599999999999995"/>
    <m/>
  </r>
  <r>
    <x v="5"/>
    <x v="125"/>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000000000000002"/>
    <s v=""/>
    <n v="0.54100000000000004"/>
    <s v=""/>
    <m/>
    <m/>
    <m/>
    <m/>
    <m/>
    <m/>
    <m/>
    <m/>
    <m/>
    <n v="2.2000000000000002"/>
    <m/>
    <s v="CED v. 1.03"/>
    <m/>
    <m/>
    <m/>
    <m/>
    <m/>
    <m/>
    <m/>
    <m/>
    <m/>
    <m/>
    <n v="0.54100000000000004"/>
    <m/>
  </r>
  <r>
    <x v="5"/>
    <x v="126"/>
    <s v="Dried"/>
    <s v="Zea Maize, 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4"/>
    <s v=""/>
    <n v="0.33"/>
    <s v=""/>
    <m/>
    <m/>
    <m/>
    <m/>
    <m/>
    <m/>
    <m/>
    <m/>
    <m/>
    <n v="2.4"/>
    <m/>
    <s v="CED v. 1.03"/>
    <m/>
    <m/>
    <m/>
    <m/>
    <m/>
    <m/>
    <m/>
    <m/>
    <m/>
    <m/>
    <n v="0.33"/>
    <m/>
  </r>
  <r>
    <x v="5"/>
    <x v="126"/>
    <s v="Dried"/>
    <s v="Zea Maize, 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3"/>
    <s v=""/>
    <n v="0.25600000000000001"/>
    <s v=""/>
    <m/>
    <m/>
    <m/>
    <m/>
    <m/>
    <m/>
    <m/>
    <m/>
    <m/>
    <n v="1.3"/>
    <m/>
    <s v="CED v. 1.03"/>
    <m/>
    <m/>
    <m/>
    <m/>
    <m/>
    <m/>
    <m/>
    <m/>
    <m/>
    <m/>
    <n v="0.25600000000000001"/>
    <m/>
  </r>
  <r>
    <x v="11"/>
    <x v="12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999999999999998"/>
    <s v=""/>
    <n v="0.24759999999999999"/>
    <s v=""/>
    <m/>
    <m/>
    <m/>
    <m/>
    <m/>
    <m/>
    <m/>
    <m/>
    <m/>
    <n v="2.2999999999999998"/>
    <m/>
    <s v="CED v. 1.03"/>
    <m/>
    <m/>
    <m/>
    <m/>
    <m/>
    <m/>
    <m/>
    <m/>
    <m/>
    <m/>
    <n v="0.24759999999999999"/>
    <m/>
  </r>
  <r>
    <x v="11"/>
    <x v="12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5"/>
    <s v=""/>
    <n v="0.19"/>
    <s v=""/>
    <m/>
    <m/>
    <m/>
    <m/>
    <m/>
    <m/>
    <m/>
    <m/>
    <m/>
    <n v="1.5"/>
    <m/>
    <s v="CED v. 1.03"/>
    <m/>
    <m/>
    <m/>
    <m/>
    <m/>
    <m/>
    <m/>
    <m/>
    <m/>
    <m/>
    <n v="0.19"/>
    <m/>
  </r>
  <r>
    <x v="5"/>
    <x v="6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7"/>
    <s v=""/>
    <n v="0.38200000000000001"/>
    <s v=""/>
    <m/>
    <m/>
    <m/>
    <m/>
    <m/>
    <m/>
    <m/>
    <m/>
    <m/>
    <n v="2.7"/>
    <m/>
    <s v="CED v. 1.03"/>
    <m/>
    <m/>
    <m/>
    <m/>
    <m/>
    <m/>
    <m/>
    <m/>
    <m/>
    <m/>
    <n v="0.38200000000000001"/>
    <m/>
  </r>
  <r>
    <x v="5"/>
    <x v="6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0.8"/>
    <s v=""/>
    <n v="0.29099999999999998"/>
    <s v=""/>
    <m/>
    <m/>
    <m/>
    <m/>
    <m/>
    <m/>
    <m/>
    <m/>
    <m/>
    <n v="0.8"/>
    <m/>
    <s v="CED v. 1.03"/>
    <m/>
    <m/>
    <m/>
    <m/>
    <m/>
    <m/>
    <m/>
    <m/>
    <m/>
    <m/>
    <n v="0.29099999999999998"/>
    <m/>
  </r>
  <r>
    <x v="5"/>
    <x v="128"/>
    <m/>
    <s v="conventional"/>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8358208955223879"/>
    <s v=""/>
    <m/>
    <m/>
    <m/>
    <m/>
    <m/>
    <m/>
    <m/>
    <m/>
    <m/>
    <m/>
    <n v="4.9253731343283577E-3"/>
    <m/>
    <m/>
    <m/>
    <m/>
    <m/>
    <m/>
    <m/>
    <m/>
    <m/>
    <m/>
    <m/>
    <n v="0.28358208955223879"/>
    <n v="0.4925373134328358"/>
  </r>
  <r>
    <x v="5"/>
    <x v="128"/>
    <m/>
    <s v="organic"/>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3880597014925373"/>
    <s v=""/>
    <m/>
    <m/>
    <m/>
    <m/>
    <m/>
    <m/>
    <m/>
    <m/>
    <m/>
    <m/>
    <n v="4.0298507462686569E-3"/>
    <m/>
    <m/>
    <m/>
    <m/>
    <m/>
    <m/>
    <m/>
    <m/>
    <m/>
    <m/>
    <m/>
    <n v="0.23880597014925373"/>
    <n v="0.44776119402985071"/>
  </r>
  <r>
    <x v="5"/>
    <x v="129"/>
    <s v="Cooked"/>
    <s v="10%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59.8% moisture"/>
    <s v=""/>
    <s v=""/>
    <n v="0.23066722408026757"/>
    <n v="0.3213026755852843"/>
    <m/>
    <m/>
    <m/>
    <m/>
    <m/>
    <m/>
    <m/>
    <m/>
    <m/>
    <m/>
    <m/>
    <m/>
    <m/>
    <n v="0.23066722408026757"/>
    <n v="9.0635451505016729E-2"/>
    <m/>
    <n v="6.344481605351171E-3"/>
    <m/>
    <n v="2.49247491638796E-2"/>
    <n v="0.11329431438127091"/>
    <m/>
    <m/>
    <n v="0.23066722408026757"/>
    <n v="0.45317725752508364"/>
  </r>
  <r>
    <x v="5"/>
    <x v="129"/>
    <s v="Cooked"/>
    <s v="2%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7907765451664026"/>
    <n v="0.2494421553090333"/>
    <m/>
    <m/>
    <m/>
    <m/>
    <m/>
    <m/>
    <m/>
    <m/>
    <m/>
    <m/>
    <m/>
    <m/>
    <m/>
    <n v="0.17907765451664026"/>
    <n v="7.0364500792393023E-2"/>
    <m/>
    <n v="4.9255150554675118E-3"/>
    <m/>
    <n v="1.9350237717908083E-2"/>
    <n v="8.7955625990491282E-2"/>
    <m/>
    <m/>
    <n v="0.17907765451664026"/>
    <n v="0.35182250396196513"/>
  </r>
  <r>
    <x v="5"/>
    <x v="129"/>
    <s v="Cooked"/>
    <s v="5%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4.1% moisture"/>
    <s v=""/>
    <s v=""/>
    <n v="0.1889890795631825"/>
    <n v="0.26324804992199685"/>
    <m/>
    <m/>
    <m/>
    <m/>
    <m/>
    <m/>
    <m/>
    <m/>
    <m/>
    <m/>
    <m/>
    <m/>
    <m/>
    <n v="0.1889890795631825"/>
    <n v="7.4258970358814347E-2"/>
    <m/>
    <n v="5.1981279251170041E-3"/>
    <m/>
    <n v="2.0421216848673946E-2"/>
    <n v="9.2823712948517934E-2"/>
    <m/>
    <m/>
    <n v="0.1889890795631825"/>
    <n v="0.37129485179407173"/>
  </r>
  <r>
    <x v="5"/>
    <x v="122"/>
    <s v="Cooked"/>
    <s v="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5% moisture"/>
    <s v=""/>
    <s v=""/>
    <n v="0.15426615384615386"/>
    <n v="0.21488153846153848"/>
    <m/>
    <m/>
    <m/>
    <m/>
    <m/>
    <m/>
    <m/>
    <m/>
    <m/>
    <m/>
    <m/>
    <m/>
    <m/>
    <n v="0.15426615384615386"/>
    <n v="6.061538461538462E-2"/>
    <m/>
    <n v="4.2430769230769232E-3"/>
    <m/>
    <n v="1.666923076923077E-2"/>
    <n v="7.5769230769230769E-2"/>
    <m/>
    <m/>
    <n v="0.15426615384615386"/>
    <n v="0.30307692307692308"/>
  </r>
  <r>
    <x v="5"/>
    <x v="129"/>
    <s v="Cooked"/>
    <s v="parboiled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70.8% moisture"/>
    <s v=""/>
    <s v=""/>
    <n v="0.20129943502824862"/>
    <n v="0.28039548022598876"/>
    <m/>
    <m/>
    <m/>
    <m/>
    <m/>
    <m/>
    <m/>
    <m/>
    <m/>
    <m/>
    <m/>
    <m/>
    <m/>
    <n v="0.20129943502824862"/>
    <n v="7.9096045197740134E-2"/>
    <m/>
    <n v="5.5367231638418094E-3"/>
    <m/>
    <n v="2.1751412429378534E-2"/>
    <n v="9.887005649717516E-2"/>
    <m/>
    <m/>
    <n v="0.20129943502824862"/>
    <n v="0.39548022598870064"/>
  </r>
  <r>
    <x v="5"/>
    <x v="122"/>
    <s v="Cooked"/>
    <s v="germinated 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9763074484944534"/>
    <n v="0.2752852614896989"/>
    <m/>
    <m/>
    <m/>
    <m/>
    <m/>
    <m/>
    <m/>
    <m/>
    <m/>
    <m/>
    <m/>
    <m/>
    <m/>
    <n v="0.19763074484944534"/>
    <n v="7.7654516640253579E-2"/>
    <m/>
    <n v="5.4358161648177502E-3"/>
    <m/>
    <n v="2.135499207606973E-2"/>
    <n v="9.706814580031696E-2"/>
    <m/>
    <m/>
    <n v="0.19763074484944534"/>
    <n v="0.38827258320126784"/>
  </r>
  <r>
    <x v="0"/>
    <x v="0"/>
    <s v="Fresh or Not Specified"/>
    <s v="Fluid Milk and its coproducts"/>
    <s v="yes - allocation method includes 100% emissions from dair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
    <s v=""/>
    <m/>
    <m/>
    <m/>
    <m/>
    <m/>
    <m/>
    <m/>
    <m/>
    <m/>
    <m/>
    <m/>
    <m/>
    <m/>
    <m/>
    <m/>
    <m/>
    <m/>
    <m/>
    <m/>
    <m/>
    <m/>
    <m/>
    <n v="1"/>
    <m/>
  </r>
  <r>
    <x v="0"/>
    <x v="0"/>
    <s v="Fresh or Not Specified"/>
    <s v="Fluid Milk and its coproducts"/>
    <s v="yes - allocation method includes 100% emissions from dair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599999999999999"/>
    <s v=""/>
    <m/>
    <m/>
    <m/>
    <m/>
    <m/>
    <m/>
    <m/>
    <m/>
    <m/>
    <m/>
    <m/>
    <m/>
    <m/>
    <m/>
    <m/>
    <m/>
    <m/>
    <m/>
    <m/>
    <m/>
    <m/>
    <m/>
    <n v="1.1599999999999999"/>
    <m/>
  </r>
  <r>
    <x v="0"/>
    <x v="0"/>
    <s v="Fresh or Not Specified"/>
    <s v="Fluid Milk and its coproducts"/>
    <s v="yes - allocation models uses system expansion replacing beef onl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63"/>
    <s v=""/>
    <m/>
    <m/>
    <m/>
    <m/>
    <m/>
    <m/>
    <m/>
    <m/>
    <m/>
    <m/>
    <m/>
    <m/>
    <m/>
    <m/>
    <m/>
    <m/>
    <m/>
    <m/>
    <m/>
    <m/>
    <m/>
    <m/>
    <n v="0.63"/>
    <m/>
  </r>
  <r>
    <x v="0"/>
    <x v="0"/>
    <s v="Fresh or Not Specified"/>
    <s v="Fluid Milk and its coproducts"/>
    <s v="yes - allocation models uses system expansion replacing beef onl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3"/>
    <s v=""/>
    <m/>
    <m/>
    <m/>
    <m/>
    <m/>
    <m/>
    <m/>
    <m/>
    <m/>
    <m/>
    <m/>
    <m/>
    <m/>
    <m/>
    <m/>
    <m/>
    <m/>
    <m/>
    <m/>
    <m/>
    <m/>
    <m/>
    <n v="0.73"/>
    <m/>
  </r>
  <r>
    <x v="0"/>
    <x v="0"/>
    <s v="Fresh or Not Specified"/>
    <s v="Fluid Milk and its coproducts"/>
    <s v="yes - allocation models uses system expansion replacing mix of meat"/>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6"/>
    <s v=""/>
    <m/>
    <m/>
    <m/>
    <m/>
    <m/>
    <m/>
    <m/>
    <m/>
    <m/>
    <m/>
    <m/>
    <m/>
    <m/>
    <m/>
    <m/>
    <m/>
    <m/>
    <m/>
    <m/>
    <m/>
    <m/>
    <m/>
    <n v="0.76"/>
    <m/>
  </r>
  <r>
    <x v="0"/>
    <x v="0"/>
    <s v="Fresh or Not Specified"/>
    <s v="Fluid Milk and its coproducts"/>
    <s v="yes - allocation models uses system expansion replacing mix of meat"/>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5"/>
    <s v=""/>
    <m/>
    <m/>
    <m/>
    <m/>
    <m/>
    <m/>
    <m/>
    <m/>
    <m/>
    <m/>
    <m/>
    <m/>
    <m/>
    <m/>
    <m/>
    <m/>
    <m/>
    <m/>
    <m/>
    <m/>
    <m/>
    <m/>
    <n v="0.85"/>
    <m/>
  </r>
  <r>
    <x v="0"/>
    <x v="0"/>
    <s v="Fresh or Not Specified"/>
    <s v="Fluid Milk and its coproducts"/>
    <s v="yes - allocation model using physical causality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6"/>
    <s v=""/>
    <m/>
    <m/>
    <m/>
    <m/>
    <m/>
    <m/>
    <m/>
    <m/>
    <m/>
    <m/>
    <m/>
    <m/>
    <m/>
    <m/>
    <m/>
    <m/>
    <m/>
    <m/>
    <m/>
    <m/>
    <m/>
    <m/>
    <n v="0.86"/>
    <m/>
  </r>
  <r>
    <x v="0"/>
    <x v="0"/>
    <s v="Fresh or Not Specified"/>
    <s v="Fluid Milk and its coproducts"/>
    <s v="yes - allocation model using physical causality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9"/>
    <s v=""/>
    <m/>
    <m/>
    <m/>
    <m/>
    <m/>
    <m/>
    <m/>
    <m/>
    <m/>
    <m/>
    <m/>
    <m/>
    <m/>
    <m/>
    <m/>
    <m/>
    <m/>
    <m/>
    <m/>
    <m/>
    <m/>
    <m/>
    <n v="0.99"/>
    <m/>
  </r>
  <r>
    <x v="0"/>
    <x v="0"/>
    <s v="Fresh or Not Specified"/>
    <s v="Fluid Milk and its coproducts"/>
    <s v="yes - allocation model using economic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r>
  <r>
    <x v="0"/>
    <x v="0"/>
    <s v="Fresh or Not Specified"/>
    <s v="Fluid Milk and its coproducts"/>
    <s v="yes - allocation model using economic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2"/>
    <s v=""/>
    <m/>
    <m/>
    <m/>
    <m/>
    <m/>
    <m/>
    <m/>
    <m/>
    <m/>
    <m/>
    <m/>
    <m/>
    <m/>
    <m/>
    <m/>
    <m/>
    <m/>
    <m/>
    <m/>
    <m/>
    <m/>
    <m/>
    <n v="1.02"/>
    <m/>
  </r>
  <r>
    <x v="0"/>
    <x v="0"/>
    <s v="Fresh or Not Specified"/>
    <s v="Fluid Milk and its coproducts"/>
    <s v="yes - allocation model using protein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r>
  <r>
    <x v="0"/>
    <x v="0"/>
    <s v="Fresh or Not Specified"/>
    <s v="Fluid Milk and its coproducts"/>
    <s v="yes - allocation model using protein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8"/>
    <s v=""/>
    <m/>
    <m/>
    <m/>
    <m/>
    <m/>
    <m/>
    <m/>
    <m/>
    <m/>
    <m/>
    <m/>
    <m/>
    <m/>
    <m/>
    <m/>
    <m/>
    <m/>
    <m/>
    <m/>
    <m/>
    <m/>
    <m/>
    <n v="1.08"/>
    <m/>
  </r>
  <r>
    <x v="0"/>
    <x v="0"/>
    <s v="Fresh or Not Specified"/>
    <s v="Fluid Milk and its coproducts"/>
    <s v="yes - allocation model using mass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8"/>
    <s v=""/>
    <m/>
    <m/>
    <m/>
    <m/>
    <m/>
    <m/>
    <m/>
    <m/>
    <m/>
    <m/>
    <m/>
    <m/>
    <m/>
    <m/>
    <m/>
    <m/>
    <m/>
    <m/>
    <m/>
    <m/>
    <m/>
    <m/>
    <n v="0.98"/>
    <m/>
  </r>
  <r>
    <x v="0"/>
    <x v="0"/>
    <s v="Fresh or Not Specified"/>
    <s v="Fluid Milk and its coproducts"/>
    <s v="yes - allocation model using mass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399999999999999"/>
    <s v=""/>
    <m/>
    <m/>
    <m/>
    <m/>
    <m/>
    <m/>
    <m/>
    <m/>
    <m/>
    <m/>
    <m/>
    <m/>
    <m/>
    <m/>
    <m/>
    <m/>
    <m/>
    <m/>
    <m/>
    <m/>
    <m/>
    <m/>
    <n v="1.1399999999999999"/>
    <m/>
  </r>
  <r>
    <x v="5"/>
    <x v="67"/>
    <s v="Fresh or Not Specified"/>
    <s v="conventional"/>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2"/>
    <s v=""/>
    <n v="0.34899999999999998"/>
    <s v=""/>
    <m/>
    <m/>
    <m/>
    <m/>
    <m/>
    <m/>
    <m/>
    <m/>
    <n v="0.52"/>
    <n v="2"/>
    <m/>
    <s v="ecoinvent"/>
    <s v="Only Ag Prod and Capital Goods Reported, not Full LC"/>
    <n v="0.34899999999999998"/>
    <m/>
    <m/>
    <m/>
    <m/>
    <m/>
    <m/>
    <m/>
    <n v="3.1409999999999993E-2"/>
    <n v="0.34899999999999998"/>
    <m/>
  </r>
  <r>
    <x v="5"/>
    <x v="67"/>
    <s v="Fresh or Not Specified"/>
    <s v="organic"/>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1"/>
    <s v=""/>
    <n v="0.307"/>
    <s v=""/>
    <m/>
    <m/>
    <m/>
    <m/>
    <m/>
    <m/>
    <m/>
    <m/>
    <n v="0.75"/>
    <n v="1"/>
    <m/>
    <s v="ecoinvent"/>
    <s v="Only Ag Prod and Capital Goods Reported, not Full LC"/>
    <n v="0.307"/>
    <m/>
    <m/>
    <m/>
    <m/>
    <m/>
    <m/>
    <m/>
    <n v="7.9820000000000002E-2"/>
    <n v="0.307"/>
    <m/>
  </r>
  <r>
    <x v="5"/>
    <x v="129"/>
    <s v="Dried"/>
    <s v="white milled, delivered to local supermarket"/>
    <s v="Yes"/>
    <s v="Italy, Vercelli district"/>
    <n v="2009"/>
    <s v="Gian Andrea Blengini*, Mirko Busto"/>
    <s v="DITAG – Land, Environment and Geo-Engineering Department, Politecnico di Torino, Corso Duca degli Abruzzi 24, 10129 Turin, Italy"/>
    <s v="Peer Reviewed Journal"/>
    <s v="Blengini, G. A. and Busto, M., The life cycle of rice: LCA of alternative agri-food chain management systems in Vercelli (Italy). Journal of environmental management 2009, 90 (3), 1512-22."/>
    <s v="Yes"/>
    <s v="No"/>
    <s v="Yes"/>
    <s v="Yes"/>
    <s v="Yes"/>
    <s v="Yes"/>
    <s v="No"/>
    <s v="No"/>
    <s v="No"/>
    <s v="No"/>
    <s v="No"/>
    <s v="Yes"/>
    <m/>
    <s v="cradle to supermarket"/>
    <s v="No"/>
    <s v="Yes"/>
    <s v="1kg delivered to Italian supermarket"/>
    <m/>
    <n v="6.6530400000000007"/>
    <n v="7.9077800000000007"/>
    <n v="2.32944"/>
    <n v="2.4177599999999999"/>
    <n v="6.6530400000000007"/>
    <m/>
    <n v="1.25474"/>
    <n v="3.2827500000000001"/>
    <n v="2.6116099999999998"/>
    <m/>
    <m/>
    <m/>
    <n v="0.80245"/>
    <n v="6.6530400000000007"/>
    <n v="14.59"/>
    <s v="non-renewable energy"/>
    <m/>
    <n v="2.32944"/>
    <m/>
    <n v="8.8319999999999996E-2"/>
    <n v="0.12972"/>
    <n v="0.16835999999999998"/>
    <m/>
    <m/>
    <m/>
    <n v="4.4159999999999998E-2"/>
    <n v="2.32944"/>
    <n v="2.76"/>
  </r>
  <r>
    <x v="11"/>
    <x v="130"/>
    <s v="Processed"/>
    <s v="Peanut butter"/>
    <s v="No"/>
    <s v="USA  "/>
    <n v="2012"/>
    <s v="James McCarty (a, b); Heather Sandefur (a, b); Marty Matlock (a, b); Greg Thoma (c); Dae Soo Kim(c)"/>
    <s v="(a) Department of Agricultural and Biological Engineering, University of Arkansas, Fayetteville, AR_x000a_; (b) Center for Agricultural and Rural Sustainability, University of Arkansas, Fayetteville, AR_x000a_;_x000a_ (c) Ralph E. Martin Department of Chemical Engineering, University of Arkansas, Fayetteville, AR;"/>
    <s v="Industry Based Report"/>
    <s v="Mccarty, J., Sandefur, H., Matlock, M., Thoma, G. and Kim, D. S., National Scan-level Life Cycle Assessment for Production of US Peanut Butter. 2012, ."/>
    <s v="Yes"/>
    <s v="Yes"/>
    <s v="Yes"/>
    <s v="Yes"/>
    <s v="Yes"/>
    <s v="Yes"/>
    <s v="Yes"/>
    <s v="Yes"/>
    <s v="Yes"/>
    <s v="No"/>
    <s v="Yes"/>
    <s v="No"/>
    <s v="Waste disposal (packaging to landfill, etc)"/>
    <s v="Cradle to grave, including waste disposal to landfill etc."/>
    <s v="Yes"/>
    <s v="Yes"/>
    <s v="1 kg peanut butter"/>
    <m/>
    <s v=""/>
    <s v=""/>
    <n v="0.51100000000000001"/>
    <n v="1.597"/>
    <m/>
    <m/>
    <m/>
    <m/>
    <m/>
    <m/>
    <m/>
    <m/>
    <m/>
    <m/>
    <n v="26.107200000000002"/>
    <m/>
    <m/>
    <n v="0.51100000000000001"/>
    <n v="1.0859999999999999"/>
    <m/>
    <m/>
    <m/>
    <n v="0.20399999999999999"/>
    <n v="0.76200000000000001"/>
    <m/>
    <m/>
    <n v="0.51100000000000001"/>
    <n v="2.64"/>
  </r>
  <r>
    <x v="0"/>
    <x v="0"/>
    <s v="Fresh or Not Specified"/>
    <s v="Conventional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5"/>
    <s v=""/>
    <n v="1.4"/>
    <s v=""/>
    <m/>
    <m/>
    <m/>
    <m/>
    <m/>
    <m/>
    <m/>
    <m/>
    <m/>
    <n v="5"/>
    <m/>
    <m/>
    <m/>
    <m/>
    <m/>
    <m/>
    <m/>
    <m/>
    <m/>
    <m/>
    <m/>
    <m/>
    <n v="1.4"/>
    <m/>
  </r>
  <r>
    <x v="0"/>
    <x v="0"/>
    <s v="Fresh or Not Specified"/>
    <s v="Organic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3.1"/>
    <s v=""/>
    <n v="1.5"/>
    <s v=""/>
    <m/>
    <m/>
    <m/>
    <m/>
    <m/>
    <m/>
    <m/>
    <m/>
    <m/>
    <n v="3.1"/>
    <m/>
    <m/>
    <m/>
    <m/>
    <m/>
    <m/>
    <m/>
    <m/>
    <m/>
    <m/>
    <m/>
    <m/>
    <n v="1.5"/>
    <m/>
  </r>
  <r>
    <x v="9"/>
    <x v="131"/>
    <s v="Fresh or Not Specified"/>
    <s v="raw canesugar; reporting  &quot;state average&quot; values here"/>
    <s v="Yes"/>
    <s v="Australia"/>
    <n v="2007"/>
    <s v="M.A. RENOUF1,3, M.K. WEGENER2,3"/>
    <s v="1 School of Geography, Planning and Architecture, 2 School of Natural and Rural Systems Management, The University of Queensland, St. Lucia, Qld  3Cooperative Research Centre for Sugar Industry Innovation through Biotechnology"/>
    <s v="Conference Proceedings"/>
    <s v="Renouf, M. A. and Wegener, M., Environmental life cycle assessment (LCA) of sugarcane production and processing in Australia. 385-400."/>
    <s v="Yes"/>
    <s v="No"/>
    <s v="Yes"/>
    <s v="Yes"/>
    <s v="No"/>
    <s v="No"/>
    <s v="No"/>
    <s v="No"/>
    <s v="No"/>
    <s v="No"/>
    <s v="No"/>
    <s v="Yes"/>
    <m/>
    <s v="through to raw sugar"/>
    <s v="No"/>
    <s v="Yes"/>
    <s v="1 tonne raw sugar"/>
    <s v="/1000"/>
    <n v="3.5960999999999999"/>
    <n v="3.5160999999999998"/>
    <n v="0.68779999999999997"/>
    <n v="0.73280000000000001"/>
    <n v="3.4260999999999999"/>
    <m/>
    <n v="0.09"/>
    <m/>
    <m/>
    <m/>
    <m/>
    <m/>
    <n v="9.5000000000000001E-2"/>
    <n v="3.5960999999999999"/>
    <n v="3.5375000000000001"/>
    <m/>
    <m/>
    <n v="0.68779999999999997"/>
    <m/>
    <n v="4.4999999999999998E-2"/>
    <m/>
    <m/>
    <m/>
    <m/>
    <m/>
    <n v="1.7999999999999999E-2"/>
    <n v="0.68779999999999997"/>
    <n v="0.75079999999999991"/>
  </r>
  <r>
    <x v="9"/>
    <x v="52"/>
    <s v="Fresh or Not Specified"/>
    <s v="national average"/>
    <s v="No"/>
    <s v="Argentina"/>
    <n v="2016"/>
    <s v="María Mujica, Gabriel Blanco, Estela Santalla"/>
    <s v="Facultad de Ingeniería. INTELYMEC. Universidad Nacional del Centro de la Provincia_x000a_de Buenos Aires UNCPBA"/>
    <s v="Peer Reviewed Journal"/>
    <s v="Mujica, M., Blanco, G. and Santalla, E., Carbon Footprint of Honey Produced in Argentina. Journal of Cleaner Production 2016, ."/>
    <s v="Yes"/>
    <s v="No"/>
    <s v="Yes"/>
    <s v="Yes"/>
    <s v="No"/>
    <s v="Yes"/>
    <s v="No"/>
    <s v="No"/>
    <s v="No"/>
    <s v="No"/>
    <s v="No"/>
    <s v="No"/>
    <m/>
    <s v="delivered to Buenos Aires seaport"/>
    <s v="No"/>
    <s v="Yes"/>
    <s v="kg honey"/>
    <m/>
    <s v=""/>
    <s v=""/>
    <n v="0.21"/>
    <n v="2.44"/>
    <m/>
    <m/>
    <m/>
    <m/>
    <m/>
    <m/>
    <m/>
    <m/>
    <m/>
    <m/>
    <m/>
    <m/>
    <m/>
    <n v="0.21"/>
    <m/>
    <n v="2.23"/>
    <m/>
    <n v="0.08"/>
    <m/>
    <m/>
    <m/>
    <m/>
    <n v="0.21"/>
    <n v="2.5"/>
  </r>
  <r>
    <x v="10"/>
    <x v="132"/>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31948  ; reported inventory gives wt of products from processing of 1 kg cocoa beans; assuming mass allocation"/>
    <s v=""/>
    <s v=""/>
    <s v=""/>
    <s v=""/>
    <m/>
    <m/>
    <m/>
    <m/>
    <m/>
    <m/>
    <m/>
    <m/>
    <m/>
    <m/>
    <m/>
    <m/>
    <m/>
    <m/>
    <m/>
    <m/>
    <m/>
    <m/>
    <m/>
    <m/>
    <m/>
    <m/>
    <m/>
    <n v="1.0105796919994992"/>
  </r>
  <r>
    <x v="10"/>
    <x v="133"/>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3125  ; reported inventory gives wt of products from processing of 1 kg cocoa beans; assuming mass allocation"/>
    <s v=""/>
    <s v=""/>
    <s v=""/>
    <s v=""/>
    <m/>
    <m/>
    <m/>
    <m/>
    <m/>
    <m/>
    <m/>
    <m/>
    <m/>
    <m/>
    <m/>
    <m/>
    <m/>
    <m/>
    <m/>
    <m/>
    <m/>
    <m/>
    <m/>
    <m/>
    <m/>
    <m/>
    <m/>
    <n v="1.3961513513513513"/>
  </r>
  <r>
    <x v="10"/>
    <x v="134"/>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6875  ; reported inventory gives wt of products from processing of 1 kg cocoa beans; assuming mass allocation"/>
    <s v=""/>
    <s v=""/>
    <s v=""/>
    <s v=""/>
    <m/>
    <m/>
    <m/>
    <m/>
    <m/>
    <m/>
    <m/>
    <m/>
    <m/>
    <m/>
    <m/>
    <m/>
    <m/>
    <m/>
    <m/>
    <m/>
    <m/>
    <m/>
    <m/>
    <m/>
    <m/>
    <m/>
    <m/>
    <n v="1.2013395348837208"/>
  </r>
  <r>
    <x v="10"/>
    <x v="135"/>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075  ; reported inventory gives wt of products from processing of 1 kg cocoa beans; assuming mass allocation"/>
    <s v=""/>
    <s v=""/>
    <s v=""/>
    <s v=""/>
    <m/>
    <m/>
    <m/>
    <m/>
    <m/>
    <m/>
    <m/>
    <m/>
    <m/>
    <m/>
    <m/>
    <m/>
    <m/>
    <m/>
    <m/>
    <m/>
    <m/>
    <m/>
    <m/>
    <m/>
    <m/>
    <m/>
    <m/>
    <n v="4.3048000000000002"/>
  </r>
  <r>
    <x v="4"/>
    <x v="85"/>
    <s v="Fresh or Not Specified"/>
    <s v="Organic Pear grown in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average of one beijing farm and one liaoning farm taken for hilly land representation"/>
    <s v="No"/>
    <s v="Yes"/>
    <s v="1 tonne of pears"/>
    <s v="/1000"/>
    <n v="1.1120000000000001"/>
    <n v="1.5680000000000001"/>
    <n v="0.06"/>
    <n v="8.2599999999999993E-2"/>
    <n v="1.1120000000000001"/>
    <m/>
    <n v="0.45600000000000002"/>
    <m/>
    <n v="1.25"/>
    <m/>
    <m/>
    <m/>
    <m/>
    <n v="1.1120000000000001"/>
    <n v="2.82"/>
    <m/>
    <m/>
    <n v="5.5599999999999997E-2"/>
    <m/>
    <n v="2.7E-2"/>
    <m/>
    <n v="6.7999999999999996E-3"/>
    <m/>
    <m/>
    <m/>
    <m/>
    <n v="0.06"/>
    <n v="0.09"/>
  </r>
  <r>
    <x v="4"/>
    <x v="85"/>
    <s v="Fresh or Not Specified"/>
    <s v="Conventional grown pears -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1.32"/>
    <n v="1.5225"/>
    <n v="0.28899999999999998"/>
    <n v="0.30099999999999999"/>
    <n v="1.32"/>
    <m/>
    <n v="0.20250000000000001"/>
    <m/>
    <n v="1.25"/>
    <m/>
    <m/>
    <m/>
    <m/>
    <n v="1.32"/>
    <n v="2.7725"/>
    <m/>
    <m/>
    <n v="0.28899999999999998"/>
    <m/>
    <n v="1.2E-2"/>
    <m/>
    <n v="6.7999999999999996E-3"/>
    <m/>
    <m/>
    <m/>
    <m/>
    <n v="0.28899999999999998"/>
    <n v="0.30779999999999996"/>
  </r>
  <r>
    <x v="4"/>
    <x v="85"/>
    <s v="Fresh or Not Specified"/>
    <s v="Organic Pear grown in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5470000000000002"/>
    <n v="5.2657000000000007"/>
    <n v="0.2069"/>
    <n v="0.37090000000000001"/>
    <n v="2.5470000000000002"/>
    <m/>
    <n v="2.7187000000000001"/>
    <m/>
    <n v="0.42499999999999999"/>
    <m/>
    <m/>
    <m/>
    <m/>
    <n v="2.5470000000000002"/>
    <n v="5.6906999999999996"/>
    <m/>
    <m/>
    <n v="0.2069"/>
    <m/>
    <n v="0.16400000000000001"/>
    <m/>
    <n v="2.5000000000000001E-3"/>
    <m/>
    <m/>
    <m/>
    <m/>
    <n v="0.2069"/>
    <n v="0.37340000000000001"/>
  </r>
  <r>
    <x v="4"/>
    <x v="85"/>
    <s v="Fresh or Not Specified"/>
    <s v="Conventional grown pears -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109"/>
    <n v="3.9276999999999997"/>
    <n v="0.379"/>
    <n v="0.48899999999999999"/>
    <n v="2.109"/>
    <m/>
    <n v="1.8187"/>
    <m/>
    <n v="0.57499999999999996"/>
    <m/>
    <m/>
    <m/>
    <m/>
    <n v="2.109"/>
    <n v="4.5026999999999999"/>
    <m/>
    <m/>
    <n v="0.379"/>
    <m/>
    <n v="0.11"/>
    <m/>
    <n v="3.3E-3"/>
    <m/>
    <m/>
    <m/>
    <m/>
    <n v="0.379"/>
    <n v="0.49230000000000002"/>
  </r>
  <r>
    <x v="4"/>
    <x v="66"/>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0.10333329999999999"/>
    <s v=""/>
    <m/>
    <m/>
    <m/>
    <m/>
    <m/>
    <m/>
    <m/>
    <m/>
    <m/>
    <m/>
    <m/>
    <m/>
    <m/>
    <m/>
    <m/>
    <m/>
    <m/>
    <m/>
    <m/>
    <m/>
    <m/>
    <m/>
    <n v="0.10333329999999999"/>
    <n v="0.19708329999999999"/>
  </r>
  <r>
    <x v="4"/>
    <x v="85"/>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7.809524000000001E-2"/>
    <s v=""/>
    <m/>
    <m/>
    <m/>
    <m/>
    <m/>
    <m/>
    <m/>
    <m/>
    <m/>
    <m/>
    <m/>
    <m/>
    <m/>
    <m/>
    <m/>
    <m/>
    <m/>
    <m/>
    <m/>
    <m/>
    <m/>
    <m/>
    <n v="7.809524000000001E-2"/>
    <n v="0.17184524000000001"/>
  </r>
  <r>
    <x v="4"/>
    <x v="66"/>
    <s v="Fresh or Not Specified"/>
    <s v="North Portugal, dedicat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Yes"/>
    <s v="Yes"/>
    <s v="No"/>
    <s v="No"/>
    <s v="No"/>
    <s v="No"/>
    <s v="No"/>
    <s v="No"/>
    <s v="Cold storage included"/>
    <s v="Farm to retail"/>
    <s v="No"/>
    <s v="No"/>
    <s v="1 kg fruit"/>
    <m/>
    <s v=""/>
    <s v=""/>
    <n v="0.1257143"/>
    <s v=""/>
    <m/>
    <m/>
    <m/>
    <m/>
    <m/>
    <m/>
    <m/>
    <m/>
    <m/>
    <m/>
    <m/>
    <m/>
    <m/>
    <m/>
    <m/>
    <m/>
    <m/>
    <m/>
    <m/>
    <m/>
    <m/>
    <m/>
    <n v="0.1257143"/>
    <n v="0.26169330000000002"/>
  </r>
  <r>
    <x v="7"/>
    <x v="108"/>
    <s v="Fresh or Not Specified"/>
    <s v="Malawian tea"/>
    <s v="No"/>
    <s v="Malawi"/>
    <n v="2015"/>
    <s v="J.L. Taulo; A.B. Sebitosi"/>
    <s v="Department of Mechanical &amp; Mechatronic Engineering, Stellenbosch University, P/Bag X1, Matieland 7602, South Africa"/>
    <s v="Peer Reviewed Journal"/>
    <s v="Taulo, J. L. and Sebitosi, A. B., Material and energy fl ow analysis of the Malawian tea industry. Renewable and Sustainable Energy Reviews 2016, 56, 1337-1350."/>
    <s v="No"/>
    <s v="No"/>
    <s v="No"/>
    <s v="Yes"/>
    <s v="No"/>
    <s v="No"/>
    <s v="No"/>
    <s v="No"/>
    <s v="No"/>
    <s v="No"/>
    <s v="No"/>
    <s v="No"/>
    <m/>
    <s v="Processing Only (withering, rolling, oxidation, drying, sorting)"/>
    <s v="Yes"/>
    <s v="No"/>
    <s v="1 kg dried tea leaves"/>
    <s v="N/A"/>
    <s v=""/>
    <n v="50.580000000000005"/>
    <s v=""/>
    <n v="4.32"/>
    <m/>
    <m/>
    <n v="50.580000000000005"/>
    <m/>
    <m/>
    <m/>
    <m/>
    <m/>
    <m/>
    <m/>
    <n v="50.580000000000005"/>
    <s v="MJ/kg"/>
    <m/>
    <m/>
    <m/>
    <n v="4.32"/>
    <m/>
    <m/>
    <m/>
    <m/>
    <m/>
    <m/>
    <m/>
    <n v="4.32"/>
  </r>
  <r>
    <x v="3"/>
    <x v="19"/>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0.86899999999999999"/>
    <s v=""/>
    <n v="6.3E-2"/>
    <s v=""/>
    <m/>
    <m/>
    <m/>
    <m/>
    <m/>
    <m/>
    <m/>
    <m/>
    <m/>
    <n v="0.86899999999999999"/>
    <m/>
    <s v="CML baseline 2 2002"/>
    <m/>
    <m/>
    <m/>
    <m/>
    <m/>
    <m/>
    <m/>
    <m/>
    <m/>
    <m/>
    <n v="6.3E-2"/>
    <m/>
  </r>
  <r>
    <x v="4"/>
    <x v="66"/>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1.2"/>
    <s v=""/>
    <n v="9.7000000000000003E-2"/>
    <s v=""/>
    <m/>
    <m/>
    <m/>
    <m/>
    <m/>
    <m/>
    <m/>
    <m/>
    <m/>
    <n v="1.2"/>
    <m/>
    <s v="CML baseline 2 2002"/>
    <m/>
    <m/>
    <m/>
    <m/>
    <m/>
    <m/>
    <m/>
    <m/>
    <m/>
    <m/>
    <n v="9.7000000000000003E-2"/>
    <m/>
  </r>
  <r>
    <x v="4"/>
    <x v="85"/>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6.0720000000000001"/>
    <s v=""/>
    <n v="0.376"/>
    <s v=""/>
    <m/>
    <m/>
    <m/>
    <m/>
    <m/>
    <m/>
    <m/>
    <m/>
    <m/>
    <n v="6.0720000000000001"/>
    <m/>
    <s v="CML baseline 2 2002"/>
    <m/>
    <m/>
    <m/>
    <m/>
    <m/>
    <m/>
    <m/>
    <m/>
    <m/>
    <m/>
    <n v="0.376"/>
    <m/>
  </r>
  <r>
    <x v="5"/>
    <x v="67"/>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3.0979999999999999"/>
    <s v=""/>
    <n v="0.50900000000000001"/>
    <s v=""/>
    <m/>
    <m/>
    <m/>
    <m/>
    <m/>
    <m/>
    <m/>
    <m/>
    <m/>
    <n v="3.0979999999999999"/>
    <m/>
    <s v="CML baseline 2 2002"/>
    <m/>
    <m/>
    <m/>
    <m/>
    <m/>
    <m/>
    <m/>
    <m/>
    <m/>
    <m/>
    <n v="0.50900000000000001"/>
    <m/>
  </r>
  <r>
    <x v="3"/>
    <x v="57"/>
    <s v="Fresh or Not Specified"/>
    <s v="Chicory Lettuce, 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4.12"/>
    <s v=""/>
    <n v="0.32700000000000001"/>
    <s v=""/>
    <m/>
    <m/>
    <m/>
    <m/>
    <m/>
    <m/>
    <m/>
    <m/>
    <m/>
    <n v="4.12"/>
    <m/>
    <s v="CML baseline 2 2002"/>
    <m/>
    <m/>
    <m/>
    <m/>
    <m/>
    <m/>
    <m/>
    <m/>
    <m/>
    <m/>
    <n v="0.32700000000000001"/>
    <m/>
  </r>
  <r>
    <x v="1"/>
    <x v="3"/>
    <s v="Fresh or Not Specified"/>
    <s v="grass-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5.326174122241206"/>
    <s v=""/>
    <m/>
    <m/>
    <m/>
    <m/>
    <m/>
    <m/>
    <m/>
    <m/>
    <m/>
    <m/>
    <m/>
    <m/>
    <m/>
    <m/>
    <m/>
    <m/>
    <m/>
    <m/>
    <m/>
    <m/>
    <m/>
    <m/>
    <n v="45.326174122241206"/>
    <m/>
  </r>
  <r>
    <x v="1"/>
    <x v="3"/>
    <s v="Fresh or Not Specified"/>
    <s v="grass-corn 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816623249836873"/>
    <s v=""/>
    <m/>
    <m/>
    <m/>
    <m/>
    <m/>
    <m/>
    <m/>
    <m/>
    <m/>
    <m/>
    <m/>
    <m/>
    <m/>
    <m/>
    <m/>
    <m/>
    <m/>
    <m/>
    <m/>
    <m/>
    <m/>
    <m/>
    <n v="47.816623249836873"/>
    <m/>
  </r>
  <r>
    <x v="1"/>
    <x v="23"/>
    <s v="Fresh or Not Specified"/>
    <s v="study considers co-product diest; recording only control diet here."/>
    <s v="Yes"/>
    <s v="Canada (Ontario and Quebec)"/>
    <n v="2016"/>
    <s v="S. G. Mackenzie*1, I. Leinonen1, N. Ferguson2 and I. Kyriazakis1"/>
    <s v="School of Agriculture, Food and Rural Development, Newcastle University, Newcastle upon Tyne, NE1 7RU, UK  _x000a_2 Trouw Nutrition Canada, 150 Research Ln, Guelph, ON N1G 4T2, Canada"/>
    <s v="Peer Reviewed Journal"/>
    <s v="Mackenzie, S. G., Leinonen, I., Ferguson, N. and Kyriazakis, I., Can the environmental impact of pig systems be reduced by utilising co-products as feed? Journal of Cleaner Production 2016, 115, 172-181."/>
    <s v="Yes"/>
    <s v="No"/>
    <s v="No"/>
    <s v="No"/>
    <s v="No"/>
    <s v="No"/>
    <s v="No"/>
    <s v="No"/>
    <s v="No"/>
    <s v="No"/>
    <s v="No"/>
    <s v="No"/>
    <m/>
    <m/>
    <s v="No"/>
    <s v="No"/>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1.673525377229083"/>
    <s v=""/>
    <n v="3.0178326474622774"/>
    <s v=""/>
    <m/>
    <m/>
    <m/>
    <m/>
    <m/>
    <m/>
    <m/>
    <m/>
    <m/>
    <n v="21.673525377229083"/>
    <m/>
    <s v="Impact 2002+"/>
    <m/>
    <m/>
    <m/>
    <m/>
    <m/>
    <m/>
    <m/>
    <m/>
    <m/>
    <m/>
    <n v="3.0178326474622774"/>
    <m/>
  </r>
  <r>
    <x v="1"/>
    <x v="23"/>
    <s v="Fresh or Not Specified"/>
    <m/>
    <s v="No"/>
    <s v="Australia"/>
    <n v="2016"/>
    <s v="Thomas Winklera, Kerstin Schopfa, Ralf Aschemanna,*, Wilfried Winiwarterb"/>
    <s v="a) University of Graz, Institute of Systems Sciences, Innovation and Sustainability Research, Merangasse 18, 8010 Graz, Austria b) International Institute for Applied Systems Analysis, Schlossplatz 1, 2361 Laxenburg, Austria"/>
    <s v="Peer Reviewed Journal"/>
    <s v="Winkler, T., Schopf, K., Aschemann, R. and Winiwarter, W., From farm to fork – A life cycle assessment of fresh Austrian pork. Journal of Cleaner Production 2016, 116, 80-9."/>
    <s v="Yes"/>
    <s v="No"/>
    <s v="Yes"/>
    <s v="Yes"/>
    <s v="Yes"/>
    <s v="Yes"/>
    <s v="Yes"/>
    <s v="Yes"/>
    <s v="Yes"/>
    <s v="Yes"/>
    <s v="No"/>
    <s v="No"/>
    <m/>
    <s v="farm to fork"/>
    <s v="No"/>
    <s v="Yes"/>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6.0123456790123457"/>
    <n v="6.207133058984911"/>
    <m/>
    <m/>
    <m/>
    <m/>
    <m/>
    <m/>
    <m/>
    <m/>
    <m/>
    <m/>
    <m/>
    <m/>
    <m/>
    <n v="6.0123456790123457"/>
    <m/>
    <n v="0.19478737997256515"/>
    <m/>
    <n v="0.23045267489711938"/>
    <m/>
    <n v="6.8587105624142664E-2"/>
    <m/>
    <m/>
    <n v="6.0123456790123457"/>
    <n v="6.5171467764060367"/>
  </r>
  <r>
    <x v="4"/>
    <x v="6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4"/>
    <s v=""/>
    <m/>
    <m/>
    <m/>
    <m/>
    <m/>
    <m/>
    <m/>
    <m/>
    <m/>
    <m/>
    <m/>
    <m/>
    <m/>
    <m/>
    <m/>
    <m/>
    <m/>
    <m/>
    <m/>
    <m/>
    <m/>
    <m/>
    <n v="0.24"/>
    <m/>
  </r>
  <r>
    <x v="4"/>
    <x v="20"/>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7"/>
    <s v=""/>
    <m/>
    <m/>
    <m/>
    <m/>
    <m/>
    <m/>
    <m/>
    <m/>
    <m/>
    <m/>
    <m/>
    <m/>
    <m/>
    <m/>
    <m/>
    <m/>
    <m/>
    <m/>
    <m/>
    <m/>
    <m/>
    <m/>
    <n v="0.27"/>
    <m/>
  </r>
  <r>
    <x v="4"/>
    <x v="13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4000000000000001"/>
    <s v=""/>
    <m/>
    <m/>
    <m/>
    <m/>
    <m/>
    <m/>
    <m/>
    <m/>
    <m/>
    <m/>
    <m/>
    <m/>
    <m/>
    <m/>
    <m/>
    <m/>
    <m/>
    <m/>
    <m/>
    <m/>
    <m/>
    <m/>
    <n v="0.14000000000000001"/>
    <m/>
  </r>
  <r>
    <x v="4"/>
    <x v="137"/>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37"/>
    <s v=""/>
    <m/>
    <m/>
    <m/>
    <m/>
    <m/>
    <m/>
    <m/>
    <m/>
    <m/>
    <m/>
    <m/>
    <m/>
    <m/>
    <m/>
    <m/>
    <m/>
    <m/>
    <m/>
    <m/>
    <m/>
    <m/>
    <m/>
    <n v="0.37"/>
    <m/>
  </r>
  <r>
    <x v="4"/>
    <x v="85"/>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8"/>
    <s v=""/>
    <m/>
    <m/>
    <m/>
    <m/>
    <m/>
    <m/>
    <m/>
    <m/>
    <m/>
    <m/>
    <m/>
    <m/>
    <m/>
    <m/>
    <m/>
    <m/>
    <m/>
    <m/>
    <m/>
    <m/>
    <m/>
    <m/>
    <n v="0.18"/>
    <m/>
  </r>
  <r>
    <x v="5"/>
    <x v="126"/>
    <s v="Fresh or Not Specified"/>
    <s v="Hard Maize"/>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622"/>
    <s v=""/>
    <m/>
    <m/>
    <m/>
    <m/>
    <m/>
    <m/>
    <m/>
    <m/>
    <m/>
    <m/>
    <m/>
    <m/>
    <m/>
    <m/>
    <m/>
    <m/>
    <m/>
    <m/>
    <m/>
    <m/>
    <m/>
    <m/>
    <n v="0.622"/>
    <m/>
  </r>
  <r>
    <x v="4"/>
    <x v="138"/>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5600000000000005"/>
    <s v=""/>
    <m/>
    <m/>
    <m/>
    <m/>
    <m/>
    <m/>
    <m/>
    <m/>
    <m/>
    <m/>
    <m/>
    <m/>
    <m/>
    <m/>
    <m/>
    <m/>
    <m/>
    <m/>
    <m/>
    <m/>
    <m/>
    <m/>
    <n v="0.55600000000000005"/>
    <m/>
  </r>
  <r>
    <x v="3"/>
    <x v="44"/>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1800000000000002"/>
    <s v=""/>
    <m/>
    <m/>
    <m/>
    <m/>
    <m/>
    <m/>
    <m/>
    <m/>
    <m/>
    <m/>
    <m/>
    <m/>
    <m/>
    <m/>
    <m/>
    <m/>
    <m/>
    <m/>
    <m/>
    <m/>
    <m/>
    <m/>
    <n v="0.51800000000000002"/>
    <m/>
  </r>
  <r>
    <x v="4"/>
    <x v="66"/>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8100000000000001"/>
    <s v=""/>
    <m/>
    <m/>
    <m/>
    <m/>
    <m/>
    <m/>
    <m/>
    <m/>
    <m/>
    <m/>
    <m/>
    <m/>
    <m/>
    <m/>
    <m/>
    <m/>
    <m/>
    <m/>
    <m/>
    <m/>
    <m/>
    <m/>
    <n v="0.38100000000000001"/>
    <m/>
  </r>
  <r>
    <x v="4"/>
    <x v="137"/>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9099999999999997"/>
    <s v=""/>
    <m/>
    <m/>
    <m/>
    <m/>
    <m/>
    <m/>
    <m/>
    <m/>
    <m/>
    <m/>
    <m/>
    <m/>
    <m/>
    <m/>
    <m/>
    <m/>
    <m/>
    <m/>
    <m/>
    <m/>
    <m/>
    <m/>
    <n v="0.59099999999999997"/>
    <m/>
  </r>
  <r>
    <x v="4"/>
    <x v="8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
    <s v=""/>
    <m/>
    <m/>
    <m/>
    <m/>
    <m/>
    <m/>
    <m/>
    <m/>
    <m/>
    <m/>
    <m/>
    <m/>
    <m/>
    <m/>
    <m/>
    <m/>
    <m/>
    <m/>
    <m/>
    <m/>
    <m/>
    <m/>
    <n v="0.5"/>
    <m/>
  </r>
  <r>
    <x v="4"/>
    <x v="81"/>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2400000000000001"/>
    <s v=""/>
    <m/>
    <m/>
    <m/>
    <m/>
    <m/>
    <m/>
    <m/>
    <m/>
    <m/>
    <m/>
    <m/>
    <m/>
    <m/>
    <m/>
    <m/>
    <m/>
    <m/>
    <m/>
    <m/>
    <m/>
    <m/>
    <m/>
    <n v="0.32400000000000001"/>
    <m/>
  </r>
  <r>
    <x v="3"/>
    <x v="13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90600000000000003"/>
    <s v=""/>
    <m/>
    <m/>
    <m/>
    <m/>
    <m/>
    <m/>
    <m/>
    <m/>
    <m/>
    <m/>
    <m/>
    <m/>
    <m/>
    <m/>
    <m/>
    <m/>
    <m/>
    <m/>
    <m/>
    <m/>
    <m/>
    <m/>
    <n v="0.90600000000000003"/>
    <m/>
  </r>
  <r>
    <x v="5"/>
    <x v="140"/>
    <s v="Fresh or Not Specified"/>
    <s v="Oatmeal"/>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Yes"/>
    <s v="No"/>
    <s v="No"/>
    <m/>
    <s v="cradle to grave"/>
    <s v="no?"/>
    <s v="Yes"/>
    <s v="1 kg"/>
    <m/>
    <s v=""/>
    <s v=""/>
    <n v="0.65051999999999999"/>
    <s v=""/>
    <m/>
    <m/>
    <m/>
    <m/>
    <m/>
    <m/>
    <m/>
    <m/>
    <m/>
    <m/>
    <m/>
    <m/>
    <m/>
    <n v="0.65051999999999999"/>
    <m/>
    <m/>
    <n v="4.1700000000000001E-2"/>
    <n v="3.3360000000000001E-2"/>
    <n v="5.0039999999999994E-2"/>
    <n v="5.0039999999999994E-2"/>
    <m/>
    <m/>
    <n v="0.65051999999999999"/>
    <n v="0.83399999999999996"/>
  </r>
  <r>
    <x v="7"/>
    <x v="141"/>
    <s v="Fresh or Not Specified"/>
    <s v="Medium Strength"/>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10740000000000001"/>
    <s v=""/>
    <m/>
    <m/>
    <m/>
    <m/>
    <m/>
    <m/>
    <m/>
    <m/>
    <m/>
    <m/>
    <m/>
    <m/>
    <m/>
    <n v="0.10740000000000001"/>
    <m/>
    <m/>
    <m/>
    <m/>
    <n v="0.15036000000000002"/>
    <n v="0.27924000000000004"/>
    <m/>
    <m/>
    <n v="0.10740000000000001"/>
    <n v="0.53700000000000003"/>
  </r>
  <r>
    <x v="3"/>
    <x v="142"/>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38279999999999997"/>
    <s v=""/>
    <m/>
    <m/>
    <m/>
    <m/>
    <m/>
    <m/>
    <m/>
    <m/>
    <m/>
    <m/>
    <m/>
    <m/>
    <m/>
    <n v="0.38279999999999997"/>
    <m/>
    <m/>
    <n v="5.9400000000000001E-2"/>
    <m/>
    <n v="0.1386"/>
    <n v="1.9800000000000002E-2"/>
    <n v="5.9400000000000001E-2"/>
    <m/>
    <n v="0.38279999999999997"/>
    <n v="0.66"/>
  </r>
  <r>
    <x v="3"/>
    <x v="143"/>
    <s v="Fresh or Not Specified"/>
    <s v="greenhouse production"/>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3.8605999999999998"/>
    <s v=""/>
    <m/>
    <m/>
    <m/>
    <m/>
    <m/>
    <m/>
    <m/>
    <m/>
    <m/>
    <m/>
    <m/>
    <m/>
    <m/>
    <n v="3.8605999999999998"/>
    <m/>
    <m/>
    <m/>
    <m/>
    <m/>
    <n v="0.11939999999999999"/>
    <m/>
    <m/>
    <n v="3.8605999999999998"/>
    <n v="3.98"/>
  </r>
  <r>
    <x v="0"/>
    <x v="4"/>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11.802700000000002"/>
    <s v=""/>
    <m/>
    <m/>
    <m/>
    <m/>
    <m/>
    <m/>
    <m/>
    <m/>
    <m/>
    <m/>
    <m/>
    <m/>
    <m/>
    <n v="11.791700000000001"/>
    <m/>
    <m/>
    <m/>
    <n v="0.12870000000000001"/>
    <n v="1.0276000000000001"/>
    <n v="0.1217"/>
    <m/>
    <m/>
    <n v="11.802700000000002"/>
    <n v="12.97"/>
  </r>
  <r>
    <x v="1"/>
    <x v="144"/>
    <s v="Fresh or Not Specified"/>
    <s v="Snails, semi-intensive rearing system in Southern Italy"/>
    <s v="No"/>
    <s v="Italy"/>
    <n v="2016"/>
    <s v="Annachiara Forte a,⁎, Amalia Zucaro a, Gionata De Vico a, Angelo Fierro a,b"/>
    <s v="a Dipartimento di Biologia, Università di Napoli Federico II, Italy_x000a_b Laboratorio di Urbanistica e di Pianificazione del Territorio (LUPT), Università di Napoli Federico II, Italy"/>
    <s v="Peer Reviewed Journal"/>
    <s v="Forte, A., Zucaro, A., Vico, G. D. and Fierro, A., Carbon footprint of heliciculture : A case study from an Italian experimental farm. AGSY 2016, 142, 99-111."/>
    <s v="Yes"/>
    <s v="No"/>
    <s v="No"/>
    <s v="Yes"/>
    <s v="Yes"/>
    <s v="No"/>
    <s v="No"/>
    <s v="No"/>
    <s v="No"/>
    <s v="No"/>
    <s v="No"/>
    <s v="No"/>
    <m/>
    <s v="cradle to farm gate"/>
    <s v="No"/>
    <s v="Yes"/>
    <s v="1 kg edible snail meat"/>
    <m/>
    <s v=""/>
    <s v=""/>
    <n v="0.7"/>
    <s v=""/>
    <m/>
    <m/>
    <m/>
    <m/>
    <m/>
    <m/>
    <m/>
    <m/>
    <m/>
    <m/>
    <m/>
    <m/>
    <m/>
    <n v="0.7"/>
    <m/>
    <m/>
    <n v="6.9999999999999993E-3"/>
    <m/>
    <m/>
    <m/>
    <m/>
    <m/>
    <n v="0.7"/>
    <m/>
  </r>
  <r>
    <x v="10"/>
    <x v="145"/>
    <m/>
    <m/>
    <s v="No"/>
    <s v="Italy"/>
    <n v="2014"/>
    <s v="Fabio Gresta,1 Anna I. De Luca,1 Alfio Strano,1 Giacomo Falcone,1 Carmelo Santonoceto,1 Umberto Anastasi,2 Giovanni Gulisano1"/>
    <s v="1Department of Agriculture (AGRARIA), Mediterranean University of Reggio Calabria;2Department of Agricultural and Food Science (DISPA), University of Catania, Italy"/>
    <s v="Peer Reviewed Journal"/>
    <s v="Gresta, F., De Luca, A. I., Strano, A., Falcone, G., Santonoceto, C., Anastasi, U. and Gulisano, G., Economic and environmental sustainability analysis of guar (Cyamopsis tetragonoloba L.) farming process in a Mediterranean area: two case studies. Italian Journal of Agronomy 2014, 9 (1), 20-20."/>
    <s v="Yes"/>
    <s v="No"/>
    <s v="No"/>
    <s v="No"/>
    <s v="No"/>
    <s v="No"/>
    <s v="No"/>
    <s v="No"/>
    <s v="No"/>
    <s v="No"/>
    <s v="No"/>
    <s v="No"/>
    <m/>
    <s v="cradle to gate"/>
    <s v="No"/>
    <s v="No"/>
    <s v="ha"/>
    <s v="used reported yield to convert to 1 kg guar seed"/>
    <s v=""/>
    <s v=""/>
    <n v="1.4"/>
    <s v=""/>
    <m/>
    <m/>
    <m/>
    <m/>
    <m/>
    <m/>
    <m/>
    <m/>
    <m/>
    <m/>
    <m/>
    <m/>
    <m/>
    <m/>
    <m/>
    <m/>
    <m/>
    <m/>
    <m/>
    <m/>
    <m/>
    <m/>
    <n v="1.4"/>
    <m/>
  </r>
  <r>
    <x v="4"/>
    <x v="89"/>
    <s v="Fresh or Not Specified"/>
    <s v="organic"/>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5.61"/>
    <s v=""/>
    <n v="0.41399999999999998"/>
    <s v=""/>
    <m/>
    <m/>
    <m/>
    <m/>
    <m/>
    <m/>
    <m/>
    <m/>
    <m/>
    <n v="5.61"/>
    <m/>
    <m/>
    <m/>
    <m/>
    <m/>
    <m/>
    <m/>
    <m/>
    <m/>
    <m/>
    <m/>
    <m/>
    <n v="0.41399999999999998"/>
    <m/>
  </r>
  <r>
    <x v="4"/>
    <x v="89"/>
    <s v="Fresh or Not Specified"/>
    <s v="conventional"/>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8"/>
    <s v=""/>
    <n v="0.53600000000000003"/>
    <s v=""/>
    <m/>
    <m/>
    <m/>
    <m/>
    <m/>
    <m/>
    <m/>
    <m/>
    <m/>
    <n v="8"/>
    <m/>
    <m/>
    <m/>
    <m/>
    <m/>
    <m/>
    <m/>
    <m/>
    <m/>
    <m/>
    <m/>
    <m/>
    <n v="0.53600000000000003"/>
    <m/>
  </r>
  <r>
    <x v="10"/>
    <x v="146"/>
    <s v="Dried"/>
    <s v="ave. of three farms"/>
    <s v="No"/>
    <s v="Thailand"/>
    <n v="2015"/>
    <s v="Phairat Usubharatana and Harnpon Phungrassami"/>
    <s v="Chemical Engineering Dept, Thammasat Univ, Pathumthani, Thailand"/>
    <s v="Peer Reviewed Journal"/>
    <s v="Usubharatana, P. and Phungrassami, H., ScienceDirect Carbon Footprint of Cassava Starch Production in North-Eastern Thailand. Procedia CIRP 2015, 00, 462-467."/>
    <s v="Yes"/>
    <s v="No"/>
    <s v="Yes"/>
    <s v="Yes"/>
    <s v="No"/>
    <s v="No"/>
    <s v="No"/>
    <s v="No"/>
    <s v="No"/>
    <s v="No"/>
    <s v="No"/>
    <s v="No"/>
    <m/>
    <s v="cradle to processor gate"/>
    <s v="No"/>
    <s v="Yes"/>
    <s v="1000 kg dry native starch"/>
    <s v="/1000"/>
    <s v=""/>
    <s v=""/>
    <n v="0.30199999999999999"/>
    <n v="0.59399999999999997"/>
    <m/>
    <m/>
    <m/>
    <m/>
    <m/>
    <m/>
    <m/>
    <m/>
    <m/>
    <m/>
    <m/>
    <m/>
    <m/>
    <n v="0.30199999999999999"/>
    <m/>
    <n v="0.29199999999999998"/>
    <m/>
    <m/>
    <m/>
    <m/>
    <m/>
    <m/>
    <n v="0.30199999999999999"/>
    <n v="0.59399999999999997"/>
  </r>
  <r>
    <x v="8"/>
    <x v="46"/>
    <s v="Fresh or Not Specified"/>
    <m/>
    <s v="No"/>
    <s v="Indonesia/Malays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3.2585000000000002"/>
    <n v="4.2419000000000002"/>
    <m/>
    <m/>
    <m/>
    <m/>
    <m/>
    <m/>
    <m/>
    <m/>
    <m/>
    <m/>
    <m/>
    <m/>
    <m/>
    <n v="3.2585000000000002"/>
    <m/>
    <n v="0.98340000000000005"/>
    <m/>
    <m/>
    <m/>
    <m/>
    <m/>
    <m/>
    <n v="3.2585000000000002"/>
    <n v="4.2418999999999993"/>
  </r>
  <r>
    <x v="8"/>
    <x v="147"/>
    <s v="Fresh or Not Specified"/>
    <m/>
    <s v="No"/>
    <s v="Europ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2469999999999999"/>
    <n v="2.63"/>
    <m/>
    <m/>
    <m/>
    <m/>
    <m/>
    <m/>
    <m/>
    <m/>
    <m/>
    <m/>
    <m/>
    <m/>
    <m/>
    <n v="2.2469999999999999"/>
    <m/>
    <n v="0.38300000000000001"/>
    <m/>
    <m/>
    <m/>
    <m/>
    <m/>
    <m/>
    <n v="2.2469999999999999"/>
    <n v="2.7280000000000002"/>
  </r>
  <r>
    <x v="8"/>
    <x v="49"/>
    <s v="Fresh or Not Specified"/>
    <m/>
    <s v="No"/>
    <s v="Ukrain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1.968"/>
    <n v="2.6459999999999999"/>
    <m/>
    <m/>
    <m/>
    <m/>
    <m/>
    <m/>
    <m/>
    <m/>
    <m/>
    <m/>
    <m/>
    <m/>
    <m/>
    <n v="1.968"/>
    <m/>
    <n v="0.67800000000000005"/>
    <m/>
    <m/>
    <m/>
    <m/>
    <m/>
    <m/>
    <n v="1.968"/>
    <n v="2.6360000000000001"/>
  </r>
  <r>
    <x v="8"/>
    <x v="50"/>
    <s v="Fresh or Not Specified"/>
    <m/>
    <s v="No"/>
    <s v="Ind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714"/>
    <n v="4.9488000000000003"/>
    <m/>
    <m/>
    <m/>
    <m/>
    <m/>
    <m/>
    <m/>
    <m/>
    <m/>
    <m/>
    <m/>
    <m/>
    <m/>
    <n v="2.714"/>
    <m/>
    <n v="2.2347999999999999"/>
    <m/>
    <m/>
    <m/>
    <m/>
    <m/>
    <m/>
    <n v="2.714"/>
    <n v="4.9487999999999994"/>
  </r>
  <r>
    <x v="8"/>
    <x v="51"/>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8.5329999999999995"/>
    <n v="8.8000699999999998"/>
    <s v=""/>
    <s v=""/>
    <n v="8.5329999999999995"/>
    <m/>
    <n v="0.26706999999999997"/>
    <n v="1.0069999999999999"/>
    <n v="0.22209999999999999"/>
    <m/>
    <m/>
    <m/>
    <m/>
    <n v="8.5329999999999995"/>
    <n v="10.029"/>
    <m/>
    <m/>
    <m/>
    <m/>
    <m/>
    <m/>
    <m/>
    <m/>
    <m/>
    <m/>
    <m/>
    <m/>
    <m/>
  </r>
  <r>
    <x v="8"/>
    <x v="49"/>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5.1790000000000003"/>
    <n v="5.7941000000000003"/>
    <s v=""/>
    <s v=""/>
    <n v="5.1790000000000003"/>
    <n v="8.09E-2"/>
    <n v="0.53420000000000001"/>
    <n v="1.4929000000000001"/>
    <n v="0.44419999999999998"/>
    <m/>
    <m/>
    <m/>
    <m/>
    <n v="5.1790000000000003"/>
    <n v="7.7949999999999999"/>
    <m/>
    <m/>
    <m/>
    <m/>
    <m/>
    <m/>
    <m/>
    <m/>
    <m/>
    <m/>
    <m/>
    <m/>
    <m/>
  </r>
  <r>
    <x v="8"/>
    <x v="47"/>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6.0730000000000004"/>
    <n v="6.4828999999999999"/>
    <s v=""/>
    <s v=""/>
    <n v="6.0730000000000004"/>
    <n v="8.09E-2"/>
    <n v="0.32900000000000001"/>
    <n v="0.95889999999999997"/>
    <n v="0.1777"/>
    <m/>
    <m/>
    <m/>
    <m/>
    <n v="6.0730000000000004"/>
    <n v="7.6189999999999998"/>
    <m/>
    <m/>
    <m/>
    <m/>
    <m/>
    <m/>
    <m/>
    <m/>
    <m/>
    <m/>
    <m/>
    <m/>
    <m/>
  </r>
  <r>
    <x v="11"/>
    <x v="148"/>
    <s v="Fresh or Not Specified"/>
    <s v="Hazelnut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64"/>
    <m/>
    <m/>
    <m/>
    <m/>
    <m/>
    <m/>
    <m/>
    <m/>
    <m/>
    <m/>
    <m/>
    <m/>
    <m/>
    <n v="0.52"/>
    <n v="0.03"/>
    <n v="0.09"/>
    <n v="0.36"/>
    <n v="0.2"/>
    <m/>
    <m/>
    <m/>
    <m/>
    <n v="0.52"/>
    <n v="1.2"/>
  </r>
  <r>
    <x v="11"/>
    <x v="115"/>
    <s v="Fresh or Not Specified"/>
    <s v="Peanut in Bag"/>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2"/>
    <m/>
    <m/>
    <m/>
    <m/>
    <m/>
    <m/>
    <m/>
    <m/>
    <m/>
    <m/>
    <m/>
    <m/>
    <m/>
    <n v="0.62"/>
    <n v="0.09"/>
    <n v="0.11"/>
    <n v="0.33"/>
    <n v="0.2"/>
    <m/>
    <m/>
    <m/>
    <m/>
    <n v="0.62"/>
    <n v="1.36"/>
  </r>
  <r>
    <x v="11"/>
    <x v="149"/>
    <s v="Fresh or Not Specified"/>
    <s v="Hazelnut paste in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78"/>
    <n v="7.0000000000000007E-2"/>
    <m/>
    <m/>
    <m/>
    <m/>
    <n v="0.52"/>
    <n v="1.59"/>
  </r>
  <r>
    <x v="11"/>
    <x v="130"/>
    <s v="Fresh or Not Specified"/>
    <s v="Peanut paste in US"/>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78"/>
    <n v="7.0000000000000007E-2"/>
    <m/>
    <m/>
    <m/>
    <m/>
    <n v="0.62"/>
    <n v="1.75"/>
  </r>
  <r>
    <x v="11"/>
    <x v="149"/>
    <s v="Fresh or Not Specified"/>
    <s v="Hazelnut paste in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83"/>
    <n v="0.2"/>
    <m/>
    <m/>
    <m/>
    <m/>
    <n v="0.52"/>
    <n v="1.78"/>
  </r>
  <r>
    <x v="11"/>
    <x v="130"/>
    <s v="Fresh or Not Specified"/>
    <s v="Peanut paste in EU Market"/>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82"/>
    <n v="0.2"/>
    <m/>
    <m/>
    <m/>
    <m/>
    <n v="0.62"/>
    <n v="1.93"/>
  </r>
  <r>
    <x v="11"/>
    <x v="150"/>
    <s v="Fresh or Not Specified"/>
    <s v="Pistachio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74"/>
    <n v="1.84"/>
    <m/>
    <m/>
    <m/>
    <m/>
    <m/>
    <m/>
    <m/>
    <m/>
    <m/>
    <m/>
    <m/>
    <m/>
    <m/>
    <n v="1.74"/>
    <n v="0.04"/>
    <n v="0.06"/>
    <n v="0.3"/>
    <n v="0.2"/>
    <m/>
    <m/>
    <m/>
    <m/>
    <n v="1.74"/>
    <n v="2.33"/>
  </r>
  <r>
    <x v="11"/>
    <x v="82"/>
    <s v="Fresh or Not Specified"/>
    <s v="Almond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5"/>
    <n v="2.08"/>
    <m/>
    <m/>
    <m/>
    <m/>
    <m/>
    <m/>
    <m/>
    <m/>
    <m/>
    <m/>
    <m/>
    <m/>
    <m/>
    <n v="1.95"/>
    <n v="0.03"/>
    <n v="0.1"/>
    <n v="0.34"/>
    <n v="0.2"/>
    <m/>
    <m/>
    <m/>
    <m/>
    <n v="1.95"/>
    <n v="2.61"/>
  </r>
  <r>
    <x v="11"/>
    <x v="151"/>
    <s v="Fresh or Not Specified"/>
    <s v="Hazelnut spread cream in jar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00000000000001"/>
    <n v="1.77"/>
    <m/>
    <m/>
    <m/>
    <m/>
    <m/>
    <m/>
    <m/>
    <m/>
    <m/>
    <m/>
    <m/>
    <m/>
    <m/>
    <n v="1.1300000000000001"/>
    <n v="0.04"/>
    <n v="0.6"/>
    <n v="0.78"/>
    <n v="7.0000000000000007E-2"/>
    <m/>
    <m/>
    <m/>
    <m/>
    <n v="1.1300000000000001"/>
    <n v="2.61"/>
  </r>
  <r>
    <x v="11"/>
    <x v="151"/>
    <s v="Fresh or Not Specified"/>
    <s v="Hazelnut spread cream in jar EU"/>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99999999999999"/>
    <n v="1.7799999999999998"/>
    <m/>
    <m/>
    <m/>
    <m/>
    <m/>
    <m/>
    <m/>
    <m/>
    <m/>
    <m/>
    <m/>
    <m/>
    <m/>
    <n v="1.1399999999999999"/>
    <n v="0.04"/>
    <n v="0.6"/>
    <n v="0.82"/>
    <n v="0.2"/>
    <m/>
    <m/>
    <m/>
    <m/>
    <n v="1.1399999999999999"/>
    <n v="2.81"/>
  </r>
  <r>
    <x v="11"/>
    <x v="82"/>
    <s v="Fresh or Not Specified"/>
    <s v="Almond paste, US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78"/>
    <n v="7.0000000000000007E-2"/>
    <m/>
    <m/>
    <m/>
    <m/>
    <n v="1.93"/>
    <n v="2.89"/>
  </r>
  <r>
    <x v="11"/>
    <x v="82"/>
    <s v="Fresh or Not Specified"/>
    <s v="Almond paste,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83"/>
    <n v="0.2"/>
    <m/>
    <m/>
    <m/>
    <m/>
    <n v="1.93"/>
    <n v="3.07"/>
  </r>
  <r>
    <x v="11"/>
    <x v="152"/>
    <s v="Fresh or Not Specified"/>
    <s v="Chocolate covered hazelnu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2.41"/>
    <n v="2.6100000000000003"/>
    <m/>
    <m/>
    <m/>
    <m/>
    <m/>
    <m/>
    <m/>
    <m/>
    <m/>
    <m/>
    <m/>
    <m/>
    <m/>
    <n v="2.41"/>
    <n v="0.04"/>
    <n v="0.16"/>
    <n v="0.61"/>
    <n v="0.2"/>
    <m/>
    <m/>
    <m/>
    <m/>
    <n v="2.41"/>
    <n v="3.43"/>
  </r>
  <r>
    <x v="11"/>
    <x v="82"/>
    <s v="Fresh or Not Specified"/>
    <s v="Chocolate covered almond"/>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4.16"/>
    <n v="4.3100000000000005"/>
    <m/>
    <m/>
    <m/>
    <m/>
    <m/>
    <m/>
    <m/>
    <m/>
    <m/>
    <m/>
    <m/>
    <m/>
    <m/>
    <n v="4.16"/>
    <n v="0.04"/>
    <n v="0.11"/>
    <n v="0.28999999999999998"/>
    <n v="0.2"/>
    <m/>
    <m/>
    <m/>
    <m/>
    <n v="4.16"/>
    <n v="4.8"/>
  </r>
  <r>
    <x v="11"/>
    <x v="116"/>
    <s v="Fresh or Not Specified"/>
    <s v="small scale mechaniz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41424"/>
    <m/>
    <m/>
    <m/>
    <m/>
    <m/>
    <m/>
    <m/>
    <m/>
    <m/>
    <m/>
    <m/>
    <m/>
    <m/>
    <m/>
    <n v="8.702E-2"/>
    <n v="0.32722000000000001"/>
    <n v="2.1930000000000002E-2"/>
    <n v="0.21873999999999999"/>
    <m/>
    <m/>
    <m/>
    <m/>
    <m/>
    <n v="0.65490999999999999"/>
  </r>
  <r>
    <x v="11"/>
    <x v="116"/>
    <s v="Fresh or Not Specified"/>
    <s v="large scale mechani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14235"/>
    <m/>
    <m/>
    <m/>
    <m/>
    <m/>
    <m/>
    <m/>
    <m/>
    <m/>
    <m/>
    <m/>
    <m/>
    <m/>
    <m/>
    <n v="8.702E-2"/>
    <n v="5.5329999999999997E-2"/>
    <n v="2.1930000000000002E-2"/>
    <n v="0.21873999999999999"/>
    <m/>
    <m/>
    <m/>
    <m/>
    <m/>
    <n v="0.38302000000000003"/>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833500000000002"/>
    <m/>
    <m/>
    <m/>
    <m/>
    <m/>
    <m/>
    <m/>
    <m/>
    <m/>
    <m/>
    <m/>
    <m/>
    <m/>
    <m/>
    <n v="8.702E-2"/>
    <n v="1.8963300000000001"/>
    <n v="2.1930000000000002E-2"/>
    <n v="0.21873999999999999"/>
    <m/>
    <m/>
    <m/>
    <m/>
    <m/>
    <n v="2.2240199999999999"/>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2003399999999997"/>
    <m/>
    <m/>
    <m/>
    <m/>
    <m/>
    <m/>
    <m/>
    <m/>
    <m/>
    <m/>
    <m/>
    <m/>
    <m/>
    <m/>
    <n v="8.702E-2"/>
    <n v="3.1133199999999999"/>
    <n v="2.1930000000000002E-2"/>
    <n v="0.21873999999999999"/>
    <m/>
    <m/>
    <m/>
    <m/>
    <m/>
    <n v="3.4410099999999995"/>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1412"/>
    <m/>
    <m/>
    <m/>
    <m/>
    <m/>
    <m/>
    <m/>
    <m/>
    <m/>
    <m/>
    <m/>
    <m/>
    <m/>
    <m/>
    <n v="8.702E-2"/>
    <n v="1.0541799999999999"/>
    <n v="2.1930000000000002E-2"/>
    <n v="0.21873999999999999"/>
    <m/>
    <m/>
    <m/>
    <m/>
    <m/>
    <n v="1.3818699999999999"/>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2345999999999999"/>
    <m/>
    <m/>
    <m/>
    <m/>
    <m/>
    <m/>
    <m/>
    <m/>
    <m/>
    <m/>
    <m/>
    <m/>
    <m/>
    <m/>
    <n v="8.702E-2"/>
    <n v="2.14758"/>
    <n v="2.1930000000000002E-2"/>
    <n v="0.21873999999999999"/>
    <m/>
    <m/>
    <m/>
    <m/>
    <m/>
    <n v="2.4752699999999996"/>
  </r>
  <r>
    <x v="11"/>
    <x v="116"/>
    <s v="Fresh or Not Specified"/>
    <s v="small scale mechaniz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7007"/>
    <m/>
    <m/>
    <m/>
    <m/>
    <m/>
    <m/>
    <m/>
    <m/>
    <m/>
    <m/>
    <m/>
    <m/>
    <m/>
    <m/>
    <n v="1.6428499999999999"/>
    <n v="0.32722000000000001"/>
    <n v="2.0310000000000002E-2"/>
    <n v="0.36062"/>
    <m/>
    <m/>
    <m/>
    <m/>
    <m/>
    <n v="2.351"/>
  </r>
  <r>
    <x v="11"/>
    <x v="116"/>
    <s v="Fresh or Not Specified"/>
    <s v="large scale mechani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69818"/>
    <m/>
    <m/>
    <m/>
    <m/>
    <m/>
    <m/>
    <m/>
    <m/>
    <m/>
    <m/>
    <m/>
    <m/>
    <m/>
    <m/>
    <n v="1.6428499999999999"/>
    <n v="5.5329999999999997E-2"/>
    <n v="2.0310000000000002E-2"/>
    <n v="0.36062"/>
    <m/>
    <m/>
    <m/>
    <m/>
    <m/>
    <n v="2.07911"/>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53918"/>
    <m/>
    <m/>
    <m/>
    <m/>
    <m/>
    <m/>
    <m/>
    <m/>
    <m/>
    <m/>
    <m/>
    <m/>
    <m/>
    <m/>
    <n v="1.6428499999999999"/>
    <n v="1.8963300000000001"/>
    <n v="2.0310000000000002E-2"/>
    <n v="0.36062"/>
    <m/>
    <m/>
    <m/>
    <m/>
    <m/>
    <n v="3.9201099999999998"/>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4.75617"/>
    <m/>
    <m/>
    <m/>
    <m/>
    <m/>
    <m/>
    <m/>
    <m/>
    <m/>
    <m/>
    <m/>
    <m/>
    <m/>
    <m/>
    <n v="1.6428499999999999"/>
    <n v="3.1133199999999999"/>
    <n v="2.0310000000000002E-2"/>
    <n v="0.36062"/>
    <m/>
    <m/>
    <m/>
    <m/>
    <m/>
    <n v="5.1371000000000002"/>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6970299999999998"/>
    <m/>
    <m/>
    <m/>
    <m/>
    <m/>
    <m/>
    <m/>
    <m/>
    <m/>
    <m/>
    <m/>
    <m/>
    <m/>
    <m/>
    <n v="1.6428499999999999"/>
    <n v="1.0541799999999999"/>
    <n v="2.0310000000000002E-2"/>
    <n v="0.36062"/>
    <m/>
    <m/>
    <m/>
    <m/>
    <m/>
    <n v="3.077959999999999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7904299999999997"/>
    <m/>
    <m/>
    <m/>
    <m/>
    <m/>
    <m/>
    <m/>
    <m/>
    <m/>
    <m/>
    <m/>
    <m/>
    <m/>
    <m/>
    <n v="1.6428499999999999"/>
    <n v="2.14758"/>
    <n v="2.0310000000000002E-2"/>
    <n v="0.36062"/>
    <m/>
    <m/>
    <m/>
    <m/>
    <m/>
    <n v="4.17136"/>
  </r>
  <r>
    <x v="10"/>
    <x v="153"/>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6"/>
    <m/>
    <m/>
    <m/>
    <m/>
    <m/>
    <m/>
    <m/>
    <m/>
    <m/>
    <m/>
    <m/>
    <m/>
    <n v="72.5"/>
  </r>
  <r>
    <x v="10"/>
    <x v="154"/>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675"/>
    <m/>
    <m/>
    <m/>
    <m/>
    <m/>
    <m/>
    <m/>
    <m/>
    <m/>
    <m/>
    <m/>
    <m/>
    <n v="43"/>
  </r>
  <r>
    <x v="7"/>
    <x v="65"/>
    <s v="Fresh or Not Specified"/>
    <s v="Natural Orange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5.6"/>
    <n v="8.3999999999999986"/>
    <n v="0.47399999999999998"/>
    <n v="0.55120000000000002"/>
    <n v="5.6"/>
    <m/>
    <n v="2.8"/>
    <m/>
    <n v="5.6"/>
    <m/>
    <m/>
    <m/>
    <m/>
    <n v="5.6"/>
    <n v="14"/>
    <m/>
    <m/>
    <n v="0.47399999999999998"/>
    <m/>
    <n v="7.7200000000000005E-2"/>
    <m/>
    <n v="0.30790000000000001"/>
    <m/>
    <m/>
    <m/>
    <m/>
    <n v="0.47399999999999998"/>
    <n v="0.85909999999999997"/>
  </r>
  <r>
    <x v="7"/>
    <x v="155"/>
    <s v="Fresh or Not Specified"/>
    <s v="Natural Lemon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4"/>
    <n v="6"/>
    <n v="0.26400000000000001"/>
    <n v="0.33160000000000001"/>
    <n v="4"/>
    <m/>
    <n v="2"/>
    <m/>
    <n v="4"/>
    <m/>
    <m/>
    <m/>
    <m/>
    <n v="4"/>
    <n v="9.8000000000000007"/>
    <m/>
    <m/>
    <n v="0.26400000000000001"/>
    <m/>
    <n v="6.7599999999999993E-2"/>
    <m/>
    <n v="0.28999999999999998"/>
    <m/>
    <m/>
    <m/>
    <m/>
    <n v="0.26400000000000001"/>
    <n v="0.62159999999999993"/>
  </r>
  <r>
    <x v="7"/>
    <x v="156"/>
    <s v="Frozen"/>
    <s v="Orange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
    <m/>
    <m/>
    <m/>
    <m/>
    <m/>
    <m/>
    <m/>
    <m/>
    <m/>
    <m/>
    <m/>
    <m/>
    <n v="5.7"/>
  </r>
  <r>
    <x v="7"/>
    <x v="157"/>
    <s v="Frozen"/>
    <s v="Lemon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76"/>
    <m/>
    <m/>
    <m/>
    <m/>
    <m/>
    <m/>
    <m/>
    <m/>
    <m/>
    <m/>
    <m/>
    <m/>
    <n v="4"/>
  </r>
  <r>
    <x v="4"/>
    <x v="73"/>
    <s v="Canned"/>
    <s v="Spanish-style green table, packed in tins, ave. of 3 tin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6.840999999999998"/>
    <m/>
    <m/>
    <m/>
    <m/>
    <m/>
    <m/>
    <m/>
    <m/>
    <m/>
    <m/>
    <m/>
    <n v="0.56869999999999998"/>
    <n v="9.1310000000000002"/>
  </r>
  <r>
    <x v="4"/>
    <x v="73"/>
    <s v="Canned"/>
    <s v="Spanish-style green table, packed in glass jars, ave. of 6 jar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9.774999999999999"/>
    <m/>
    <m/>
    <m/>
    <m/>
    <m/>
    <m/>
    <m/>
    <m/>
    <m/>
    <m/>
    <m/>
    <n v="0.56869999999999998"/>
    <n v="8.3840000000000003"/>
  </r>
  <r>
    <x v="4"/>
    <x v="81"/>
    <s v="Fresh or Not Specified"/>
    <s v="Straw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250kg"/>
    <s v="/0.25"/>
    <n v="9.6999999999999993"/>
    <s v=""/>
    <n v="0.32400000000000001"/>
    <s v=""/>
    <n v="9.6999999999999993"/>
    <m/>
    <m/>
    <n v="4.484"/>
    <n v="0.6"/>
    <m/>
    <m/>
    <n v="0.02"/>
    <m/>
    <n v="9.6999999999999993"/>
    <n v="14.8"/>
    <s v="NRE e Impact 2002 þ v. 2.04:"/>
    <m/>
    <n v="0.32400000000000001"/>
    <m/>
    <m/>
    <n v="0.16400000000000001"/>
    <n v="0.04"/>
    <m/>
    <m/>
    <n v="2.4E-2"/>
    <m/>
    <n v="0.32400000000000001"/>
    <n v="0.55200000000000005"/>
  </r>
  <r>
    <x v="4"/>
    <x v="79"/>
    <s v="Fresh or Not Specified"/>
    <s v="Blue 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2320000000000002"/>
    <s v=""/>
    <n v="0.16800000000000001"/>
    <s v=""/>
    <n v="3.2320000000000002"/>
    <m/>
    <m/>
    <n v="4.4880000000000004"/>
    <n v="1.248"/>
    <m/>
    <m/>
    <n v="1.6E-2"/>
    <m/>
    <n v="3.2320000000000002"/>
    <n v="8.984"/>
    <s v="NRE e Impact 2002 þ v. 2.04:"/>
    <m/>
    <n v="0.16800000000000001"/>
    <m/>
    <m/>
    <n v="0.16800000000000001"/>
    <n v="0.08"/>
    <m/>
    <m/>
    <n v="2.4E-2"/>
    <m/>
    <n v="0.16800000000000001"/>
    <n v="0.44"/>
  </r>
  <r>
    <x v="4"/>
    <x v="68"/>
    <s v="Fresh or Not Specified"/>
    <s v="Raspberry"/>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8479999999999999"/>
    <s v=""/>
    <n v="0.192"/>
    <s v=""/>
    <n v="3.8479999999999999"/>
    <m/>
    <m/>
    <n v="4.4880000000000004"/>
    <n v="0.6"/>
    <m/>
    <m/>
    <n v="1.6E-2"/>
    <m/>
    <n v="3.8479999999999999"/>
    <n v="8.952"/>
    <s v="NRE e Impact 2002 þ v. 2.04:"/>
    <m/>
    <n v="0.192"/>
    <m/>
    <m/>
    <n v="0.16800000000000001"/>
    <n v="3.2000000000000001E-2"/>
    <m/>
    <m/>
    <n v="2.4E-2"/>
    <m/>
    <n v="0.192"/>
    <n v="0.41599999999999998"/>
  </r>
  <r>
    <x v="11"/>
    <x v="148"/>
    <s v="Fresh or Not Specified"/>
    <s v="Small farms &lt;1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7522999999999997"/>
  </r>
  <r>
    <x v="11"/>
    <x v="148"/>
    <s v="Fresh or Not Specified"/>
    <s v="Medium farms 1&lt;ha&lt;3"/>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66598999999999997"/>
  </r>
  <r>
    <x v="11"/>
    <x v="148"/>
    <s v="Fresh or Not Specified"/>
    <s v="Large farms &gt;3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5046000000000002"/>
  </r>
  <r>
    <x v="7"/>
    <x v="65"/>
    <s v="Processed"/>
    <s v="large scale organic orange juice"/>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retail, residue use included"/>
    <s v="No"/>
    <s v="Yes"/>
    <s v="1 tonne oranges at farm gate"/>
    <s v="/1000"/>
    <n v="0.95199999999999996"/>
    <s v=""/>
    <n v="0.114"/>
    <s v=""/>
    <m/>
    <m/>
    <m/>
    <m/>
    <m/>
    <m/>
    <m/>
    <m/>
    <m/>
    <n v="0.95199999999999996"/>
    <m/>
    <m/>
    <m/>
    <m/>
    <m/>
    <m/>
    <m/>
    <m/>
    <m/>
    <m/>
    <m/>
    <m/>
    <n v="0.114"/>
    <m/>
  </r>
  <r>
    <x v="7"/>
    <x v="65"/>
    <s v="Fresh or Not Specified"/>
    <s v="Small scale organic orange orchard"/>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Yes"/>
    <s v="Yes"/>
    <s v="Yes"/>
    <s v="Yes"/>
    <s v="No"/>
    <s v="No"/>
    <s v="No"/>
    <s v="No"/>
    <s v="No"/>
    <s v="No"/>
    <m/>
    <s v="Cradle to farm gate only"/>
    <s v="No"/>
    <s v="No"/>
    <s v="1 tonne oranges at farm gate and 1 litre of OJ sold to denmark"/>
    <s v="/1000 until farm gate, then (*1.048)kg/L"/>
    <n v="0.89312977099236635"/>
    <n v="2.7452290076335877"/>
    <n v="0.10305343511450381"/>
    <n v="0.17080152671755722"/>
    <n v="0.89312977099236635"/>
    <m/>
    <n v="1.8520992366412214"/>
    <m/>
    <n v="3.646946564885496"/>
    <m/>
    <m/>
    <m/>
    <m/>
    <n v="0.89312977099236635"/>
    <n v="6.3921755725190836"/>
    <m/>
    <m/>
    <n v="0.10305343511450381"/>
    <m/>
    <n v="6.7748091603053423E-2"/>
    <m/>
    <n v="0.23282442748091603"/>
    <m/>
    <m/>
    <m/>
    <m/>
    <n v="0.10305343511450381"/>
    <n v="0.40458015267175568"/>
  </r>
  <r>
    <x v="7"/>
    <x v="65"/>
    <s v="Fresh or Not Specified"/>
    <s v="Small scale conventional orange orchards"/>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farm gate only"/>
    <s v="No"/>
    <s v="No"/>
    <s v="1 tonne oranges at farm gate"/>
    <s v="/1000"/>
    <n v="1.2649999999999999"/>
    <s v=""/>
    <n v="0.112"/>
    <s v=""/>
    <m/>
    <m/>
    <m/>
    <m/>
    <m/>
    <m/>
    <m/>
    <m/>
    <m/>
    <n v="1.2649999999999999"/>
    <m/>
    <m/>
    <m/>
    <m/>
    <m/>
    <m/>
    <m/>
    <m/>
    <m/>
    <m/>
    <m/>
    <m/>
    <n v="0.112"/>
    <m/>
  </r>
  <r>
    <x v="4"/>
    <x v="137"/>
    <s v="Fresh or Not Specified"/>
    <s v="Growth"/>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2.38"/>
    <s v=""/>
    <n v="0.125"/>
    <s v=""/>
    <m/>
    <m/>
    <m/>
    <m/>
    <m/>
    <m/>
    <m/>
    <m/>
    <m/>
    <n v="2.38"/>
    <m/>
    <m/>
    <m/>
    <m/>
    <m/>
    <m/>
    <m/>
    <m/>
    <m/>
    <m/>
    <m/>
    <m/>
    <n v="0.125"/>
    <m/>
  </r>
  <r>
    <x v="4"/>
    <x v="137"/>
    <s v="Fresh or Not Specified"/>
    <s v="Low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76"/>
    <s v=""/>
    <n v="0.183"/>
    <s v=""/>
    <m/>
    <m/>
    <m/>
    <m/>
    <m/>
    <m/>
    <m/>
    <m/>
    <m/>
    <n v="1.76"/>
    <m/>
    <m/>
    <m/>
    <m/>
    <m/>
    <m/>
    <m/>
    <m/>
    <m/>
    <m/>
    <m/>
    <m/>
    <n v="0.183"/>
    <m/>
  </r>
  <r>
    <x v="4"/>
    <x v="137"/>
    <s v="Fresh or Not Specified"/>
    <s v="Moderate"/>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0900000000000001"/>
    <s v=""/>
    <n v="0.125"/>
    <s v=""/>
    <m/>
    <m/>
    <m/>
    <m/>
    <m/>
    <m/>
    <m/>
    <m/>
    <m/>
    <n v="1.0900000000000001"/>
    <m/>
    <m/>
    <m/>
    <m/>
    <m/>
    <m/>
    <m/>
    <m/>
    <m/>
    <m/>
    <m/>
    <m/>
    <n v="0.125"/>
    <m/>
  </r>
  <r>
    <x v="4"/>
    <x v="137"/>
    <s v="Fresh or Not Specified"/>
    <s v="High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62"/>
    <s v=""/>
    <n v="0.16200000000000001"/>
    <s v=""/>
    <m/>
    <m/>
    <m/>
    <m/>
    <m/>
    <m/>
    <m/>
    <m/>
    <m/>
    <n v="1.62"/>
    <m/>
    <m/>
    <m/>
    <m/>
    <m/>
    <m/>
    <m/>
    <m/>
    <m/>
    <m/>
    <m/>
    <m/>
    <n v="0.16200000000000001"/>
    <m/>
  </r>
  <r>
    <x v="4"/>
    <x v="158"/>
    <s v="Fresh or Not Specified"/>
    <s v="Andean Black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r>
  <r>
    <x v="4"/>
    <x v="159"/>
    <s v="Fresh or Not Specified"/>
    <s v="Lul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8700000000000001"/>
    <s v=""/>
    <m/>
    <m/>
    <m/>
    <m/>
    <m/>
    <m/>
    <m/>
    <m/>
    <m/>
    <m/>
    <m/>
    <m/>
    <m/>
    <m/>
    <m/>
    <m/>
    <m/>
    <m/>
    <m/>
    <m/>
    <m/>
    <m/>
    <n v="0.38700000000000001"/>
    <m/>
  </r>
  <r>
    <x v="4"/>
    <x v="160"/>
    <s v="Fresh or Not Specified"/>
    <s v="Passion Fruit"/>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25"/>
    <s v=""/>
    <m/>
    <m/>
    <m/>
    <m/>
    <m/>
    <m/>
    <m/>
    <m/>
    <m/>
    <m/>
    <m/>
    <m/>
    <m/>
    <m/>
    <m/>
    <m/>
    <m/>
    <m/>
    <m/>
    <m/>
    <m/>
    <m/>
    <n v="0.125"/>
    <m/>
  </r>
  <r>
    <x v="4"/>
    <x v="161"/>
    <s v="Fresh or Not Specified"/>
    <s v="Tree Tomat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4499999999999997"/>
    <s v=""/>
    <m/>
    <m/>
    <m/>
    <m/>
    <m/>
    <m/>
    <m/>
    <m/>
    <m/>
    <m/>
    <m/>
    <m/>
    <m/>
    <m/>
    <m/>
    <m/>
    <m/>
    <m/>
    <m/>
    <m/>
    <m/>
    <m/>
    <n v="0.34499999999999997"/>
    <m/>
  </r>
  <r>
    <x v="4"/>
    <x v="162"/>
    <s v="Fresh or Not Specified"/>
    <s v="Golden 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89"/>
    <s v=""/>
    <m/>
    <m/>
    <m/>
    <m/>
    <m/>
    <m/>
    <m/>
    <m/>
    <m/>
    <m/>
    <m/>
    <m/>
    <m/>
    <m/>
    <m/>
    <m/>
    <m/>
    <m/>
    <m/>
    <m/>
    <m/>
    <m/>
    <n v="0.189"/>
    <m/>
  </r>
  <r>
    <x v="4"/>
    <x v="43"/>
    <s v="Fresh or Not Specified"/>
    <s v="Pineapple"/>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60499999999999998"/>
    <s v=""/>
    <m/>
    <m/>
    <m/>
    <m/>
    <m/>
    <m/>
    <m/>
    <m/>
    <m/>
    <m/>
    <m/>
    <m/>
    <m/>
    <m/>
    <m/>
    <m/>
    <m/>
    <m/>
    <m/>
    <m/>
    <m/>
    <m/>
    <n v="0.60499999999999998"/>
    <m/>
  </r>
  <r>
    <x v="4"/>
    <x v="89"/>
    <s v="Fresh or Not Specified"/>
    <s v="Avacad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r>
  <r>
    <x v="4"/>
    <x v="163"/>
    <s v="Fresh or Not Specified"/>
    <s v="Mang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441"/>
    <s v=""/>
    <m/>
    <m/>
    <m/>
    <m/>
    <m/>
    <m/>
    <m/>
    <m/>
    <m/>
    <m/>
    <m/>
    <m/>
    <m/>
    <m/>
    <m/>
    <m/>
    <m/>
    <m/>
    <m/>
    <m/>
    <m/>
    <m/>
    <n v="0.441"/>
    <m/>
  </r>
  <r>
    <x v="4"/>
    <x v="66"/>
    <s v="Fresh or Not Specified"/>
    <s v="Appl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r>
  <r>
    <x v="4"/>
    <x v="164"/>
    <s v="Fresh or Not Specified"/>
    <s v="Cherri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r>
  <r>
    <x v="4"/>
    <x v="81"/>
    <s v="Fresh or Not Specified"/>
    <s v="Strawberrie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4"/>
    <s v=""/>
    <m/>
    <m/>
    <m/>
    <m/>
    <m/>
    <m/>
    <m/>
    <m/>
    <m/>
    <m/>
    <m/>
    <m/>
    <m/>
    <m/>
    <m/>
    <m/>
    <m/>
    <m/>
    <m/>
    <m/>
    <m/>
    <m/>
    <n v="0.84"/>
    <n v="0.93799999999999994"/>
  </r>
  <r>
    <x v="3"/>
    <x v="165"/>
    <s v="Fresh or Not Specified"/>
    <s v="Garlic,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56999999999999995"/>
    <s v=""/>
    <m/>
    <m/>
    <m/>
    <m/>
    <m/>
    <m/>
    <m/>
    <m/>
    <m/>
    <m/>
    <m/>
    <m/>
    <m/>
    <m/>
    <m/>
    <m/>
    <m/>
    <m/>
    <m/>
    <m/>
    <m/>
    <m/>
    <n v="0.56999999999999995"/>
    <n v="0.66800000000000004"/>
  </r>
  <r>
    <x v="3"/>
    <x v="166"/>
    <s v="Fresh or Not Specified"/>
    <s v="Pea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28999999999999998"/>
    <s v=""/>
    <m/>
    <m/>
    <m/>
    <m/>
    <m/>
    <m/>
    <m/>
    <m/>
    <m/>
    <m/>
    <m/>
    <m/>
    <m/>
    <m/>
    <m/>
    <m/>
    <m/>
    <m/>
    <m/>
    <m/>
    <m/>
    <m/>
    <n v="0.28999999999999998"/>
    <n v="0.38800000000000001"/>
  </r>
  <r>
    <x v="4"/>
    <x v="66"/>
    <s v="Fresh or Not Specified"/>
    <s v="Appl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55000000000000004"/>
  </r>
  <r>
    <x v="4"/>
    <x v="164"/>
    <s v="Fresh or Not Specified"/>
    <s v="Ch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67600000000000005"/>
  </r>
  <r>
    <x v="4"/>
    <x v="81"/>
    <s v="Fresh or Not Specified"/>
    <s v="Strawb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06"/>
    <s v=""/>
    <m/>
    <m/>
    <m/>
    <m/>
    <m/>
    <m/>
    <m/>
    <m/>
    <m/>
    <m/>
    <m/>
    <m/>
    <m/>
    <m/>
    <m/>
    <m/>
    <m/>
    <m/>
    <m/>
    <m/>
    <m/>
    <m/>
    <n v="1.06"/>
    <n v="1.2270000000000001"/>
  </r>
  <r>
    <x v="3"/>
    <x v="165"/>
    <s v="Fresh or Not Specified"/>
    <s v="Garlic,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
    <s v=""/>
    <m/>
    <m/>
    <m/>
    <m/>
    <m/>
    <m/>
    <m/>
    <m/>
    <m/>
    <m/>
    <m/>
    <m/>
    <m/>
    <m/>
    <m/>
    <m/>
    <m/>
    <m/>
    <m/>
    <m/>
    <m/>
    <m/>
    <n v="0.68"/>
    <n v="0.874"/>
  </r>
  <r>
    <x v="3"/>
    <x v="166"/>
    <s v="Fresh or Not Specified"/>
    <s v="Pea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0.59699999999999998"/>
  </r>
  <r>
    <x v="4"/>
    <x v="66"/>
    <s v="Fresh or Not Specified"/>
    <s v="Appl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3.093"/>
  </r>
  <r>
    <x v="4"/>
    <x v="164"/>
    <s v="Fresh or Not Specified"/>
    <s v="Ch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2.157"/>
  </r>
  <r>
    <x v="4"/>
    <x v="81"/>
    <s v="Fresh or Not Specified"/>
    <s v="Strawb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39"/>
    <s v=""/>
    <m/>
    <m/>
    <m/>
    <m/>
    <m/>
    <m/>
    <m/>
    <m/>
    <m/>
    <m/>
    <m/>
    <m/>
    <m/>
    <m/>
    <m/>
    <m/>
    <m/>
    <m/>
    <m/>
    <m/>
    <m/>
    <m/>
    <n v="1.39"/>
    <n v="7.3520000000000003"/>
  </r>
  <r>
    <x v="3"/>
    <x v="165"/>
    <s v="Fresh or Not Specified"/>
    <s v="Garlic,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700000000000006"/>
    <s v=""/>
    <m/>
    <m/>
    <m/>
    <m/>
    <m/>
    <m/>
    <m/>
    <m/>
    <m/>
    <m/>
    <m/>
    <m/>
    <m/>
    <m/>
    <m/>
    <m/>
    <m/>
    <m/>
    <m/>
    <m/>
    <m/>
    <m/>
    <n v="0.68700000000000006"/>
    <n v="11.420999999999999"/>
  </r>
  <r>
    <x v="3"/>
    <x v="166"/>
    <s v="Fresh or Not Specified"/>
    <s v="Pea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10.635"/>
  </r>
  <r>
    <x v="4"/>
    <x v="91"/>
    <s v="Fresh or Not Specified"/>
    <s v="Gold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17"/>
    <s v=""/>
    <m/>
    <m/>
    <m/>
    <m/>
    <m/>
    <m/>
    <m/>
    <m/>
    <m/>
    <m/>
    <m/>
    <m/>
    <m/>
    <m/>
    <m/>
    <m/>
    <m/>
    <m/>
    <m/>
    <m/>
    <m/>
    <m/>
    <n v="0.217"/>
    <m/>
  </r>
  <r>
    <x v="4"/>
    <x v="91"/>
    <s v="Fresh or Not Specified"/>
    <s v="Green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3500000000000001"/>
    <s v=""/>
    <m/>
    <m/>
    <m/>
    <m/>
    <m/>
    <m/>
    <m/>
    <m/>
    <m/>
    <m/>
    <m/>
    <m/>
    <m/>
    <m/>
    <m/>
    <m/>
    <m/>
    <m/>
    <m/>
    <m/>
    <m/>
    <m/>
    <n v="0.13500000000000001"/>
    <m/>
  </r>
  <r>
    <x v="4"/>
    <x v="91"/>
    <s v="Fresh or Not Specified"/>
    <s v="Green Kiwi, Integrated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4599999999999999"/>
    <s v=""/>
    <m/>
    <m/>
    <m/>
    <m/>
    <m/>
    <m/>
    <m/>
    <m/>
    <m/>
    <m/>
    <m/>
    <m/>
    <m/>
    <m/>
    <m/>
    <m/>
    <m/>
    <m/>
    <m/>
    <m/>
    <m/>
    <m/>
    <n v="0.14599999999999999"/>
    <m/>
  </r>
  <r>
    <x v="4"/>
    <x v="91"/>
    <s v="Fresh or Not Specified"/>
    <s v="Green Kiwi, Organic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0399999999999999"/>
    <s v=""/>
    <m/>
    <m/>
    <m/>
    <m/>
    <m/>
    <m/>
    <m/>
    <m/>
    <m/>
    <m/>
    <m/>
    <m/>
    <m/>
    <m/>
    <m/>
    <m/>
    <m/>
    <m/>
    <m/>
    <m/>
    <m/>
    <m/>
    <n v="0.20399999999999999"/>
    <m/>
  </r>
  <r>
    <x v="2"/>
    <x v="2"/>
    <s v="Fresh or Not Specified"/>
    <s v="Cag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6.88"/>
    <s v=""/>
    <n v="2.92"/>
    <s v=""/>
    <m/>
    <m/>
    <m/>
    <m/>
    <m/>
    <m/>
    <m/>
    <m/>
    <m/>
    <n v="16.88"/>
    <m/>
    <m/>
    <m/>
    <m/>
    <m/>
    <m/>
    <m/>
    <m/>
    <m/>
    <m/>
    <m/>
    <m/>
    <n v="2.92"/>
    <m/>
  </r>
  <r>
    <x v="2"/>
    <x v="2"/>
    <s v="Fresh or Not Specified"/>
    <s v="Barn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2.2"/>
    <s v=""/>
    <n v="3.45"/>
    <s v=""/>
    <m/>
    <m/>
    <m/>
    <m/>
    <m/>
    <m/>
    <m/>
    <m/>
    <m/>
    <n v="22.2"/>
    <m/>
    <m/>
    <m/>
    <m/>
    <m/>
    <m/>
    <m/>
    <m/>
    <m/>
    <m/>
    <m/>
    <m/>
    <n v="3.45"/>
    <m/>
  </r>
  <r>
    <x v="2"/>
    <x v="2"/>
    <s v="Fresh or Not Specified"/>
    <s v="Free Range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8.78"/>
    <s v=""/>
    <n v="3.38"/>
    <s v=""/>
    <m/>
    <m/>
    <m/>
    <m/>
    <m/>
    <m/>
    <m/>
    <m/>
    <m/>
    <n v="18.78"/>
    <m/>
    <m/>
    <m/>
    <m/>
    <m/>
    <m/>
    <m/>
    <m/>
    <m/>
    <m/>
    <m/>
    <m/>
    <n v="3.38"/>
    <m/>
  </r>
  <r>
    <x v="2"/>
    <x v="2"/>
    <s v="Fresh or Not Specified"/>
    <s v="Organic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6.41"/>
    <s v=""/>
    <n v="3.42"/>
    <s v=""/>
    <m/>
    <m/>
    <m/>
    <m/>
    <m/>
    <m/>
    <m/>
    <m/>
    <m/>
    <n v="26.41"/>
    <m/>
    <m/>
    <m/>
    <m/>
    <m/>
    <m/>
    <m/>
    <m/>
    <m/>
    <m/>
    <m/>
    <m/>
    <n v="3.42"/>
    <m/>
  </r>
  <r>
    <x v="3"/>
    <x v="19"/>
    <s v="Fresh or Not Specified"/>
    <s v="Whole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0088000000000001"/>
    <n v="8.9300000000000004E-2"/>
    <n v="9.0400000000000008E-2"/>
    <n v="0.93"/>
    <n v="7.8799999999999995E-2"/>
    <m/>
    <n v="0.59219999999999995"/>
    <n v="0.80810000000000004"/>
    <m/>
    <m/>
    <n v="3.5000000000000001E-3"/>
    <m/>
    <n v="0.93"/>
    <n v="2.4127999999999998"/>
    <m/>
    <m/>
    <n v="8.9300000000000004E-2"/>
    <n v="1.1000000000000001E-3"/>
    <m/>
    <n v="8.0399999999999999E-2"/>
    <n v="1.12E-2"/>
    <m/>
    <m/>
    <n v="6.8500000000000002E-3"/>
    <m/>
    <n v="8.9300000000000004E-2"/>
    <n v="0.18940000000000001"/>
  </r>
  <r>
    <x v="3"/>
    <x v="17"/>
    <s v="Fresh or Not Specified"/>
    <s v="Tomato Past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4378"/>
    <n v="8.9300000000000004E-2"/>
    <n v="0.11840000000000001"/>
    <n v="0.93"/>
    <n v="0.1613"/>
    <n v="0.34649999999999997"/>
    <n v="0.1772"/>
    <n v="3.1339999999999999"/>
    <m/>
    <m/>
    <m/>
    <m/>
    <n v="0.93"/>
    <n v="4.7489999999999997"/>
    <m/>
    <m/>
    <n v="8.9300000000000004E-2"/>
    <n v="2.3E-3"/>
    <n v="2.6800000000000001E-2"/>
    <n v="2.07E-2"/>
    <n v="4.3499999999999997E-2"/>
    <m/>
    <m/>
    <m/>
    <m/>
    <n v="8.9300000000000004E-2"/>
    <n v="0.18260000000000001"/>
  </r>
  <r>
    <x v="3"/>
    <x v="16"/>
    <s v="Fresh or Not Specified"/>
    <s v="Whole Peel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0800000000001"/>
    <m/>
    <m/>
    <n v="8.9300000000000004E-2"/>
    <n v="2.3E-3"/>
    <n v="1.1000000000000001E-3"/>
    <n v="0.106"/>
    <n v="0.22189999999999999"/>
    <m/>
    <m/>
    <n v="1.1000000000000001E-3"/>
    <m/>
    <n v="8.9300000000000004E-2"/>
    <n v="0.40920000000000001"/>
  </r>
  <r>
    <x v="3"/>
    <x v="15"/>
    <s v="Fresh or Not Specified"/>
    <s v="Dic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27"/>
    <m/>
    <m/>
    <n v="8.9300000000000004E-2"/>
    <n v="2.3E-3"/>
    <n v="1.1000000000000001E-3"/>
    <n v="0.106"/>
    <n v="0.22189999999999999"/>
    <m/>
    <m/>
    <n v="1.1000000000000001E-3"/>
    <m/>
    <n v="8.9300000000000004E-2"/>
    <n v="0.40920000000000001"/>
  </r>
  <r>
    <x v="3"/>
    <x v="167"/>
    <s v="Fresh or Not Specified"/>
    <s v="Tomato Juic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6705000000000001"/>
    <n v="8.9300000000000004E-2"/>
    <n v="0.1002"/>
    <n v="0.93"/>
    <n v="0.1613"/>
    <n v="0.57920000000000005"/>
    <n v="1.1700999999999999"/>
    <n v="9.4019999999999992"/>
    <m/>
    <m/>
    <m/>
    <m/>
    <n v="0.93"/>
    <n v="12.242599999999999"/>
    <m/>
    <m/>
    <n v="8.9300000000000004E-2"/>
    <n v="2.3E-3"/>
    <n v="8.6E-3"/>
    <n v="0.3412"/>
    <n v="0.1305"/>
    <m/>
    <m/>
    <n v="8.0000000000000004E-4"/>
    <m/>
    <n v="8.9300000000000004E-2"/>
    <n v="0.57269999999999999"/>
  </r>
  <r>
    <x v="3"/>
    <x v="19"/>
    <s v="Fresh or Not Specified"/>
    <s v="cultivation in open-field with compost plus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9775999999999998"/>
    <s v=""/>
    <n v="0.28916999999999998"/>
    <s v=""/>
    <m/>
    <m/>
    <m/>
    <m/>
    <m/>
    <m/>
    <m/>
    <m/>
    <m/>
    <n v="3.9775999999999998"/>
    <m/>
    <m/>
    <m/>
    <m/>
    <m/>
    <m/>
    <m/>
    <m/>
    <m/>
    <m/>
    <m/>
    <m/>
    <n v="0.28916999999999998"/>
    <m/>
  </r>
  <r>
    <x v="3"/>
    <x v="19"/>
    <s v="Fresh or Not Specified"/>
    <s v="cultivation in open-field with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2599999999999998"/>
    <s v=""/>
    <n v="0.15606"/>
    <s v=""/>
    <m/>
    <m/>
    <m/>
    <m/>
    <m/>
    <m/>
    <m/>
    <m/>
    <m/>
    <n v="2.2599999999999998"/>
    <m/>
    <m/>
    <m/>
    <m/>
    <m/>
    <m/>
    <m/>
    <m/>
    <m/>
    <m/>
    <m/>
    <m/>
    <n v="0.15606"/>
    <m/>
  </r>
  <r>
    <x v="3"/>
    <x v="19"/>
    <s v="Fresh or Not Specified"/>
    <s v="cultivation under greenhouse with compost plus_x000a_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1414"/>
    <s v=""/>
    <n v="0.18207000000000001"/>
    <s v=""/>
    <m/>
    <m/>
    <m/>
    <m/>
    <m/>
    <m/>
    <m/>
    <m/>
    <m/>
    <n v="3.1414"/>
    <m/>
    <m/>
    <m/>
    <m/>
    <m/>
    <m/>
    <m/>
    <m/>
    <m/>
    <m/>
    <m/>
    <m/>
    <n v="0.18207000000000001"/>
    <m/>
  </r>
  <r>
    <x v="3"/>
    <x v="19"/>
    <s v="Fresh or Not Specified"/>
    <s v="cultivation under greenhouse with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5537999999999998"/>
    <s v=""/>
    <n v="0.153"/>
    <s v=""/>
    <m/>
    <m/>
    <m/>
    <m/>
    <m/>
    <m/>
    <m/>
    <m/>
    <m/>
    <n v="2.5537999999999998"/>
    <m/>
    <m/>
    <m/>
    <m/>
    <m/>
    <m/>
    <m/>
    <m/>
    <m/>
    <m/>
    <m/>
    <m/>
    <n v="0.153"/>
    <m/>
  </r>
  <r>
    <x v="3"/>
    <x v="57"/>
    <s v="Fresh or Not Specified"/>
    <s v="Winter Lettuce cultivated in a hoop house in Michigan and consumed in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19800000000000001"/>
  </r>
  <r>
    <x v="3"/>
    <x v="57"/>
    <s v="Fresh or Not Specified"/>
    <s v="Winter Lettuce cultivated outdoors in CA then transported to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85699999999999998"/>
  </r>
  <r>
    <x v="4"/>
    <x v="137"/>
    <s v="Fresh or Not Specified"/>
    <s v="peaches"/>
    <s v="No"/>
    <s v="Italy"/>
    <n v="2014"/>
    <s v="Carlo Ingrao (a, b); Donald Huisingh (c); Agata Matarazzo (b_x000a_); Caterina Tricase (a); Maria Teresa Clasadonte (b);"/>
    <s v="(a) Department of Economics, University of Foggia, Via Romolo Caggese, 1, 71121 Foggia Italy_x000a_; (b) Department of Economics and Business, University of Catania, Corso Italia, 55, 95129 Catania Italy_x000a_; (c) University of Tennessee, Institute for a Secure and Sustainable Environment, 311 Conference Centre Building, Knoxville, TN 37996-4134, USA"/>
    <s v="Peer Reviewed Journal"/>
    <s v="Lo Giudice, A., Mbohwa, C., Clasadonte, M. and Ingrao, C., Life cycle assessment interpretation and improvement of the Sicilian artichokes production. International Journal of Environmental Research 2014, 8 (2), 305-316."/>
    <s v="Yes"/>
    <s v="Yes"/>
    <s v="No"/>
    <s v="No"/>
    <s v="No"/>
    <s v="No"/>
    <s v="No"/>
    <s v="No"/>
    <s v="No"/>
    <s v="No"/>
    <s v="No"/>
    <s v="Yes"/>
    <s v="waste disposal - plastic boxes for fertiliser transport"/>
    <s v="Production only"/>
    <s v="No"/>
    <s v="No"/>
    <s v="1 ha of peach orchard"/>
    <s v="Conversion = 31500kg/ha.yr (mentioned in paper)"/>
    <s v=""/>
    <s v=""/>
    <s v=""/>
    <s v=""/>
    <m/>
    <m/>
    <m/>
    <m/>
    <m/>
    <m/>
    <m/>
    <m/>
    <m/>
    <m/>
    <n v="8.6666666666666661"/>
    <m/>
    <m/>
    <m/>
    <m/>
    <m/>
    <m/>
    <m/>
    <m/>
    <m/>
    <m/>
    <m/>
    <m/>
    <n v="0.23428571428571429"/>
  </r>
  <r>
    <x v="4"/>
    <x v="136"/>
    <s v="Fresh or Not Specified"/>
    <s v="Orange fruit"/>
    <s v="No"/>
    <s v="Brazil"/>
    <n v="2009"/>
    <s v="Leda Coltro (a); Anna Lúcia Mourad (a); Rojane M. Kletecke (a); Taíssa A. Mendonça (a); Sílvia P. M. Germer (a);"/>
    <s v="(a) CETEA—Packaging Technology Center,_x000a_ ITAL—Institute of Food Technology,_x000a_ P.O. Box 139, 13070-178 Campinas, SP, Brazil"/>
    <s v="Peer Reviewed Journal"/>
    <s v="Coltro, L., Mourad, A. L., Kletecke, R. M., Mendonça, T. A. and Germer, S. P. M., Assessing the environmental profile of orange production in Brazil. The International Journal of Life Cycle Assessment 2009, 14 (7), 656-664."/>
    <s v="Yes"/>
    <s v="Yes"/>
    <s v="Yes"/>
    <s v="No"/>
    <s v="No"/>
    <s v="No"/>
    <s v="No"/>
    <s v="No"/>
    <s v="No"/>
    <s v="No"/>
    <s v="No"/>
    <s v="No"/>
    <m/>
    <s v="Cradle to gate"/>
    <s v="No"/>
    <s v="No"/>
    <s v="1000 kg of orange"/>
    <s v="/1000"/>
    <s v=""/>
    <s v=""/>
    <s v=""/>
    <s v=""/>
    <m/>
    <m/>
    <m/>
    <m/>
    <m/>
    <m/>
    <m/>
    <m/>
    <m/>
    <m/>
    <n v="1.54"/>
    <m/>
    <m/>
    <m/>
    <m/>
    <m/>
    <m/>
    <m/>
    <m/>
    <m/>
    <m/>
    <m/>
    <m/>
    <m/>
  </r>
  <r>
    <x v="4"/>
    <x v="168"/>
    <s v="Fresh or Not Specified"/>
    <s v="Greenhouse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69499999999999995"/>
  </r>
  <r>
    <x v="4"/>
    <x v="81"/>
    <s v="Fresh or Not Specified"/>
    <s v="Open field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58499999999999996"/>
  </r>
  <r>
    <x v="3"/>
    <x v="94"/>
    <s v="Fresh or Not Specified"/>
    <s v="Organic Carrots"/>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33"/>
    <m/>
    <m/>
    <m/>
    <m/>
    <m/>
    <m/>
    <m/>
    <m/>
    <m/>
    <m/>
    <m/>
    <m/>
    <n v="4.0000000000000001E-3"/>
  </r>
  <r>
    <x v="3"/>
    <x v="94"/>
    <s v="Fresh or Not Specified"/>
    <s v="Conventional grown"/>
    <s v="Yes"/>
    <s v="Italy"/>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3.68"/>
    <m/>
    <m/>
    <m/>
    <m/>
    <m/>
    <m/>
    <m/>
    <m/>
    <m/>
    <m/>
    <m/>
    <m/>
    <n v="0.28000000000000003"/>
  </r>
  <r>
    <x v="3"/>
    <x v="94"/>
    <s v="Fresh or Not Specified"/>
    <s v="Conventional grown"/>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88"/>
    <m/>
    <m/>
    <m/>
    <m/>
    <m/>
    <m/>
    <m/>
    <m/>
    <m/>
    <m/>
    <m/>
    <m/>
    <n v="0.14199999999999999"/>
  </r>
  <r>
    <x v="4"/>
    <x v="136"/>
    <s v="Fresh or Not Specified"/>
    <s v="Integrated production"/>
    <s v="No"/>
    <s v="Italy"/>
    <n v="2013"/>
    <s v="A. Lo Giudice (a); C. Mbohwa (a); M.T. Clasadonte (b); C. Ingrao (c);"/>
    <s v="(a) Department of Quality and Operations Management Faculty of Engineering and the Built Environment, University of Johannesburg South Africa Doornfontein 2028, Johannesburg, South Africa; (b)Department of Economics and Business, University of Catania, Corso Italia 55, 95129, Catania, Italy"/>
    <s v="Peer Reviewed Journal"/>
    <s v="Giudice, A. L., Mbohwa, C., Clasadonte, M. and Incrao, C., Environmental assessment of the citrus fruit production in Sicily using LCA. Italian Journal of Food Science 2013, 25 (2), 202."/>
    <s v="Yes"/>
    <s v="No"/>
    <s v="Yes"/>
    <s v="Yes"/>
    <s v="Yes"/>
    <s v="Yes"/>
    <s v="No"/>
    <s v="No"/>
    <s v="No"/>
    <s v="No"/>
    <s v="No"/>
    <s v="Yes"/>
    <m/>
    <s v="Cradle to retail"/>
    <s v="No"/>
    <s v="No"/>
    <s v="1 ton oranges"/>
    <s v="/1000"/>
    <s v=""/>
    <s v=""/>
    <s v=""/>
    <s v=""/>
    <m/>
    <m/>
    <m/>
    <m/>
    <m/>
    <m/>
    <m/>
    <m/>
    <m/>
    <m/>
    <n v="5.53"/>
    <m/>
    <m/>
    <m/>
    <m/>
    <m/>
    <m/>
    <m/>
    <m/>
    <m/>
    <m/>
    <m/>
    <m/>
    <n v="0.25700000000000001"/>
  </r>
  <r>
    <x v="3"/>
    <x v="18"/>
    <s v="Fresh or Not Specified"/>
    <s v="Waste volatisation -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22.352170000000001"/>
    <s v=""/>
    <n v="0.812253"/>
    <s v=""/>
    <n v="22.352170000000001"/>
    <m/>
    <m/>
    <n v="4.7519999999999998"/>
    <m/>
    <m/>
    <m/>
    <m/>
    <n v="7.8029999999999999"/>
    <n v="22.352170000000001"/>
    <n v="35"/>
    <m/>
    <m/>
    <n v="0.812253"/>
    <m/>
    <m/>
    <n v="5.0326999999999997E-2"/>
    <m/>
    <m/>
    <m/>
    <m/>
    <n v="0.49769999999999998"/>
    <n v="0.812253"/>
    <n v="1.37"/>
  </r>
  <r>
    <x v="3"/>
    <x v="18"/>
    <s v="Fresh or Not Specified"/>
    <s v="Natural gas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50.963999999999999"/>
    <s v=""/>
    <n v="3.0140340000000001"/>
    <s v=""/>
    <n v="50.963999999999999"/>
    <m/>
    <m/>
    <n v="4.7519999999999998"/>
    <m/>
    <m/>
    <m/>
    <m/>
    <n v="7.8029999999999999"/>
    <n v="50.963999999999999"/>
    <n v="63.6"/>
    <m/>
    <m/>
    <n v="3.0140340000000001"/>
    <m/>
    <m/>
    <n v="5.0326999999999997E-2"/>
    <m/>
    <m/>
    <m/>
    <m/>
    <n v="0.49769999999999998"/>
    <n v="3.0140340000000001"/>
    <n v="3.59"/>
  </r>
  <r>
    <x v="3"/>
    <x v="18"/>
    <s v="Fresh or Not Specified"/>
    <s v="Cogeneration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31.48611"/>
    <s v=""/>
    <n v="2.1017410000000001"/>
    <s v=""/>
    <n v="31.48611"/>
    <m/>
    <m/>
    <n v="4.7519999999999998"/>
    <m/>
    <m/>
    <m/>
    <m/>
    <n v="7.8029999999999999"/>
    <n v="31.48611"/>
    <n v="44"/>
    <m/>
    <m/>
    <n v="2.1017410000000001"/>
    <m/>
    <m/>
    <n v="5.0326999999999997E-2"/>
    <m/>
    <m/>
    <m/>
    <m/>
    <n v="0.49769999999999998"/>
    <n v="2.1017410000000001"/>
    <n v="2.69"/>
  </r>
  <r>
    <x v="3"/>
    <x v="63"/>
    <s v="Fresh or Not Specified"/>
    <s v="Sajor-Caju Mushrooms, Small Farm (&lt; 2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9137899999999997"/>
    <s v=""/>
    <n v="3.0145179999999998"/>
    <s v=""/>
    <m/>
    <m/>
    <m/>
    <m/>
    <m/>
    <m/>
    <m/>
    <m/>
    <m/>
    <n v="4.9137899999999997"/>
    <m/>
    <m/>
    <m/>
    <m/>
    <m/>
    <m/>
    <m/>
    <m/>
    <m/>
    <m/>
    <m/>
    <m/>
    <n v="3.0145179999999998"/>
    <m/>
  </r>
  <r>
    <x v="3"/>
    <x v="63"/>
    <s v="Fresh or Not Specified"/>
    <s v="Sajor-Caju Mushrooms, Medium Farm (20,000-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5.2694879999999999"/>
    <s v=""/>
    <n v="5.0029450000000004"/>
    <s v=""/>
    <m/>
    <m/>
    <m/>
    <m/>
    <m/>
    <m/>
    <m/>
    <m/>
    <m/>
    <n v="5.2694879999999999"/>
    <m/>
    <m/>
    <m/>
    <m/>
    <m/>
    <m/>
    <m/>
    <m/>
    <m/>
    <m/>
    <m/>
    <m/>
    <n v="5.0029450000000004"/>
    <m/>
  </r>
  <r>
    <x v="3"/>
    <x v="63"/>
    <s v="Fresh or Not Specified"/>
    <s v="Sajor-Caju Mushrooms, Large Farm (&gt; 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3407419999999997"/>
    <s v=""/>
    <n v="3.371086"/>
    <s v=""/>
    <m/>
    <m/>
    <m/>
    <m/>
    <m/>
    <m/>
    <m/>
    <m/>
    <m/>
    <n v="4.3407419999999997"/>
    <m/>
    <m/>
    <m/>
    <m/>
    <m/>
    <m/>
    <m/>
    <m/>
    <m/>
    <m/>
    <m/>
    <m/>
    <n v="3.371086"/>
    <m/>
  </r>
  <r>
    <x v="3"/>
    <x v="86"/>
    <s v="Fresh or Not Specified"/>
    <s v="Cucumber,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12938999999999998"/>
    <s v=""/>
    <m/>
    <m/>
    <m/>
    <m/>
    <m/>
    <m/>
    <m/>
    <m/>
    <m/>
    <m/>
    <m/>
    <m/>
    <m/>
    <m/>
    <m/>
    <m/>
    <m/>
    <m/>
    <m/>
    <m/>
    <m/>
    <m/>
    <n v="0.12938999999999998"/>
    <m/>
  </r>
  <r>
    <x v="3"/>
    <x v="18"/>
    <s v="Fresh or Not Specified"/>
    <s v="Tomato,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24493000000000001"/>
    <s v=""/>
    <m/>
    <m/>
    <m/>
    <m/>
    <m/>
    <m/>
    <m/>
    <m/>
    <m/>
    <m/>
    <m/>
    <m/>
    <m/>
    <m/>
    <m/>
    <m/>
    <m/>
    <m/>
    <m/>
    <m/>
    <m/>
    <m/>
    <n v="0.24493000000000001"/>
    <m/>
  </r>
  <r>
    <x v="0"/>
    <x v="0"/>
    <s v="Fresh or Not Specified"/>
    <s v="Fluid Milk"/>
    <s v="No"/>
    <s v="Portugal"/>
    <n v="2010"/>
    <s v="É.G. Castanheira (a); A.C. Dias (b); L. Arroja (b); R. Amaro (c)"/>
    <s v="(a) ADAI, Department of Mechanical Engineering – University of Coimbra, 3030-788 Coimbra, Portugal; (b) CESAM, Department of Environment and Planning – University of Aveiro, 3810-193 Aveiro, Portugal; (c) CERNAS, Escola Superior Agrária, Instituto Politécnico de Coimbra, 3040-316 Coimbra, Portugal"/>
    <s v="Peer Reviewed Journal"/>
    <s v="Castanheira, É. G., Dias, A. C., Arroja, L. and Amaro, R., The environmental performance of milk production on a typical Portuguese dairy farm. Agricultural Systems 2010, 103 (7), 498-507."/>
    <s v="Yes"/>
    <s v="No"/>
    <s v="No"/>
    <s v="No"/>
    <s v="No"/>
    <s v="No"/>
    <s v="No"/>
    <s v="No"/>
    <s v="No"/>
    <s v="No"/>
    <s v="No"/>
    <s v="No"/>
    <m/>
    <s v="Cradle to Farm Gate"/>
    <s v="No"/>
    <s v="No"/>
    <s v="1 tonne raw milk delivered to farm gate"/>
    <s v="RV / 1000"/>
    <s v=""/>
    <s v=""/>
    <n v="1.02078"/>
    <s v=""/>
    <m/>
    <m/>
    <m/>
    <m/>
    <m/>
    <m/>
    <m/>
    <m/>
    <m/>
    <m/>
    <m/>
    <m/>
    <m/>
    <m/>
    <m/>
    <m/>
    <m/>
    <m/>
    <m/>
    <m/>
    <m/>
    <m/>
    <n v="1.02078"/>
    <m/>
  </r>
  <r>
    <x v="0"/>
    <x v="0"/>
    <s v="Fresh or Not Specified"/>
    <s v="Fluid Milk"/>
    <s v="No"/>
    <s v="UK"/>
    <n v="2012"/>
    <s v="DairyCo"/>
    <s v="Agriculture and Horticulture_x000a_ Development Board, UK"/>
    <s v="Government Report"/>
    <s v="DairyCo. Greenhouse gas emissions on British dairy farms: Agriculture and Horticulture Development Board; 2012."/>
    <s v="Yes"/>
    <s v="No"/>
    <s v="No"/>
    <s v="No"/>
    <s v="No"/>
    <s v="No"/>
    <s v="No"/>
    <s v="No"/>
    <s v="No"/>
    <s v="No"/>
    <s v="No"/>
    <s v="No"/>
    <m/>
    <s v="Cradle to Farm Gate"/>
    <s v="No"/>
    <s v="No"/>
    <s v="1 liter of FCMP"/>
    <s v="RV x (1000L/1m^3) x (1m^3/1035kg)"/>
    <s v=""/>
    <s v=""/>
    <n v="1.2647342995169082"/>
    <s v=""/>
    <m/>
    <m/>
    <m/>
    <m/>
    <m/>
    <m/>
    <m/>
    <m/>
    <m/>
    <m/>
    <m/>
    <m/>
    <m/>
    <m/>
    <m/>
    <m/>
    <m/>
    <m/>
    <m/>
    <m/>
    <m/>
    <m/>
    <n v="1.2647342995169082"/>
    <m/>
  </r>
  <r>
    <x v="4"/>
    <x v="66"/>
    <s v="Fresh or Not Specified"/>
    <s v="European consumption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2.4875000000000003"/>
    <s v=""/>
    <s v=""/>
    <n v="1.25"/>
    <n v="1.2375000000000003"/>
    <m/>
    <n v="0.65"/>
    <n v="0.2"/>
    <m/>
    <m/>
    <m/>
    <m/>
    <n v="1.25"/>
    <n v="3.3499999999999996"/>
    <m/>
    <m/>
    <m/>
    <m/>
    <m/>
    <m/>
    <m/>
    <m/>
    <m/>
    <m/>
    <m/>
    <m/>
    <m/>
  </r>
  <r>
    <x v="4"/>
    <x v="66"/>
    <s v="Fresh or Not Specified"/>
    <s v="European consumption, European production, not consumed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3.7475000000000001"/>
    <s v=""/>
    <s v=""/>
    <n v="1.25"/>
    <n v="2.4975000000000001"/>
    <m/>
    <n v="0.65"/>
    <n v="0.2"/>
    <m/>
    <m/>
    <m/>
    <m/>
    <n v="1.25"/>
    <n v="4.625"/>
    <m/>
    <m/>
    <m/>
    <m/>
    <m/>
    <m/>
    <m/>
    <m/>
    <m/>
    <m/>
    <m/>
    <m/>
    <m/>
  </r>
  <r>
    <x v="4"/>
    <x v="66"/>
    <s v="Fresh or Not Specified"/>
    <s v="European consumption, New Zealand production"/>
    <s v="No"/>
    <s v="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0.54749999999999999"/>
    <n v="4.6150000000000002"/>
    <s v=""/>
    <s v=""/>
    <n v="0.54749999999999999"/>
    <n v="4.0674999999999999"/>
    <m/>
    <n v="0.65"/>
    <n v="0.2"/>
    <m/>
    <m/>
    <m/>
    <m/>
    <n v="0.54749999999999999"/>
    <n v="5.4499999999999993"/>
    <m/>
    <m/>
    <m/>
    <m/>
    <m/>
    <m/>
    <m/>
    <m/>
    <m/>
    <m/>
    <m/>
    <m/>
    <m/>
  </r>
  <r>
    <x v="4"/>
    <x v="66"/>
    <s v="Fresh or Not Specified"/>
    <s v="European consumption, other southern hemisphere country production"/>
    <m/>
    <s v="Southern Hemisphere, not 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
    <n v="3.8875000000000002"/>
    <s v=""/>
    <s v=""/>
    <n v="1.2"/>
    <n v="2.6875"/>
    <m/>
    <n v="0.65"/>
    <n v="0.2"/>
    <m/>
    <m/>
    <m/>
    <m/>
    <n v="1.2"/>
    <n v="4.7250000000000005"/>
    <m/>
    <m/>
    <m/>
    <m/>
    <m/>
    <m/>
    <m/>
    <m/>
    <m/>
    <m/>
    <m/>
    <m/>
    <m/>
  </r>
  <r>
    <x v="7"/>
    <x v="110"/>
    <s v="bottled"/>
    <s v="Coca-Cola,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9438725062525446"/>
  </r>
  <r>
    <x v="7"/>
    <x v="110"/>
    <s v="bottled"/>
    <s v="Coca-Cola,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1.0469377072064212"/>
  </r>
  <r>
    <x v="7"/>
    <x v="110"/>
    <s v="bottled"/>
    <s v="Coca-Cola,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23992322456813819"/>
  </r>
  <r>
    <x v="7"/>
    <x v="110"/>
    <s v="bottled"/>
    <s v="Diet Coke,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r>
  <r>
    <x v="7"/>
    <x v="110"/>
    <s v="bottled"/>
    <s v="Diet Coke,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r>
  <r>
    <x v="7"/>
    <x v="110"/>
    <s v="bottled"/>
    <s v="Diet Coke,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r>
  <r>
    <x v="7"/>
    <x v="110"/>
    <s v="bottled"/>
    <s v="Coke Zero,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r>
  <r>
    <x v="7"/>
    <x v="110"/>
    <s v="bottled"/>
    <s v="Coke Zero,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r>
  <r>
    <x v="7"/>
    <x v="110"/>
    <s v="bottled"/>
    <s v="Coke Zero,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r>
  <r>
    <x v="7"/>
    <x v="110"/>
    <s v="bottled"/>
    <s v="Oasis, 375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87012156110044792"/>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5940594059405928"/>
    <m/>
    <m/>
    <m/>
    <m/>
    <m/>
    <m/>
    <m/>
    <m/>
    <m/>
    <m/>
    <m/>
    <m/>
    <m/>
    <n v="0.15445544554455445"/>
    <n v="1.782178217821782E-2"/>
    <n v="0.68712871287128707"/>
    <n v="0.52772277227722775"/>
    <m/>
    <m/>
    <m/>
    <m/>
    <m/>
    <n v="0.15445544554455445"/>
    <n v="1.387128712871287"/>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3960396039603957"/>
    <m/>
    <m/>
    <m/>
    <m/>
    <m/>
    <m/>
    <m/>
    <m/>
    <m/>
    <m/>
    <m/>
    <m/>
    <m/>
    <n v="0.15445544554455445"/>
    <m/>
    <n v="0.68514851485148509"/>
    <n v="6.3366336633663367E-2"/>
    <n v="0.14653465346534653"/>
    <m/>
    <m/>
    <m/>
    <m/>
    <n v="0.15445544554455445"/>
    <n v="1.0485148514851486"/>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64356435643561"/>
    <n v="0.82178217821782173"/>
    <m/>
    <m/>
    <m/>
    <m/>
    <m/>
    <m/>
    <m/>
    <m/>
    <m/>
    <m/>
    <m/>
    <m/>
    <m/>
    <n v="0.33564356435643561"/>
    <n v="0.36336633663366336"/>
    <n v="0.12277227722772277"/>
    <n v="0.17722772277227722"/>
    <m/>
    <m/>
    <m/>
    <m/>
    <m/>
    <n v="0.33564356435643561"/>
    <n v="1.0138613861386139"/>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89108910891086"/>
    <n v="0.82351485148514847"/>
    <m/>
    <m/>
    <m/>
    <m/>
    <m/>
    <m/>
    <m/>
    <m/>
    <m/>
    <m/>
    <m/>
    <m/>
    <m/>
    <n v="0.33589108910891086"/>
    <n v="0.3636138613861386"/>
    <n v="0.12400990099009901"/>
    <n v="0.19133663366336634"/>
    <m/>
    <m/>
    <m/>
    <m/>
    <m/>
    <n v="0.33589108910891086"/>
    <n v="1"/>
  </r>
  <r>
    <x v="7"/>
    <x v="141"/>
    <m/>
    <m/>
    <m/>
    <m/>
    <n v="2010"/>
    <s v="Henrik Saxe"/>
    <s v="Institute of Food and Resource Economics, Copenhagen"/>
    <s v="NGO Report"/>
    <s v="Saxe H. LCA-based comparison of the climate footprint of beer vs. wine &amp; spirits: Fødevareøkonomisk Institut, Københavns Universitet; 2010."/>
    <m/>
    <m/>
    <m/>
    <m/>
    <m/>
    <m/>
    <m/>
    <m/>
    <m/>
    <m/>
    <m/>
    <m/>
    <m/>
    <m/>
    <m/>
    <m/>
    <s v="g per litre beer"/>
    <s v="/1000/1.01 (assumed density of beer in kg/L)"/>
    <s v=""/>
    <s v=""/>
    <n v="0.29273927392739274"/>
    <n v="0.40033003300330033"/>
    <m/>
    <m/>
    <m/>
    <m/>
    <m/>
    <m/>
    <m/>
    <m/>
    <m/>
    <m/>
    <m/>
    <m/>
    <m/>
    <n v="0.29273927392739274"/>
    <m/>
    <n v="0.10759075907590759"/>
    <n v="0.36996699669966993"/>
    <n v="0.14125412541254126"/>
    <n v="0.43333333333333329"/>
    <n v="0.13828382838283829"/>
    <m/>
    <m/>
    <n v="0.29273927392739274"/>
    <n v="1.4831683168316832"/>
  </r>
  <r>
    <x v="7"/>
    <x v="141"/>
    <s v="ave bottles &amp; cans"/>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Yes"/>
    <s v="No"/>
    <s v="Yes"/>
    <m/>
    <m/>
    <m/>
    <m/>
    <s v="includes refrigeration in use phase"/>
    <m/>
    <m/>
    <s v="g per litre beer"/>
    <s v="/1000/1.01 (assumed density of beer in kg/L)"/>
    <s v=""/>
    <s v=""/>
    <s v=""/>
    <s v=""/>
    <m/>
    <m/>
    <m/>
    <m/>
    <m/>
    <m/>
    <m/>
    <m/>
    <m/>
    <m/>
    <m/>
    <m/>
    <m/>
    <m/>
    <m/>
    <m/>
    <m/>
    <m/>
    <m/>
    <m/>
    <m/>
    <m/>
    <m/>
    <m/>
  </r>
  <r>
    <x v="7"/>
    <x v="141"/>
    <s v="bottles"/>
    <s v="New Belgium Fat Tire in 6 pack bottles"/>
    <m/>
    <m/>
    <n v="2008"/>
    <s v="The Climate Conservancy"/>
    <m/>
    <s v="NGO Report"/>
    <s v="The Climate Conservancy, The Carbon Footprint of Fat Tire® Amber Ale. 2008, ."/>
    <s v="Yes"/>
    <s v="No"/>
    <s v="Yes"/>
    <s v="Yes"/>
    <s v="Yes"/>
    <s v="Yes"/>
    <s v="Yes"/>
    <s v="Yes"/>
    <s v="Yes"/>
    <s v="No"/>
    <s v="No"/>
    <s v="No"/>
    <m/>
    <m/>
    <s v="No"/>
    <m/>
    <s v="g per 6 pack"/>
    <s v="/1000/72 oz.(=2.129 L)/1.05"/>
    <s v=""/>
    <s v=""/>
    <n v="0.28101438189178912"/>
    <n v="0.38514661477554857"/>
    <m/>
    <m/>
    <m/>
    <m/>
    <m/>
    <m/>
    <m/>
    <m/>
    <m/>
    <m/>
    <m/>
    <m/>
    <m/>
    <n v="0.28101438189178912"/>
    <m/>
    <n v="0.10413223288375942"/>
    <n v="0.3566172359032857"/>
    <n v="0.13551454964324858"/>
    <n v="0.41652893153503773"/>
    <n v="0.13266161175602229"/>
    <m/>
    <m/>
    <n v="0.28101438189178912"/>
    <n v="1.4829627631621782"/>
  </r>
  <r>
    <x v="7"/>
    <x v="141"/>
    <s v="bottled"/>
    <s v="European format, 33cL bottle"/>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16176237623762377"/>
    <n v="0.26572277227722774"/>
    <m/>
    <m/>
    <m/>
    <m/>
    <m/>
    <m/>
    <m/>
    <m/>
    <m/>
    <m/>
    <m/>
    <m/>
    <m/>
    <n v="0.16176237623762377"/>
    <m/>
    <n v="0.10396039603960396"/>
    <n v="5.4475247524752475E-2"/>
    <n v="5.1980198019801978E-2"/>
    <n v="2.1207920792079206E-2"/>
    <m/>
    <m/>
    <m/>
    <n v="0.16176237623762377"/>
    <n v="0.41584158415841582"/>
  </r>
  <r>
    <x v="7"/>
    <x v="141"/>
    <s v="Canned"/>
    <s v="North American format, 255mL can"/>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29584158415841588"/>
    <n v="0.40099009900990101"/>
    <m/>
    <m/>
    <m/>
    <m/>
    <m/>
    <m/>
    <m/>
    <m/>
    <m/>
    <m/>
    <m/>
    <m/>
    <m/>
    <n v="0.29584158415841588"/>
    <m/>
    <n v="0.10514851485148514"/>
    <n v="0.37603960396039604"/>
    <n v="6.8613861386138619E-2"/>
    <n v="2.9405940594059408E-2"/>
    <m/>
    <m/>
    <m/>
    <n v="0.29584158415841588"/>
    <n v="0.8910891089108911"/>
  </r>
  <r>
    <x v="7"/>
    <x v="141"/>
    <s v="bottled"/>
    <s v="0.33 L glass bottle"/>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5.7364150943396197"/>
    <n v="7.0594339622641495"/>
    <n v="0.19801980198019803"/>
    <n v="0.27326732673267329"/>
    <n v="5.7364150943396197"/>
    <m/>
    <n v="1.3230188679245301"/>
    <n v="7.4056603773584904"/>
    <n v="0.29622641509433961"/>
    <m/>
    <m/>
    <n v="0.14811320754716981"/>
    <m/>
    <n v="5.7364150943396197"/>
    <n v="14.811320754716981"/>
    <m/>
    <m/>
    <n v="0.19801980198019803"/>
    <m/>
    <n v="7.5247524752475245E-2"/>
    <n v="0.36732673267326732"/>
    <n v="2.3762376237623763E-2"/>
    <n v="0.15247524752475247"/>
    <m/>
    <n v="5.0495049504950491E-2"/>
    <m/>
    <n v="0.19801980198019803"/>
    <n v="0.86732673267326732"/>
  </r>
  <r>
    <x v="7"/>
    <x v="141"/>
    <s v="Canned"/>
    <s v="0.44 L aluminum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3962264150943389"/>
    <n v="7.9952830188679238"/>
    <n v="0.19702970297029704"/>
    <n v="0.26930693069306932"/>
    <n v="6.3962264150943389"/>
    <m/>
    <n v="1.5990566037735847"/>
    <n v="2.45188679245283"/>
    <n v="0.10660377358490566"/>
    <m/>
    <m/>
    <n v="0.10660377358490566"/>
    <m/>
    <n v="6.3962264150943389"/>
    <n v="10.660377358490566"/>
    <m/>
    <m/>
    <n v="0.19702970297029704"/>
    <m/>
    <n v="7.2277227722772272E-2"/>
    <n v="0.24158415841584158"/>
    <n v="8.9108910891089101E-3"/>
    <n v="0.1"/>
    <m/>
    <n v="4.8514851485148516E-2"/>
    <m/>
    <n v="0.19702970297029704"/>
    <n v="0.66930693069306935"/>
  </r>
  <r>
    <x v="7"/>
    <x v="141"/>
    <s v="Canned"/>
    <s v="0.44 L steel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4132075471698116"/>
    <n v="7.9679245283018867"/>
    <n v="0.19702970297029704"/>
    <n v="0.26930693069306932"/>
    <n v="6.4132075471698116"/>
    <m/>
    <n v="1.5547169811320753"/>
    <n v="1.5547169811320753"/>
    <n v="9.7169811320754709E-2"/>
    <m/>
    <m/>
    <n v="9.7169811320754709E-2"/>
    <m/>
    <n v="6.4132075471698116"/>
    <n v="9.7169811320754711"/>
    <m/>
    <m/>
    <n v="0.19702970297029704"/>
    <m/>
    <n v="7.2277227722772272E-2"/>
    <n v="0.17623762376237623"/>
    <n v="9.9009900990099011E-3"/>
    <n v="0.1"/>
    <m/>
    <n v="4.8514851485148516E-2"/>
    <m/>
    <n v="0.19702970297029704"/>
    <n v="0.60495049504950493"/>
  </r>
  <r>
    <x v="7"/>
    <x v="169"/>
    <s v="bottled"/>
    <s v="column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67304964539007084"/>
    <n v="2.0805673758865249"/>
    <m/>
    <m/>
    <m/>
    <m/>
    <m/>
    <m/>
    <m/>
    <m/>
    <m/>
    <m/>
    <m/>
    <m/>
    <m/>
    <n v="0.67304964539007084"/>
    <m/>
    <n v="1.4075177304964539"/>
    <n v="0.98042553191489357"/>
    <n v="0.66524822695035457"/>
    <n v="8.8085106382978728E-2"/>
    <m/>
    <m/>
    <m/>
    <n v="0.67304964539007084"/>
    <n v="3.9007092198581561"/>
  </r>
  <r>
    <x v="7"/>
    <x v="169"/>
    <s v="bottled"/>
    <s v="pot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70382978723404255"/>
    <n v="2.8019858156028374"/>
    <m/>
    <m/>
    <m/>
    <m/>
    <m/>
    <m/>
    <m/>
    <m/>
    <m/>
    <m/>
    <m/>
    <m/>
    <m/>
    <n v="0.70382978723404255"/>
    <m/>
    <n v="2.0981560283687948"/>
    <n v="0.98042553191489357"/>
    <n v="0.26312056737588652"/>
    <n v="8.8085106382978728E-2"/>
    <m/>
    <m/>
    <m/>
    <n v="0.70382978723404255"/>
    <n v="4.212765957446809"/>
  </r>
  <r>
    <x v="7"/>
    <x v="169"/>
    <s v="bottled"/>
    <s v="Scotch whisky"/>
    <m/>
    <s v="Scotland"/>
    <n v="2010"/>
    <s v="Henrik Saxe"/>
    <s v="Institute of Food and Resource Economics, Copenhagen"/>
    <s v="NGO Report"/>
    <s v="Saxe, H., LCA-based comparison of the climate footprint of beer vs. wine &amp; spirits. 2010, ."/>
    <s v="Yes"/>
    <s v="No"/>
    <s v="Yes"/>
    <s v="Yes"/>
    <s v="Yes"/>
    <s v="Yes"/>
    <s v="No"/>
    <s v="No"/>
    <s v="No"/>
    <s v="No"/>
    <s v="No"/>
    <s v="No"/>
    <m/>
    <m/>
    <s v="No"/>
    <m/>
    <s v="g/L"/>
    <m/>
    <s v=""/>
    <s v=""/>
    <n v="0.65957446808510645"/>
    <n v="1.6308510638297875"/>
    <m/>
    <m/>
    <m/>
    <m/>
    <m/>
    <m/>
    <m/>
    <m/>
    <m/>
    <m/>
    <m/>
    <m/>
    <m/>
    <n v="0.65957446808510645"/>
    <m/>
    <n v="0.97127659574468095"/>
    <n v="0.50425531914893618"/>
    <n v="0.26382978723404255"/>
    <m/>
    <m/>
    <m/>
    <m/>
    <n v="0.65957446808510645"/>
    <n v="2.3989361702127661"/>
  </r>
  <r>
    <x v="8"/>
    <x v="47"/>
    <s v="Fresh or Not Specified"/>
    <s v="Soybean Oil"/>
    <s v="No"/>
    <s v="USA"/>
    <n v="2008"/>
    <s v="Loijos, A."/>
    <m/>
    <s v="Industry Based Report"/>
    <s v="Barilla Center for Food &amp; Nutrition. Database for the double pyramid construction; 2015."/>
    <s v="Yes"/>
    <s v="No"/>
    <s v="No"/>
    <s v="Yes"/>
    <s v="No"/>
    <s v="No"/>
    <s v="No"/>
    <s v="No"/>
    <s v="No"/>
    <s v="No"/>
    <s v="No"/>
    <s v="No"/>
    <m/>
    <s v="Cradle to Refinery"/>
    <s v="No"/>
    <s v="No"/>
    <s v="serving size (14 g oil)"/>
    <s v="reported value / 14"/>
    <s v=""/>
    <s v=""/>
    <s v=""/>
    <s v=""/>
    <m/>
    <m/>
    <m/>
    <m/>
    <m/>
    <m/>
    <m/>
    <m/>
    <m/>
    <m/>
    <m/>
    <m/>
    <m/>
    <m/>
    <m/>
    <m/>
    <m/>
    <m/>
    <m/>
    <m/>
    <m/>
    <m/>
    <m/>
    <n v="1.103"/>
  </r>
  <r>
    <x v="8"/>
    <x v="47"/>
    <s v="Fresh or Not Specified"/>
    <s v="Soybean Oil"/>
    <s v="No"/>
    <s v="World"/>
    <n v="2015"/>
    <s v="Schmidt, J. H."/>
    <m/>
    <s v="Peer Reviewed Journal"/>
    <s v="Barilla Center for Food &amp; Nutrition. Database for the double pyramid construction; 2015."/>
    <s v="Yes"/>
    <s v="No"/>
    <s v="No"/>
    <s v="Yes"/>
    <s v="No"/>
    <s v="No"/>
    <s v="No"/>
    <s v="No"/>
    <s v="No"/>
    <s v="No"/>
    <s v="No"/>
    <s v="No"/>
    <m/>
    <s v="Cradle to Refinery"/>
    <s v="No"/>
    <s v="No"/>
    <s v="1 tonne oil"/>
    <s v="reported value / 1000"/>
    <s v=""/>
    <s v=""/>
    <s v=""/>
    <s v=""/>
    <m/>
    <m/>
    <m/>
    <m/>
    <m/>
    <m/>
    <m/>
    <m/>
    <m/>
    <m/>
    <m/>
    <m/>
    <m/>
    <m/>
    <m/>
    <m/>
    <m/>
    <m/>
    <m/>
    <m/>
    <m/>
    <m/>
    <m/>
    <n v="2.024"/>
  </r>
  <r>
    <x v="8"/>
    <x v="47"/>
    <s v="Fresh or Not Specified"/>
    <s v="Soybean Oil"/>
    <s v="No"/>
    <s v="Argentina"/>
    <n v="2008"/>
    <s v="Dalgaard, R., J. Schmidt, N. Halberg, P.Christensen, M. Thrane, W. A. Pengue."/>
    <m/>
    <s v="Peer Reviewed Journal"/>
    <s v="Barilla Center for Food &amp; Nutrition. Database for the double pyramid construction; 2015."/>
    <s v="Yes"/>
    <s v="No"/>
    <s v="No"/>
    <s v="Yes"/>
    <s v="No"/>
    <s v="Yes"/>
    <s v="No"/>
    <s v="No"/>
    <s v="No"/>
    <s v="No"/>
    <s v="No"/>
    <s v="No"/>
    <m/>
    <s v="Cradle to Refinery"/>
    <s v="No"/>
    <s v="No"/>
    <s v="kg soybean meal"/>
    <s v="paper converts to kg oil, no adjustment necessary"/>
    <s v=""/>
    <s v=""/>
    <s v=""/>
    <s v=""/>
    <m/>
    <m/>
    <m/>
    <m/>
    <m/>
    <m/>
    <m/>
    <m/>
    <m/>
    <m/>
    <m/>
    <m/>
    <m/>
    <m/>
    <m/>
    <m/>
    <m/>
    <m/>
    <m/>
    <m/>
    <m/>
    <m/>
    <m/>
    <n v="1.36"/>
  </r>
  <r>
    <x v="4"/>
    <x v="170"/>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4"/>
    <s v=""/>
    <m/>
    <m/>
    <m/>
    <m/>
    <m/>
    <m/>
    <m/>
    <m/>
    <m/>
    <m/>
    <m/>
    <m/>
    <m/>
    <m/>
    <m/>
    <m/>
    <m/>
    <m/>
    <m/>
    <m/>
    <m/>
    <m/>
    <n v="0.84"/>
    <m/>
  </r>
  <r>
    <x v="4"/>
    <x v="17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9"/>
    <s v=""/>
    <m/>
    <m/>
    <m/>
    <m/>
    <m/>
    <m/>
    <m/>
    <m/>
    <m/>
    <m/>
    <m/>
    <m/>
    <m/>
    <m/>
    <m/>
    <m/>
    <m/>
    <m/>
    <m/>
    <m/>
    <m/>
    <m/>
    <n v="1.39"/>
    <m/>
  </r>
  <r>
    <x v="3"/>
    <x v="172"/>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5"/>
    <s v=""/>
    <m/>
    <m/>
    <m/>
    <m/>
    <m/>
    <m/>
    <m/>
    <m/>
    <m/>
    <m/>
    <m/>
    <m/>
    <m/>
    <m/>
    <m/>
    <m/>
    <m/>
    <m/>
    <m/>
    <m/>
    <m/>
    <m/>
    <n v="0.35"/>
    <m/>
  </r>
  <r>
    <x v="3"/>
    <x v="17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6"/>
    <s v=""/>
    <m/>
    <m/>
    <m/>
    <m/>
    <m/>
    <m/>
    <m/>
    <m/>
    <m/>
    <m/>
    <m/>
    <m/>
    <m/>
    <m/>
    <m/>
    <m/>
    <m/>
    <m/>
    <m/>
    <m/>
    <m/>
    <m/>
    <n v="0.46"/>
    <m/>
  </r>
  <r>
    <x v="4"/>
    <x v="173"/>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5"/>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
    <s v=""/>
    <m/>
    <m/>
    <m/>
    <m/>
    <m/>
    <m/>
    <m/>
    <m/>
    <m/>
    <m/>
    <m/>
    <m/>
    <m/>
    <m/>
    <m/>
    <m/>
    <m/>
    <m/>
    <m/>
    <m/>
    <m/>
    <m/>
    <n v="0.7"/>
    <m/>
  </r>
  <r>
    <x v="5"/>
    <x v="17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7"/>
    <s v=""/>
    <m/>
    <m/>
    <m/>
    <m/>
    <m/>
    <m/>
    <m/>
    <m/>
    <m/>
    <m/>
    <m/>
    <m/>
    <m/>
    <m/>
    <m/>
    <m/>
    <m/>
    <m/>
    <m/>
    <m/>
    <m/>
    <m/>
    <n v="0.47"/>
    <m/>
  </r>
  <r>
    <x v="11"/>
    <x v="17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05"/>
    <s v=""/>
    <m/>
    <m/>
    <m/>
    <m/>
    <m/>
    <m/>
    <m/>
    <m/>
    <m/>
    <m/>
    <m/>
    <m/>
    <m/>
    <m/>
    <m/>
    <m/>
    <m/>
    <m/>
    <m/>
    <m/>
    <m/>
    <m/>
    <n v="1.05"/>
    <m/>
  </r>
  <r>
    <x v="11"/>
    <x v="178"/>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10"/>
    <x v="17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10"/>
    <x v="180"/>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n v="0"/>
    <s v=""/>
    <n v="0.87"/>
    <s v=""/>
    <m/>
    <m/>
    <m/>
    <m/>
    <m/>
    <m/>
    <m/>
    <m/>
    <m/>
    <m/>
    <m/>
    <m/>
    <m/>
    <m/>
    <m/>
    <m/>
    <m/>
    <m/>
    <m/>
    <m/>
    <m/>
    <m/>
    <n v="0.87"/>
    <m/>
  </r>
  <r>
    <x v="4"/>
    <x v="181"/>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r>
  <r>
    <x v="4"/>
    <x v="181"/>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4"/>
    <x v="18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4"/>
    <x v="182"/>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78"/>
    <s v=""/>
    <m/>
    <m/>
    <m/>
    <m/>
    <m/>
    <m/>
    <m/>
    <m/>
    <m/>
    <m/>
    <m/>
    <m/>
    <m/>
    <m/>
    <m/>
    <m/>
    <m/>
    <m/>
    <m/>
    <m/>
    <m/>
    <m/>
    <n v="1.78"/>
    <m/>
  </r>
  <r>
    <x v="3"/>
    <x v="183"/>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11"/>
    <x v="18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61"/>
    <s v=""/>
    <m/>
    <m/>
    <m/>
    <m/>
    <m/>
    <m/>
    <m/>
    <m/>
    <m/>
    <m/>
    <m/>
    <m/>
    <m/>
    <m/>
    <m/>
    <m/>
    <m/>
    <m/>
    <m/>
    <m/>
    <m/>
    <m/>
    <n v="0.61"/>
    <m/>
  </r>
  <r>
    <x v="4"/>
    <x v="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2"/>
    <s v=""/>
    <m/>
    <m/>
    <m/>
    <m/>
    <m/>
    <m/>
    <m/>
    <m/>
    <m/>
    <m/>
    <m/>
    <m/>
    <m/>
    <m/>
    <m/>
    <m/>
    <m/>
    <m/>
    <m/>
    <m/>
    <m/>
    <m/>
    <n v="0.42"/>
    <m/>
  </r>
  <r>
    <x v="4"/>
    <x v="87"/>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5"/>
    <s v=""/>
    <m/>
    <m/>
    <m/>
    <m/>
    <m/>
    <m/>
    <m/>
    <m/>
    <m/>
    <m/>
    <m/>
    <m/>
    <m/>
    <m/>
    <m/>
    <m/>
    <m/>
    <m/>
    <m/>
    <m/>
    <m/>
    <m/>
    <n v="0.75"/>
    <m/>
  </r>
  <r>
    <x v="4"/>
    <x v="185"/>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r>
  <r>
    <x v="4"/>
    <x v="18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4"/>
    <x v="18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3"/>
    <x v="1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8"/>
    <s v=""/>
    <m/>
    <m/>
    <m/>
    <m/>
    <m/>
    <m/>
    <m/>
    <m/>
    <m/>
    <m/>
    <m/>
    <m/>
    <m/>
    <m/>
    <m/>
    <m/>
    <m/>
    <m/>
    <m/>
    <m/>
    <m/>
    <m/>
    <n v="0.48"/>
    <m/>
  </r>
  <r>
    <x v="8"/>
    <x v="188"/>
    <m/>
    <m/>
    <m/>
    <s v="US"/>
    <m/>
    <s v="Ecoinvent 3 process: (Cottonseed oil, refined {US}| cottonseed oil refinery operation | Alloc Def, U)"/>
    <m/>
    <m/>
    <s v="Swiss Center for Life Cycle Inventories, Ecoinvent Database version 3.3. 2016, 2016, ."/>
    <s v="Yes"/>
    <s v="Yes"/>
    <s v="Yes"/>
    <s v="Yes"/>
    <s v="No"/>
    <s v="No"/>
    <s v="No"/>
    <s v="No"/>
    <s v="No"/>
    <s v="No"/>
    <s v="No"/>
    <s v="No"/>
    <m/>
    <s v="at oil refinery gate"/>
    <m/>
    <m/>
    <m/>
    <m/>
    <s v=""/>
    <n v="24.8"/>
    <s v=""/>
    <n v="2.14"/>
    <m/>
    <m/>
    <n v="24.8"/>
    <m/>
    <m/>
    <m/>
    <m/>
    <m/>
    <m/>
    <m/>
    <n v="24.8"/>
    <m/>
    <m/>
    <m/>
    <m/>
    <n v="2.14"/>
    <m/>
    <m/>
    <m/>
    <m/>
    <m/>
    <m/>
    <m/>
    <n v="2.14"/>
  </r>
  <r>
    <x v="11"/>
    <x v="189"/>
    <m/>
    <m/>
    <m/>
    <s v="AU"/>
    <m/>
    <s v="Agrifootprint processes: Pea, at farm/XX Mass"/>
    <m/>
    <m/>
    <s v="Blonk Consultants. Agri-Footprint 2.0. 2015 [cited 2015] Available from: http://www.agrifootprint."/>
    <m/>
    <m/>
    <m/>
    <m/>
    <m/>
    <m/>
    <m/>
    <m/>
    <m/>
    <m/>
    <m/>
    <m/>
    <m/>
    <m/>
    <m/>
    <m/>
    <m/>
    <m/>
    <n v="7.1159132999999999"/>
    <s v=""/>
    <n v="0.74203154000000004"/>
    <s v=""/>
    <m/>
    <m/>
    <m/>
    <m/>
    <m/>
    <m/>
    <m/>
    <m/>
    <m/>
    <n v="7.1159132999999999"/>
    <m/>
    <m/>
    <m/>
    <m/>
    <m/>
    <m/>
    <m/>
    <m/>
    <m/>
    <m/>
    <m/>
    <m/>
    <n v="0.74203154000000004"/>
    <m/>
  </r>
  <r>
    <x v="11"/>
    <x v="189"/>
    <m/>
    <m/>
    <m/>
    <s v="CZ"/>
    <m/>
    <s v="Agrifootprint processes: Pea, at farm/XX Mass"/>
    <m/>
    <m/>
    <s v="Blonk Consultants. Agri-Footprint 2.0. 2015 [cited 2015] Available from: http://www.agrifootprint."/>
    <m/>
    <m/>
    <m/>
    <m/>
    <m/>
    <m/>
    <m/>
    <m/>
    <m/>
    <m/>
    <m/>
    <m/>
    <m/>
    <m/>
    <m/>
    <m/>
    <m/>
    <m/>
    <n v="3.0132927999999999"/>
    <s v=""/>
    <n v="0.40359191"/>
    <s v=""/>
    <m/>
    <m/>
    <m/>
    <m/>
    <m/>
    <m/>
    <m/>
    <m/>
    <m/>
    <n v="3.0132927999999999"/>
    <m/>
    <m/>
    <m/>
    <m/>
    <m/>
    <m/>
    <m/>
    <m/>
    <m/>
    <m/>
    <m/>
    <m/>
    <n v="0.40359191"/>
    <m/>
  </r>
  <r>
    <x v="11"/>
    <x v="189"/>
    <m/>
    <m/>
    <m/>
    <s v="DE"/>
    <m/>
    <s v="Agrifootprint processes: Pea, at farm/XX Mass"/>
    <m/>
    <m/>
    <s v="Blonk Consultants. Agri-Footprint 2.0. 2015 [cited 2015] Available from: http://www.agrifootprint."/>
    <m/>
    <m/>
    <m/>
    <m/>
    <m/>
    <m/>
    <m/>
    <m/>
    <m/>
    <m/>
    <m/>
    <m/>
    <m/>
    <m/>
    <m/>
    <m/>
    <m/>
    <m/>
    <n v="2.9477362"/>
    <s v=""/>
    <n v="0.50794855000000005"/>
    <s v=""/>
    <m/>
    <m/>
    <m/>
    <m/>
    <m/>
    <m/>
    <m/>
    <m/>
    <m/>
    <n v="2.9477362"/>
    <m/>
    <m/>
    <m/>
    <m/>
    <m/>
    <m/>
    <m/>
    <m/>
    <m/>
    <m/>
    <m/>
    <m/>
    <n v="0.50794855000000005"/>
    <m/>
  </r>
  <r>
    <x v="11"/>
    <x v="189"/>
    <m/>
    <m/>
    <m/>
    <s v="ES"/>
    <m/>
    <s v="Agrifootprint processes: Pea, at farm/XX Mass"/>
    <m/>
    <m/>
    <s v="Blonk Consultants. Agri-Footprint 2.0. 2015 [cited 2015] Available from: http://www.agrifootprint."/>
    <m/>
    <m/>
    <m/>
    <m/>
    <m/>
    <m/>
    <m/>
    <m/>
    <m/>
    <m/>
    <m/>
    <m/>
    <m/>
    <m/>
    <m/>
    <m/>
    <m/>
    <m/>
    <n v="6.1614000999999998"/>
    <s v=""/>
    <n v="2.0447562000000001"/>
    <s v=""/>
    <m/>
    <m/>
    <m/>
    <m/>
    <m/>
    <m/>
    <m/>
    <m/>
    <m/>
    <n v="6.1614000999999998"/>
    <m/>
    <m/>
    <m/>
    <m/>
    <m/>
    <m/>
    <m/>
    <m/>
    <m/>
    <m/>
    <m/>
    <m/>
    <n v="2.0447562000000001"/>
    <m/>
  </r>
  <r>
    <x v="11"/>
    <x v="189"/>
    <m/>
    <m/>
    <m/>
    <s v="FR"/>
    <m/>
    <s v="Agrifootprint processes: Pea, at farm/XX Mass"/>
    <m/>
    <m/>
    <s v="Blonk Consultants. Agri-Footprint 2.0. 2015 [cited 2015] Available from: http://www.agrifootprint."/>
    <m/>
    <m/>
    <m/>
    <m/>
    <m/>
    <m/>
    <m/>
    <m/>
    <m/>
    <m/>
    <m/>
    <m/>
    <m/>
    <m/>
    <m/>
    <m/>
    <m/>
    <m/>
    <n v="2.2760601"/>
    <s v=""/>
    <n v="0.26357739000000002"/>
    <s v=""/>
    <m/>
    <m/>
    <m/>
    <m/>
    <m/>
    <m/>
    <m/>
    <m/>
    <m/>
    <n v="2.2760601"/>
    <m/>
    <m/>
    <m/>
    <m/>
    <m/>
    <m/>
    <m/>
    <m/>
    <m/>
    <m/>
    <m/>
    <m/>
    <n v="0.26357739000000002"/>
    <m/>
  </r>
  <r>
    <x v="11"/>
    <x v="189"/>
    <m/>
    <m/>
    <m/>
    <s v="IT"/>
    <m/>
    <s v="Agrifootprint processes: Pea, at farm/XX Mass"/>
    <m/>
    <m/>
    <s v="Blonk Consultants. Agri-Footprint 2.0. 2015 [cited 2015] Available from: http://www.agrifootprint."/>
    <m/>
    <m/>
    <m/>
    <m/>
    <m/>
    <m/>
    <m/>
    <m/>
    <m/>
    <m/>
    <m/>
    <m/>
    <m/>
    <m/>
    <m/>
    <m/>
    <m/>
    <m/>
    <n v="3.0091594000000002"/>
    <s v=""/>
    <n v="0.44686640999999999"/>
    <s v=""/>
    <m/>
    <m/>
    <m/>
    <m/>
    <m/>
    <m/>
    <m/>
    <m/>
    <m/>
    <n v="3.0091594000000002"/>
    <m/>
    <m/>
    <m/>
    <m/>
    <m/>
    <m/>
    <m/>
    <m/>
    <m/>
    <m/>
    <m/>
    <m/>
    <n v="0.44686640999999999"/>
    <m/>
  </r>
  <r>
    <x v="11"/>
    <x v="189"/>
    <m/>
    <m/>
    <m/>
    <s v="RO"/>
    <m/>
    <s v="Agrifootprint processes: Pea, at farm/XX Mass"/>
    <m/>
    <m/>
    <s v="Blonk Consultants. Agri-Footprint 2.0. 2015 [cited 2015] Available from: http://www.agrifootprint."/>
    <m/>
    <m/>
    <m/>
    <m/>
    <m/>
    <m/>
    <m/>
    <m/>
    <m/>
    <m/>
    <m/>
    <m/>
    <m/>
    <m/>
    <m/>
    <m/>
    <m/>
    <m/>
    <n v="3.9729307999999999"/>
    <s v=""/>
    <n v="0.53576064000000001"/>
    <s v=""/>
    <m/>
    <m/>
    <m/>
    <m/>
    <m/>
    <m/>
    <m/>
    <m/>
    <m/>
    <n v="3.9729307999999999"/>
    <m/>
    <m/>
    <m/>
    <m/>
    <m/>
    <m/>
    <m/>
    <m/>
    <m/>
    <m/>
    <m/>
    <m/>
    <n v="0.53576064000000001"/>
    <m/>
  </r>
  <r>
    <x v="11"/>
    <x v="189"/>
    <m/>
    <m/>
    <m/>
    <s v="SE"/>
    <m/>
    <s v="Agrifootprint processes: Pea, at farm/XX Mass"/>
    <m/>
    <m/>
    <s v="Blonk Consultants. Agri-Footprint 2.0. 2015 [cited 2015] Available from: http://www.agrifootprint."/>
    <m/>
    <m/>
    <m/>
    <m/>
    <m/>
    <m/>
    <m/>
    <m/>
    <m/>
    <m/>
    <m/>
    <m/>
    <m/>
    <m/>
    <m/>
    <m/>
    <m/>
    <m/>
    <n v="2.2949158000000001"/>
    <s v=""/>
    <n v="0.32196740000000001"/>
    <s v=""/>
    <m/>
    <m/>
    <m/>
    <m/>
    <m/>
    <m/>
    <m/>
    <m/>
    <m/>
    <n v="2.2949158000000001"/>
    <m/>
    <m/>
    <m/>
    <m/>
    <m/>
    <m/>
    <m/>
    <m/>
    <m/>
    <m/>
    <m/>
    <m/>
    <n v="0.32196740000000001"/>
    <m/>
  </r>
  <r>
    <x v="11"/>
    <x v="189"/>
    <m/>
    <m/>
    <m/>
    <s v="UK"/>
    <m/>
    <s v="Agrifootprint processes: Pea, at farm/XX Mass"/>
    <m/>
    <m/>
    <s v="Blonk Consultants. Agri-Footprint 2.0. 2015 [cited 2015] Available from: http://www.agrifootprint."/>
    <m/>
    <m/>
    <m/>
    <m/>
    <m/>
    <m/>
    <m/>
    <m/>
    <m/>
    <m/>
    <m/>
    <m/>
    <m/>
    <m/>
    <m/>
    <m/>
    <m/>
    <m/>
    <n v="2.0325096999999999"/>
    <s v=""/>
    <n v="0.2892537"/>
    <s v=""/>
    <m/>
    <m/>
    <m/>
    <m/>
    <m/>
    <m/>
    <m/>
    <m/>
    <m/>
    <n v="2.0325096999999999"/>
    <m/>
    <m/>
    <m/>
    <m/>
    <m/>
    <m/>
    <m/>
    <m/>
    <m/>
    <m/>
    <m/>
    <m/>
    <n v="0.2892537"/>
    <m/>
  </r>
  <r>
    <x v="11"/>
    <x v="190"/>
    <m/>
    <m/>
    <m/>
    <s v="AR"/>
    <m/>
    <s v="Agrifootprint processes: Sunflower seed, at farm/XX Mass"/>
    <m/>
    <m/>
    <s v="Blonk Consultants. Agri-Footprint 2.0. 2015 [cited 2015] Available from: http://www.agrifootprint."/>
    <m/>
    <m/>
    <m/>
    <m/>
    <m/>
    <m/>
    <m/>
    <m/>
    <m/>
    <m/>
    <m/>
    <m/>
    <m/>
    <m/>
    <m/>
    <m/>
    <m/>
    <m/>
    <n v="6.0645585000000004"/>
    <s v=""/>
    <n v="0.58053664999999999"/>
    <s v=""/>
    <m/>
    <m/>
    <m/>
    <m/>
    <m/>
    <m/>
    <m/>
    <m/>
    <m/>
    <n v="6.0645585000000004"/>
    <m/>
    <m/>
    <m/>
    <m/>
    <m/>
    <m/>
    <m/>
    <m/>
    <m/>
    <m/>
    <m/>
    <m/>
    <n v="0.58053664999999999"/>
    <m/>
  </r>
  <r>
    <x v="11"/>
    <x v="190"/>
    <m/>
    <m/>
    <m/>
    <s v="BG"/>
    <m/>
    <s v="Agrifootprint processes: Sunflower seed, at farm/XX Mass"/>
    <m/>
    <m/>
    <s v="Blonk Consultants. Agri-Footprint 2.0. 2015 [cited 2015] Available from: http://www.agrifootprint."/>
    <m/>
    <m/>
    <m/>
    <m/>
    <m/>
    <m/>
    <m/>
    <m/>
    <m/>
    <m/>
    <m/>
    <m/>
    <m/>
    <m/>
    <m/>
    <m/>
    <m/>
    <m/>
    <n v="6.3242871000000003"/>
    <s v=""/>
    <n v="0.94865215000000003"/>
    <s v=""/>
    <m/>
    <m/>
    <m/>
    <m/>
    <m/>
    <m/>
    <m/>
    <m/>
    <m/>
    <n v="6.3242871000000003"/>
    <m/>
    <m/>
    <m/>
    <m/>
    <m/>
    <m/>
    <m/>
    <m/>
    <m/>
    <m/>
    <m/>
    <m/>
    <n v="0.94865215000000003"/>
    <m/>
  </r>
  <r>
    <x v="11"/>
    <x v="190"/>
    <m/>
    <m/>
    <m/>
    <s v="CN"/>
    <m/>
    <s v="Agrifootprint processes: Sunflower seed, at farm/XX Mass"/>
    <m/>
    <m/>
    <s v="Blonk Consultants. Agri-Footprint 2.0. 2015 [cited 2015] Available from: http://www.agrifootprint."/>
    <m/>
    <m/>
    <m/>
    <m/>
    <m/>
    <m/>
    <m/>
    <m/>
    <m/>
    <m/>
    <m/>
    <m/>
    <m/>
    <m/>
    <m/>
    <m/>
    <m/>
    <m/>
    <n v="7.8457853999999996"/>
    <s v=""/>
    <n v="0.91692832999999996"/>
    <s v=""/>
    <m/>
    <m/>
    <m/>
    <m/>
    <m/>
    <m/>
    <m/>
    <m/>
    <m/>
    <n v="7.8457853999999996"/>
    <m/>
    <m/>
    <m/>
    <m/>
    <m/>
    <m/>
    <m/>
    <m/>
    <m/>
    <m/>
    <m/>
    <m/>
    <n v="0.91692832999999996"/>
    <m/>
  </r>
  <r>
    <x v="11"/>
    <x v="190"/>
    <m/>
    <m/>
    <m/>
    <s v="CZ"/>
    <m/>
    <s v="Agrifootprint processes: Sunflower seed, at farm/XX Mass"/>
    <m/>
    <m/>
    <s v="Blonk Consultants. Agri-Footprint 2.0. 2015 [cited 2015] Available from: http://www.agrifootprint."/>
    <m/>
    <m/>
    <m/>
    <m/>
    <m/>
    <m/>
    <m/>
    <m/>
    <m/>
    <m/>
    <m/>
    <m/>
    <m/>
    <m/>
    <m/>
    <m/>
    <m/>
    <m/>
    <n v="5.8051529999999998"/>
    <s v=""/>
    <n v="0.74121219000000005"/>
    <s v=""/>
    <m/>
    <m/>
    <m/>
    <m/>
    <m/>
    <m/>
    <m/>
    <m/>
    <m/>
    <n v="5.8051529999999998"/>
    <m/>
    <m/>
    <m/>
    <m/>
    <m/>
    <m/>
    <m/>
    <m/>
    <m/>
    <m/>
    <m/>
    <m/>
    <n v="0.74121219000000005"/>
    <m/>
  </r>
  <r>
    <x v="11"/>
    <x v="190"/>
    <m/>
    <m/>
    <m/>
    <s v="ES"/>
    <m/>
    <s v="Agrifootprint processes: Sunflower seed, at farm/XX Mass"/>
    <m/>
    <m/>
    <s v="Blonk Consultants. Agri-Footprint 2.0. 2015 [cited 2015] Available from: http://www.agrifootprint."/>
    <m/>
    <m/>
    <m/>
    <m/>
    <m/>
    <m/>
    <m/>
    <m/>
    <m/>
    <m/>
    <m/>
    <m/>
    <m/>
    <m/>
    <m/>
    <m/>
    <m/>
    <m/>
    <n v="9.4524524999999997"/>
    <s v=""/>
    <n v="0.97667108000000002"/>
    <s v=""/>
    <m/>
    <m/>
    <m/>
    <m/>
    <m/>
    <m/>
    <m/>
    <m/>
    <m/>
    <n v="9.4524524999999997"/>
    <m/>
    <m/>
    <m/>
    <m/>
    <m/>
    <m/>
    <m/>
    <m/>
    <m/>
    <m/>
    <m/>
    <m/>
    <n v="0.97667108000000002"/>
    <m/>
  </r>
  <r>
    <x v="11"/>
    <x v="190"/>
    <m/>
    <m/>
    <m/>
    <s v="FR"/>
    <m/>
    <s v="Agrifootprint processes: Sunflower seed, at farm/XX Mass"/>
    <m/>
    <m/>
    <s v="Blonk Consultants. Agri-Footprint 2.0. 2015 [cited 2015] Available from: http://www.agrifootprint."/>
    <m/>
    <m/>
    <m/>
    <m/>
    <m/>
    <m/>
    <m/>
    <m/>
    <m/>
    <m/>
    <m/>
    <m/>
    <m/>
    <m/>
    <m/>
    <m/>
    <m/>
    <m/>
    <n v="5.3033666000000004"/>
    <s v=""/>
    <n v="0.47313101000000002"/>
    <s v=""/>
    <m/>
    <m/>
    <m/>
    <m/>
    <m/>
    <m/>
    <m/>
    <m/>
    <m/>
    <n v="5.3033666000000004"/>
    <m/>
    <m/>
    <m/>
    <m/>
    <m/>
    <m/>
    <m/>
    <m/>
    <m/>
    <m/>
    <m/>
    <m/>
    <n v="0.47313101000000002"/>
    <m/>
  </r>
  <r>
    <x v="11"/>
    <x v="190"/>
    <m/>
    <m/>
    <m/>
    <s v="GR"/>
    <m/>
    <s v="Agrifootprint processes: Sunflower seed, at farm/XX Mass"/>
    <m/>
    <m/>
    <s v="Blonk Consultants. Agri-Footprint 2.0. 2015 [cited 2015] Available from: http://www.agrifootprint."/>
    <m/>
    <m/>
    <m/>
    <m/>
    <m/>
    <m/>
    <m/>
    <m/>
    <m/>
    <m/>
    <m/>
    <m/>
    <m/>
    <m/>
    <m/>
    <m/>
    <m/>
    <m/>
    <n v="4.1808379000000002"/>
    <s v=""/>
    <n v="0.81226721999999996"/>
    <s v=""/>
    <m/>
    <m/>
    <m/>
    <m/>
    <m/>
    <m/>
    <m/>
    <m/>
    <m/>
    <n v="4.1808379000000002"/>
    <m/>
    <m/>
    <m/>
    <m/>
    <m/>
    <m/>
    <m/>
    <m/>
    <m/>
    <m/>
    <m/>
    <m/>
    <n v="0.81226721999999996"/>
    <m/>
  </r>
  <r>
    <x v="11"/>
    <x v="190"/>
    <m/>
    <m/>
    <m/>
    <s v="HU"/>
    <m/>
    <s v="Agrifootprint processes: Sunflower seed, at farm/XX Mass"/>
    <m/>
    <m/>
    <s v="Blonk Consultants. Agri-Footprint 2.0. 2015 [cited 2015] Available from: http://www.agrifootprint."/>
    <m/>
    <m/>
    <m/>
    <m/>
    <m/>
    <m/>
    <m/>
    <m/>
    <m/>
    <m/>
    <m/>
    <m/>
    <m/>
    <m/>
    <m/>
    <m/>
    <m/>
    <m/>
    <n v="5.6055684000000001"/>
    <s v=""/>
    <n v="0.79245741999999997"/>
    <s v=""/>
    <m/>
    <m/>
    <m/>
    <m/>
    <m/>
    <m/>
    <m/>
    <m/>
    <m/>
    <n v="5.6055684000000001"/>
    <m/>
    <m/>
    <m/>
    <m/>
    <m/>
    <m/>
    <m/>
    <m/>
    <m/>
    <m/>
    <m/>
    <m/>
    <n v="0.79245741999999997"/>
    <m/>
  </r>
  <r>
    <x v="11"/>
    <x v="190"/>
    <m/>
    <m/>
    <m/>
    <s v="IT"/>
    <m/>
    <s v="Agrifootprint processes: Sunflower seed, at farm/XX Mass"/>
    <m/>
    <m/>
    <s v="Blonk Consultants. Agri-Footprint 2.0. 2015 [cited 2015] Available from: http://www.agrifootprint."/>
    <m/>
    <m/>
    <m/>
    <m/>
    <m/>
    <m/>
    <m/>
    <m/>
    <m/>
    <m/>
    <m/>
    <m/>
    <m/>
    <m/>
    <m/>
    <m/>
    <m/>
    <m/>
    <n v="6.2167235999999999"/>
    <s v=""/>
    <n v="0.78888897999999996"/>
    <s v=""/>
    <m/>
    <m/>
    <m/>
    <m/>
    <m/>
    <m/>
    <m/>
    <m/>
    <m/>
    <n v="6.2167235999999999"/>
    <m/>
    <m/>
    <m/>
    <m/>
    <m/>
    <m/>
    <m/>
    <m/>
    <m/>
    <m/>
    <m/>
    <m/>
    <n v="0.78888897999999996"/>
    <m/>
  </r>
  <r>
    <x v="11"/>
    <x v="190"/>
    <m/>
    <m/>
    <m/>
    <s v="RO"/>
    <m/>
    <s v="Agrifootprint processes: Sunflower seed, at farm/XX Mass"/>
    <m/>
    <m/>
    <s v="Blonk Consultants. Agri-Footprint 2.0. 2015 [cited 2015] Available from: http://www.agrifootprint."/>
    <m/>
    <m/>
    <m/>
    <m/>
    <m/>
    <m/>
    <m/>
    <m/>
    <m/>
    <m/>
    <m/>
    <m/>
    <m/>
    <m/>
    <m/>
    <m/>
    <m/>
    <m/>
    <n v="6.9760612999999996"/>
    <s v=""/>
    <n v="1.2574736"/>
    <s v=""/>
    <m/>
    <m/>
    <m/>
    <m/>
    <m/>
    <m/>
    <m/>
    <m/>
    <m/>
    <n v="6.9760612999999996"/>
    <m/>
    <m/>
    <m/>
    <m/>
    <m/>
    <m/>
    <m/>
    <m/>
    <m/>
    <m/>
    <m/>
    <m/>
    <n v="1.2574736"/>
    <m/>
  </r>
  <r>
    <x v="11"/>
    <x v="190"/>
    <m/>
    <m/>
    <m/>
    <s v="UA"/>
    <m/>
    <s v="Agrifootprint processes: Sunflower seed, at farm/XX Mass"/>
    <m/>
    <m/>
    <s v="Blonk Consultants. Agri-Footprint 2.0. 2015 [cited 2015] Available from: http://www.agrifootprint."/>
    <m/>
    <m/>
    <m/>
    <m/>
    <m/>
    <m/>
    <m/>
    <m/>
    <m/>
    <m/>
    <m/>
    <m/>
    <m/>
    <m/>
    <m/>
    <m/>
    <m/>
    <m/>
    <n v="6.4303505000000003"/>
    <s v=""/>
    <n v="1.0446394000000001"/>
    <s v=""/>
    <m/>
    <m/>
    <m/>
    <m/>
    <m/>
    <m/>
    <m/>
    <m/>
    <m/>
    <n v="6.4303505000000003"/>
    <m/>
    <m/>
    <m/>
    <m/>
    <m/>
    <m/>
    <m/>
    <m/>
    <m/>
    <m/>
    <m/>
    <m/>
    <n v="1.0446394000000001"/>
    <m/>
  </r>
  <r>
    <x v="11"/>
    <x v="191"/>
    <m/>
    <m/>
    <m/>
    <s v="ID"/>
    <m/>
    <s v="Agrifootprint process: Coconut, at farm/XX Mass, assuming meat is 48% of whole coconut weight"/>
    <m/>
    <m/>
    <s v="Blonk Consultants. Agri-Footprint 2.0. 2015 [cited 2015] Available from: http://www.agrifootprint."/>
    <m/>
    <m/>
    <m/>
    <m/>
    <m/>
    <m/>
    <m/>
    <m/>
    <m/>
    <m/>
    <m/>
    <m/>
    <m/>
    <m/>
    <m/>
    <m/>
    <m/>
    <m/>
    <n v="2.5039583333333333"/>
    <s v=""/>
    <n v="1.3134791666666668"/>
    <s v=""/>
    <m/>
    <m/>
    <m/>
    <m/>
    <m/>
    <m/>
    <m/>
    <m/>
    <m/>
    <n v="2.5039583333333333"/>
    <m/>
    <m/>
    <m/>
    <m/>
    <m/>
    <m/>
    <m/>
    <m/>
    <m/>
    <m/>
    <m/>
    <m/>
    <n v="1.3134791666666668"/>
    <m/>
  </r>
  <r>
    <x v="11"/>
    <x v="191"/>
    <m/>
    <m/>
    <m/>
    <s v="PH"/>
    <m/>
    <s v="Agrifootprint process: Coconut, at farm/XX Mass, assuming meat is 48% of whole coconut weight"/>
    <m/>
    <m/>
    <s v="Blonk Consultants. Agri-Footprint 2.0. 2015 [cited 2015] Available from: http://www.agrifootprint."/>
    <m/>
    <m/>
    <m/>
    <m/>
    <m/>
    <m/>
    <m/>
    <m/>
    <m/>
    <m/>
    <m/>
    <m/>
    <m/>
    <m/>
    <m/>
    <m/>
    <m/>
    <m/>
    <n v="2.9379166666666667"/>
    <s v=""/>
    <n v="0.48656250000000001"/>
    <s v=""/>
    <m/>
    <m/>
    <m/>
    <m/>
    <m/>
    <m/>
    <m/>
    <m/>
    <m/>
    <n v="2.9379166666666667"/>
    <m/>
    <m/>
    <m/>
    <m/>
    <m/>
    <m/>
    <m/>
    <m/>
    <m/>
    <m/>
    <m/>
    <m/>
    <n v="0.48656250000000001"/>
    <m/>
  </r>
  <r>
    <x v="11"/>
    <x v="191"/>
    <m/>
    <m/>
    <m/>
    <s v="TH"/>
    <m/>
    <s v="Agrifootprint process: Coconut, at farm/XX Mass, assuming meat is 48% of whole coconut weight"/>
    <m/>
    <m/>
    <s v="Blonk Consultants. Agri-Footprint 2.0. 2015 [cited 2015] Available from: http://www.agrifootprint."/>
    <m/>
    <m/>
    <m/>
    <m/>
    <m/>
    <m/>
    <m/>
    <m/>
    <m/>
    <m/>
    <m/>
    <m/>
    <m/>
    <m/>
    <m/>
    <m/>
    <m/>
    <m/>
    <n v="3.5764583333333331"/>
    <s v=""/>
    <n v="0.57585416666666667"/>
    <s v=""/>
    <m/>
    <m/>
    <m/>
    <m/>
    <m/>
    <m/>
    <m/>
    <m/>
    <m/>
    <n v="3.5764583333333331"/>
    <m/>
    <m/>
    <m/>
    <m/>
    <m/>
    <m/>
    <m/>
    <m/>
    <m/>
    <m/>
    <m/>
    <m/>
    <n v="0.57585416666666667"/>
    <m/>
  </r>
  <r>
    <x v="5"/>
    <x v="129"/>
    <m/>
    <m/>
    <m/>
    <s v="CN"/>
    <m/>
    <s v="Agrifootprint process: White rice, from dry milling, at plant/CN Mass"/>
    <m/>
    <m/>
    <s v="Blonk Consultants. Agri-Footprint 2.0. 2015 [cited 2015] Available from: http://www.agrifootprint."/>
    <m/>
    <m/>
    <m/>
    <m/>
    <m/>
    <m/>
    <m/>
    <m/>
    <m/>
    <m/>
    <m/>
    <m/>
    <m/>
    <s v="at milling plant"/>
    <m/>
    <m/>
    <m/>
    <m/>
    <s v=""/>
    <n v="7.75"/>
    <s v=""/>
    <n v="1.54"/>
    <m/>
    <m/>
    <n v="7.75"/>
    <m/>
    <m/>
    <m/>
    <m/>
    <m/>
    <m/>
    <m/>
    <n v="7.75"/>
    <m/>
    <m/>
    <m/>
    <m/>
    <n v="1.54"/>
    <m/>
    <m/>
    <m/>
    <m/>
    <m/>
    <m/>
    <m/>
    <n v="1.54"/>
  </r>
  <r>
    <x v="5"/>
    <x v="192"/>
    <m/>
    <m/>
    <m/>
    <s v="US"/>
    <m/>
    <s v="Agrifootprint process: Maize flour, from dry milling, at plant/US Mass"/>
    <m/>
    <m/>
    <s v="Blonk Consultants. Agri-Footprint 2.0. 2015 [cited 2015] Available from: http://www.agrifootprint."/>
    <m/>
    <m/>
    <m/>
    <m/>
    <m/>
    <m/>
    <m/>
    <m/>
    <m/>
    <m/>
    <m/>
    <m/>
    <m/>
    <s v="at milling plant"/>
    <m/>
    <m/>
    <m/>
    <m/>
    <s v=""/>
    <n v="5.8"/>
    <s v=""/>
    <n v="0.55000000000000004"/>
    <m/>
    <m/>
    <n v="5.8"/>
    <m/>
    <m/>
    <m/>
    <m/>
    <m/>
    <m/>
    <m/>
    <n v="5.8"/>
    <m/>
    <m/>
    <m/>
    <m/>
    <n v="0.55000000000000004"/>
    <m/>
    <m/>
    <m/>
    <m/>
    <m/>
    <m/>
    <m/>
    <n v="0.55000000000000004"/>
  </r>
  <r>
    <x v="3"/>
    <x v="100"/>
    <m/>
    <m/>
    <m/>
    <s v="BE"/>
    <m/>
    <s v="Agrifootprint process: Spinach, at farm/BE Mass"/>
    <m/>
    <m/>
    <s v="Blonk Consultants. Agri-Footprint 2.0. 2015 [cited 2015] Available from: http://www.agrifootprint."/>
    <m/>
    <m/>
    <m/>
    <m/>
    <m/>
    <m/>
    <m/>
    <m/>
    <m/>
    <m/>
    <m/>
    <m/>
    <m/>
    <m/>
    <m/>
    <m/>
    <m/>
    <m/>
    <n v="0.54075452999999996"/>
    <s v=""/>
    <n v="0.13511646999999999"/>
    <s v=""/>
    <m/>
    <m/>
    <m/>
    <m/>
    <m/>
    <m/>
    <m/>
    <m/>
    <m/>
    <n v="0.54075452999999996"/>
    <m/>
    <m/>
    <m/>
    <m/>
    <m/>
    <m/>
    <m/>
    <m/>
    <m/>
    <m/>
    <m/>
    <m/>
    <n v="0.13511646999999999"/>
    <m/>
  </r>
  <r>
    <x v="3"/>
    <x v="100"/>
    <m/>
    <m/>
    <m/>
    <s v="NL"/>
    <m/>
    <s v="Agrifootprint process: Spinach, at farm/NL Mass"/>
    <m/>
    <m/>
    <s v="Blonk Consultants. Agri-Footprint 2.0. 2015 [cited 2015] Available from: http://www.agrifootprint."/>
    <m/>
    <m/>
    <m/>
    <m/>
    <m/>
    <m/>
    <m/>
    <m/>
    <m/>
    <m/>
    <m/>
    <m/>
    <m/>
    <m/>
    <m/>
    <m/>
    <m/>
    <m/>
    <n v="0.78148099999999998"/>
    <s v=""/>
    <n v="0.22567783999999999"/>
    <s v=""/>
    <m/>
    <m/>
    <m/>
    <m/>
    <m/>
    <m/>
    <m/>
    <m/>
    <m/>
    <n v="0.78148099999999998"/>
    <m/>
    <m/>
    <m/>
    <m/>
    <m/>
    <m/>
    <m/>
    <m/>
    <m/>
    <m/>
    <m/>
    <m/>
    <n v="0.22567783999999999"/>
    <m/>
  </r>
  <r>
    <x v="5"/>
    <x v="193"/>
    <m/>
    <m/>
    <m/>
    <s v="BE"/>
    <m/>
    <s v="Agrifootprint process: Oat grain peeled, from dry milling, at plant/BE Mass + average(difference between 3 fry flour and rye grain processes)"/>
    <m/>
    <m/>
    <s v="Blonk Consultants. Agri-Footprint 2.0. 2015 [cited 2015] Available from: http://www.agrifootprint."/>
    <m/>
    <m/>
    <m/>
    <m/>
    <m/>
    <m/>
    <m/>
    <m/>
    <m/>
    <m/>
    <m/>
    <m/>
    <m/>
    <m/>
    <m/>
    <m/>
    <m/>
    <m/>
    <s v=""/>
    <n v="4.8492999999999995"/>
    <s v=""/>
    <n v="0.47300999999999999"/>
    <m/>
    <m/>
    <n v="4.8492999999999995"/>
    <m/>
    <m/>
    <m/>
    <m/>
    <m/>
    <m/>
    <m/>
    <n v="4.8492999999999995"/>
    <m/>
    <m/>
    <m/>
    <m/>
    <n v="0.47300999999999999"/>
    <m/>
    <m/>
    <m/>
    <m/>
    <m/>
    <m/>
    <m/>
    <n v="0.47300999999999999"/>
  </r>
  <r>
    <x v="5"/>
    <x v="193"/>
    <m/>
    <m/>
    <m/>
    <s v="NL"/>
    <m/>
    <s v="Agrifootprint process: Oat grain peeled, from dry milling, at plant/NL Mass + average(difference between 3 fry flour and rye grain processes)"/>
    <m/>
    <m/>
    <s v="Blonk Consultants. Agri-Footprint 2.0. 2015 [cited 2015] Available from: http://www.agrifootprint."/>
    <m/>
    <m/>
    <m/>
    <m/>
    <m/>
    <m/>
    <m/>
    <m/>
    <m/>
    <m/>
    <m/>
    <m/>
    <m/>
    <m/>
    <m/>
    <m/>
    <m/>
    <m/>
    <s v=""/>
    <n v="4.5222999999999995"/>
    <s v=""/>
    <n v="0.52376"/>
    <m/>
    <m/>
    <n v="4.5222999999999995"/>
    <m/>
    <m/>
    <m/>
    <m/>
    <m/>
    <m/>
    <m/>
    <n v="4.5222999999999995"/>
    <m/>
    <m/>
    <m/>
    <m/>
    <n v="0.52376"/>
    <m/>
    <m/>
    <m/>
    <m/>
    <m/>
    <m/>
    <m/>
    <n v="0.52376"/>
  </r>
  <r>
    <x v="3"/>
    <x v="194"/>
    <m/>
    <m/>
    <m/>
    <s v="DK"/>
    <m/>
    <s v="from LCA FOOD DK dataset (used as proxy for alfalfa seed)"/>
    <m/>
    <m/>
    <s v="Nielsen, P. H., Nielsen, A. M., Weidema, B. P., Dalgaard, R. and Halberg, N., LCA food data base. 2003, 2013 (June), ."/>
    <m/>
    <m/>
    <m/>
    <m/>
    <m/>
    <m/>
    <m/>
    <m/>
    <m/>
    <m/>
    <m/>
    <m/>
    <m/>
    <m/>
    <m/>
    <m/>
    <m/>
    <m/>
    <n v="8.24"/>
    <s v=""/>
    <n v="6.25"/>
    <s v=""/>
    <m/>
    <m/>
    <m/>
    <m/>
    <m/>
    <m/>
    <m/>
    <m/>
    <m/>
    <n v="8.24"/>
    <m/>
    <m/>
    <m/>
    <m/>
    <m/>
    <m/>
    <m/>
    <m/>
    <m/>
    <m/>
    <m/>
    <m/>
    <n v="6.25"/>
    <m/>
  </r>
  <r>
    <x v="4"/>
    <x v="90"/>
    <m/>
    <m/>
    <m/>
    <m/>
    <m/>
    <s v="Ecoinvent 3 process: Melon {GLO}| production | Alloc Def, S"/>
    <m/>
    <m/>
    <s v="Swiss Center for Life Cycle Inventories, Ecoinvent Database version 3.3. 2016, 2016, ."/>
    <m/>
    <m/>
    <m/>
    <m/>
    <m/>
    <m/>
    <m/>
    <m/>
    <m/>
    <m/>
    <m/>
    <m/>
    <m/>
    <m/>
    <m/>
    <m/>
    <m/>
    <m/>
    <n v="1.46"/>
    <s v=""/>
    <n v="0.13100000000000001"/>
    <s v=""/>
    <m/>
    <m/>
    <m/>
    <m/>
    <m/>
    <m/>
    <m/>
    <m/>
    <m/>
    <n v="1.46"/>
    <m/>
    <m/>
    <m/>
    <m/>
    <m/>
    <m/>
    <m/>
    <m/>
    <m/>
    <m/>
    <m/>
    <m/>
    <n v="0.13100000000000001"/>
    <m/>
  </r>
  <r>
    <x v="11"/>
    <x v="195"/>
    <m/>
    <m/>
    <m/>
    <s v="FR"/>
    <m/>
    <s v="Agrifootprint process: Broad bean, at farm/FR Mass"/>
    <m/>
    <m/>
    <s v="Blonk Consultants. Agri-Footprint 2.0. 2015 [cited 2015] Available from: http://www.agrifootprint."/>
    <m/>
    <m/>
    <m/>
    <m/>
    <m/>
    <m/>
    <m/>
    <m/>
    <m/>
    <m/>
    <m/>
    <m/>
    <m/>
    <m/>
    <m/>
    <m/>
    <m/>
    <m/>
    <s v=""/>
    <s v=""/>
    <n v="0.50936000000000003"/>
    <s v=""/>
    <m/>
    <m/>
    <m/>
    <m/>
    <m/>
    <m/>
    <m/>
    <m/>
    <m/>
    <m/>
    <n v="0.83374000000000004"/>
    <m/>
    <m/>
    <m/>
    <m/>
    <m/>
    <m/>
    <m/>
    <m/>
    <m/>
    <m/>
    <m/>
    <n v="0.50936000000000003"/>
    <m/>
  </r>
  <r>
    <x v="11"/>
    <x v="195"/>
    <m/>
    <m/>
    <m/>
    <s v="AU"/>
    <m/>
    <s v="Agrifootprint process: Broad bean, at farm/AU Mass"/>
    <m/>
    <m/>
    <s v="Blonk Consultants. Agri-Footprint 2.0. 2015 [cited 2015] Available from: http://www.agrifootprint."/>
    <m/>
    <m/>
    <m/>
    <m/>
    <m/>
    <m/>
    <m/>
    <m/>
    <m/>
    <m/>
    <m/>
    <m/>
    <m/>
    <m/>
    <m/>
    <m/>
    <m/>
    <m/>
    <s v=""/>
    <s v=""/>
    <n v="1.82582"/>
    <s v=""/>
    <m/>
    <m/>
    <m/>
    <m/>
    <m/>
    <m/>
    <m/>
    <m/>
    <m/>
    <m/>
    <n v="1.4863999999999999"/>
    <m/>
    <m/>
    <m/>
    <m/>
    <m/>
    <m/>
    <m/>
    <m/>
    <m/>
    <m/>
    <m/>
    <n v="1.82582"/>
    <m/>
  </r>
  <r>
    <x v="3"/>
    <x v="19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1"/>
    <s v=""/>
    <m/>
    <m/>
    <m/>
    <m/>
    <m/>
    <m/>
    <m/>
    <m/>
    <m/>
    <n v="1.1000000000000001"/>
    <m/>
    <m/>
    <m/>
    <m/>
    <m/>
    <m/>
    <m/>
    <m/>
    <m/>
    <m/>
    <m/>
    <m/>
    <n v="0.11"/>
    <m/>
  </r>
  <r>
    <x v="3"/>
    <x v="197"/>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2"/>
    <s v=""/>
    <m/>
    <m/>
    <m/>
    <m/>
    <m/>
    <m/>
    <m/>
    <m/>
    <m/>
    <n v="1.1000000000000001"/>
    <m/>
    <m/>
    <m/>
    <m/>
    <m/>
    <m/>
    <m/>
    <m/>
    <m/>
    <m/>
    <m/>
    <m/>
    <n v="0.12"/>
    <m/>
  </r>
  <r>
    <x v="4"/>
    <x v="91"/>
    <m/>
    <m/>
    <m/>
    <m/>
    <m/>
    <s v="Ecoinvent 3 process: Kiwi {GLO}| production | Alloc Def, S"/>
    <m/>
    <m/>
    <s v="Swiss Center for Life Cycle Inventories, Ecoinvent Database version 3.3. 2016, 2016, ."/>
    <m/>
    <m/>
    <m/>
    <m/>
    <m/>
    <m/>
    <m/>
    <m/>
    <m/>
    <m/>
    <m/>
    <m/>
    <m/>
    <m/>
    <m/>
    <m/>
    <m/>
    <m/>
    <n v="5.4400101999999997"/>
    <s v=""/>
    <n v="0.43526999999999999"/>
    <s v=""/>
    <m/>
    <m/>
    <m/>
    <m/>
    <m/>
    <m/>
    <m/>
    <m/>
    <m/>
    <n v="5.4400101999999997"/>
    <m/>
    <m/>
    <m/>
    <m/>
    <m/>
    <m/>
    <m/>
    <m/>
    <m/>
    <m/>
    <m/>
    <m/>
    <n v="0.43526999999999999"/>
    <m/>
  </r>
  <r>
    <x v="9"/>
    <x v="52"/>
    <m/>
    <m/>
    <m/>
    <s v="SE"/>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1.3"/>
    <s v=""/>
    <s v=""/>
    <m/>
    <m/>
    <n v="1.3"/>
    <m/>
    <m/>
    <m/>
    <m/>
    <m/>
    <m/>
    <m/>
    <n v="1.3"/>
    <m/>
    <m/>
    <m/>
    <m/>
    <m/>
    <m/>
    <m/>
    <m/>
    <m/>
    <m/>
    <m/>
    <m/>
    <m/>
  </r>
  <r>
    <x v="9"/>
    <x v="52"/>
    <m/>
    <m/>
    <m/>
    <s v="&quot;overseas&quot;"/>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5.6"/>
    <s v=""/>
    <s v=""/>
    <m/>
    <m/>
    <n v="5.6"/>
    <m/>
    <m/>
    <m/>
    <m/>
    <m/>
    <m/>
    <m/>
    <n v="5.6"/>
    <m/>
    <m/>
    <m/>
    <m/>
    <m/>
    <m/>
    <m/>
    <m/>
    <m/>
    <m/>
    <m/>
    <m/>
    <m/>
  </r>
  <r>
    <x v="3"/>
    <x v="139"/>
    <m/>
    <m/>
    <m/>
    <s v="Global"/>
    <m/>
    <s v="Ecoinvent 3 process: Green asparagus {GLO}| production | Alloc Def, S"/>
    <m/>
    <m/>
    <s v="Swiss Center for Life Cycle Inventories, Ecoinvent Database version 3.3. 2016, 2016, ."/>
    <m/>
    <m/>
    <m/>
    <m/>
    <m/>
    <m/>
    <m/>
    <m/>
    <m/>
    <m/>
    <m/>
    <m/>
    <m/>
    <m/>
    <m/>
    <m/>
    <m/>
    <m/>
    <n v="7.9758566000000002"/>
    <s v=""/>
    <n v="0.86667000000000005"/>
    <s v=""/>
    <m/>
    <m/>
    <m/>
    <m/>
    <m/>
    <m/>
    <m/>
    <m/>
    <m/>
    <n v="7.9758566000000002"/>
    <m/>
    <m/>
    <m/>
    <m/>
    <m/>
    <m/>
    <m/>
    <m/>
    <m/>
    <m/>
    <m/>
    <m/>
    <n v="0.86667000000000005"/>
    <m/>
  </r>
  <r>
    <x v="3"/>
    <x v="139"/>
    <m/>
    <m/>
    <m/>
    <s v="CN"/>
    <m/>
    <s v="Ecoinvent 3 process: White asparagus {CN}| white asparagus production | Alloc Def, S"/>
    <m/>
    <m/>
    <s v="Swiss Center for Life Cycle Inventories, Ecoinvent Database version 3.3. 2016, 2016, ."/>
    <m/>
    <m/>
    <m/>
    <m/>
    <m/>
    <m/>
    <m/>
    <m/>
    <m/>
    <m/>
    <m/>
    <m/>
    <m/>
    <m/>
    <m/>
    <m/>
    <m/>
    <m/>
    <n v="7.9089621000000001"/>
    <s v=""/>
    <n v="0.72014999999999996"/>
    <s v=""/>
    <m/>
    <m/>
    <m/>
    <m/>
    <m/>
    <m/>
    <m/>
    <m/>
    <m/>
    <n v="7.9089621000000001"/>
    <m/>
    <m/>
    <m/>
    <m/>
    <m/>
    <m/>
    <m/>
    <m/>
    <m/>
    <m/>
    <m/>
    <m/>
    <n v="0.72014999999999996"/>
    <m/>
  </r>
  <r>
    <x v="3"/>
    <x v="139"/>
    <m/>
    <m/>
    <m/>
    <s v="FR"/>
    <m/>
    <s v="Ecoinvent 3 process: White asparagus {FR}| white asparagus production | Alloc Def, S"/>
    <m/>
    <m/>
    <s v="Swiss Center for Life Cycle Inventories, Ecoinvent Database version 3.3. 2016, 2016, ."/>
    <m/>
    <m/>
    <m/>
    <m/>
    <m/>
    <m/>
    <m/>
    <m/>
    <m/>
    <m/>
    <m/>
    <m/>
    <m/>
    <m/>
    <m/>
    <m/>
    <m/>
    <m/>
    <n v="8.896547"/>
    <s v=""/>
    <n v="0.74765000000000004"/>
    <s v=""/>
    <m/>
    <m/>
    <m/>
    <m/>
    <m/>
    <m/>
    <m/>
    <m/>
    <m/>
    <n v="8.896547"/>
    <m/>
    <m/>
    <m/>
    <m/>
    <m/>
    <m/>
    <m/>
    <m/>
    <m/>
    <m/>
    <m/>
    <m/>
    <n v="0.74765000000000004"/>
    <m/>
  </r>
  <r>
    <x v="3"/>
    <x v="139"/>
    <m/>
    <m/>
    <m/>
    <s v="PE"/>
    <m/>
    <s v="Ecoinvent 3 process: White asparagus {PE}| white asparagus production | Alloc Def, S"/>
    <m/>
    <m/>
    <s v="Swiss Center for Life Cycle Inventories, Ecoinvent Database version 3.3. 2016, 2016, ."/>
    <m/>
    <m/>
    <m/>
    <m/>
    <m/>
    <m/>
    <m/>
    <m/>
    <m/>
    <m/>
    <m/>
    <m/>
    <m/>
    <m/>
    <m/>
    <m/>
    <m/>
    <m/>
    <n v="17.929449999999999"/>
    <s v=""/>
    <n v="1.9469000000000001"/>
    <s v=""/>
    <m/>
    <m/>
    <m/>
    <m/>
    <m/>
    <m/>
    <m/>
    <m/>
    <m/>
    <n v="17.929449999999999"/>
    <m/>
    <m/>
    <m/>
    <m/>
    <m/>
    <m/>
    <m/>
    <m/>
    <m/>
    <m/>
    <m/>
    <m/>
    <n v="1.9469000000000001"/>
    <m/>
  </r>
  <r>
    <x v="11"/>
    <x v="115"/>
    <m/>
    <m/>
    <m/>
    <s v="US"/>
    <m/>
    <s v="Agrifootprint process: Groundnuts, with shell, at farm/US Mass"/>
    <m/>
    <m/>
    <s v="Blonk Consultants. Agri-Footprint 2.0. 2015 [cited 2015] Available from: http://www.agrifootprint."/>
    <m/>
    <m/>
    <m/>
    <m/>
    <m/>
    <m/>
    <m/>
    <m/>
    <m/>
    <m/>
    <m/>
    <m/>
    <m/>
    <m/>
    <m/>
    <m/>
    <m/>
    <m/>
    <n v="1.0900000000000001"/>
    <s v=""/>
    <n v="0.32"/>
    <s v=""/>
    <m/>
    <m/>
    <m/>
    <m/>
    <m/>
    <m/>
    <m/>
    <m/>
    <m/>
    <n v="1.0900000000000001"/>
    <m/>
    <m/>
    <m/>
    <m/>
    <m/>
    <m/>
    <m/>
    <m/>
    <m/>
    <m/>
    <m/>
    <m/>
    <n v="0.32"/>
    <m/>
  </r>
  <r>
    <x v="3"/>
    <x v="75"/>
    <m/>
    <m/>
    <m/>
    <s v="FR"/>
    <m/>
    <s v="Agrifootprint process: Broccoli, at farm/FR Mass"/>
    <m/>
    <m/>
    <s v="Blonk Consultants. Agri-Footprint 2.0. 2015 [cited 2015] Available from: http://www.agrifootprint."/>
    <m/>
    <m/>
    <m/>
    <m/>
    <m/>
    <m/>
    <m/>
    <m/>
    <m/>
    <m/>
    <m/>
    <m/>
    <m/>
    <m/>
    <m/>
    <m/>
    <m/>
    <m/>
    <n v="1.6081475999999999"/>
    <s v=""/>
    <n v="0.35991274000000001"/>
    <s v=""/>
    <m/>
    <m/>
    <m/>
    <m/>
    <m/>
    <m/>
    <m/>
    <m/>
    <m/>
    <n v="1.6081475999999999"/>
    <m/>
    <m/>
    <m/>
    <m/>
    <m/>
    <m/>
    <m/>
    <m/>
    <m/>
    <m/>
    <m/>
    <m/>
    <n v="0.35991274000000001"/>
    <m/>
  </r>
  <r>
    <x v="3"/>
    <x v="75"/>
    <m/>
    <m/>
    <m/>
    <s v="NL"/>
    <m/>
    <s v="Agrifootprint process: Broccoli, at farm/NL Mass"/>
    <m/>
    <m/>
    <s v="Blonk Consultants. Agri-Footprint 2.0. 2015 [cited 2015] Available from: http://www.agrifootprint."/>
    <m/>
    <m/>
    <m/>
    <m/>
    <m/>
    <m/>
    <m/>
    <m/>
    <m/>
    <m/>
    <m/>
    <m/>
    <m/>
    <m/>
    <m/>
    <m/>
    <m/>
    <m/>
    <n v="2.9124268"/>
    <s v=""/>
    <n v="0.68451923000000003"/>
    <s v=""/>
    <m/>
    <m/>
    <m/>
    <m/>
    <m/>
    <m/>
    <m/>
    <m/>
    <m/>
    <n v="2.9124268"/>
    <m/>
    <m/>
    <m/>
    <m/>
    <m/>
    <m/>
    <m/>
    <m/>
    <m/>
    <m/>
    <m/>
    <m/>
    <n v="0.68451923000000003"/>
    <m/>
  </r>
  <r>
    <x v="3"/>
    <x v="95"/>
    <m/>
    <m/>
    <m/>
    <s v="ES"/>
    <m/>
    <s v="Agrifootprint process: Cauliflower, at farm/ES Mass"/>
    <m/>
    <m/>
    <s v="Blonk Consultants. Agri-Footprint 2.0. 2015 [cited 2015] Available from: http://www.agrifootprint."/>
    <m/>
    <m/>
    <m/>
    <m/>
    <m/>
    <m/>
    <m/>
    <m/>
    <m/>
    <m/>
    <m/>
    <m/>
    <m/>
    <m/>
    <m/>
    <m/>
    <m/>
    <m/>
    <n v="1.4390966999999999"/>
    <s v=""/>
    <n v="0.27288365999999997"/>
    <s v=""/>
    <m/>
    <m/>
    <m/>
    <m/>
    <m/>
    <m/>
    <m/>
    <m/>
    <m/>
    <n v="1.4390966999999999"/>
    <m/>
    <m/>
    <m/>
    <m/>
    <m/>
    <m/>
    <m/>
    <m/>
    <m/>
    <m/>
    <m/>
    <m/>
    <n v="0.27288365999999997"/>
    <m/>
  </r>
  <r>
    <x v="3"/>
    <x v="95"/>
    <m/>
    <m/>
    <m/>
    <s v="NL"/>
    <m/>
    <s v="Agrifootprint process: Cauliflower, at farm/NL Mass"/>
    <m/>
    <m/>
    <s v="Blonk Consultants. Agri-Footprint 2.0. 2015 [cited 2015] Available from: http://www.agrifootprint."/>
    <m/>
    <m/>
    <m/>
    <m/>
    <m/>
    <m/>
    <m/>
    <m/>
    <m/>
    <m/>
    <m/>
    <m/>
    <m/>
    <m/>
    <m/>
    <m/>
    <m/>
    <m/>
    <n v="2.0014116"/>
    <s v=""/>
    <n v="0.44161191999999999"/>
    <s v=""/>
    <m/>
    <m/>
    <m/>
    <m/>
    <m/>
    <m/>
    <m/>
    <m/>
    <m/>
    <n v="2.0014116"/>
    <m/>
    <m/>
    <m/>
    <m/>
    <m/>
    <m/>
    <m/>
    <m/>
    <m/>
    <m/>
    <m/>
    <m/>
    <n v="0.44161191999999999"/>
    <m/>
  </r>
  <r>
    <x v="3"/>
    <x v="198"/>
    <m/>
    <m/>
    <m/>
    <s v="ES"/>
    <m/>
    <s v="Agrifootprint process: Curly kale, at farm/ES Mass"/>
    <m/>
    <m/>
    <s v="Blonk Consultants. Agri-Footprint 2.0. 2015 [cited 2015] Available from: http://www.agrifootprint."/>
    <m/>
    <m/>
    <m/>
    <m/>
    <m/>
    <m/>
    <m/>
    <m/>
    <m/>
    <m/>
    <m/>
    <m/>
    <m/>
    <m/>
    <m/>
    <m/>
    <m/>
    <m/>
    <n v="0.56645767999999996"/>
    <s v=""/>
    <n v="0.11944332000000001"/>
    <s v=""/>
    <m/>
    <m/>
    <m/>
    <m/>
    <m/>
    <m/>
    <m/>
    <m/>
    <m/>
    <n v="0.56645767999999996"/>
    <m/>
    <m/>
    <m/>
    <m/>
    <m/>
    <m/>
    <m/>
    <m/>
    <m/>
    <m/>
    <m/>
    <m/>
    <n v="0.11944332000000001"/>
    <m/>
  </r>
  <r>
    <x v="3"/>
    <x v="198"/>
    <m/>
    <m/>
    <m/>
    <s v="NL"/>
    <m/>
    <s v="Agrifootprint process: Curly kale, at farm/NL Mass"/>
    <m/>
    <m/>
    <s v="Blonk Consultants. Agri-Footprint 2.0. 2015 [cited 2015] Available from: http://www.agrifootprint."/>
    <m/>
    <m/>
    <m/>
    <m/>
    <m/>
    <m/>
    <m/>
    <m/>
    <m/>
    <m/>
    <m/>
    <m/>
    <m/>
    <m/>
    <m/>
    <m/>
    <m/>
    <m/>
    <n v="0.35823792999999998"/>
    <s v=""/>
    <n v="0.11627535"/>
    <s v=""/>
    <m/>
    <m/>
    <m/>
    <m/>
    <m/>
    <m/>
    <m/>
    <m/>
    <m/>
    <n v="0.35823792999999998"/>
    <m/>
    <m/>
    <m/>
    <m/>
    <m/>
    <m/>
    <m/>
    <m/>
    <m/>
    <m/>
    <m/>
    <m/>
    <n v="0.11627535"/>
    <m/>
  </r>
  <r>
    <x v="8"/>
    <x v="147"/>
    <m/>
    <m/>
    <m/>
    <m/>
    <m/>
    <s v="Agrifootprint process: Refined rapeseed oil, from crushing (solvent), at plant/US Mass"/>
    <m/>
    <m/>
    <s v="Blonk Consultants. Agri-Footprint 2.0. 2015 [cited 2015] Available from: http://www.agrifootprint."/>
    <m/>
    <m/>
    <m/>
    <m/>
    <m/>
    <m/>
    <m/>
    <m/>
    <m/>
    <m/>
    <m/>
    <m/>
    <m/>
    <m/>
    <m/>
    <m/>
    <m/>
    <m/>
    <s v=""/>
    <n v="13.327939000000001"/>
    <s v=""/>
    <n v="1.92"/>
    <m/>
    <m/>
    <n v="13.327939000000001"/>
    <m/>
    <m/>
    <m/>
    <m/>
    <m/>
    <m/>
    <m/>
    <n v="13.327939000000001"/>
    <m/>
    <m/>
    <m/>
    <m/>
    <n v="1.92"/>
    <m/>
    <m/>
    <m/>
    <m/>
    <m/>
    <m/>
    <m/>
    <n v="1.92"/>
  </r>
  <r>
    <x v="4"/>
    <x v="199"/>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4"/>
    <x v="19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4"/>
    <x v="164"/>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26"/>
    <s v=""/>
    <m/>
    <m/>
    <m/>
    <m/>
    <m/>
    <m/>
    <m/>
    <m/>
    <m/>
    <n v="3"/>
    <m/>
    <m/>
    <m/>
    <m/>
    <m/>
    <m/>
    <m/>
    <m/>
    <m/>
    <m/>
    <m/>
    <m/>
    <n v="0.26"/>
    <m/>
  </r>
  <r>
    <x v="4"/>
    <x v="164"/>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
    <s v=""/>
    <n v="0.45"/>
    <s v=""/>
    <m/>
    <m/>
    <m/>
    <m/>
    <m/>
    <m/>
    <m/>
    <m/>
    <m/>
    <n v="5"/>
    <m/>
    <m/>
    <m/>
    <m/>
    <m/>
    <m/>
    <m/>
    <m/>
    <m/>
    <m/>
    <m/>
    <m/>
    <n v="0.45"/>
    <m/>
  </r>
  <r>
    <x v="3"/>
    <x v="8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4"/>
    <s v=""/>
    <n v="0.08"/>
    <s v=""/>
    <m/>
    <m/>
    <m/>
    <m/>
    <m/>
    <m/>
    <m/>
    <m/>
    <m/>
    <n v="0.84"/>
    <m/>
    <m/>
    <m/>
    <m/>
    <m/>
    <m/>
    <m/>
    <m/>
    <m/>
    <m/>
    <m/>
    <m/>
    <n v="0.08"/>
    <m/>
  </r>
  <r>
    <x v="3"/>
    <x v="200"/>
    <m/>
    <m/>
    <m/>
    <m/>
    <m/>
    <s v="Ecoinvent 3 process: Zucchini {GLO}| production | Alloc Def, S"/>
    <m/>
    <m/>
    <s v="Swiss Center for Life Cycle Inventories, Ecoinvent Database version 3.3. 2016, 2016, ."/>
    <m/>
    <m/>
    <m/>
    <m/>
    <m/>
    <m/>
    <m/>
    <m/>
    <m/>
    <m/>
    <m/>
    <m/>
    <m/>
    <m/>
    <m/>
    <m/>
    <m/>
    <m/>
    <n v="0.18415999999999999"/>
    <s v=""/>
    <n v="2.2156125099999997"/>
    <s v=""/>
    <m/>
    <m/>
    <m/>
    <m/>
    <m/>
    <m/>
    <m/>
    <m/>
    <m/>
    <n v="0.18415999999999999"/>
    <m/>
    <m/>
    <m/>
    <m/>
    <m/>
    <m/>
    <m/>
    <m/>
    <m/>
    <m/>
    <m/>
    <m/>
    <n v="2.2156125099999997"/>
    <m/>
  </r>
  <r>
    <x v="5"/>
    <x v="140"/>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0.47"/>
    <s v=""/>
    <m/>
    <m/>
    <m/>
    <m/>
    <m/>
    <m/>
    <m/>
    <m/>
    <m/>
    <n v="2.9"/>
    <m/>
    <m/>
    <m/>
    <m/>
    <m/>
    <m/>
    <m/>
    <m/>
    <m/>
    <m/>
    <m/>
    <m/>
    <n v="0.47"/>
    <m/>
  </r>
  <r>
    <x v="5"/>
    <x v="140"/>
    <m/>
    <m/>
    <m/>
    <s v="BE"/>
    <m/>
    <s v="Agrifootprint process: Oat grain peeled, from dry milling, at plant/BE Mass"/>
    <m/>
    <m/>
    <s v="Blonk Consultants. Agri-Footprint 2.0. 2015 [cited 2015] Available from: http://www.agrifootprint."/>
    <m/>
    <m/>
    <m/>
    <m/>
    <m/>
    <m/>
    <m/>
    <m/>
    <m/>
    <m/>
    <m/>
    <m/>
    <m/>
    <m/>
    <m/>
    <m/>
    <m/>
    <m/>
    <n v="2.8693"/>
    <s v=""/>
    <n v="0.36201"/>
    <s v=""/>
    <m/>
    <m/>
    <m/>
    <m/>
    <m/>
    <m/>
    <m/>
    <m/>
    <m/>
    <n v="2.8693"/>
    <m/>
    <m/>
    <m/>
    <m/>
    <m/>
    <m/>
    <m/>
    <m/>
    <m/>
    <m/>
    <m/>
    <m/>
    <n v="0.36201"/>
    <m/>
  </r>
  <r>
    <x v="5"/>
    <x v="140"/>
    <m/>
    <m/>
    <m/>
    <s v="NL"/>
    <m/>
    <s v="Agrifootprint process: Oat grain peeled, from dry milling, at plant/NL Mass"/>
    <m/>
    <m/>
    <s v="Blonk Consultants. Agri-Footprint 2.0. 2015 [cited 2015] Available from: http://www.agrifootprint."/>
    <m/>
    <m/>
    <m/>
    <m/>
    <m/>
    <m/>
    <m/>
    <m/>
    <m/>
    <m/>
    <m/>
    <m/>
    <m/>
    <m/>
    <m/>
    <m/>
    <m/>
    <m/>
    <n v="2.5423"/>
    <s v=""/>
    <n v="0.41276000000000002"/>
    <s v=""/>
    <m/>
    <m/>
    <m/>
    <m/>
    <m/>
    <m/>
    <m/>
    <m/>
    <m/>
    <n v="2.5423"/>
    <m/>
    <m/>
    <m/>
    <m/>
    <m/>
    <m/>
    <m/>
    <m/>
    <m/>
    <m/>
    <m/>
    <m/>
    <n v="0.41276000000000002"/>
    <m/>
  </r>
  <r>
    <x v="3"/>
    <x v="93"/>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
    <s v=""/>
    <n v="0.1"/>
    <s v=""/>
    <m/>
    <m/>
    <m/>
    <m/>
    <m/>
    <m/>
    <m/>
    <m/>
    <m/>
    <n v="1"/>
    <m/>
    <m/>
    <m/>
    <m/>
    <m/>
    <m/>
    <m/>
    <m/>
    <m/>
    <m/>
    <m/>
    <m/>
    <n v="0.1"/>
    <m/>
  </r>
  <r>
    <x v="1"/>
    <x v="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82"/>
    <s v=""/>
    <n v="20"/>
    <s v=""/>
    <m/>
    <m/>
    <m/>
    <m/>
    <m/>
    <m/>
    <m/>
    <m/>
    <m/>
    <n v="82"/>
    <m/>
    <m/>
    <m/>
    <m/>
    <m/>
    <m/>
    <m/>
    <m/>
    <m/>
    <m/>
    <m/>
    <m/>
    <n v="20"/>
    <m/>
  </r>
  <r>
    <x v="1"/>
    <x v="3"/>
    <m/>
    <m/>
    <m/>
    <s v="Argentina"/>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2"/>
    <s v=""/>
    <n v="22"/>
    <s v=""/>
    <m/>
    <m/>
    <m/>
    <m/>
    <m/>
    <m/>
    <m/>
    <m/>
    <m/>
    <n v="52"/>
    <m/>
    <m/>
    <m/>
    <m/>
    <m/>
    <m/>
    <m/>
    <m/>
    <m/>
    <m/>
    <m/>
    <m/>
    <n v="22"/>
    <m/>
  </r>
  <r>
    <x v="1"/>
    <x v="3"/>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8"/>
    <s v=""/>
    <n v="29"/>
    <s v=""/>
    <m/>
    <m/>
    <m/>
    <m/>
    <m/>
    <m/>
    <m/>
    <m/>
    <m/>
    <n v="38"/>
    <m/>
    <m/>
    <m/>
    <m/>
    <m/>
    <m/>
    <m/>
    <m/>
    <m/>
    <m/>
    <m/>
    <m/>
    <n v="29"/>
    <m/>
  </r>
  <r>
    <x v="1"/>
    <x v="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5"/>
    <s v=""/>
    <n v="17"/>
    <s v=""/>
    <m/>
    <m/>
    <m/>
    <m/>
    <m/>
    <m/>
    <m/>
    <m/>
    <m/>
    <n v="65"/>
    <m/>
    <m/>
    <m/>
    <m/>
    <m/>
    <m/>
    <m/>
    <m/>
    <m/>
    <m/>
    <m/>
    <m/>
    <n v="17"/>
    <m/>
  </r>
  <r>
    <x v="1"/>
    <x v="1"/>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40"/>
    <s v=""/>
    <n v="36"/>
    <s v=""/>
    <m/>
    <m/>
    <m/>
    <m/>
    <m/>
    <m/>
    <m/>
    <m/>
    <m/>
    <n v="40"/>
    <m/>
    <m/>
    <m/>
    <m/>
    <m/>
    <m/>
    <m/>
    <m/>
    <m/>
    <m/>
    <m/>
    <m/>
    <n v="36"/>
    <m/>
  </r>
  <r>
    <x v="1"/>
    <x v="2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1"/>
    <s v=""/>
    <n v="7.2"/>
    <s v=""/>
    <m/>
    <m/>
    <m/>
    <m/>
    <m/>
    <m/>
    <m/>
    <m/>
    <m/>
    <n v="31"/>
    <m/>
    <m/>
    <m/>
    <m/>
    <m/>
    <m/>
    <m/>
    <m/>
    <m/>
    <m/>
    <m/>
    <m/>
    <n v="7.2"/>
    <m/>
  </r>
  <r>
    <x v="1"/>
    <x v="2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2.9"/>
    <s v=""/>
    <m/>
    <m/>
    <m/>
    <m/>
    <m/>
    <m/>
    <m/>
    <m/>
    <m/>
    <n v="29"/>
    <m/>
    <m/>
    <m/>
    <m/>
    <m/>
    <m/>
    <m/>
    <m/>
    <m/>
    <m/>
    <m/>
    <m/>
    <n v="2.9"/>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2"/>
    <s v=""/>
    <n v="1.6"/>
    <s v=""/>
    <m/>
    <m/>
    <m/>
    <m/>
    <m/>
    <m/>
    <m/>
    <m/>
    <m/>
    <n v="12"/>
    <m/>
    <m/>
    <m/>
    <m/>
    <m/>
    <m/>
    <m/>
    <m/>
    <m/>
    <m/>
    <m/>
    <m/>
    <n v="1.6"/>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1.9"/>
    <s v=""/>
    <m/>
    <m/>
    <m/>
    <m/>
    <m/>
    <m/>
    <m/>
    <m/>
    <m/>
    <n v="17"/>
    <m/>
    <m/>
    <m/>
    <m/>
    <m/>
    <m/>
    <m/>
    <m/>
    <m/>
    <m/>
    <m/>
    <m/>
    <n v="1.9"/>
    <m/>
  </r>
  <r>
    <x v="11"/>
    <x v="127"/>
    <m/>
    <m/>
    <m/>
    <s v="Brazil"/>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4"/>
    <s v=""/>
    <n v="3.8"/>
    <s v=""/>
    <m/>
    <m/>
    <m/>
    <m/>
    <m/>
    <m/>
    <m/>
    <m/>
    <m/>
    <n v="4"/>
    <m/>
    <m/>
    <m/>
    <m/>
    <m/>
    <m/>
    <m/>
    <m/>
    <m/>
    <m/>
    <m/>
    <m/>
    <n v="3.8"/>
    <m/>
  </r>
  <r>
    <x v="11"/>
    <x v="201"/>
    <m/>
    <s v="brown bean"/>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7.4"/>
    <s v=""/>
    <n v="0.68"/>
    <s v=""/>
    <m/>
    <m/>
    <m/>
    <m/>
    <m/>
    <m/>
    <m/>
    <m/>
    <m/>
    <n v="7.4"/>
    <m/>
    <m/>
    <m/>
    <m/>
    <m/>
    <m/>
    <m/>
    <m/>
    <m/>
    <m/>
    <m/>
    <m/>
    <n v="0.68"/>
    <m/>
  </r>
  <r>
    <x v="3"/>
    <x v="1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3.5"/>
    <s v=""/>
    <n v="0.49"/>
    <s v=""/>
    <m/>
    <m/>
    <m/>
    <m/>
    <m/>
    <m/>
    <m/>
    <m/>
    <m/>
    <n v="3.5"/>
    <m/>
    <m/>
    <m/>
    <m/>
    <m/>
    <m/>
    <m/>
    <m/>
    <m/>
    <m/>
    <m/>
    <m/>
    <n v="0.49"/>
    <m/>
  </r>
  <r>
    <x v="5"/>
    <x v="129"/>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6.6"/>
    <s v=""/>
    <n v="1.1000000000000001"/>
    <s v=""/>
    <m/>
    <m/>
    <m/>
    <m/>
    <m/>
    <m/>
    <m/>
    <m/>
    <m/>
    <n v="6.6"/>
    <m/>
    <m/>
    <m/>
    <m/>
    <m/>
    <m/>
    <m/>
    <m/>
    <m/>
    <m/>
    <m/>
    <m/>
    <n v="1.1000000000000001"/>
    <m/>
  </r>
  <r>
    <x v="5"/>
    <x v="129"/>
    <m/>
    <m/>
    <m/>
    <s v="Japa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7.4"/>
    <s v=""/>
    <n v="1.2"/>
    <s v=""/>
    <m/>
    <m/>
    <m/>
    <m/>
    <m/>
    <m/>
    <m/>
    <m/>
    <m/>
    <n v="7.4"/>
    <m/>
    <m/>
    <m/>
    <m/>
    <m/>
    <m/>
    <m/>
    <m/>
    <m/>
    <m/>
    <m/>
    <m/>
    <n v="1.2"/>
    <m/>
  </r>
  <r>
    <x v="3"/>
    <x v="4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6"/>
    <s v=""/>
    <m/>
    <m/>
    <m/>
    <m/>
    <m/>
    <m/>
    <m/>
    <m/>
    <m/>
    <n v="1.5"/>
    <m/>
    <m/>
    <m/>
    <m/>
    <m/>
    <m/>
    <m/>
    <m/>
    <m/>
    <m/>
    <m/>
    <m/>
    <n v="0.16"/>
    <m/>
  </r>
  <r>
    <x v="3"/>
    <x v="4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4000000000000001"/>
    <s v=""/>
    <m/>
    <m/>
    <m/>
    <m/>
    <m/>
    <m/>
    <m/>
    <m/>
    <m/>
    <n v="1.5"/>
    <m/>
    <m/>
    <m/>
    <m/>
    <m/>
    <m/>
    <m/>
    <m/>
    <m/>
    <m/>
    <m/>
    <m/>
    <n v="0.14000000000000001"/>
    <m/>
  </r>
  <r>
    <x v="3"/>
    <x v="44"/>
    <m/>
    <m/>
    <m/>
    <s v="Denmark"/>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
    <s v=""/>
    <n v="0.09"/>
    <s v=""/>
    <m/>
    <m/>
    <m/>
    <m/>
    <m/>
    <m/>
    <m/>
    <m/>
    <m/>
    <n v="0.8"/>
    <m/>
    <m/>
    <m/>
    <m/>
    <m/>
    <m/>
    <m/>
    <m/>
    <m/>
    <m/>
    <m/>
    <m/>
    <n v="0.09"/>
    <m/>
  </r>
  <r>
    <x v="3"/>
    <x v="20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6"/>
    <s v=""/>
    <n v="0.09"/>
    <s v=""/>
    <m/>
    <m/>
    <m/>
    <m/>
    <m/>
    <m/>
    <m/>
    <m/>
    <m/>
    <n v="0.96"/>
    <m/>
    <m/>
    <m/>
    <m/>
    <m/>
    <m/>
    <m/>
    <m/>
    <m/>
    <m/>
    <m/>
    <m/>
    <n v="0.09"/>
    <m/>
  </r>
  <r>
    <x v="3"/>
    <x v="19"/>
    <m/>
    <m/>
    <m/>
    <s v="Spai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37"/>
    <s v=""/>
    <m/>
    <m/>
    <m/>
    <m/>
    <m/>
    <m/>
    <m/>
    <m/>
    <m/>
    <n v="3"/>
    <m/>
    <m/>
    <m/>
    <m/>
    <m/>
    <m/>
    <m/>
    <m/>
    <m/>
    <m/>
    <m/>
    <m/>
    <n v="0.37"/>
    <m/>
  </r>
  <r>
    <x v="3"/>
    <x v="75"/>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6"/>
    <s v=""/>
    <n v="0.37"/>
    <s v=""/>
    <m/>
    <m/>
    <m/>
    <m/>
    <m/>
    <m/>
    <m/>
    <m/>
    <m/>
    <n v="3.6"/>
    <m/>
    <m/>
    <m/>
    <m/>
    <m/>
    <m/>
    <m/>
    <m/>
    <m/>
    <m/>
    <m/>
    <m/>
    <n v="0.37"/>
    <m/>
  </r>
  <r>
    <x v="3"/>
    <x v="9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7"/>
    <s v=""/>
    <n v="0.09"/>
    <s v=""/>
    <m/>
    <m/>
    <m/>
    <m/>
    <m/>
    <m/>
    <m/>
    <m/>
    <m/>
    <n v="0.97"/>
    <m/>
    <m/>
    <m/>
    <m/>
    <m/>
    <m/>
    <m/>
    <m/>
    <m/>
    <m/>
    <m/>
    <m/>
    <n v="0.09"/>
    <m/>
  </r>
  <r>
    <x v="3"/>
    <x v="9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0.14000000000000001"/>
    <s v=""/>
    <m/>
    <m/>
    <m/>
    <m/>
    <m/>
    <m/>
    <m/>
    <m/>
    <m/>
    <n v="1.7"/>
    <m/>
    <m/>
    <m/>
    <m/>
    <m/>
    <m/>
    <m/>
    <m/>
    <m/>
    <m/>
    <m/>
    <m/>
    <n v="0.14000000000000001"/>
    <m/>
  </r>
  <r>
    <x v="3"/>
    <x v="57"/>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4"/>
    <s v=""/>
    <n v="0.13"/>
    <s v=""/>
    <m/>
    <m/>
    <m/>
    <m/>
    <m/>
    <m/>
    <m/>
    <m/>
    <m/>
    <n v="1.4"/>
    <m/>
    <m/>
    <m/>
    <m/>
    <m/>
    <m/>
    <m/>
    <m/>
    <m/>
    <m/>
    <m/>
    <m/>
    <n v="0.13"/>
    <m/>
  </r>
  <r>
    <x v="3"/>
    <x v="57"/>
    <m/>
    <m/>
    <m/>
    <s v="Hol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3"/>
    <s v=""/>
    <n v="0.14000000000000001"/>
    <s v=""/>
    <m/>
    <m/>
    <m/>
    <m/>
    <m/>
    <m/>
    <m/>
    <m/>
    <m/>
    <n v="1.3"/>
    <m/>
    <m/>
    <m/>
    <m/>
    <m/>
    <m/>
    <m/>
    <m/>
    <m/>
    <m/>
    <m/>
    <m/>
    <n v="0.14000000000000001"/>
    <m/>
  </r>
  <r>
    <x v="3"/>
    <x v="57"/>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9"/>
    <s v=""/>
    <n v="0.32"/>
    <s v=""/>
    <m/>
    <m/>
    <m/>
    <m/>
    <m/>
    <m/>
    <m/>
    <m/>
    <m/>
    <n v="3.9"/>
    <m/>
    <m/>
    <m/>
    <m/>
    <m/>
    <m/>
    <m/>
    <m/>
    <m/>
    <m/>
    <m/>
    <m/>
    <n v="0.32"/>
    <m/>
  </r>
  <r>
    <x v="4"/>
    <x v="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63"/>
    <s v=""/>
    <n v="0.06"/>
    <s v=""/>
    <m/>
    <m/>
    <m/>
    <m/>
    <m/>
    <m/>
    <m/>
    <m/>
    <m/>
    <n v="0.63"/>
    <m/>
    <m/>
    <m/>
    <m/>
    <m/>
    <m/>
    <m/>
    <m/>
    <m/>
    <m/>
    <m/>
    <m/>
    <n v="0.06"/>
    <m/>
  </r>
  <r>
    <x v="4"/>
    <x v="66"/>
    <m/>
    <m/>
    <m/>
    <s v="New Zea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1"/>
    <s v=""/>
    <n v="0.48"/>
    <s v=""/>
    <m/>
    <m/>
    <m/>
    <m/>
    <m/>
    <m/>
    <m/>
    <m/>
    <m/>
    <n v="6.1"/>
    <m/>
    <m/>
    <m/>
    <m/>
    <m/>
    <m/>
    <m/>
    <m/>
    <m/>
    <m/>
    <m/>
    <m/>
    <n v="0.48"/>
    <m/>
  </r>
  <r>
    <x v="4"/>
    <x v="66"/>
    <m/>
    <m/>
    <m/>
    <s v="Franc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6"/>
    <s v=""/>
    <n v="0.12"/>
    <s v=""/>
    <m/>
    <m/>
    <m/>
    <m/>
    <m/>
    <m/>
    <m/>
    <m/>
    <m/>
    <n v="1.6"/>
    <m/>
    <m/>
    <m/>
    <m/>
    <m/>
    <m/>
    <m/>
    <m/>
    <m/>
    <m/>
    <m/>
    <m/>
    <n v="0.12"/>
    <m/>
  </r>
  <r>
    <x v="4"/>
    <x v="136"/>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7"/>
    <s v=""/>
    <n v="0.33"/>
    <s v=""/>
    <m/>
    <m/>
    <m/>
    <m/>
    <m/>
    <m/>
    <m/>
    <m/>
    <m/>
    <n v="3.7"/>
    <m/>
    <m/>
    <m/>
    <m/>
    <m/>
    <m/>
    <m/>
    <m/>
    <m/>
    <m/>
    <m/>
    <m/>
    <n v="0.33"/>
    <m/>
  </r>
  <r>
    <x v="4"/>
    <x v="8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8"/>
    <s v=""/>
    <n v="0.21"/>
    <s v=""/>
    <m/>
    <m/>
    <m/>
    <m/>
    <m/>
    <m/>
    <m/>
    <m/>
    <m/>
    <n v="2.8"/>
    <m/>
    <m/>
    <m/>
    <m/>
    <m/>
    <m/>
    <m/>
    <m/>
    <m/>
    <m/>
    <m/>
    <m/>
    <n v="0.21"/>
    <m/>
  </r>
  <r>
    <x v="4"/>
    <x v="81"/>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4"/>
    <s v=""/>
    <n v="0.55000000000000004"/>
    <s v=""/>
    <m/>
    <m/>
    <m/>
    <m/>
    <m/>
    <m/>
    <m/>
    <m/>
    <m/>
    <n v="5.4"/>
    <m/>
    <m/>
    <m/>
    <m/>
    <m/>
    <m/>
    <m/>
    <m/>
    <m/>
    <m/>
    <m/>
    <m/>
    <n v="0.55000000000000004"/>
    <m/>
  </r>
  <r>
    <x v="4"/>
    <x v="20"/>
    <m/>
    <m/>
    <m/>
    <s v="CR"/>
    <m/>
    <s v="Eocinvent 2 process: Banana {CR}| banana production | Alloc Def, S"/>
    <m/>
    <m/>
    <s v="Swiss Center for Life Cycle Inventories, Ecoinvent Database version 3.3. 2016, 2016, ."/>
    <m/>
    <m/>
    <m/>
    <m/>
    <m/>
    <m/>
    <m/>
    <m/>
    <m/>
    <m/>
    <m/>
    <m/>
    <m/>
    <m/>
    <m/>
    <m/>
    <m/>
    <m/>
    <n v="0.97439113229999996"/>
    <s v=""/>
    <n v="8.1206746999999996E-2"/>
    <s v=""/>
    <m/>
    <m/>
    <m/>
    <m/>
    <m/>
    <m/>
    <m/>
    <m/>
    <m/>
    <n v="0.97439113229999996"/>
    <m/>
    <m/>
    <m/>
    <m/>
    <m/>
    <m/>
    <m/>
    <m/>
    <m/>
    <m/>
    <m/>
    <m/>
    <n v="8.1206746999999996E-2"/>
    <m/>
  </r>
  <r>
    <x v="4"/>
    <x v="20"/>
    <m/>
    <m/>
    <m/>
    <s v="EC"/>
    <m/>
    <s v="Eocinvent 2 process: Banana {EC}| banana production | Alloc Def, S"/>
    <m/>
    <m/>
    <s v="Swiss Center for Life Cycle Inventories, Ecoinvent Database version 3.3. 2016, 2016, ."/>
    <m/>
    <m/>
    <m/>
    <m/>
    <m/>
    <m/>
    <m/>
    <m/>
    <m/>
    <m/>
    <m/>
    <m/>
    <m/>
    <m/>
    <m/>
    <m/>
    <m/>
    <m/>
    <n v="3.3026936950999999"/>
    <s v=""/>
    <n v="0.26266316000000001"/>
    <s v=""/>
    <m/>
    <m/>
    <m/>
    <m/>
    <m/>
    <m/>
    <m/>
    <m/>
    <m/>
    <n v="3.3026936950999999"/>
    <m/>
    <m/>
    <m/>
    <m/>
    <m/>
    <m/>
    <m/>
    <m/>
    <m/>
    <m/>
    <m/>
    <m/>
    <n v="0.26266316000000001"/>
    <m/>
  </r>
  <r>
    <x v="4"/>
    <x v="20"/>
    <m/>
    <m/>
    <m/>
    <s v="IN"/>
    <m/>
    <s v="Eocinvent 2 process: Banana {IN}| banana production | Alloc Def, S"/>
    <m/>
    <m/>
    <s v="Swiss Center for Life Cycle Inventories, Ecoinvent Database version 3.3. 2016, 2016, ."/>
    <m/>
    <m/>
    <m/>
    <m/>
    <m/>
    <m/>
    <m/>
    <m/>
    <m/>
    <m/>
    <m/>
    <m/>
    <m/>
    <m/>
    <m/>
    <m/>
    <m/>
    <m/>
    <n v="3.1540473375000002"/>
    <s v=""/>
    <n v="0.26752540000000002"/>
    <s v=""/>
    <m/>
    <m/>
    <m/>
    <m/>
    <m/>
    <m/>
    <m/>
    <m/>
    <m/>
    <n v="3.1540473375000002"/>
    <m/>
    <m/>
    <m/>
    <m/>
    <m/>
    <m/>
    <m/>
    <m/>
    <m/>
    <m/>
    <m/>
    <m/>
    <n v="0.26752540000000002"/>
    <m/>
  </r>
  <r>
    <x v="4"/>
    <x v="20"/>
    <m/>
    <m/>
    <m/>
    <s v="RoW"/>
    <m/>
    <s v="Eocinvent 2 process: Banana {RoW}| banana production | Alloc Def, S"/>
    <m/>
    <m/>
    <s v="Swiss Center for Life Cycle Inventories, Ecoinvent Database version 3.3. 2016, 2016, ."/>
    <m/>
    <m/>
    <m/>
    <m/>
    <m/>
    <m/>
    <m/>
    <m/>
    <m/>
    <m/>
    <m/>
    <m/>
    <m/>
    <m/>
    <m/>
    <m/>
    <m/>
    <m/>
    <n v="2.6421060044000004"/>
    <s v=""/>
    <n v="0.26593591"/>
    <s v=""/>
    <m/>
    <m/>
    <m/>
    <m/>
    <m/>
    <m/>
    <m/>
    <m/>
    <m/>
    <n v="2.6421060044000004"/>
    <m/>
    <m/>
    <m/>
    <m/>
    <m/>
    <m/>
    <m/>
    <m/>
    <m/>
    <m/>
    <m/>
    <m/>
    <n v="0.26593591"/>
    <m/>
  </r>
  <r>
    <x v="3"/>
    <x v="142"/>
    <m/>
    <m/>
    <m/>
    <s v="DE"/>
    <m/>
    <s v="Agrifootprint process: Potato starch dried, from wet milling, at plant/DE Mass"/>
    <m/>
    <m/>
    <s v="Blonk Consultants. Agri-Footprint 2.0. 2015 [cited 2015] Available from: http://www.agrifootprint."/>
    <m/>
    <m/>
    <m/>
    <m/>
    <m/>
    <m/>
    <m/>
    <m/>
    <m/>
    <m/>
    <m/>
    <m/>
    <m/>
    <m/>
    <m/>
    <m/>
    <m/>
    <m/>
    <s v=""/>
    <n v="6.7838162000000004"/>
    <s v=""/>
    <n v="0.93291893999999997"/>
    <m/>
    <m/>
    <n v="6.7838162000000004"/>
    <m/>
    <m/>
    <m/>
    <m/>
    <m/>
    <m/>
    <m/>
    <n v="6.7838162000000004"/>
    <m/>
    <m/>
    <m/>
    <m/>
    <n v="0.93291893999999997"/>
    <m/>
    <m/>
    <m/>
    <m/>
    <m/>
    <m/>
    <m/>
    <n v="0.93291893999999997"/>
  </r>
  <r>
    <x v="3"/>
    <x v="142"/>
    <m/>
    <m/>
    <m/>
    <s v="NL"/>
    <m/>
    <s v="Agrifootprint process: Potato starch dried, from wet milling, at plant/NL Mass"/>
    <m/>
    <m/>
    <s v="Blonk Consultants. Agri-Footprint 2.0. 2015 [cited 2015] Available from: http://www.agrifootprint."/>
    <m/>
    <m/>
    <m/>
    <m/>
    <m/>
    <m/>
    <m/>
    <m/>
    <m/>
    <m/>
    <m/>
    <m/>
    <m/>
    <m/>
    <m/>
    <m/>
    <m/>
    <m/>
    <s v=""/>
    <n v="6.4781129000000002"/>
    <s v=""/>
    <n v="0.97211035000000001"/>
    <m/>
    <m/>
    <n v="6.4781129000000002"/>
    <m/>
    <m/>
    <m/>
    <m/>
    <m/>
    <m/>
    <m/>
    <n v="6.4781129000000002"/>
    <m/>
    <m/>
    <m/>
    <m/>
    <n v="0.97211035000000001"/>
    <m/>
    <m/>
    <m/>
    <m/>
    <m/>
    <m/>
    <m/>
    <n v="0.97211035000000001"/>
  </r>
  <r>
    <x v="3"/>
    <x v="203"/>
    <m/>
    <m/>
    <m/>
    <m/>
    <m/>
    <s v="Ecoinvent 3 process: Celery {GLO}| 675 production | Alloc Def, S"/>
    <m/>
    <m/>
    <s v="Swiss Center for Life Cycle Inventories, Ecoinvent Database version 3.3. 2016, 2016, ."/>
    <m/>
    <m/>
    <m/>
    <m/>
    <m/>
    <m/>
    <m/>
    <m/>
    <m/>
    <m/>
    <m/>
    <m/>
    <m/>
    <m/>
    <m/>
    <m/>
    <m/>
    <m/>
    <n v="5.2511022999999994"/>
    <s v=""/>
    <n v="0.41115000000000002"/>
    <s v=""/>
    <m/>
    <m/>
    <m/>
    <m/>
    <m/>
    <m/>
    <m/>
    <m/>
    <m/>
    <n v="5.2511022999999994"/>
    <m/>
    <m/>
    <m/>
    <m/>
    <m/>
    <m/>
    <m/>
    <m/>
    <m/>
    <m/>
    <m/>
    <m/>
    <n v="0.41115000000000002"/>
    <m/>
  </r>
  <r>
    <x v="3"/>
    <x v="204"/>
    <m/>
    <m/>
    <m/>
    <m/>
    <m/>
    <s v="Ecoinvent 3 process: Iceberg lettuce {GLO}| production | Alloc Def, S"/>
    <m/>
    <m/>
    <s v="Swiss Center for Life Cycle Inventories, Ecoinvent Database version 3.3. 2016, 2016, ."/>
    <m/>
    <m/>
    <m/>
    <m/>
    <m/>
    <m/>
    <m/>
    <m/>
    <m/>
    <m/>
    <m/>
    <m/>
    <m/>
    <m/>
    <m/>
    <m/>
    <m/>
    <m/>
    <n v="1.9850391699999999"/>
    <s v=""/>
    <n v="0.15075"/>
    <s v=""/>
    <m/>
    <m/>
    <m/>
    <m/>
    <m/>
    <m/>
    <m/>
    <m/>
    <m/>
    <n v="1.9850391699999999"/>
    <m/>
    <m/>
    <m/>
    <m/>
    <m/>
    <m/>
    <m/>
    <m/>
    <m/>
    <m/>
    <m/>
    <m/>
    <n v="0.15075"/>
    <m/>
  </r>
  <r>
    <x v="7"/>
    <x v="40"/>
    <m/>
    <m/>
    <m/>
    <s v="CA-QC"/>
    <m/>
    <s v="Ecoinvent 3: Soybean beverage {CA-QC}| production | Alloc Def, S"/>
    <m/>
    <m/>
    <s v="Swiss Center for Life Cycle Inventories, Ecoinvent Database version 3.3. 2016, 2016, ."/>
    <m/>
    <m/>
    <m/>
    <m/>
    <m/>
    <m/>
    <m/>
    <m/>
    <m/>
    <m/>
    <m/>
    <m/>
    <m/>
    <m/>
    <m/>
    <m/>
    <m/>
    <m/>
    <s v=""/>
    <n v="1.6030119999999999"/>
    <s v=""/>
    <n v="0.15309"/>
    <m/>
    <m/>
    <n v="1.6030119999999999"/>
    <m/>
    <m/>
    <m/>
    <m/>
    <m/>
    <m/>
    <m/>
    <n v="1.6030119999999999"/>
    <m/>
    <m/>
    <m/>
    <m/>
    <n v="0.15309"/>
    <m/>
    <m/>
    <m/>
    <m/>
    <m/>
    <m/>
    <m/>
    <n v="0.15309"/>
  </r>
  <r>
    <x v="7"/>
    <x v="40"/>
    <m/>
    <m/>
    <m/>
    <s v="RoW"/>
    <m/>
    <s v="Ecoinvent 3: Soybean beverage {RoW}| production | Alloc Def, S"/>
    <m/>
    <m/>
    <s v="Swiss Center for Life Cycle Inventories, Ecoinvent Database version 3.3. 2016, 2016, ."/>
    <m/>
    <m/>
    <m/>
    <m/>
    <m/>
    <m/>
    <m/>
    <m/>
    <m/>
    <m/>
    <m/>
    <m/>
    <m/>
    <m/>
    <m/>
    <m/>
    <m/>
    <m/>
    <s v=""/>
    <n v="1.76278241"/>
    <s v=""/>
    <n v="0.16888"/>
    <m/>
    <m/>
    <n v="1.76278241"/>
    <m/>
    <m/>
    <m/>
    <m/>
    <m/>
    <m/>
    <m/>
    <n v="1.76278241"/>
    <m/>
    <m/>
    <m/>
    <m/>
    <n v="0.16888"/>
    <m/>
    <m/>
    <m/>
    <m/>
    <m/>
    <m/>
    <m/>
    <n v="0.16888"/>
  </r>
  <r>
    <x v="10"/>
    <x v="205"/>
    <m/>
    <m/>
    <m/>
    <m/>
    <n v="2008"/>
    <s v="The Climate Conservancy. 2008. The Carbon Footprint of Fat Tire® Amber Ale. http://www.newbelgium.com/files/shared/tinkerer/the-carbon-footprint-of-fat-tire-amber-ale-2008-public-dist-rfs.pdf."/>
    <m/>
    <m/>
    <s v="The Climate Conservancy, The Carbon Footprint of Fat Tire® Amber Ale. 2008, ."/>
    <m/>
    <m/>
    <m/>
    <m/>
    <m/>
    <m/>
    <m/>
    <m/>
    <m/>
    <m/>
    <m/>
    <m/>
    <m/>
    <m/>
    <m/>
    <m/>
    <m/>
    <m/>
    <s v=""/>
    <s v=""/>
    <n v="2.35"/>
    <s v=""/>
    <m/>
    <m/>
    <m/>
    <m/>
    <m/>
    <m/>
    <m/>
    <m/>
    <m/>
    <m/>
    <m/>
    <m/>
    <m/>
    <m/>
    <m/>
    <m/>
    <m/>
    <m/>
    <m/>
    <m/>
    <m/>
    <m/>
    <n v="2.35"/>
    <m/>
  </r>
  <r>
    <x v="3"/>
    <x v="10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33"/>
    <s v=""/>
    <n v="0.30199999999999999"/>
    <s v=""/>
    <m/>
    <m/>
    <m/>
    <m/>
    <m/>
    <m/>
    <m/>
    <m/>
    <m/>
    <n v="3.33"/>
    <m/>
    <m/>
    <m/>
    <m/>
    <m/>
    <m/>
    <m/>
    <m/>
    <m/>
    <m/>
    <m/>
    <m/>
    <n v="0.30199999999999999"/>
    <m/>
  </r>
  <r>
    <x v="3"/>
    <x v="20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2"/>
    <s v=""/>
    <n v="0.152"/>
    <s v=""/>
    <m/>
    <m/>
    <m/>
    <m/>
    <m/>
    <m/>
    <m/>
    <m/>
    <m/>
    <n v="1.92"/>
    <m/>
    <m/>
    <m/>
    <m/>
    <m/>
    <m/>
    <m/>
    <m/>
    <m/>
    <m/>
    <m/>
    <m/>
    <n v="0.152"/>
    <m/>
  </r>
  <r>
    <x v="3"/>
    <x v="94"/>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81"/>
    <s v=""/>
    <n v="0.121"/>
    <s v=""/>
    <m/>
    <m/>
    <m/>
    <m/>
    <m/>
    <m/>
    <m/>
    <m/>
    <m/>
    <n v="1.81"/>
    <m/>
    <m/>
    <m/>
    <m/>
    <m/>
    <m/>
    <m/>
    <m/>
    <m/>
    <m/>
    <m/>
    <m/>
    <n v="0.121"/>
    <m/>
  </r>
  <r>
    <x v="3"/>
    <x v="93"/>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0.96699999999999997"/>
    <s v=""/>
    <n v="9.8400000000000001E-2"/>
    <s v=""/>
    <m/>
    <m/>
    <m/>
    <m/>
    <m/>
    <m/>
    <m/>
    <m/>
    <m/>
    <n v="0.96699999999999997"/>
    <m/>
    <m/>
    <m/>
    <m/>
    <m/>
    <m/>
    <m/>
    <m/>
    <m/>
    <m/>
    <m/>
    <m/>
    <n v="9.8400000000000001E-2"/>
    <m/>
  </r>
  <r>
    <x v="3"/>
    <x v="8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5.64"/>
    <s v=""/>
    <n v="0.27"/>
    <s v=""/>
    <m/>
    <m/>
    <m/>
    <m/>
    <m/>
    <m/>
    <m/>
    <m/>
    <m/>
    <n v="5.64"/>
    <m/>
    <m/>
    <m/>
    <m/>
    <m/>
    <m/>
    <m/>
    <m/>
    <m/>
    <m/>
    <m/>
    <m/>
    <n v="0.27"/>
    <m/>
  </r>
  <r>
    <x v="11"/>
    <x v="14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8.4"/>
    <s v=""/>
    <n v="1.46"/>
    <s v=""/>
    <m/>
    <m/>
    <m/>
    <m/>
    <m/>
    <m/>
    <m/>
    <m/>
    <m/>
    <n v="28.4"/>
    <m/>
    <m/>
    <m/>
    <m/>
    <m/>
    <m/>
    <m/>
    <m/>
    <m/>
    <m/>
    <m/>
    <m/>
    <n v="1.46"/>
    <m/>
  </r>
  <r>
    <x v="11"/>
    <x v="82"/>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2.4"/>
    <s v=""/>
    <n v="1.1599999999999999"/>
    <s v=""/>
    <m/>
    <m/>
    <m/>
    <m/>
    <m/>
    <m/>
    <m/>
    <m/>
    <m/>
    <n v="22.4"/>
    <m/>
    <m/>
    <m/>
    <m/>
    <m/>
    <m/>
    <m/>
    <m/>
    <m/>
    <m/>
    <m/>
    <m/>
    <n v="1.1599999999999999"/>
    <m/>
  </r>
  <r>
    <x v="4"/>
    <x v="137"/>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7.08"/>
    <s v=""/>
    <n v="0.28499999999999998"/>
    <s v=""/>
    <m/>
    <m/>
    <m/>
    <m/>
    <m/>
    <m/>
    <m/>
    <m/>
    <m/>
    <n v="7.08"/>
    <m/>
    <m/>
    <m/>
    <m/>
    <m/>
    <m/>
    <m/>
    <m/>
    <m/>
    <m/>
    <m/>
    <m/>
    <n v="0.28499999999999998"/>
    <m/>
  </r>
  <r>
    <x v="4"/>
    <x v="13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3"/>
    <s v=""/>
    <n v="0.107"/>
    <s v=""/>
    <m/>
    <m/>
    <m/>
    <m/>
    <m/>
    <m/>
    <m/>
    <m/>
    <m/>
    <n v="1.93"/>
    <m/>
    <m/>
    <m/>
    <m/>
    <m/>
    <m/>
    <m/>
    <m/>
    <m/>
    <m/>
    <m/>
    <m/>
    <n v="0.107"/>
    <m/>
  </r>
  <r>
    <x v="4"/>
    <x v="2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8"/>
    <s v=""/>
    <n v="0.23"/>
    <s v=""/>
    <m/>
    <m/>
    <m/>
    <m/>
    <m/>
    <m/>
    <m/>
    <m/>
    <m/>
    <n v="2.68"/>
    <m/>
    <m/>
    <m/>
    <m/>
    <m/>
    <m/>
    <m/>
    <m/>
    <m/>
    <m/>
    <m/>
    <m/>
    <n v="0.23"/>
    <m/>
  </r>
  <r>
    <x v="4"/>
    <x v="6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13"/>
    <s v=""/>
    <n v="0.14799999999999999"/>
    <s v=""/>
    <m/>
    <m/>
    <m/>
    <m/>
    <m/>
    <m/>
    <m/>
    <m/>
    <m/>
    <n v="3.13"/>
    <m/>
    <m/>
    <m/>
    <m/>
    <m/>
    <m/>
    <m/>
    <m/>
    <m/>
    <m/>
    <m/>
    <m/>
    <n v="0.14799999999999999"/>
    <m/>
  </r>
  <r>
    <x v="3"/>
    <x v="44"/>
    <m/>
    <m/>
    <m/>
    <m/>
    <n v="2018"/>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9"/>
    <s v=""/>
    <n v="0.157"/>
    <s v=""/>
    <m/>
    <m/>
    <m/>
    <m/>
    <m/>
    <m/>
    <m/>
    <m/>
    <m/>
    <n v="2.69"/>
    <m/>
    <m/>
    <m/>
    <m/>
    <m/>
    <m/>
    <m/>
    <m/>
    <m/>
    <m/>
    <m/>
    <m/>
    <n v="0.157"/>
    <m/>
  </r>
  <r>
    <x v="11"/>
    <x v="207"/>
    <m/>
    <m/>
    <m/>
    <s v="CA"/>
    <m/>
    <s v="Argifootprint process: Lentil, at farm/CA Mass"/>
    <m/>
    <m/>
    <s v="Blonk Consultants. Agri-Footprint 2.0. 2015 [cited 2015] Available from: http://www.agrifootprint."/>
    <m/>
    <m/>
    <m/>
    <m/>
    <m/>
    <m/>
    <m/>
    <m/>
    <m/>
    <m/>
    <m/>
    <m/>
    <m/>
    <m/>
    <m/>
    <m/>
    <m/>
    <m/>
    <n v="1.4028"/>
    <s v=""/>
    <n v="0.42380000000000001"/>
    <s v=""/>
    <m/>
    <m/>
    <m/>
    <m/>
    <m/>
    <m/>
    <m/>
    <m/>
    <m/>
    <n v="1.4028"/>
    <m/>
    <m/>
    <m/>
    <m/>
    <m/>
    <m/>
    <m/>
    <m/>
    <m/>
    <m/>
    <m/>
    <m/>
    <n v="0.42380000000000001"/>
    <m/>
  </r>
  <r>
    <x v="11"/>
    <x v="207"/>
    <m/>
    <m/>
    <m/>
    <s v="AU"/>
    <m/>
    <s v="Argifootprint process: Lentil, at farm/AU Mass"/>
    <m/>
    <m/>
    <s v="Blonk Consultants. Agri-Footprint 2.0. 2015 [cited 2015] Available from: http://www.agrifootprint."/>
    <m/>
    <m/>
    <m/>
    <m/>
    <m/>
    <m/>
    <m/>
    <m/>
    <m/>
    <m/>
    <m/>
    <m/>
    <m/>
    <m/>
    <m/>
    <m/>
    <m/>
    <m/>
    <n v="1.2381"/>
    <s v=""/>
    <n v="3.3369"/>
    <s v=""/>
    <m/>
    <m/>
    <m/>
    <m/>
    <m/>
    <m/>
    <m/>
    <m/>
    <m/>
    <n v="1.2381"/>
    <m/>
    <m/>
    <m/>
    <m/>
    <m/>
    <m/>
    <m/>
    <m/>
    <m/>
    <m/>
    <m/>
    <m/>
    <n v="3.3369"/>
    <m/>
  </r>
  <r>
    <x v="11"/>
    <x v="201"/>
    <m/>
    <m/>
    <m/>
    <s v="US"/>
    <m/>
    <s v="Agrifootprint process: Beans, dry, at farm/US Mass"/>
    <m/>
    <m/>
    <s v="Blonk Consultants. Agri-Footprint 2.0. 2015 [cited 2015] Available from: http://www.agrifootprint."/>
    <m/>
    <m/>
    <m/>
    <m/>
    <m/>
    <m/>
    <m/>
    <m/>
    <m/>
    <m/>
    <m/>
    <m/>
    <m/>
    <m/>
    <m/>
    <m/>
    <m/>
    <m/>
    <n v="2.1116000000000001"/>
    <s v=""/>
    <n v="0.46848000000000001"/>
    <s v=""/>
    <m/>
    <m/>
    <m/>
    <m/>
    <m/>
    <m/>
    <m/>
    <m/>
    <m/>
    <n v="2.1116000000000001"/>
    <m/>
    <m/>
    <m/>
    <m/>
    <m/>
    <m/>
    <m/>
    <m/>
    <m/>
    <m/>
    <m/>
    <m/>
    <n v="0.46848000000000001"/>
    <m/>
  </r>
  <r>
    <x v="11"/>
    <x v="208"/>
    <m/>
    <m/>
    <m/>
    <s v="US"/>
    <m/>
    <s v="Agrifootprint process: Chickpea, at farm/US Mass"/>
    <m/>
    <m/>
    <s v="Blonk Consultants. Agri-Footprint 2.0. 2015 [cited 2015] Available from: http://www.agrifootprint."/>
    <m/>
    <m/>
    <m/>
    <m/>
    <m/>
    <m/>
    <m/>
    <m/>
    <m/>
    <m/>
    <m/>
    <m/>
    <m/>
    <m/>
    <m/>
    <m/>
    <m/>
    <m/>
    <n v="1.5431999999999999"/>
    <s v=""/>
    <n v="0.4914"/>
    <s v=""/>
    <m/>
    <m/>
    <m/>
    <m/>
    <m/>
    <m/>
    <m/>
    <m/>
    <m/>
    <n v="1.5431999999999999"/>
    <m/>
    <m/>
    <m/>
    <m/>
    <m/>
    <m/>
    <m/>
    <m/>
    <m/>
    <m/>
    <m/>
    <m/>
    <n v="0.4914"/>
    <m/>
  </r>
  <r>
    <x v="11"/>
    <x v="127"/>
    <m/>
    <m/>
    <m/>
    <s v="US"/>
    <m/>
    <s v="Agrifootprint process: Soybean, at farm/US Mass"/>
    <m/>
    <m/>
    <s v="Blonk Consultants. Agri-Footprint 2.0. 2015 [cited 2015] Available from: http://www.agrifootprint."/>
    <m/>
    <m/>
    <m/>
    <m/>
    <m/>
    <m/>
    <m/>
    <m/>
    <m/>
    <m/>
    <m/>
    <m/>
    <m/>
    <m/>
    <m/>
    <m/>
    <m/>
    <m/>
    <n v="3.0627"/>
    <s v=""/>
    <n v="0.37952000000000002"/>
    <s v=""/>
    <m/>
    <m/>
    <m/>
    <m/>
    <m/>
    <m/>
    <m/>
    <m/>
    <m/>
    <n v="3.0627"/>
    <m/>
    <m/>
    <m/>
    <m/>
    <m/>
    <m/>
    <m/>
    <m/>
    <m/>
    <m/>
    <m/>
    <m/>
    <n v="0.37952000000000002"/>
    <m/>
  </r>
  <r>
    <x v="9"/>
    <x v="209"/>
    <m/>
    <m/>
    <m/>
    <s v="US"/>
    <m/>
    <s v="Agrifootprint process:Sugar cane molasses, from sugar production, at plant/US Mass"/>
    <m/>
    <m/>
    <s v="Blonk Consultants. Agri-Footprint 2.0. 2015 [cited 2015] Available from: http://www.agrifootprint."/>
    <m/>
    <m/>
    <m/>
    <m/>
    <m/>
    <m/>
    <m/>
    <m/>
    <m/>
    <m/>
    <m/>
    <m/>
    <m/>
    <m/>
    <m/>
    <m/>
    <m/>
    <m/>
    <s v=""/>
    <n v="5.0787000000000004"/>
    <s v=""/>
    <n v="0.48759999999999998"/>
    <m/>
    <m/>
    <n v="5.0787000000000004"/>
    <m/>
    <m/>
    <m/>
    <m/>
    <m/>
    <m/>
    <m/>
    <n v="5.0787000000000004"/>
    <m/>
    <m/>
    <m/>
    <m/>
    <n v="0.48759999999999998"/>
    <m/>
    <m/>
    <m/>
    <m/>
    <m/>
    <m/>
    <m/>
    <n v="0.48759999999999998"/>
  </r>
  <r>
    <x v="9"/>
    <x v="131"/>
    <m/>
    <m/>
    <m/>
    <s v="US"/>
    <m/>
    <s v="Agrifootprint process: Sugar, from sugar cane, from sugar production, at plant/US Mass"/>
    <m/>
    <m/>
    <s v="Blonk Consultants. Agri-Footprint 2.0. 2015 [cited 2015] Available from: http://www.agrifootprint."/>
    <m/>
    <m/>
    <m/>
    <m/>
    <m/>
    <m/>
    <m/>
    <m/>
    <m/>
    <m/>
    <m/>
    <m/>
    <m/>
    <m/>
    <m/>
    <m/>
    <m/>
    <m/>
    <s v=""/>
    <n v="6.7751476000000004"/>
    <s v=""/>
    <n v="0.66705736999999998"/>
    <m/>
    <m/>
    <n v="6.7751476000000004"/>
    <m/>
    <m/>
    <m/>
    <m/>
    <m/>
    <m/>
    <m/>
    <n v="6.7751476000000004"/>
    <m/>
    <m/>
    <m/>
    <m/>
    <n v="0.66705736999999998"/>
    <m/>
    <m/>
    <m/>
    <m/>
    <m/>
    <m/>
    <m/>
    <n v="0.66705736999999998"/>
  </r>
  <r>
    <x v="8"/>
    <x v="47"/>
    <m/>
    <m/>
    <m/>
    <s v="US"/>
    <m/>
    <s v="Agrifootprint process: Refined soybean oil, from crushing (solvent), at plant/US Mass"/>
    <m/>
    <m/>
    <s v="Blonk Consultants. Agri-Footprint 2.0. 2015 [cited 2015] Available from: http://www.agrifootprint."/>
    <m/>
    <m/>
    <m/>
    <m/>
    <m/>
    <m/>
    <m/>
    <m/>
    <m/>
    <m/>
    <m/>
    <m/>
    <m/>
    <m/>
    <m/>
    <m/>
    <m/>
    <m/>
    <s v=""/>
    <n v="8.75"/>
    <s v=""/>
    <n v="0.80688000000000004"/>
    <m/>
    <m/>
    <n v="8.75"/>
    <m/>
    <m/>
    <m/>
    <m/>
    <m/>
    <m/>
    <m/>
    <n v="8.75"/>
    <m/>
    <m/>
    <m/>
    <m/>
    <n v="0.80688000000000004"/>
    <m/>
    <m/>
    <m/>
    <m/>
    <m/>
    <m/>
    <m/>
    <n v="0.80688000000000004"/>
  </r>
  <r>
    <x v="11"/>
    <x v="210"/>
    <m/>
    <m/>
    <m/>
    <s v="US"/>
    <m/>
    <s v="Ecoinvent 3 process: Soybean meal {US}| soybean meal and crude oil production | Alloc Def, S"/>
    <m/>
    <m/>
    <s v="Swiss Center for Life Cycle Inventories, Ecoinvent Database version 3.3. 2016, 2016, ."/>
    <m/>
    <m/>
    <m/>
    <m/>
    <m/>
    <m/>
    <m/>
    <m/>
    <m/>
    <m/>
    <m/>
    <m/>
    <m/>
    <m/>
    <m/>
    <m/>
    <m/>
    <m/>
    <s v=""/>
    <n v="2.9633449999999999"/>
    <s v=""/>
    <n v="0.40566000000000002"/>
    <m/>
    <m/>
    <n v="2.9633449999999999"/>
    <m/>
    <m/>
    <m/>
    <m/>
    <m/>
    <m/>
    <m/>
    <n v="2.9633449999999999"/>
    <m/>
    <m/>
    <m/>
    <m/>
    <n v="0.40566000000000002"/>
    <m/>
    <m/>
    <m/>
    <m/>
    <m/>
    <m/>
    <m/>
    <n v="0.40566000000000002"/>
  </r>
  <r>
    <x v="3"/>
    <x v="211"/>
    <m/>
    <m/>
    <m/>
    <s v="US"/>
    <m/>
    <s v="Ecoinvent 3 process: Sweet corn {US}| sweet corn production | Alloc Def, S"/>
    <m/>
    <m/>
    <s v="Swiss Center for Life Cycle Inventories, Ecoinvent Database version 3.3. 2016, 2016, ."/>
    <m/>
    <m/>
    <m/>
    <m/>
    <m/>
    <m/>
    <m/>
    <m/>
    <m/>
    <m/>
    <m/>
    <m/>
    <m/>
    <m/>
    <m/>
    <m/>
    <m/>
    <m/>
    <n v="2.4748158250000003"/>
    <s v=""/>
    <n v="0.24421635"/>
    <s v=""/>
    <m/>
    <m/>
    <m/>
    <m/>
    <m/>
    <m/>
    <m/>
    <m/>
    <m/>
    <n v="2.4748158250000003"/>
    <m/>
    <m/>
    <m/>
    <m/>
    <m/>
    <m/>
    <m/>
    <m/>
    <m/>
    <m/>
    <m/>
    <m/>
    <n v="0.24421635"/>
    <m/>
  </r>
  <r>
    <x v="3"/>
    <x v="211"/>
    <m/>
    <m/>
    <m/>
    <s v="HU"/>
    <m/>
    <s v="Ecoinvent 3 process: Sweet corn {HU}| sweet corn production | Alloc Def, S"/>
    <m/>
    <m/>
    <s v="Swiss Center for Life Cycle Inventories, Ecoinvent Database version 3.3. 2016, 2016, ."/>
    <m/>
    <m/>
    <m/>
    <m/>
    <m/>
    <m/>
    <m/>
    <m/>
    <m/>
    <m/>
    <m/>
    <m/>
    <m/>
    <m/>
    <m/>
    <m/>
    <m/>
    <m/>
    <n v="2.6657383942699999"/>
    <s v=""/>
    <n v="0.28881754999999998"/>
    <s v=""/>
    <m/>
    <m/>
    <m/>
    <m/>
    <m/>
    <m/>
    <m/>
    <m/>
    <m/>
    <n v="2.6657383942699999"/>
    <m/>
    <m/>
    <m/>
    <m/>
    <m/>
    <m/>
    <m/>
    <m/>
    <m/>
    <m/>
    <m/>
    <m/>
    <n v="0.28881754999999998"/>
    <m/>
  </r>
  <r>
    <x v="3"/>
    <x v="211"/>
    <m/>
    <m/>
    <m/>
    <s v="RoW"/>
    <m/>
    <s v="Ecoinvent 3 process: Sweet corn {RoW}| sweet corn production | Alloc Def, S"/>
    <m/>
    <m/>
    <s v="Swiss Center for Life Cycle Inventories, Ecoinvent Database version 3.3. 2016, 2016, ."/>
    <m/>
    <m/>
    <m/>
    <m/>
    <m/>
    <m/>
    <m/>
    <m/>
    <m/>
    <m/>
    <m/>
    <m/>
    <m/>
    <m/>
    <m/>
    <m/>
    <m/>
    <m/>
    <n v="2.527893089"/>
    <s v=""/>
    <n v="0.37178664"/>
    <s v=""/>
    <m/>
    <m/>
    <m/>
    <m/>
    <m/>
    <m/>
    <m/>
    <m/>
    <m/>
    <n v="2.527893089"/>
    <m/>
    <m/>
    <m/>
    <m/>
    <m/>
    <m/>
    <m/>
    <m/>
    <m/>
    <m/>
    <m/>
    <m/>
    <n v="0.37178664"/>
    <m/>
  </r>
  <r>
    <x v="3"/>
    <x v="211"/>
    <m/>
    <m/>
    <m/>
    <s v="TH"/>
    <m/>
    <s v="Ecoinvent 3 process: Sweet corn {TH}| sweet corn production | Alloc Def, S"/>
    <m/>
    <m/>
    <s v="Swiss Center for Life Cycle Inventories, Ecoinvent Database version 3.3. 2016, 2016, ."/>
    <m/>
    <m/>
    <m/>
    <m/>
    <m/>
    <m/>
    <m/>
    <m/>
    <m/>
    <m/>
    <m/>
    <m/>
    <m/>
    <m/>
    <m/>
    <m/>
    <m/>
    <m/>
    <n v="1.8887313091"/>
    <s v=""/>
    <n v="0.18450696"/>
    <s v=""/>
    <m/>
    <m/>
    <m/>
    <m/>
    <m/>
    <m/>
    <m/>
    <m/>
    <m/>
    <n v="1.8887313091"/>
    <m/>
    <m/>
    <m/>
    <m/>
    <m/>
    <m/>
    <m/>
    <m/>
    <m/>
    <m/>
    <m/>
    <m/>
    <n v="0.18450696"/>
    <m/>
  </r>
  <r>
    <x v="8"/>
    <x v="50"/>
    <m/>
    <m/>
    <m/>
    <s v="Global"/>
    <m/>
    <s v="World Food LCA Database: Peanut oil, at oil mill (WFLDB 3.1)/GLO U"/>
    <m/>
    <m/>
    <s v="Quantis, World Food LCA Database. 2016, ."/>
    <m/>
    <m/>
    <m/>
    <m/>
    <m/>
    <m/>
    <m/>
    <m/>
    <m/>
    <m/>
    <m/>
    <m/>
    <m/>
    <m/>
    <m/>
    <m/>
    <m/>
    <m/>
    <s v=""/>
    <n v="3.1583665999999999"/>
    <s v=""/>
    <n v="4.3630063999999997"/>
    <m/>
    <m/>
    <n v="3.1583665999999999"/>
    <m/>
    <m/>
    <m/>
    <m/>
    <m/>
    <m/>
    <m/>
    <n v="3.1583665999999999"/>
    <m/>
    <m/>
    <m/>
    <m/>
    <n v="4.3630063999999997"/>
    <m/>
    <m/>
    <m/>
    <m/>
    <m/>
    <m/>
    <m/>
    <n v="4.3630063999999997"/>
  </r>
  <r>
    <x v="3"/>
    <x v="93"/>
    <m/>
    <m/>
    <m/>
    <s v="CN"/>
    <m/>
    <s v="Ecoinvent 3 (WFLDB) process: Onion {CN}| onion production | Alloc Def, S"/>
    <m/>
    <m/>
    <s v="Swiss Center for Life Cycle Inventories, Ecoinvent Database version 3.3. 2016, 2016, ."/>
    <m/>
    <m/>
    <m/>
    <m/>
    <m/>
    <m/>
    <m/>
    <m/>
    <m/>
    <m/>
    <m/>
    <m/>
    <m/>
    <m/>
    <m/>
    <m/>
    <m/>
    <m/>
    <n v="2.1517225358000003"/>
    <s v=""/>
    <n v="0.18947802999999999"/>
    <s v=""/>
    <m/>
    <m/>
    <m/>
    <m/>
    <m/>
    <m/>
    <m/>
    <m/>
    <m/>
    <n v="2.1517225358000003"/>
    <m/>
    <m/>
    <m/>
    <m/>
    <m/>
    <m/>
    <m/>
    <m/>
    <m/>
    <m/>
    <m/>
    <m/>
    <n v="0.18947802999999999"/>
    <m/>
  </r>
  <r>
    <x v="3"/>
    <x v="93"/>
    <m/>
    <m/>
    <m/>
    <s v="IN"/>
    <m/>
    <s v="Ecoinvent 3 (WFLDB) process: Onion {IN}| onion production | Alloc Def, S"/>
    <m/>
    <m/>
    <s v="Swiss Center for Life Cycle Inventories, Ecoinvent Database version 3.3. 2016, 2016, ."/>
    <m/>
    <m/>
    <m/>
    <m/>
    <m/>
    <m/>
    <m/>
    <m/>
    <m/>
    <m/>
    <m/>
    <m/>
    <m/>
    <m/>
    <m/>
    <m/>
    <m/>
    <m/>
    <n v="5.6378573961000003"/>
    <s v=""/>
    <n v="0.54483833000000004"/>
    <s v=""/>
    <m/>
    <m/>
    <m/>
    <m/>
    <m/>
    <m/>
    <m/>
    <m/>
    <m/>
    <n v="5.6378573961000003"/>
    <m/>
    <m/>
    <m/>
    <m/>
    <m/>
    <m/>
    <m/>
    <m/>
    <m/>
    <m/>
    <m/>
    <m/>
    <n v="0.54483833000000004"/>
    <m/>
  </r>
  <r>
    <x v="3"/>
    <x v="93"/>
    <m/>
    <m/>
    <m/>
    <s v="NL"/>
    <m/>
    <s v="Ecoinvent 3 (WFLDB) process: Onion {NL}| onion production | Alloc Def, S"/>
    <m/>
    <m/>
    <s v="Swiss Center for Life Cycle Inventories, Ecoinvent Database version 3.3. 2016, 2016, ."/>
    <m/>
    <m/>
    <m/>
    <m/>
    <m/>
    <m/>
    <m/>
    <m/>
    <m/>
    <m/>
    <m/>
    <m/>
    <m/>
    <m/>
    <m/>
    <m/>
    <m/>
    <m/>
    <n v="2.1631013978000002"/>
    <s v=""/>
    <n v="0.19278450999999999"/>
    <s v=""/>
    <m/>
    <m/>
    <m/>
    <m/>
    <m/>
    <m/>
    <m/>
    <m/>
    <m/>
    <n v="2.1631013978000002"/>
    <m/>
    <m/>
    <m/>
    <m/>
    <m/>
    <m/>
    <m/>
    <m/>
    <m/>
    <m/>
    <m/>
    <m/>
    <n v="0.19278450999999999"/>
    <m/>
  </r>
  <r>
    <x v="3"/>
    <x v="93"/>
    <m/>
    <m/>
    <m/>
    <s v="NZ"/>
    <m/>
    <s v="Ecoinvent 3 (WFLDB) process: Onion {NZ}| onion production | Alloc Def, S"/>
    <m/>
    <m/>
    <s v="Swiss Center for Life Cycle Inventories, Ecoinvent Database version 3.3. 2016, 2016, ."/>
    <m/>
    <m/>
    <m/>
    <m/>
    <m/>
    <m/>
    <m/>
    <m/>
    <m/>
    <m/>
    <m/>
    <m/>
    <m/>
    <m/>
    <m/>
    <m/>
    <m/>
    <m/>
    <n v="2.5110390611"/>
    <s v=""/>
    <n v="0.24044423000000001"/>
    <s v=""/>
    <m/>
    <m/>
    <m/>
    <m/>
    <m/>
    <m/>
    <m/>
    <m/>
    <m/>
    <n v="2.5110390611"/>
    <m/>
    <m/>
    <m/>
    <m/>
    <m/>
    <m/>
    <m/>
    <m/>
    <m/>
    <m/>
    <m/>
    <m/>
    <n v="0.24044423000000001"/>
    <m/>
  </r>
  <r>
    <x v="3"/>
    <x v="93"/>
    <m/>
    <m/>
    <m/>
    <s v="RoW"/>
    <m/>
    <s v="Ecoinvent 3 (WFLDB) process: Onion {RoW}| onion production | Alloc Def, S"/>
    <m/>
    <m/>
    <s v="Swiss Center for Life Cycle Inventories, Ecoinvent Database version 3.3. 2016, 2016, ."/>
    <m/>
    <m/>
    <m/>
    <m/>
    <m/>
    <m/>
    <m/>
    <m/>
    <m/>
    <m/>
    <m/>
    <m/>
    <m/>
    <m/>
    <m/>
    <m/>
    <m/>
    <m/>
    <n v="3.4170270486000001"/>
    <s v=""/>
    <n v="0.32761311999999998"/>
    <s v=""/>
    <m/>
    <m/>
    <m/>
    <m/>
    <m/>
    <m/>
    <m/>
    <m/>
    <m/>
    <n v="3.4170270486000001"/>
    <m/>
    <m/>
    <m/>
    <m/>
    <m/>
    <m/>
    <m/>
    <m/>
    <m/>
    <m/>
    <m/>
    <m/>
    <n v="0.32761311999999998"/>
    <m/>
  </r>
  <r>
    <x v="9"/>
    <x v="212"/>
    <m/>
    <m/>
    <m/>
    <s v="NL"/>
    <m/>
    <s v="Agrifootprint process: Sugar, from sugar beet, from sugar production, at Suiker Unie plants/NL Mass"/>
    <m/>
    <m/>
    <s v="Blonk Consultants. Agri-Footprint 2.0. 2015 [cited 2015] Available from: http://www.agrifootprint."/>
    <m/>
    <m/>
    <m/>
    <m/>
    <m/>
    <m/>
    <m/>
    <m/>
    <m/>
    <m/>
    <m/>
    <m/>
    <m/>
    <m/>
    <m/>
    <m/>
    <m/>
    <m/>
    <s v=""/>
    <n v="3.7005972000000003"/>
    <s v=""/>
    <n v="0.29486158999999995"/>
    <m/>
    <m/>
    <n v="3.7005972000000003"/>
    <m/>
    <m/>
    <m/>
    <m/>
    <m/>
    <m/>
    <m/>
    <n v="3.7005972000000003"/>
    <m/>
    <m/>
    <m/>
    <m/>
    <n v="0.29486158999999995"/>
    <m/>
    <m/>
    <m/>
    <m/>
    <m/>
    <m/>
    <m/>
    <n v="0.29486158999999995"/>
  </r>
  <r>
    <x v="9"/>
    <x v="212"/>
    <m/>
    <m/>
    <m/>
    <s v="PL"/>
    <m/>
    <s v="Agrifootprint process: Sugar, from sugar beet, from sugar production, at plant/PL Mass"/>
    <m/>
    <m/>
    <s v="Blonk Consultants. Agri-Footprint 2.0. 2015 [cited 2015] Available from: http://www.agrifootprint."/>
    <m/>
    <m/>
    <m/>
    <m/>
    <m/>
    <m/>
    <m/>
    <m/>
    <m/>
    <m/>
    <m/>
    <m/>
    <m/>
    <m/>
    <m/>
    <m/>
    <m/>
    <m/>
    <s v=""/>
    <n v="5.132009"/>
    <s v=""/>
    <n v="0.47034267000000002"/>
    <m/>
    <m/>
    <n v="5.132009"/>
    <m/>
    <m/>
    <m/>
    <m/>
    <m/>
    <m/>
    <m/>
    <n v="5.132009"/>
    <m/>
    <m/>
    <m/>
    <m/>
    <n v="0.47034267000000002"/>
    <m/>
    <m/>
    <m/>
    <m/>
    <m/>
    <m/>
    <m/>
    <n v="0.47034267000000002"/>
  </r>
  <r>
    <x v="9"/>
    <x v="212"/>
    <m/>
    <m/>
    <m/>
    <s v="FR"/>
    <m/>
    <s v="Agrifootprint process: Sugar, from sugar beet, from sugar production, at plant/FR Mass"/>
    <m/>
    <m/>
    <s v="Blonk Consultants. Agri-Footprint 2.0. 2015 [cited 2015] Available from: http://www.agrifootprint."/>
    <m/>
    <m/>
    <m/>
    <m/>
    <m/>
    <m/>
    <m/>
    <m/>
    <m/>
    <m/>
    <m/>
    <m/>
    <m/>
    <m/>
    <m/>
    <m/>
    <m/>
    <m/>
    <s v=""/>
    <n v="4.5169813999999997"/>
    <s v=""/>
    <n v="0.36901864000000001"/>
    <m/>
    <m/>
    <n v="4.5169813999999997"/>
    <m/>
    <m/>
    <m/>
    <m/>
    <m/>
    <m/>
    <m/>
    <n v="4.5169813999999997"/>
    <m/>
    <m/>
    <m/>
    <m/>
    <n v="0.36901864000000001"/>
    <m/>
    <m/>
    <m/>
    <m/>
    <m/>
    <m/>
    <m/>
    <n v="0.36901864000000001"/>
  </r>
  <r>
    <x v="9"/>
    <x v="212"/>
    <m/>
    <m/>
    <m/>
    <s v="DE"/>
    <m/>
    <s v="Agrifootprint process: Sugar, from sugar beet, from sugar production, at plant/DE Mass"/>
    <m/>
    <m/>
    <s v="Blonk Consultants. Agri-Footprint 2.0. 2015 [cited 2015] Available from: http://www.agrifootprint."/>
    <m/>
    <m/>
    <m/>
    <m/>
    <m/>
    <m/>
    <m/>
    <m/>
    <m/>
    <m/>
    <m/>
    <m/>
    <m/>
    <m/>
    <m/>
    <m/>
    <m/>
    <m/>
    <s v=""/>
    <n v="4.9473551999999996"/>
    <s v=""/>
    <n v="0.42890933999999997"/>
    <m/>
    <m/>
    <n v="4.9473551999999996"/>
    <m/>
    <m/>
    <m/>
    <m/>
    <m/>
    <m/>
    <m/>
    <n v="4.9473551999999996"/>
    <m/>
    <m/>
    <m/>
    <m/>
    <n v="0.42890933999999997"/>
    <m/>
    <m/>
    <m/>
    <m/>
    <m/>
    <m/>
    <m/>
    <n v="0.42890933999999997"/>
  </r>
  <r>
    <x v="9"/>
    <x v="213"/>
    <m/>
    <m/>
    <m/>
    <s v="NL"/>
    <m/>
    <s v="Agrifootprint process: Sugar beet molasses, from sugar production, at Suiker Unie plants/NL Mass"/>
    <m/>
    <m/>
    <s v="Blonk Consultants. Agri-Footprint 2.0. 2015 [cited 2015] Available from: http://www.agrifootprint."/>
    <m/>
    <m/>
    <m/>
    <m/>
    <m/>
    <m/>
    <m/>
    <m/>
    <m/>
    <m/>
    <m/>
    <m/>
    <m/>
    <m/>
    <m/>
    <m/>
    <m/>
    <m/>
    <s v=""/>
    <n v="2.9346000000000001"/>
    <s v=""/>
    <n v="0.23335"/>
    <m/>
    <m/>
    <n v="2.9346000000000001"/>
    <m/>
    <m/>
    <m/>
    <m/>
    <m/>
    <m/>
    <m/>
    <n v="2.9346000000000001"/>
    <m/>
    <m/>
    <m/>
    <m/>
    <n v="0.23335"/>
    <m/>
    <m/>
    <m/>
    <m/>
    <m/>
    <m/>
    <m/>
    <n v="0.23335"/>
  </r>
  <r>
    <x v="9"/>
    <x v="213"/>
    <m/>
    <m/>
    <m/>
    <s v="PL"/>
    <m/>
    <s v="Agrifootprint process: Sugar beet molasses, from sugar production, at plant/PL Mass"/>
    <m/>
    <m/>
    <s v="Blonk Consultants. Agri-Footprint 2.0. 2015 [cited 2015] Available from: http://www.agrifootprint."/>
    <m/>
    <m/>
    <m/>
    <m/>
    <m/>
    <m/>
    <m/>
    <m/>
    <m/>
    <m/>
    <m/>
    <m/>
    <m/>
    <m/>
    <m/>
    <m/>
    <m/>
    <m/>
    <s v=""/>
    <n v="3.7627999999999999"/>
    <s v=""/>
    <n v="0.34007999999999999"/>
    <m/>
    <m/>
    <n v="3.7627999999999999"/>
    <m/>
    <m/>
    <m/>
    <m/>
    <m/>
    <m/>
    <m/>
    <n v="3.7627999999999999"/>
    <m/>
    <m/>
    <m/>
    <m/>
    <n v="0.34007999999999999"/>
    <m/>
    <m/>
    <m/>
    <m/>
    <m/>
    <m/>
    <m/>
    <n v="0.34007999999999999"/>
  </r>
  <r>
    <x v="9"/>
    <x v="213"/>
    <m/>
    <m/>
    <m/>
    <s v="FR"/>
    <m/>
    <s v="Agrifootprint process: Sugar beet molasses, from sugar production, at plant/FR Mass"/>
    <m/>
    <m/>
    <s v="Blonk Consultants. Agri-Footprint 2.0. 2015 [cited 2015] Available from: http://www.agrifootprint."/>
    <m/>
    <m/>
    <m/>
    <m/>
    <m/>
    <m/>
    <m/>
    <m/>
    <m/>
    <m/>
    <m/>
    <m/>
    <m/>
    <m/>
    <m/>
    <m/>
    <m/>
    <m/>
    <s v=""/>
    <n v="3.5030000000000001"/>
    <s v=""/>
    <n v="0.26682"/>
    <m/>
    <m/>
    <n v="3.5030000000000001"/>
    <m/>
    <m/>
    <m/>
    <m/>
    <m/>
    <m/>
    <m/>
    <n v="3.5030000000000001"/>
    <m/>
    <m/>
    <m/>
    <m/>
    <n v="0.26682"/>
    <m/>
    <m/>
    <m/>
    <m/>
    <m/>
    <m/>
    <m/>
    <n v="0.26682"/>
  </r>
  <r>
    <x v="9"/>
    <x v="213"/>
    <m/>
    <m/>
    <m/>
    <s v="DE"/>
    <m/>
    <s v="Agrifootprint process: Sugar beet molasses, from sugar production, at plant/DE Mass"/>
    <m/>
    <m/>
    <s v="Blonk Consultants. Agri-Footprint 2.0. 2015 [cited 2015] Available from: http://www.agrifootprint."/>
    <m/>
    <m/>
    <m/>
    <m/>
    <m/>
    <m/>
    <m/>
    <m/>
    <m/>
    <m/>
    <m/>
    <m/>
    <m/>
    <m/>
    <m/>
    <m/>
    <m/>
    <m/>
    <s v=""/>
    <n v="3.7029999999999998"/>
    <s v=""/>
    <n v="0.31012000000000001"/>
    <m/>
    <m/>
    <n v="3.7029999999999998"/>
    <m/>
    <m/>
    <m/>
    <m/>
    <m/>
    <m/>
    <m/>
    <n v="3.7029999999999998"/>
    <m/>
    <m/>
    <m/>
    <m/>
    <n v="0.31012000000000001"/>
    <m/>
    <m/>
    <m/>
    <m/>
    <m/>
    <m/>
    <m/>
    <n v="0.31012000000000001"/>
  </r>
  <r>
    <x v="3"/>
    <x v="214"/>
    <m/>
    <m/>
    <m/>
    <s v="TH"/>
    <m/>
    <s v="Agrifootprint process: Cassava, at farm/TH Mass"/>
    <m/>
    <m/>
    <s v="Blonk Consultants. Agri-Footprint 2.0. 2015 [cited 2015] Available from: http://www.agrifootprint."/>
    <m/>
    <m/>
    <m/>
    <m/>
    <m/>
    <m/>
    <m/>
    <m/>
    <m/>
    <m/>
    <m/>
    <m/>
    <m/>
    <m/>
    <m/>
    <m/>
    <m/>
    <m/>
    <n v="0.625"/>
    <s v=""/>
    <n v="7.8799999999999995E-2"/>
    <s v=""/>
    <m/>
    <m/>
    <m/>
    <m/>
    <m/>
    <m/>
    <m/>
    <m/>
    <m/>
    <n v="0.625"/>
    <m/>
    <m/>
    <m/>
    <m/>
    <m/>
    <m/>
    <m/>
    <m/>
    <m/>
    <m/>
    <m/>
    <m/>
    <n v="7.8799999999999995E-2"/>
    <m/>
  </r>
  <r>
    <x v="3"/>
    <x v="215"/>
    <m/>
    <m/>
    <m/>
    <s v="BE"/>
    <m/>
    <s v="Agrifootprint process: Chicory root, at farm/BE Mass"/>
    <m/>
    <m/>
    <s v="Blonk Consultants. Agri-Footprint 2.0. 2015 [cited 2015] Available from: http://www.agrifootprint."/>
    <m/>
    <m/>
    <m/>
    <m/>
    <m/>
    <m/>
    <m/>
    <m/>
    <m/>
    <m/>
    <m/>
    <m/>
    <m/>
    <m/>
    <m/>
    <m/>
    <m/>
    <m/>
    <n v="0.14480000000000001"/>
    <s v=""/>
    <n v="4.4065E-2"/>
    <s v=""/>
    <m/>
    <m/>
    <m/>
    <m/>
    <m/>
    <m/>
    <m/>
    <m/>
    <m/>
    <n v="0.14480000000000001"/>
    <m/>
    <m/>
    <m/>
    <m/>
    <m/>
    <m/>
    <m/>
    <m/>
    <m/>
    <m/>
    <m/>
    <m/>
    <n v="4.4065E-2"/>
    <m/>
  </r>
  <r>
    <x v="3"/>
    <x v="215"/>
    <m/>
    <m/>
    <m/>
    <s v="NL"/>
    <m/>
    <s v="Agrifootprint process: Chicory root, at farm/NL Mass"/>
    <m/>
    <m/>
    <s v="Blonk Consultants. Agri-Footprint 2.0. 2015 [cited 2015] Available from: http://www.agrifootprint."/>
    <m/>
    <m/>
    <m/>
    <m/>
    <m/>
    <m/>
    <m/>
    <m/>
    <m/>
    <m/>
    <m/>
    <m/>
    <m/>
    <m/>
    <m/>
    <m/>
    <m/>
    <m/>
    <n v="0.16400000000000001"/>
    <s v=""/>
    <n v="5.6827000000000003E-2"/>
    <s v=""/>
    <m/>
    <m/>
    <m/>
    <m/>
    <m/>
    <m/>
    <m/>
    <m/>
    <m/>
    <n v="0.16400000000000001"/>
    <m/>
    <m/>
    <m/>
    <m/>
    <m/>
    <m/>
    <m/>
    <m/>
    <m/>
    <m/>
    <m/>
    <m/>
    <n v="5.6827000000000003E-2"/>
    <m/>
  </r>
  <r>
    <x v="8"/>
    <x v="216"/>
    <m/>
    <m/>
    <m/>
    <s v="ID"/>
    <m/>
    <s v="Agrifootprint process: Refined coconut oil, at plant/ID Mass"/>
    <m/>
    <m/>
    <s v="Blonk Consultants. Agri-Footprint 2.0. 2015 [cited 2015] Available from: http://www.agrifootprint."/>
    <m/>
    <m/>
    <m/>
    <m/>
    <m/>
    <m/>
    <m/>
    <m/>
    <m/>
    <m/>
    <m/>
    <m/>
    <m/>
    <m/>
    <m/>
    <m/>
    <m/>
    <m/>
    <s v=""/>
    <n v="10.811221"/>
    <s v=""/>
    <n v="3.8596341000000001"/>
    <m/>
    <m/>
    <n v="10.811221"/>
    <m/>
    <m/>
    <m/>
    <m/>
    <m/>
    <m/>
    <m/>
    <n v="10.811221"/>
    <m/>
    <m/>
    <m/>
    <m/>
    <n v="3.8596341000000001"/>
    <m/>
    <m/>
    <m/>
    <m/>
    <m/>
    <m/>
    <m/>
    <n v="3.8596341000000001"/>
  </r>
  <r>
    <x v="8"/>
    <x v="216"/>
    <m/>
    <m/>
    <m/>
    <s v="IN"/>
    <m/>
    <s v="Agrifootprint process: Refined coconut oil, at plant/IN Mass"/>
    <m/>
    <m/>
    <s v="Blonk Consultants. Agri-Footprint 2.0. 2015 [cited 2015] Available from: http://www.agrifootprint."/>
    <m/>
    <m/>
    <m/>
    <m/>
    <m/>
    <m/>
    <m/>
    <m/>
    <m/>
    <m/>
    <m/>
    <m/>
    <m/>
    <m/>
    <m/>
    <m/>
    <m/>
    <m/>
    <s v=""/>
    <n v="12.123262"/>
    <s v=""/>
    <n v="2.0942848999999999"/>
    <m/>
    <m/>
    <n v="12.123262"/>
    <m/>
    <m/>
    <m/>
    <m/>
    <m/>
    <m/>
    <m/>
    <n v="12.123262"/>
    <m/>
    <m/>
    <m/>
    <m/>
    <n v="2.0942848999999999"/>
    <m/>
    <m/>
    <m/>
    <m/>
    <m/>
    <m/>
    <m/>
    <n v="2.0942848999999999"/>
  </r>
  <r>
    <x v="8"/>
    <x v="216"/>
    <m/>
    <m/>
    <m/>
    <s v="PH"/>
    <m/>
    <s v="Agrifootprint process: Refined coconut oil, at plant/PH Mass"/>
    <m/>
    <m/>
    <s v="Blonk Consultants. Agri-Footprint 2.0. 2015 [cited 2015] Available from: http://www.agrifootprint."/>
    <m/>
    <m/>
    <m/>
    <m/>
    <m/>
    <m/>
    <m/>
    <m/>
    <m/>
    <m/>
    <m/>
    <m/>
    <m/>
    <m/>
    <m/>
    <m/>
    <m/>
    <m/>
    <s v=""/>
    <n v="12.765396000000001"/>
    <s v=""/>
    <n v="2.2343989"/>
    <m/>
    <m/>
    <n v="12.765396000000001"/>
    <m/>
    <m/>
    <m/>
    <m/>
    <m/>
    <m/>
    <m/>
    <n v="12.765396000000001"/>
    <m/>
    <m/>
    <m/>
    <m/>
    <n v="2.2343989"/>
    <m/>
    <m/>
    <m/>
    <m/>
    <m/>
    <m/>
    <m/>
    <n v="2.2343989"/>
  </r>
  <r>
    <x v="8"/>
    <x v="123"/>
    <m/>
    <m/>
    <m/>
    <s v="US"/>
    <m/>
    <s v="Agrifootprint process: Refined maize germ oil, (pressing), at plant/US Mass"/>
    <m/>
    <m/>
    <s v="Blonk Consultants. Agri-Footprint 2.0. 2015 [cited 2015] Available from: http://www.agrifootprint."/>
    <m/>
    <m/>
    <m/>
    <m/>
    <m/>
    <m/>
    <m/>
    <m/>
    <m/>
    <m/>
    <m/>
    <m/>
    <m/>
    <m/>
    <m/>
    <m/>
    <m/>
    <m/>
    <s v=""/>
    <n v="14.681468000000001"/>
    <s v=""/>
    <n v="1.1531735000000001"/>
    <m/>
    <m/>
    <n v="14.681468000000001"/>
    <m/>
    <m/>
    <m/>
    <m/>
    <m/>
    <m/>
    <m/>
    <n v="14.681468000000001"/>
    <m/>
    <m/>
    <m/>
    <m/>
    <n v="1.1531735000000001"/>
    <m/>
    <m/>
    <m/>
    <m/>
    <m/>
    <m/>
    <m/>
    <n v="1.1531735000000001"/>
  </r>
  <r>
    <x v="8"/>
    <x v="123"/>
    <m/>
    <m/>
    <m/>
    <s v="US"/>
    <m/>
    <s v="Agrifootprint process: Refined maize germ oil, (solvent), at plant/US Mass"/>
    <m/>
    <m/>
    <s v="Blonk Consultants. Agri-Footprint 2.0. 2015 [cited 2015] Available from: http://www.agrifootprint."/>
    <m/>
    <m/>
    <m/>
    <m/>
    <m/>
    <m/>
    <m/>
    <m/>
    <m/>
    <m/>
    <m/>
    <m/>
    <m/>
    <m/>
    <m/>
    <m/>
    <m/>
    <m/>
    <s v=""/>
    <n v="15.649869000000001"/>
    <s v=""/>
    <n v="1.2454783"/>
    <m/>
    <m/>
    <n v="15.649869000000001"/>
    <m/>
    <m/>
    <m/>
    <m/>
    <m/>
    <m/>
    <m/>
    <n v="15.649869000000001"/>
    <m/>
    <m/>
    <m/>
    <m/>
    <n v="1.2454783"/>
    <m/>
    <m/>
    <m/>
    <m/>
    <m/>
    <m/>
    <m/>
    <n v="1.2454783"/>
  </r>
  <r>
    <x v="8"/>
    <x v="46"/>
    <m/>
    <m/>
    <m/>
    <s v="ID"/>
    <m/>
    <s v="Agrifootprint process: Refined palm kernel oil, at plant/ID Mass"/>
    <m/>
    <m/>
    <s v="Blonk Consultants. Agri-Footprint 2.0. 2015 [cited 2015] Available from: http://www.agrifootprint."/>
    <m/>
    <m/>
    <m/>
    <m/>
    <m/>
    <m/>
    <m/>
    <m/>
    <m/>
    <m/>
    <m/>
    <m/>
    <m/>
    <m/>
    <m/>
    <m/>
    <m/>
    <m/>
    <s v=""/>
    <n v="9.5381681"/>
    <s v=""/>
    <n v="11.189705"/>
    <m/>
    <m/>
    <n v="9.5381681"/>
    <m/>
    <m/>
    <m/>
    <m/>
    <m/>
    <m/>
    <m/>
    <n v="9.5381681"/>
    <m/>
    <m/>
    <m/>
    <m/>
    <n v="11.189705"/>
    <m/>
    <m/>
    <m/>
    <m/>
    <m/>
    <m/>
    <m/>
    <n v="11.189705"/>
  </r>
  <r>
    <x v="8"/>
    <x v="46"/>
    <m/>
    <m/>
    <m/>
    <s v="MY"/>
    <m/>
    <s v="Agrifootprint process: Refined palm kernel oil, at plant/MY Mass"/>
    <m/>
    <m/>
    <s v="Blonk Consultants. Agri-Footprint 2.0. 2015 [cited 2015] Available from: http://www.agrifootprint."/>
    <m/>
    <m/>
    <m/>
    <m/>
    <m/>
    <m/>
    <m/>
    <m/>
    <m/>
    <m/>
    <m/>
    <m/>
    <m/>
    <m/>
    <m/>
    <m/>
    <m/>
    <m/>
    <s v=""/>
    <n v="9.6309094999999996"/>
    <s v=""/>
    <n v="5.4762399999999998"/>
    <m/>
    <m/>
    <n v="9.6309094999999996"/>
    <m/>
    <m/>
    <m/>
    <m/>
    <m/>
    <m/>
    <m/>
    <n v="9.6309094999999996"/>
    <m/>
    <m/>
    <m/>
    <m/>
    <n v="5.4762399999999998"/>
    <m/>
    <m/>
    <m/>
    <m/>
    <m/>
    <m/>
    <m/>
    <n v="5.4762399999999998"/>
  </r>
  <r>
    <x v="8"/>
    <x v="46"/>
    <m/>
    <m/>
    <m/>
    <s v="NL"/>
    <m/>
    <s v="Agrifootprint process: Refined palm oil, at plant/NL Mass"/>
    <m/>
    <m/>
    <s v="Blonk Consultants. Agri-Footprint 2.0. 2015 [cited 2015] Available from: http://www.agrifootprint."/>
    <m/>
    <m/>
    <m/>
    <m/>
    <m/>
    <m/>
    <m/>
    <m/>
    <m/>
    <m/>
    <m/>
    <m/>
    <m/>
    <m/>
    <m/>
    <m/>
    <m/>
    <m/>
    <s v=""/>
    <n v="11.043447"/>
    <s v=""/>
    <n v="7.9745176999999998"/>
    <m/>
    <m/>
    <n v="11.043447"/>
    <m/>
    <m/>
    <m/>
    <m/>
    <m/>
    <m/>
    <m/>
    <n v="11.043447"/>
    <m/>
    <m/>
    <m/>
    <m/>
    <n v="7.9745176999999998"/>
    <m/>
    <m/>
    <m/>
    <m/>
    <m/>
    <m/>
    <m/>
    <n v="7.9745176999999998"/>
  </r>
  <r>
    <x v="11"/>
    <x v="217"/>
    <m/>
    <m/>
    <m/>
    <s v="IN"/>
    <m/>
    <s v="Agrifootprint process: Pigeon pea, at farm/IN Mass"/>
    <m/>
    <m/>
    <s v="Blonk Consultants. Agri-Footprint 2.0. 2015 [cited 2015] Available from: http://www.agrifootprint."/>
    <m/>
    <m/>
    <m/>
    <m/>
    <m/>
    <m/>
    <m/>
    <m/>
    <m/>
    <m/>
    <m/>
    <m/>
    <m/>
    <m/>
    <m/>
    <m/>
    <m/>
    <m/>
    <n v="3.2267999999999999"/>
    <s v=""/>
    <n v="1.0539000000000001"/>
    <s v=""/>
    <m/>
    <m/>
    <m/>
    <m/>
    <m/>
    <m/>
    <m/>
    <m/>
    <m/>
    <n v="3.2267999999999999"/>
    <m/>
    <m/>
    <m/>
    <m/>
    <m/>
    <m/>
    <m/>
    <m/>
    <m/>
    <m/>
    <m/>
    <m/>
    <n v="1.0539000000000001"/>
    <m/>
  </r>
  <r>
    <x v="5"/>
    <x v="218"/>
    <m/>
    <m/>
    <m/>
    <s v="CN"/>
    <m/>
    <s v="Agrifootprint process: Rice bran, from dry milling, raw, at plant/CN Mass"/>
    <m/>
    <m/>
    <s v="Blonk Consultants. Agri-Footprint 2.0. 2015 [cited 2015] Available from: http://www.agrifootprint."/>
    <m/>
    <m/>
    <m/>
    <m/>
    <m/>
    <m/>
    <m/>
    <m/>
    <m/>
    <m/>
    <m/>
    <m/>
    <m/>
    <m/>
    <m/>
    <m/>
    <m/>
    <m/>
    <s v=""/>
    <n v="5.3975"/>
    <s v=""/>
    <n v="1.3567"/>
    <m/>
    <m/>
    <n v="5.3975"/>
    <m/>
    <m/>
    <m/>
    <m/>
    <m/>
    <m/>
    <m/>
    <n v="5.3975"/>
    <m/>
    <m/>
    <m/>
    <m/>
    <n v="1.3567"/>
    <m/>
    <m/>
    <m/>
    <m/>
    <m/>
    <m/>
    <m/>
    <n v="1.3567"/>
  </r>
  <r>
    <x v="5"/>
    <x v="219"/>
    <m/>
    <m/>
    <m/>
    <s v="BE"/>
    <m/>
    <s v="Agrifootprint process: Rye flour, from dry milling, at plant/BE Mass"/>
    <m/>
    <m/>
    <s v="Blonk Consultants. Agri-Footprint 2.0. 2015 [cited 2015] Available from: http://www.agrifootprint."/>
    <m/>
    <m/>
    <m/>
    <m/>
    <m/>
    <m/>
    <m/>
    <m/>
    <m/>
    <m/>
    <m/>
    <m/>
    <m/>
    <m/>
    <m/>
    <m/>
    <m/>
    <m/>
    <s v=""/>
    <n v="4.3230949000000001"/>
    <s v=""/>
    <n v="0.42067012999999998"/>
    <m/>
    <m/>
    <n v="4.3230949000000001"/>
    <m/>
    <m/>
    <m/>
    <m/>
    <m/>
    <m/>
    <m/>
    <n v="4.3230949000000001"/>
    <m/>
    <m/>
    <m/>
    <m/>
    <n v="0.42067012999999998"/>
    <m/>
    <m/>
    <m/>
    <m/>
    <m/>
    <m/>
    <m/>
    <n v="0.42067012999999998"/>
  </r>
  <r>
    <x v="5"/>
    <x v="219"/>
    <m/>
    <m/>
    <m/>
    <s v="DE"/>
    <m/>
    <s v="Agrifootprint process: Rye flour, from dry milling, at plant/DE Mass"/>
    <m/>
    <m/>
    <s v="Blonk Consultants. Agri-Footprint 2.0. 2015 [cited 2015] Available from: http://www.agrifootprint."/>
    <m/>
    <m/>
    <m/>
    <m/>
    <m/>
    <m/>
    <m/>
    <m/>
    <m/>
    <m/>
    <m/>
    <m/>
    <m/>
    <m/>
    <m/>
    <m/>
    <m/>
    <m/>
    <s v=""/>
    <n v="3.5523142999999999"/>
    <s v=""/>
    <n v="0.39468321000000001"/>
    <m/>
    <m/>
    <n v="3.5523142999999999"/>
    <m/>
    <m/>
    <m/>
    <m/>
    <m/>
    <m/>
    <m/>
    <n v="3.5523142999999999"/>
    <m/>
    <m/>
    <m/>
    <m/>
    <n v="0.39468321000000001"/>
    <m/>
    <m/>
    <m/>
    <m/>
    <m/>
    <m/>
    <m/>
    <n v="0.39468321000000001"/>
  </r>
  <r>
    <x v="5"/>
    <x v="219"/>
    <m/>
    <m/>
    <m/>
    <s v="NL"/>
    <m/>
    <s v="Agrifootprint process: Rye flour, from dry milling, at plant/NL Mass"/>
    <m/>
    <m/>
    <s v="Blonk Consultants. Agri-Footprint 2.0. 2015 [cited 2015] Available from: http://www.agrifootprint."/>
    <m/>
    <m/>
    <m/>
    <m/>
    <m/>
    <m/>
    <m/>
    <m/>
    <m/>
    <m/>
    <m/>
    <m/>
    <m/>
    <m/>
    <m/>
    <m/>
    <m/>
    <m/>
    <s v=""/>
    <n v="3.9704747999999999"/>
    <s v=""/>
    <n v="0.43798810999999999"/>
    <m/>
    <m/>
    <n v="3.9704747999999999"/>
    <m/>
    <m/>
    <m/>
    <m/>
    <m/>
    <m/>
    <m/>
    <n v="3.9704747999999999"/>
    <m/>
    <m/>
    <m/>
    <m/>
    <n v="0.43798810999999999"/>
    <m/>
    <m/>
    <m/>
    <m/>
    <m/>
    <m/>
    <m/>
    <n v="0.43798810999999999"/>
  </r>
  <r>
    <x v="5"/>
    <x v="220"/>
    <m/>
    <m/>
    <m/>
    <s v="AT"/>
    <m/>
    <s v="Agrifootprint process: Rye grain, dried, at farm/AT Mass"/>
    <m/>
    <m/>
    <s v="Blonk Consultants. Agri-Footprint 2.0. 2015 [cited 2015] Available from: http://www.agrifootprint."/>
    <m/>
    <m/>
    <m/>
    <m/>
    <m/>
    <m/>
    <m/>
    <m/>
    <m/>
    <m/>
    <m/>
    <m/>
    <m/>
    <m/>
    <m/>
    <m/>
    <m/>
    <m/>
    <n v="1.7805606"/>
    <s v=""/>
    <n v="0.27597774000000003"/>
    <s v=""/>
    <m/>
    <m/>
    <m/>
    <m/>
    <m/>
    <m/>
    <m/>
    <m/>
    <m/>
    <n v="1.7805606"/>
    <m/>
    <m/>
    <m/>
    <m/>
    <m/>
    <m/>
    <m/>
    <m/>
    <m/>
    <m/>
    <m/>
    <m/>
    <n v="0.27597774000000003"/>
    <m/>
  </r>
  <r>
    <x v="5"/>
    <x v="220"/>
    <m/>
    <m/>
    <m/>
    <s v="BE"/>
    <m/>
    <s v="Agrifootprint process: Rye grain, dried, at farm/BE Mass"/>
    <m/>
    <m/>
    <s v="Blonk Consultants. Agri-Footprint 2.0. 2015 [cited 2015] Available from: http://www.agrifootprint."/>
    <m/>
    <m/>
    <m/>
    <m/>
    <m/>
    <m/>
    <m/>
    <m/>
    <m/>
    <m/>
    <m/>
    <m/>
    <m/>
    <m/>
    <m/>
    <m/>
    <m/>
    <m/>
    <n v="1.850662"/>
    <s v=""/>
    <n v="0.33297652999999999"/>
    <s v=""/>
    <m/>
    <m/>
    <m/>
    <m/>
    <m/>
    <m/>
    <m/>
    <m/>
    <m/>
    <n v="1.850662"/>
    <m/>
    <m/>
    <m/>
    <m/>
    <m/>
    <m/>
    <m/>
    <m/>
    <m/>
    <m/>
    <m/>
    <m/>
    <n v="0.33297652999999999"/>
    <m/>
  </r>
  <r>
    <x v="5"/>
    <x v="220"/>
    <m/>
    <m/>
    <m/>
    <s v="BG"/>
    <m/>
    <s v="Agrifootprint process: Rye grain, dried, at farm/BG Mass"/>
    <m/>
    <m/>
    <s v="Blonk Consultants. Agri-Footprint 2.0. 2015 [cited 2015] Available from: http://www.agrifootprint."/>
    <m/>
    <m/>
    <m/>
    <m/>
    <m/>
    <m/>
    <m/>
    <m/>
    <m/>
    <m/>
    <m/>
    <m/>
    <m/>
    <m/>
    <m/>
    <m/>
    <m/>
    <m/>
    <n v="2.9174134"/>
    <s v=""/>
    <n v="0.36690483000000002"/>
    <s v=""/>
    <m/>
    <m/>
    <m/>
    <m/>
    <m/>
    <m/>
    <m/>
    <m/>
    <m/>
    <n v="2.9174134"/>
    <m/>
    <m/>
    <m/>
    <m/>
    <m/>
    <m/>
    <m/>
    <m/>
    <m/>
    <m/>
    <m/>
    <m/>
    <n v="0.36690483000000002"/>
    <m/>
  </r>
  <r>
    <x v="5"/>
    <x v="220"/>
    <m/>
    <m/>
    <m/>
    <s v="CZ"/>
    <m/>
    <s v="Agrifootprint process: Rye grain, dried, at farm/CZ Mass"/>
    <m/>
    <m/>
    <s v="Blonk Consultants. Agri-Footprint 2.0. 2015 [cited 2015] Available from: http://www.agrifootprint."/>
    <m/>
    <m/>
    <m/>
    <m/>
    <m/>
    <m/>
    <m/>
    <m/>
    <m/>
    <m/>
    <m/>
    <m/>
    <m/>
    <m/>
    <m/>
    <m/>
    <m/>
    <m/>
    <n v="1.9777943"/>
    <s v=""/>
    <n v="0.28285407000000001"/>
    <s v=""/>
    <m/>
    <m/>
    <m/>
    <m/>
    <m/>
    <m/>
    <m/>
    <m/>
    <m/>
    <n v="1.9777943"/>
    <m/>
    <m/>
    <m/>
    <m/>
    <m/>
    <m/>
    <m/>
    <m/>
    <m/>
    <m/>
    <m/>
    <m/>
    <n v="0.28285407000000001"/>
    <m/>
  </r>
  <r>
    <x v="5"/>
    <x v="220"/>
    <m/>
    <m/>
    <m/>
    <s v="DE"/>
    <m/>
    <s v="Agrifootprint process: Rye grain, dried, at farm/DE Mass"/>
    <m/>
    <m/>
    <s v="Blonk Consultants. Agri-Footprint 2.0. 2015 [cited 2015] Available from: http://www.agrifootprint."/>
    <m/>
    <m/>
    <m/>
    <m/>
    <m/>
    <m/>
    <m/>
    <m/>
    <m/>
    <m/>
    <m/>
    <m/>
    <m/>
    <m/>
    <m/>
    <m/>
    <m/>
    <m/>
    <n v="2.0300755000000001"/>
    <s v=""/>
    <n v="0.29365765999999999"/>
    <s v=""/>
    <m/>
    <m/>
    <m/>
    <m/>
    <m/>
    <m/>
    <m/>
    <m/>
    <m/>
    <n v="2.0300755000000001"/>
    <m/>
    <m/>
    <m/>
    <m/>
    <m/>
    <m/>
    <m/>
    <m/>
    <m/>
    <m/>
    <m/>
    <m/>
    <n v="0.29365765999999999"/>
    <m/>
  </r>
  <r>
    <x v="5"/>
    <x v="220"/>
    <m/>
    <m/>
    <m/>
    <s v="DK"/>
    <m/>
    <s v="Agrifootprint process: Rye grain, dried, at farm/DK Mass"/>
    <m/>
    <m/>
    <s v="Blonk Consultants. Agri-Footprint 2.0. 2015 [cited 2015] Available from: http://www.agrifootprint."/>
    <m/>
    <m/>
    <m/>
    <m/>
    <m/>
    <m/>
    <m/>
    <m/>
    <m/>
    <m/>
    <m/>
    <m/>
    <m/>
    <m/>
    <m/>
    <m/>
    <m/>
    <m/>
    <n v="1.3678718000000001"/>
    <s v=""/>
    <n v="0.2390169"/>
    <s v=""/>
    <m/>
    <m/>
    <m/>
    <m/>
    <m/>
    <m/>
    <m/>
    <m/>
    <m/>
    <n v="1.3678718000000001"/>
    <m/>
    <m/>
    <m/>
    <m/>
    <m/>
    <m/>
    <m/>
    <m/>
    <m/>
    <m/>
    <m/>
    <m/>
    <n v="0.2390169"/>
    <m/>
  </r>
  <r>
    <x v="5"/>
    <x v="220"/>
    <m/>
    <m/>
    <m/>
    <s v="EE"/>
    <m/>
    <s v="Agrifootprint process: Rye grain, dried, at farm/EE Mass"/>
    <m/>
    <m/>
    <s v="Blonk Consultants. Agri-Footprint 2.0. 2015 [cited 2015] Available from: http://www.agrifootprint."/>
    <m/>
    <m/>
    <m/>
    <m/>
    <m/>
    <m/>
    <m/>
    <m/>
    <m/>
    <m/>
    <m/>
    <m/>
    <m/>
    <m/>
    <m/>
    <m/>
    <m/>
    <m/>
    <n v="2.8377842000000002"/>
    <s v=""/>
    <n v="0.37842503"/>
    <s v=""/>
    <m/>
    <m/>
    <m/>
    <m/>
    <m/>
    <m/>
    <m/>
    <m/>
    <m/>
    <n v="2.8377842000000002"/>
    <m/>
    <m/>
    <m/>
    <m/>
    <m/>
    <m/>
    <m/>
    <m/>
    <m/>
    <m/>
    <m/>
    <m/>
    <n v="0.37842503"/>
    <m/>
  </r>
  <r>
    <x v="5"/>
    <x v="220"/>
    <m/>
    <m/>
    <m/>
    <s v="ES"/>
    <m/>
    <s v="Agrifootprint process: Rye grain, dried, at farm/ES Mass"/>
    <m/>
    <m/>
    <s v="Blonk Consultants. Agri-Footprint 2.0. 2015 [cited 2015] Available from: http://www.agrifootprint."/>
    <m/>
    <m/>
    <m/>
    <m/>
    <m/>
    <m/>
    <m/>
    <m/>
    <m/>
    <m/>
    <m/>
    <m/>
    <m/>
    <m/>
    <m/>
    <m/>
    <m/>
    <m/>
    <n v="3.7718463"/>
    <s v=""/>
    <n v="0.49762219000000002"/>
    <s v=""/>
    <m/>
    <m/>
    <m/>
    <m/>
    <m/>
    <m/>
    <m/>
    <m/>
    <m/>
    <n v="3.7718463"/>
    <m/>
    <m/>
    <m/>
    <m/>
    <m/>
    <m/>
    <m/>
    <m/>
    <m/>
    <m/>
    <m/>
    <m/>
    <n v="0.49762219000000002"/>
    <m/>
  </r>
  <r>
    <x v="5"/>
    <x v="220"/>
    <m/>
    <m/>
    <m/>
    <s v="FI"/>
    <m/>
    <s v="Agrifootprint process: Rye grain, dried, at farm/FI Mass"/>
    <m/>
    <m/>
    <s v="Blonk Consultants. Agri-Footprint 2.0. 2015 [cited 2015] Available from: http://www.agrifootprint."/>
    <m/>
    <m/>
    <m/>
    <m/>
    <m/>
    <m/>
    <m/>
    <m/>
    <m/>
    <m/>
    <m/>
    <m/>
    <m/>
    <m/>
    <m/>
    <m/>
    <m/>
    <m/>
    <n v="2.7070300999999999"/>
    <s v=""/>
    <n v="0.3903586"/>
    <s v=""/>
    <m/>
    <m/>
    <m/>
    <m/>
    <m/>
    <m/>
    <m/>
    <m/>
    <m/>
    <n v="2.7070300999999999"/>
    <m/>
    <m/>
    <m/>
    <m/>
    <m/>
    <m/>
    <m/>
    <m/>
    <m/>
    <m/>
    <m/>
    <m/>
    <n v="0.3903586"/>
    <m/>
  </r>
  <r>
    <x v="5"/>
    <x v="220"/>
    <m/>
    <m/>
    <m/>
    <s v="FR"/>
    <m/>
    <s v="Agrifootprint process: Rye grain, dried, at farm/FR Mass"/>
    <m/>
    <m/>
    <s v="Blonk Consultants. Agri-Footprint 2.0. 2015 [cited 2015] Available from: http://www.agrifootprint."/>
    <m/>
    <m/>
    <m/>
    <m/>
    <m/>
    <m/>
    <m/>
    <m/>
    <m/>
    <m/>
    <m/>
    <m/>
    <m/>
    <m/>
    <m/>
    <m/>
    <m/>
    <m/>
    <n v="1.7102907000000001"/>
    <s v=""/>
    <n v="0.24326358000000001"/>
    <s v=""/>
    <m/>
    <m/>
    <m/>
    <m/>
    <m/>
    <m/>
    <m/>
    <m/>
    <m/>
    <n v="1.7102907000000001"/>
    <m/>
    <m/>
    <m/>
    <m/>
    <m/>
    <m/>
    <m/>
    <m/>
    <m/>
    <m/>
    <m/>
    <m/>
    <n v="0.24326358000000001"/>
    <m/>
  </r>
  <r>
    <x v="5"/>
    <x v="220"/>
    <m/>
    <m/>
    <m/>
    <s v="GR"/>
    <m/>
    <s v="Agrifootprint process: Rye grain, dried, at farm/GR Mass"/>
    <m/>
    <m/>
    <s v="Blonk Consultants. Agri-Footprint 2.0. 2015 [cited 2015] Available from: http://www.agrifootprint."/>
    <m/>
    <m/>
    <m/>
    <m/>
    <m/>
    <m/>
    <m/>
    <m/>
    <m/>
    <m/>
    <m/>
    <m/>
    <m/>
    <m/>
    <m/>
    <m/>
    <m/>
    <m/>
    <n v="3.2257494000000002"/>
    <s v=""/>
    <n v="0.46447648000000002"/>
    <s v=""/>
    <m/>
    <m/>
    <m/>
    <m/>
    <m/>
    <m/>
    <m/>
    <m/>
    <m/>
    <n v="3.2257494000000002"/>
    <m/>
    <m/>
    <m/>
    <m/>
    <m/>
    <m/>
    <m/>
    <m/>
    <m/>
    <m/>
    <m/>
    <m/>
    <n v="0.46447648000000002"/>
    <m/>
  </r>
  <r>
    <x v="5"/>
    <x v="220"/>
    <m/>
    <m/>
    <m/>
    <s v="HU"/>
    <m/>
    <s v="Agrifootprint process: Rye grain, dried, at farm/HU Mass"/>
    <m/>
    <m/>
    <s v="Blonk Consultants. Agri-Footprint 2.0. 2015 [cited 2015] Available from: http://www.agrifootprint."/>
    <m/>
    <m/>
    <m/>
    <m/>
    <m/>
    <m/>
    <m/>
    <m/>
    <m/>
    <m/>
    <m/>
    <m/>
    <m/>
    <m/>
    <m/>
    <m/>
    <m/>
    <m/>
    <n v="2.7191961999999998"/>
    <s v=""/>
    <n v="0.35876218999999998"/>
    <s v=""/>
    <m/>
    <m/>
    <m/>
    <m/>
    <m/>
    <m/>
    <m/>
    <m/>
    <m/>
    <n v="2.7191961999999998"/>
    <m/>
    <m/>
    <m/>
    <m/>
    <m/>
    <m/>
    <m/>
    <m/>
    <m/>
    <m/>
    <m/>
    <m/>
    <n v="0.35876218999999998"/>
    <m/>
  </r>
  <r>
    <x v="5"/>
    <x v="220"/>
    <m/>
    <m/>
    <m/>
    <s v="IT"/>
    <m/>
    <s v="Agrifootprint process: Rye grain, dried, at farm/IT Mass"/>
    <m/>
    <m/>
    <s v="Blonk Consultants. Agri-Footprint 2.0. 2015 [cited 2015] Available from: http://www.agrifootprint."/>
    <m/>
    <m/>
    <m/>
    <m/>
    <m/>
    <m/>
    <m/>
    <m/>
    <m/>
    <m/>
    <m/>
    <m/>
    <m/>
    <m/>
    <m/>
    <m/>
    <m/>
    <m/>
    <n v="3.1086014"/>
    <s v=""/>
    <n v="0.44209584000000002"/>
    <s v=""/>
    <m/>
    <m/>
    <m/>
    <m/>
    <m/>
    <m/>
    <m/>
    <m/>
    <m/>
    <n v="3.1086014"/>
    <m/>
    <m/>
    <m/>
    <m/>
    <m/>
    <m/>
    <m/>
    <m/>
    <m/>
    <m/>
    <m/>
    <m/>
    <n v="0.44209584000000002"/>
    <m/>
  </r>
  <r>
    <x v="5"/>
    <x v="220"/>
    <m/>
    <m/>
    <m/>
    <s v="LT"/>
    <m/>
    <s v="Agrifootprint process: Rye grain, dried, at farm/LT Mass"/>
    <m/>
    <m/>
    <s v="Blonk Consultants. Agri-Footprint 2.0. 2015 [cited 2015] Available from: http://www.agrifootprint."/>
    <m/>
    <m/>
    <m/>
    <m/>
    <m/>
    <m/>
    <m/>
    <m/>
    <m/>
    <m/>
    <m/>
    <m/>
    <m/>
    <m/>
    <m/>
    <m/>
    <m/>
    <m/>
    <n v="3.1931208"/>
    <s v=""/>
    <n v="0.40830355000000002"/>
    <s v=""/>
    <m/>
    <m/>
    <m/>
    <m/>
    <m/>
    <m/>
    <m/>
    <m/>
    <m/>
    <n v="3.1931208"/>
    <m/>
    <m/>
    <m/>
    <m/>
    <m/>
    <m/>
    <m/>
    <m/>
    <m/>
    <m/>
    <m/>
    <m/>
    <n v="0.40830355000000002"/>
    <m/>
  </r>
  <r>
    <x v="5"/>
    <x v="220"/>
    <m/>
    <m/>
    <m/>
    <s v="LV"/>
    <m/>
    <s v="Agrifootprint process: Rye grain, dried, at farm/LV Mass"/>
    <m/>
    <m/>
    <s v="Blonk Consultants. Agri-Footprint 2.0. 2015 [cited 2015] Available from: http://www.agrifootprint."/>
    <m/>
    <m/>
    <m/>
    <m/>
    <m/>
    <m/>
    <m/>
    <m/>
    <m/>
    <m/>
    <m/>
    <m/>
    <m/>
    <m/>
    <m/>
    <m/>
    <m/>
    <m/>
    <n v="2.3240387"/>
    <s v=""/>
    <n v="0.31438938"/>
    <s v=""/>
    <m/>
    <m/>
    <m/>
    <m/>
    <m/>
    <m/>
    <m/>
    <m/>
    <m/>
    <n v="2.3240387"/>
    <m/>
    <m/>
    <m/>
    <m/>
    <m/>
    <m/>
    <m/>
    <m/>
    <m/>
    <m/>
    <m/>
    <m/>
    <n v="0.31438938"/>
    <m/>
  </r>
  <r>
    <x v="5"/>
    <x v="220"/>
    <m/>
    <m/>
    <m/>
    <s v="NO"/>
    <m/>
    <s v="Agrifootprint process: Rye grain, dried, at farm/NO Mass"/>
    <m/>
    <m/>
    <s v="Blonk Consultants. Agri-Footprint 2.0. 2015 [cited 2015] Available from: http://www.agrifootprint."/>
    <m/>
    <m/>
    <m/>
    <m/>
    <m/>
    <m/>
    <m/>
    <m/>
    <m/>
    <m/>
    <m/>
    <m/>
    <m/>
    <m/>
    <m/>
    <m/>
    <m/>
    <m/>
    <n v="2.1946276"/>
    <s v=""/>
    <n v="0.42598944999999999"/>
    <s v=""/>
    <m/>
    <m/>
    <m/>
    <m/>
    <m/>
    <m/>
    <m/>
    <m/>
    <m/>
    <n v="2.1946276"/>
    <m/>
    <m/>
    <m/>
    <m/>
    <m/>
    <m/>
    <m/>
    <m/>
    <m/>
    <m/>
    <m/>
    <m/>
    <n v="0.42598944999999999"/>
    <m/>
  </r>
  <r>
    <x v="5"/>
    <x v="220"/>
    <m/>
    <m/>
    <m/>
    <s v="PL"/>
    <m/>
    <s v="Agrifootprint process: Rye grain, dried, at farm/PL Mass"/>
    <m/>
    <m/>
    <s v="Blonk Consultants. Agri-Footprint 2.0. 2015 [cited 2015] Available from: http://www.agrifootprint."/>
    <m/>
    <m/>
    <m/>
    <m/>
    <m/>
    <m/>
    <m/>
    <m/>
    <m/>
    <m/>
    <m/>
    <m/>
    <m/>
    <m/>
    <m/>
    <m/>
    <m/>
    <m/>
    <n v="2.7572553000000002"/>
    <s v=""/>
    <n v="0.36951792"/>
    <s v=""/>
    <m/>
    <m/>
    <m/>
    <m/>
    <m/>
    <m/>
    <m/>
    <m/>
    <m/>
    <n v="2.7572553000000002"/>
    <m/>
    <m/>
    <m/>
    <m/>
    <m/>
    <m/>
    <m/>
    <m/>
    <m/>
    <m/>
    <m/>
    <m/>
    <n v="0.36951792"/>
    <m/>
  </r>
  <r>
    <x v="5"/>
    <x v="220"/>
    <m/>
    <m/>
    <m/>
    <s v="PT"/>
    <m/>
    <s v="Agrifootprint process: Rye grain, dried, at farm/PT Mass"/>
    <m/>
    <m/>
    <s v="Blonk Consultants. Agri-Footprint 2.0. 2015 [cited 2015] Available from: http://www.agrifootprint."/>
    <m/>
    <m/>
    <m/>
    <m/>
    <m/>
    <m/>
    <m/>
    <m/>
    <m/>
    <m/>
    <m/>
    <m/>
    <m/>
    <m/>
    <m/>
    <m/>
    <m/>
    <m/>
    <n v="7.5897613000000002"/>
    <s v=""/>
    <n v="1.0864594999999999"/>
    <s v=""/>
    <m/>
    <m/>
    <m/>
    <m/>
    <m/>
    <m/>
    <m/>
    <m/>
    <m/>
    <n v="7.5897613000000002"/>
    <m/>
    <m/>
    <m/>
    <m/>
    <m/>
    <m/>
    <m/>
    <m/>
    <m/>
    <m/>
    <m/>
    <m/>
    <n v="1.0864594999999999"/>
    <m/>
  </r>
  <r>
    <x v="5"/>
    <x v="220"/>
    <m/>
    <m/>
    <m/>
    <s v="SE"/>
    <m/>
    <s v="Agrifootprint process: Rye grain, dried, at farm/SE Mass"/>
    <m/>
    <m/>
    <s v="Blonk Consultants. Agri-Footprint 2.0. 2015 [cited 2015] Available from: http://www.agrifootprint."/>
    <m/>
    <m/>
    <m/>
    <m/>
    <m/>
    <m/>
    <m/>
    <m/>
    <m/>
    <m/>
    <m/>
    <m/>
    <m/>
    <m/>
    <m/>
    <m/>
    <m/>
    <m/>
    <n v="1.3583780000000001"/>
    <s v=""/>
    <n v="0.20081935000000001"/>
    <s v=""/>
    <m/>
    <m/>
    <m/>
    <m/>
    <m/>
    <m/>
    <m/>
    <m/>
    <m/>
    <n v="1.3583780000000001"/>
    <m/>
    <m/>
    <m/>
    <m/>
    <m/>
    <m/>
    <m/>
    <m/>
    <m/>
    <m/>
    <m/>
    <m/>
    <n v="0.20081935000000001"/>
    <m/>
  </r>
  <r>
    <x v="5"/>
    <x v="220"/>
    <m/>
    <m/>
    <m/>
    <s v="SK"/>
    <m/>
    <s v="Agrifootprint process: Rye grain, dried, at farm/SK Mass"/>
    <m/>
    <m/>
    <s v="Blonk Consultants. Agri-Footprint 2.0. 2015 [cited 2015] Available from: http://www.agrifootprint."/>
    <m/>
    <m/>
    <m/>
    <m/>
    <m/>
    <m/>
    <m/>
    <m/>
    <m/>
    <m/>
    <m/>
    <m/>
    <m/>
    <m/>
    <m/>
    <m/>
    <m/>
    <m/>
    <n v="2.4911029999999998"/>
    <s v=""/>
    <n v="0.33164479000000002"/>
    <s v=""/>
    <m/>
    <m/>
    <m/>
    <m/>
    <m/>
    <m/>
    <m/>
    <m/>
    <m/>
    <n v="2.4911029999999998"/>
    <m/>
    <m/>
    <m/>
    <m/>
    <m/>
    <m/>
    <m/>
    <m/>
    <m/>
    <m/>
    <m/>
    <m/>
    <n v="0.33164479000000002"/>
    <m/>
  </r>
  <r>
    <x v="5"/>
    <x v="128"/>
    <m/>
    <m/>
    <m/>
    <s v="BE"/>
    <m/>
    <s v="Agrifootprint process: Wheat flour, from dry milling, at plant/BE Mass"/>
    <m/>
    <m/>
    <s v="Blonk Consultants. Agri-Footprint 2.0. 2015 [cited 2015] Available from: http://www.agrifootprint."/>
    <m/>
    <m/>
    <m/>
    <m/>
    <m/>
    <m/>
    <m/>
    <m/>
    <m/>
    <m/>
    <m/>
    <m/>
    <m/>
    <m/>
    <m/>
    <m/>
    <m/>
    <m/>
    <s v=""/>
    <n v="2.3104819999999999"/>
    <s v=""/>
    <n v="0.35133746999999999"/>
    <m/>
    <m/>
    <n v="2.3104819999999999"/>
    <m/>
    <m/>
    <m/>
    <m/>
    <m/>
    <m/>
    <m/>
    <n v="2.3104819999999999"/>
    <m/>
    <m/>
    <m/>
    <m/>
    <n v="0.35133746999999999"/>
    <m/>
    <m/>
    <m/>
    <m/>
    <m/>
    <m/>
    <m/>
    <n v="0.35133746999999999"/>
  </r>
  <r>
    <x v="5"/>
    <x v="128"/>
    <m/>
    <m/>
    <m/>
    <s v="DE"/>
    <m/>
    <s v="Agrifootprint process: Wheat flour, from dry milling, at plant/DE Mass"/>
    <m/>
    <m/>
    <s v="Blonk Consultants. Agri-Footprint 2.0. 2015 [cited 2015] Available from: http://www.agrifootprint."/>
    <m/>
    <m/>
    <m/>
    <m/>
    <m/>
    <m/>
    <m/>
    <m/>
    <m/>
    <m/>
    <m/>
    <m/>
    <m/>
    <m/>
    <m/>
    <m/>
    <m/>
    <m/>
    <s v=""/>
    <n v="2.2685884999999999"/>
    <s v=""/>
    <n v="0.35211460999999999"/>
    <m/>
    <m/>
    <n v="2.2685884999999999"/>
    <m/>
    <m/>
    <m/>
    <m/>
    <m/>
    <m/>
    <m/>
    <n v="2.2685884999999999"/>
    <m/>
    <m/>
    <m/>
    <m/>
    <n v="0.35211460999999999"/>
    <m/>
    <m/>
    <m/>
    <m/>
    <m/>
    <m/>
    <m/>
    <n v="0.35211460999999999"/>
  </r>
  <r>
    <x v="5"/>
    <x v="128"/>
    <m/>
    <m/>
    <m/>
    <s v="NL"/>
    <m/>
    <s v="Agrifootprint process: Wheat flour, from dry milling, at plant/NL Mass"/>
    <m/>
    <m/>
    <s v="Blonk Consultants. Agri-Footprint 2.0. 2015 [cited 2015] Available from: http://www.agrifootprint."/>
    <m/>
    <m/>
    <m/>
    <m/>
    <m/>
    <m/>
    <m/>
    <m/>
    <m/>
    <m/>
    <m/>
    <m/>
    <m/>
    <m/>
    <m/>
    <m/>
    <m/>
    <m/>
    <s v=""/>
    <n v="2.5439123000000001"/>
    <s v=""/>
    <n v="0.37024625999999999"/>
    <m/>
    <m/>
    <n v="2.5439123000000001"/>
    <m/>
    <m/>
    <m/>
    <m/>
    <m/>
    <m/>
    <m/>
    <n v="2.5439123000000001"/>
    <m/>
    <m/>
    <m/>
    <m/>
    <n v="0.37024625999999999"/>
    <m/>
    <m/>
    <m/>
    <m/>
    <m/>
    <m/>
    <m/>
    <n v="0.37024625999999999"/>
  </r>
  <r>
    <x v="10"/>
    <x v="22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7"/>
    <s v=""/>
    <m/>
    <m/>
    <m/>
    <m/>
    <m/>
    <m/>
    <m/>
    <m/>
    <m/>
    <m/>
    <m/>
    <m/>
    <m/>
    <m/>
    <m/>
    <m/>
    <m/>
    <m/>
    <m/>
    <m/>
    <m/>
    <m/>
    <n v="0.87"/>
    <m/>
  </r>
  <r>
    <x v="4"/>
    <x v="22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4"/>
    <x v="223"/>
    <m/>
    <m/>
    <m/>
    <s v="Global"/>
    <m/>
    <s v="Ecoinvent process: Papaya {GLO}| production | Alloc Def, S"/>
    <m/>
    <m/>
    <s v="Swiss Center for Life Cycle Inventories, Ecoinvent Database version 3.3. 2016, 2016, ."/>
    <m/>
    <m/>
    <m/>
    <m/>
    <m/>
    <m/>
    <m/>
    <m/>
    <m/>
    <m/>
    <m/>
    <m/>
    <m/>
    <m/>
    <m/>
    <m/>
    <m/>
    <m/>
    <n v="1.3288105999999997"/>
    <s v=""/>
    <n v="0.14498"/>
    <s v=""/>
    <m/>
    <m/>
    <m/>
    <m/>
    <m/>
    <m/>
    <m/>
    <m/>
    <m/>
    <n v="1.3288105999999997"/>
    <m/>
    <m/>
    <m/>
    <m/>
    <m/>
    <m/>
    <m/>
    <m/>
    <m/>
    <m/>
    <m/>
    <m/>
    <n v="0.14498"/>
    <m/>
  </r>
  <r>
    <x v="10"/>
    <x v="114"/>
    <m/>
    <m/>
    <m/>
    <s v="CI"/>
    <m/>
    <s v="Ecoinvent process: Cocoa bean {CI}| cocoa bean production, sun-dried | Alloc Def, S"/>
    <m/>
    <m/>
    <s v="Swiss Center for Life Cycle Inventories, Ecoinvent Database version 3.3. 2016, 2016, ."/>
    <m/>
    <m/>
    <m/>
    <m/>
    <m/>
    <m/>
    <m/>
    <m/>
    <m/>
    <m/>
    <m/>
    <m/>
    <m/>
    <m/>
    <m/>
    <m/>
    <m/>
    <m/>
    <n v="27.198861299999997"/>
    <s v=""/>
    <n v="11.272119"/>
    <s v=""/>
    <m/>
    <m/>
    <m/>
    <m/>
    <m/>
    <m/>
    <m/>
    <m/>
    <m/>
    <n v="27.198861299999997"/>
    <m/>
    <m/>
    <m/>
    <m/>
    <m/>
    <m/>
    <m/>
    <m/>
    <m/>
    <m/>
    <m/>
    <m/>
    <n v="11.272119"/>
    <m/>
  </r>
  <r>
    <x v="10"/>
    <x v="114"/>
    <m/>
    <m/>
    <m/>
    <s v="GH"/>
    <m/>
    <s v="Ecoinvent process: Cocoa bean {GH}| cocoa bean production, sun-dried | Alloc Def, S"/>
    <m/>
    <m/>
    <s v="Swiss Center for Life Cycle Inventories, Ecoinvent Database version 3.3. 2016, 2016, ."/>
    <m/>
    <m/>
    <m/>
    <m/>
    <m/>
    <m/>
    <m/>
    <m/>
    <m/>
    <m/>
    <m/>
    <m/>
    <m/>
    <m/>
    <m/>
    <m/>
    <m/>
    <m/>
    <n v="47.445412300000001"/>
    <s v=""/>
    <n v="16.469787"/>
    <s v=""/>
    <m/>
    <m/>
    <m/>
    <m/>
    <m/>
    <m/>
    <m/>
    <m/>
    <m/>
    <n v="47.445412300000001"/>
    <m/>
    <m/>
    <m/>
    <m/>
    <m/>
    <m/>
    <m/>
    <m/>
    <m/>
    <m/>
    <m/>
    <m/>
    <n v="16.469787"/>
    <m/>
  </r>
  <r>
    <x v="10"/>
    <x v="114"/>
    <m/>
    <m/>
    <m/>
    <s v="ID"/>
    <m/>
    <s v="Ecoinvent process: Cocoa bean {ID}| cocoa bean production, sun-dried | Alloc Def, S"/>
    <m/>
    <m/>
    <s v="Swiss Center for Life Cycle Inventories, Ecoinvent Database version 3.3. 2016, 2016, ."/>
    <m/>
    <m/>
    <m/>
    <m/>
    <m/>
    <m/>
    <m/>
    <m/>
    <m/>
    <m/>
    <m/>
    <m/>
    <m/>
    <m/>
    <m/>
    <m/>
    <m/>
    <m/>
    <n v="246.3932897"/>
    <s v=""/>
    <n v="39.491154999999999"/>
    <s v=""/>
    <m/>
    <m/>
    <m/>
    <m/>
    <m/>
    <m/>
    <m/>
    <m/>
    <m/>
    <n v="246.3932897"/>
    <m/>
    <m/>
    <m/>
    <m/>
    <m/>
    <m/>
    <m/>
    <m/>
    <m/>
    <m/>
    <m/>
    <m/>
    <n v="39.491154999999999"/>
    <m/>
  </r>
  <r>
    <x v="10"/>
    <x v="114"/>
    <m/>
    <m/>
    <m/>
    <s v="RoW"/>
    <m/>
    <s v="Ecoinvent process: Cocoa bean {RoW}| cocoa bean production, sun-dried | Alloc Def, S"/>
    <m/>
    <m/>
    <s v="Swiss Center for Life Cycle Inventories, Ecoinvent Database version 3.3. 2016, 2016, ."/>
    <m/>
    <m/>
    <m/>
    <m/>
    <m/>
    <m/>
    <m/>
    <m/>
    <m/>
    <m/>
    <m/>
    <m/>
    <m/>
    <m/>
    <m/>
    <m/>
    <m/>
    <m/>
    <n v="23.449981136000002"/>
    <s v=""/>
    <n v="11.33441"/>
    <s v=""/>
    <m/>
    <m/>
    <m/>
    <m/>
    <m/>
    <m/>
    <m/>
    <m/>
    <m/>
    <n v="23.449981136000002"/>
    <m/>
    <m/>
    <m/>
    <m/>
    <m/>
    <m/>
    <m/>
    <m/>
    <m/>
    <m/>
    <m/>
    <m/>
    <n v="11.33441"/>
    <m/>
  </r>
  <r>
    <x v="10"/>
    <x v="135"/>
    <m/>
    <m/>
    <m/>
    <s v="RAS"/>
    <m/>
    <s v="WFLDB: Cocoa powder, at plant (WFLDB 3.1)/RAS U"/>
    <m/>
    <m/>
    <s v="Quantis, World Food LCA Database. 2016, ."/>
    <m/>
    <m/>
    <m/>
    <m/>
    <m/>
    <m/>
    <m/>
    <m/>
    <m/>
    <m/>
    <m/>
    <m/>
    <m/>
    <m/>
    <m/>
    <m/>
    <m/>
    <m/>
    <s v=""/>
    <n v="3.9887606999999998"/>
    <s v=""/>
    <n v="50.440724000000003"/>
    <m/>
    <m/>
    <n v="3.9887606999999998"/>
    <m/>
    <m/>
    <m/>
    <m/>
    <m/>
    <m/>
    <m/>
    <n v="3.9887606999999998"/>
    <m/>
    <m/>
    <m/>
    <m/>
    <n v="50.440724000000003"/>
    <m/>
    <m/>
    <m/>
    <m/>
    <m/>
    <m/>
    <m/>
    <n v="50.440724000000003"/>
  </r>
  <r>
    <x v="10"/>
    <x v="135"/>
    <m/>
    <m/>
    <m/>
    <s v="RER"/>
    <m/>
    <s v="WFLDB: Cocoa powder, at plant (WFLDB 3.1)/RER U"/>
    <m/>
    <m/>
    <s v="Quantis, World Food LCA Database. 2016, ."/>
    <m/>
    <m/>
    <m/>
    <m/>
    <m/>
    <m/>
    <m/>
    <m/>
    <m/>
    <m/>
    <m/>
    <m/>
    <m/>
    <m/>
    <m/>
    <m/>
    <m/>
    <m/>
    <s v=""/>
    <n v="3.6062574000000001"/>
    <s v=""/>
    <n v="25.23237"/>
    <m/>
    <m/>
    <n v="3.6062574000000001"/>
    <m/>
    <m/>
    <m/>
    <m/>
    <m/>
    <m/>
    <m/>
    <n v="3.6062574000000001"/>
    <m/>
    <m/>
    <m/>
    <m/>
    <n v="25.23237"/>
    <m/>
    <m/>
    <m/>
    <m/>
    <m/>
    <m/>
    <m/>
    <n v="25.23237"/>
  </r>
  <r>
    <x v="10"/>
    <x v="135"/>
    <m/>
    <m/>
    <m/>
    <s v="RNA"/>
    <m/>
    <s v="WFLDB: Cocoa powder, at plant (WFLDB 3.1)/RNA U"/>
    <m/>
    <m/>
    <s v="Quantis, World Food LCA Database. 2016, ."/>
    <m/>
    <m/>
    <m/>
    <m/>
    <m/>
    <m/>
    <m/>
    <m/>
    <m/>
    <m/>
    <m/>
    <m/>
    <m/>
    <m/>
    <m/>
    <m/>
    <m/>
    <m/>
    <s v=""/>
    <n v="3.6410518000000001"/>
    <s v=""/>
    <n v="25.268179"/>
    <m/>
    <m/>
    <n v="3.6410518000000001"/>
    <m/>
    <m/>
    <m/>
    <m/>
    <m/>
    <m/>
    <m/>
    <n v="3.6410518000000001"/>
    <m/>
    <m/>
    <m/>
    <m/>
    <n v="25.268179"/>
    <m/>
    <m/>
    <m/>
    <m/>
    <m/>
    <m/>
    <m/>
    <n v="25.268179"/>
  </r>
  <r>
    <x v="5"/>
    <x v="224"/>
    <m/>
    <m/>
    <m/>
    <s v="US"/>
    <m/>
    <s v="Agrifootprint process: Maize starch, from wet milling (starch drying), at plant/US Mass"/>
    <m/>
    <m/>
    <s v="Blonk Consultants. Agri-Footprint 2.0. 2015 [cited 2015] Available from: http://www.agrifootprint."/>
    <m/>
    <m/>
    <m/>
    <m/>
    <m/>
    <m/>
    <m/>
    <m/>
    <m/>
    <m/>
    <m/>
    <m/>
    <m/>
    <m/>
    <m/>
    <m/>
    <m/>
    <m/>
    <s v=""/>
    <n v="8.8000000000000007"/>
    <s v=""/>
    <n v="0.76"/>
    <m/>
    <m/>
    <n v="8.8000000000000007"/>
    <m/>
    <m/>
    <m/>
    <m/>
    <m/>
    <m/>
    <m/>
    <n v="8.8000000000000007"/>
    <m/>
    <m/>
    <m/>
    <m/>
    <n v="0.76"/>
    <m/>
    <m/>
    <m/>
    <m/>
    <m/>
    <m/>
    <m/>
    <n v="0.76"/>
  </r>
  <r>
    <x v="7"/>
    <x v="107"/>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21.400000000000002"/>
    <m/>
    <m/>
    <m/>
    <m/>
    <m/>
    <m/>
    <m/>
    <m/>
    <m/>
    <m/>
    <m/>
    <m/>
    <n v="1.21"/>
  </r>
  <r>
    <x v="7"/>
    <x v="107"/>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19.099999999999998"/>
    <m/>
    <m/>
    <m/>
    <m/>
    <m/>
    <m/>
    <m/>
    <m/>
    <m/>
    <m/>
    <m/>
    <m/>
    <n v="1.1000000000000001"/>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2.831927232150405"/>
    <m/>
    <m/>
    <m/>
    <m/>
    <m/>
    <m/>
    <m/>
    <m/>
    <m/>
    <m/>
    <m/>
    <m/>
    <n v="0.38040813566199472"/>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No"/>
    <s v="Yes"/>
    <s v="Yes"/>
    <s v="Yes"/>
    <s v="Yes"/>
    <s v="No"/>
    <s v="Yes"/>
    <s v="No"/>
    <s v="Yes"/>
    <s v="No"/>
    <s v="No"/>
    <m/>
    <s v="Production, packaging, transport (roastery to house), cooking/brewing"/>
    <s v="no"/>
    <s v="No"/>
    <s v="1 cup of coffee"/>
    <s v="reported value / density (1g/ml) --&gt; (RV x 1000g)/(236.588ml/cup x 1 g/ml)"/>
    <m/>
    <n v="2.8319000000000001"/>
    <s v=""/>
    <n v="0.38"/>
    <s v=""/>
    <m/>
    <m/>
    <m/>
    <m/>
    <m/>
    <m/>
    <m/>
    <m/>
    <m/>
    <n v="2.8319000000000001"/>
    <m/>
    <m/>
    <m/>
    <m/>
    <m/>
    <m/>
    <m/>
    <m/>
    <m/>
    <m/>
    <m/>
    <m/>
    <n v="0.38"/>
    <m/>
  </r>
  <r>
    <x v="7"/>
    <x v="109"/>
    <s v="Fresh or Not Specified"/>
    <s v="Darjeeling Tea, conventional loose"/>
    <s v="Yes"/>
    <s v="India"/>
    <n v="2010"/>
    <s v="Geneviève Doublet; Niels Jungbluth"/>
    <s v="ESU-services Ltd. – fair consulting in sustainability, Kanzleistr. 4, CH-8610 Uster"/>
    <s v="Consulting Group"/>
    <s v="Doublet G, Jungbluth N. Life cycle assessment of drinking Darjeeling tea: ESU-Services Ltd; 2010."/>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1544481712186552"/>
    <m/>
    <m/>
    <m/>
    <m/>
    <m/>
    <m/>
    <m/>
    <m/>
    <m/>
    <m/>
    <m/>
    <m/>
    <n v="0.17888516211467817"/>
  </r>
  <r>
    <x v="12"/>
    <x v="102"/>
    <s v="Fresh or Not Specified"/>
    <s v="rainbow trout, standard feed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5.738461538461536"/>
    <s v=""/>
    <n v="3.4153846153846157"/>
    <s v=""/>
    <m/>
    <m/>
    <m/>
    <m/>
    <m/>
    <m/>
    <m/>
    <m/>
    <m/>
    <n v="85.738461538461536"/>
    <m/>
    <m/>
    <m/>
    <m/>
    <m/>
    <m/>
    <m/>
    <m/>
    <m/>
    <m/>
    <m/>
    <m/>
    <n v="3.4153846153846157"/>
    <m/>
  </r>
  <r>
    <x v="12"/>
    <x v="102"/>
    <s v="Fresh or Not Specified"/>
    <s v="rainbow trout,flow through system, low fishery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4.703076923076921"/>
    <s v=""/>
    <n v="3.4153846153846157"/>
    <s v=""/>
    <m/>
    <m/>
    <m/>
    <m/>
    <m/>
    <m/>
    <m/>
    <m/>
    <m/>
    <n v="84.703076923076921"/>
    <m/>
    <m/>
    <m/>
    <m/>
    <m/>
    <m/>
    <m/>
    <m/>
    <m/>
    <m/>
    <m/>
    <m/>
    <n v="3.4153846153846157"/>
    <m/>
  </r>
  <r>
    <x v="12"/>
    <x v="102"/>
    <s v="Fresh or Not Specified"/>
    <s v="rainbow trout, ex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3.4452923076923079"/>
    <s v=""/>
    <m/>
    <m/>
    <m/>
    <m/>
    <m/>
    <m/>
    <m/>
    <m/>
    <m/>
    <m/>
    <m/>
    <m/>
    <m/>
    <m/>
    <m/>
    <m/>
    <m/>
    <m/>
    <m/>
    <m/>
    <m/>
    <m/>
    <n v="3.4452923076923079"/>
    <m/>
  </r>
  <r>
    <x v="12"/>
    <x v="102"/>
    <s v="Fresh or Not Specified"/>
    <s v="rainbow trout, in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5.4798615384615381"/>
    <s v=""/>
    <m/>
    <m/>
    <m/>
    <m/>
    <m/>
    <m/>
    <m/>
    <m/>
    <m/>
    <m/>
    <m/>
    <m/>
    <m/>
    <m/>
    <m/>
    <m/>
    <m/>
    <m/>
    <m/>
    <m/>
    <m/>
    <m/>
    <n v="5.4798615384615381"/>
    <m/>
  </r>
  <r>
    <x v="12"/>
    <x v="102"/>
    <s v="Fresh or Not Specified"/>
    <s v="rainbow trout,recirculating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20.95750769230769"/>
    <s v=""/>
    <m/>
    <m/>
    <m/>
    <m/>
    <m/>
    <m/>
    <m/>
    <m/>
    <m/>
    <m/>
    <m/>
    <m/>
    <m/>
    <m/>
    <m/>
    <m/>
    <m/>
    <m/>
    <m/>
    <m/>
    <m/>
    <m/>
    <n v="20.95750769230769"/>
    <m/>
  </r>
  <r>
    <x v="12"/>
    <x v="102"/>
    <s v="Fresh or Not Specified"/>
    <s v="common carp, tench, roach, perch, sander &amp; pike; semi-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218.5185185185185"/>
    <s v=""/>
    <n v="2.6425925925925924"/>
    <s v=""/>
    <m/>
    <m/>
    <m/>
    <m/>
    <m/>
    <m/>
    <m/>
    <m/>
    <m/>
    <n v="218.5185185185185"/>
    <m/>
    <m/>
    <m/>
    <m/>
    <m/>
    <m/>
    <m/>
    <m/>
    <m/>
    <m/>
    <m/>
    <m/>
    <n v="2.6425925925925924"/>
    <m/>
  </r>
  <r>
    <x v="12"/>
    <x v="102"/>
    <s v="Fresh or Not Specified"/>
    <s v="common carp, tench, roach, perch, sander &amp; pike; 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320.37037037037032"/>
    <s v=""/>
    <n v="15.898148148148149"/>
    <s v=""/>
    <m/>
    <m/>
    <m/>
    <m/>
    <m/>
    <m/>
    <m/>
    <m/>
    <m/>
    <n v="320.37037037037032"/>
    <m/>
    <m/>
    <m/>
    <m/>
    <m/>
    <m/>
    <m/>
    <m/>
    <m/>
    <m/>
    <m/>
    <m/>
    <n v="15.898148148148149"/>
    <m/>
  </r>
  <r>
    <x v="12"/>
    <x v="102"/>
    <s v="Fresh or Not Specified"/>
    <s v="atlantic salmon, recirculating system"/>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72"/>
    <n v="152.77777777777777"/>
    <s v=""/>
    <n v="4.3583333333333334"/>
    <s v=""/>
    <m/>
    <m/>
    <m/>
    <m/>
    <m/>
    <m/>
    <m/>
    <m/>
    <m/>
    <n v="152.77777777777777"/>
    <m/>
    <m/>
    <m/>
    <m/>
    <m/>
    <m/>
    <m/>
    <m/>
    <m/>
    <m/>
    <m/>
    <m/>
    <n v="4.3583333333333334"/>
    <m/>
  </r>
  <r>
    <x v="12"/>
    <x v="102"/>
    <s v="Fresh or Not Specified"/>
    <s v="tilapia, 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142.70270270270271"/>
    <s v=""/>
    <n v="2.5964864864864867"/>
    <s v=""/>
    <m/>
    <m/>
    <m/>
    <m/>
    <m/>
    <m/>
    <m/>
    <m/>
    <m/>
    <n v="142.70270270270271"/>
    <m/>
    <m/>
    <m/>
    <m/>
    <m/>
    <m/>
    <m/>
    <m/>
    <m/>
    <m/>
    <m/>
    <m/>
    <n v="2.5964864864864867"/>
    <m/>
  </r>
  <r>
    <x v="12"/>
    <x v="102"/>
    <s v="Fresh or Not Specified"/>
    <s v="tilapia, semi-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644.05405405405406"/>
    <s v=""/>
    <n v="16.557027027027029"/>
    <s v=""/>
    <m/>
    <m/>
    <m/>
    <m/>
    <m/>
    <m/>
    <m/>
    <m/>
    <m/>
    <n v="644.05405405405406"/>
    <m/>
    <m/>
    <m/>
    <m/>
    <m/>
    <m/>
    <m/>
    <m/>
    <m/>
    <m/>
    <m/>
    <m/>
    <n v="16.557027027027029"/>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12.536250000000001"/>
    <s v=""/>
    <m/>
    <m/>
    <m/>
    <m/>
    <m/>
    <m/>
    <m/>
    <m/>
    <m/>
    <n v="606.2208333333333"/>
    <m/>
    <m/>
    <m/>
    <m/>
    <m/>
    <m/>
    <m/>
    <m/>
    <m/>
    <m/>
    <m/>
    <m/>
    <n v="12.536250000000001"/>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22.182083333333331"/>
    <s v=""/>
    <m/>
    <m/>
    <m/>
    <m/>
    <m/>
    <m/>
    <m/>
    <m/>
    <m/>
    <n v="606.2208333333333"/>
    <m/>
    <m/>
    <m/>
    <m/>
    <m/>
    <m/>
    <m/>
    <m/>
    <m/>
    <m/>
    <m/>
    <m/>
    <n v="22.182083333333331"/>
    <m/>
  </r>
  <r>
    <x v="12"/>
    <x v="102"/>
    <s v="Fresh or Not Specified"/>
    <s v="African catfish, recirculating system"/>
    <s v="Yes"/>
    <s v="Netherlands"/>
    <n v="2016"/>
    <s v="M. Besson, J. Aubin, H. Komen, M. Poelman, E. Quillet, M. Vandeputte, J.A.M. van Arendonk, I.J.M. de Boer"/>
    <s v="Animal Breeding and Genomics Centre, Wageningen University, P.O. Box 338, 6700 AH Wageningen, The Netherlands"/>
    <s v="Peer Reviewed Journal"/>
    <s v="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
    <s v="Yes"/>
    <s v="No"/>
    <s v="No"/>
    <s v="No"/>
    <s v="No"/>
    <s v="No"/>
    <s v="No"/>
    <s v="No"/>
    <s v="No"/>
    <s v="No"/>
    <s v="No"/>
    <s v="No"/>
    <m/>
    <s v="farm gate"/>
    <s v="No"/>
    <s v="No"/>
    <s v="1 kg live weight"/>
    <s v="/.65"/>
    <n v="32.484923076923081"/>
    <s v=""/>
    <n v="2.247846153846154"/>
    <s v=""/>
    <m/>
    <m/>
    <m/>
    <m/>
    <m/>
    <m/>
    <m/>
    <m/>
    <m/>
    <n v="32.484923076923081"/>
    <m/>
    <m/>
    <m/>
    <m/>
    <m/>
    <m/>
    <m/>
    <m/>
    <m/>
    <m/>
    <m/>
    <m/>
    <n v="2.247846153846154"/>
    <m/>
  </r>
  <r>
    <x v="7"/>
    <x v="141"/>
    <m/>
    <s v="lager, re-used glass"/>
    <m/>
    <s v="Greece"/>
    <n v="2005"/>
    <s v="C. Koroneos, G. Roumbas, Z. Gabari, E. Papagiannidou, N. Moussiopoulos"/>
    <s v="Laboratory of Heat Transfer and Environmental Engineering, P.O. Box 483, Aristotle University Thessaloniki, 54124 Thessaloniki, Greece"/>
    <s v="Peer Reviewed Journal"/>
    <s v="Koroneos, C., Roumbas, G., Gabari, Z., Papagiannidou, E. and Moussiopoulos, N., Life cycle assessment of beer production in Greece. Journal of Cleaner Production 2005, 13 (4), 433-439."/>
    <s v="Yes"/>
    <m/>
    <m/>
    <s v="Yes"/>
    <s v="Yes"/>
    <m/>
    <m/>
    <m/>
    <m/>
    <m/>
    <m/>
    <m/>
    <m/>
    <m/>
    <m/>
    <s v="Yes"/>
    <m/>
    <s v="/1.01 (kg/L)"/>
    <s v=""/>
    <s v=""/>
    <n v="4.4835491241431782E-2"/>
    <n v="0.14945163747143969"/>
    <m/>
    <m/>
    <m/>
    <m/>
    <m/>
    <m/>
    <m/>
    <m/>
    <m/>
    <m/>
    <m/>
    <m/>
    <m/>
    <n v="4.4835491241431782E-2"/>
    <m/>
    <n v="0.10461614623000792"/>
    <n v="0.59780654988575743"/>
    <n v="0"/>
    <m/>
    <m/>
    <m/>
    <m/>
    <n v="4.4835491241431782E-2"/>
    <n v="0.74725818735719707"/>
  </r>
  <r>
    <x v="7"/>
    <x v="141"/>
    <m/>
    <m/>
    <m/>
    <s v="UK"/>
    <n v="2014"/>
    <s v="Adrian G. Williams, Seyoum Mekonen"/>
    <s v="School of Applied Sciences, Cranfield University, Bedford, MK43 0AL, UK"/>
    <s v="Conference Proceedings"/>
    <s v="Williams, A. G. and Mekonen, S., Environmental performance of traditional beer production in a micro-brewery. Proceedings of the 9th International Conference on Life Cycle Assessment in the Agri-Food Sector (LCA Food 2014) 2014, ."/>
    <s v="Yes"/>
    <m/>
    <m/>
    <s v="Yes"/>
    <s v="Yes"/>
    <s v="Yes"/>
    <m/>
    <m/>
    <m/>
    <m/>
    <m/>
    <m/>
    <m/>
    <m/>
    <m/>
    <s v="Yes"/>
    <m/>
    <s v="/1.01 (kg/L)"/>
    <s v=""/>
    <s v=""/>
    <n v="0.11287128712871287"/>
    <n v="0.21927128712871288"/>
    <m/>
    <m/>
    <m/>
    <m/>
    <m/>
    <m/>
    <m/>
    <m/>
    <m/>
    <m/>
    <m/>
    <m/>
    <m/>
    <n v="0.11287128712871287"/>
    <m/>
    <n v="0.10640000000000001"/>
    <n v="7.5247524752475245E-3"/>
    <n v="7.5247524752475245E-2"/>
    <m/>
    <m/>
    <n v="7.5247524752475245E-2"/>
    <m/>
    <n v="0.11287128712871287"/>
    <n v="0.3772910891089109"/>
  </r>
  <r>
    <x v="7"/>
    <x v="141"/>
    <m/>
    <s v="al. can"/>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128712871287128"/>
    <n v="8.0099009900990101E-2"/>
    <m/>
    <m/>
    <n v="5.6435643564356434E-3"/>
    <n v="-0.12039603960396039"/>
    <n v="0.16712871287128714"/>
    <n v="0.68574257425742569"/>
  </r>
  <r>
    <x v="7"/>
    <x v="141"/>
    <m/>
    <s v="keg"/>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3.9702970297029697E-2"/>
    <n v="9.1683168316831681E-2"/>
    <m/>
    <m/>
    <n v="6.0396039603960398E-3"/>
    <n v="-0.12039603960396039"/>
    <n v="0.16712871287128714"/>
    <n v="0.24613861386138614"/>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35128712871287127"/>
    <n v="9.6138613861386141E-2"/>
    <m/>
    <m/>
    <n v="5.7425742574257425E-3"/>
    <n v="-0.12039603960396039"/>
    <n v="0.16712871287128714"/>
    <n v="0.56188118811881183"/>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3891089108910891"/>
    <n v="0.10564356435643564"/>
    <m/>
    <m/>
    <n v="5.7425742574257425E-3"/>
    <n v="-0.12039603960396039"/>
    <n v="0.16712871287128714"/>
    <n v="0.65900990099009904"/>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98019801980198"/>
    <n v="0.12247524752475247"/>
    <m/>
    <m/>
    <n v="5.7425742574257425E-3"/>
    <n v="-0.12039603960396039"/>
    <n v="0.16712871287128714"/>
    <n v="0.73673267326732672"/>
  </r>
  <r>
    <x v="7"/>
    <x v="141"/>
    <m/>
    <s v="Barley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36673267326732673"/>
    <n v="5.0495049504950497E-3"/>
    <m/>
    <m/>
    <m/>
    <m/>
    <n v="5.6336633663366338E-2"/>
    <n v="0.43716831683168317"/>
  </r>
  <r>
    <x v="7"/>
    <x v="141"/>
    <m/>
    <s v="Barley lager, 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2.0792079207920793E-2"/>
    <n v="5.0495049504950497E-3"/>
    <m/>
    <m/>
    <m/>
    <m/>
    <n v="5.6336633663366338E-2"/>
    <n v="9.1227722772277239E-2"/>
  </r>
  <r>
    <x v="7"/>
    <x v="141"/>
    <m/>
    <s v="Barley lager, 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08"/>
    <n v="5.0495049504950497E-3"/>
    <m/>
    <m/>
    <m/>
    <m/>
    <n v="5.6336633663366338E-2"/>
    <n v="0.15043564356435646"/>
  </r>
  <r>
    <x v="7"/>
    <x v="141"/>
    <m/>
    <s v="Barley&amp;rice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36673267326732673"/>
    <n v="5.0495049504950497E-3"/>
    <m/>
    <m/>
    <m/>
    <m/>
    <n v="7.0594059405940601E-2"/>
    <n v="0.45142574257425744"/>
  </r>
  <r>
    <x v="7"/>
    <x v="141"/>
    <m/>
    <s v="Barley&amp;rice lager,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2.0792079207920793E-2"/>
    <n v="5.0495049504950497E-3"/>
    <m/>
    <m/>
    <m/>
    <m/>
    <n v="7.0594059405940601E-2"/>
    <n v="0.10548514851485151"/>
  </r>
  <r>
    <x v="7"/>
    <x v="141"/>
    <m/>
    <s v="Barley&amp;rice lager,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08"/>
    <n v="5.0495049504950497E-3"/>
    <m/>
    <m/>
    <m/>
    <m/>
    <n v="7.0594059405940601E-2"/>
    <n v="0.16469306930693073"/>
  </r>
  <r>
    <x v="1"/>
    <x v="23"/>
    <m/>
    <m/>
    <m/>
    <s v="UK"/>
    <n v="2009"/>
    <s v="Celia Kingston, Jonna Meyhoff Fry and Simon Aumonier"/>
    <s v="Environmental Resources Management Limited (ERM)"/>
    <s v="NGO Report"/>
    <s v="Kingston, C., Meyhoff Fry, J. and Aumonier, S., Scoping life cycle assessment of pork production. 2009, ."/>
    <s v="Yes"/>
    <s v="No"/>
    <s v="No"/>
    <s v="Yes"/>
    <s v="Yes"/>
    <s v="Yes"/>
    <s v="Yes"/>
    <s v="No"/>
    <s v="Yes"/>
    <s v="No"/>
    <s v="No"/>
    <s v="No"/>
    <m/>
    <s v="slaughter gate"/>
    <m/>
    <m/>
    <s v="kg carcass weight"/>
    <s v="/0.75"/>
    <s v=""/>
    <s v=""/>
    <n v="6.22"/>
    <n v="6.5811999999999999"/>
    <m/>
    <m/>
    <m/>
    <m/>
    <m/>
    <m/>
    <m/>
    <m/>
    <m/>
    <m/>
    <m/>
    <m/>
    <m/>
    <n v="6.22"/>
    <m/>
    <n v="0.36120000000000002"/>
    <n v="0.17199999999999999"/>
    <n v="8.5999999999999993E-2"/>
    <n v="1.72E-2"/>
    <n v="1.8059999999999998"/>
    <n v="2.58E-2"/>
    <m/>
    <n v="6.22"/>
    <n v="8.6882000000000001"/>
  </r>
  <r>
    <x v="1"/>
    <x v="23"/>
    <m/>
    <m/>
    <m/>
    <s v="Flemish"/>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m/>
    <m/>
    <m/>
    <m/>
    <m/>
    <m/>
    <m/>
    <m/>
    <m/>
    <m/>
    <m/>
    <m/>
    <m/>
    <s v=""/>
    <s v=""/>
    <n v="3.3489333333333331"/>
    <n v="3.3956"/>
    <m/>
    <m/>
    <m/>
    <m/>
    <m/>
    <m/>
    <m/>
    <m/>
    <m/>
    <m/>
    <m/>
    <m/>
    <m/>
    <n v="3.3489333333333331"/>
    <m/>
    <n v="4.6666666666666669E-2"/>
    <m/>
    <m/>
    <m/>
    <m/>
    <m/>
    <m/>
    <n v="3.3489333333333331"/>
    <n v="3.3956"/>
  </r>
  <r>
    <x v="1"/>
    <x v="23"/>
    <m/>
    <m/>
    <m/>
    <s v="Western cape"/>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s v="Yes"/>
    <m/>
    <m/>
    <m/>
    <m/>
    <m/>
    <m/>
    <m/>
    <m/>
    <m/>
    <m/>
    <m/>
    <m/>
    <s v=""/>
    <s v=""/>
    <n v="5.0305333333333335"/>
    <n v="5.7812000000000001"/>
    <m/>
    <m/>
    <m/>
    <m/>
    <m/>
    <m/>
    <m/>
    <m/>
    <m/>
    <m/>
    <m/>
    <m/>
    <m/>
    <n v="5.0305333333333335"/>
    <m/>
    <n v="0.75066666666666659"/>
    <m/>
    <n v="0.22439999999999999"/>
    <m/>
    <m/>
    <m/>
    <m/>
    <n v="5.0305333333333335"/>
    <n v="6.0056000000000003"/>
  </r>
  <r>
    <x v="1"/>
    <x v="23"/>
    <m/>
    <m/>
    <m/>
    <s v="Austria"/>
    <n v="2016"/>
    <s v="Thomas Winkler, Kerstin Schopf, Ralf Aschemann, Wilfried Winiwarter"/>
    <s v="University of Graz, Institute of Systems Sciences, Innovation and Sustainability Research, Merangasse 18, 8010 Graz, Austria"/>
    <s v="Peer Reviewed Journal"/>
    <s v="Winkler, T., Schopf, K., Aschemann, R. and Winiwarter, W., From farm to fork – A life cycle assessment of fresh Austrian pork. Journal of Cleaner Production 2016, ."/>
    <s v="Yes"/>
    <m/>
    <m/>
    <s v="Yes"/>
    <m/>
    <s v="Yes"/>
    <s v="Yes"/>
    <m/>
    <s v="Yes"/>
    <m/>
    <m/>
    <m/>
    <m/>
    <m/>
    <m/>
    <m/>
    <m/>
    <m/>
    <s v=""/>
    <s v=""/>
    <n v="5.8533333333333335"/>
    <n v="6.0426666666666664"/>
    <m/>
    <m/>
    <m/>
    <m/>
    <m/>
    <m/>
    <m/>
    <m/>
    <m/>
    <m/>
    <m/>
    <m/>
    <m/>
    <n v="5.8533333333333335"/>
    <m/>
    <n v="0.1893333333333333"/>
    <m/>
    <n v="0.224"/>
    <n v="1.0666666666666666E-2"/>
    <n v="6.6666666666666666E-2"/>
    <m/>
    <m/>
    <n v="5.8533333333333335"/>
    <n v="6.3439999999999994"/>
  </r>
  <r>
    <x v="1"/>
    <x v="23"/>
    <m/>
    <s v="Netherlands, conv"/>
    <m/>
    <s v="NL"/>
    <n v="2010"/>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978318104382846"/>
    <n v="3.5322131020597807"/>
    <m/>
    <m/>
    <m/>
    <m/>
    <m/>
    <m/>
    <m/>
    <m/>
    <m/>
    <m/>
    <m/>
    <m/>
    <m/>
    <n v="3.4978318104382846"/>
    <m/>
    <n v="3.4381291621496057E-2"/>
    <m/>
    <m/>
    <m/>
    <m/>
    <m/>
    <m/>
    <n v="3.4978318104382846"/>
    <n v="3.5322131020597807"/>
  </r>
  <r>
    <x v="1"/>
    <x v="23"/>
    <m/>
    <s v="Netherlands, org"/>
    <m/>
    <s v="NL"/>
    <n v="2011"/>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2667647514325546"/>
    <n v="4.3011460430540502"/>
    <m/>
    <m/>
    <m/>
    <m/>
    <m/>
    <m/>
    <m/>
    <m/>
    <m/>
    <m/>
    <m/>
    <m/>
    <m/>
    <n v="4.2667647514325546"/>
    <m/>
    <n v="3.4381291621496057E-2"/>
    <m/>
    <m/>
    <m/>
    <m/>
    <m/>
    <m/>
    <n v="4.2667647514325546"/>
    <n v="4.3011460430540502"/>
  </r>
  <r>
    <x v="1"/>
    <x v="23"/>
    <m/>
    <s v="England, conv"/>
    <m/>
    <s v="UK"/>
    <n v="2012"/>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708843115998147"/>
    <n v="3.5052656032213108"/>
    <m/>
    <m/>
    <m/>
    <m/>
    <m/>
    <m/>
    <m/>
    <m/>
    <m/>
    <m/>
    <m/>
    <m/>
    <m/>
    <n v="3.4708843115998147"/>
    <m/>
    <n v="3.4381291621496057E-2"/>
    <m/>
    <m/>
    <m/>
    <m/>
    <m/>
    <m/>
    <n v="3.4708843115998147"/>
    <n v="3.5052656032213108"/>
  </r>
  <r>
    <x v="1"/>
    <x v="23"/>
    <m/>
    <s v="England, org"/>
    <m/>
    <s v="UK"/>
    <n v="2013"/>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3380827009447112"/>
    <n v="4.3724639925662068"/>
    <m/>
    <m/>
    <m/>
    <m/>
    <m/>
    <m/>
    <m/>
    <m/>
    <m/>
    <m/>
    <m/>
    <m/>
    <m/>
    <n v="4.3380827009447112"/>
    <m/>
    <n v="3.4381291621496057E-2"/>
    <m/>
    <m/>
    <m/>
    <m/>
    <m/>
    <m/>
    <n v="4.3380827009447112"/>
    <n v="4.3724639925662068"/>
  </r>
  <r>
    <x v="1"/>
    <x v="23"/>
    <m/>
    <s v="Germany, conv"/>
    <m/>
    <s v="DE"/>
    <n v="2014"/>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6697382685457649"/>
    <n v="3.704119560167261"/>
    <m/>
    <m/>
    <m/>
    <m/>
    <m/>
    <m/>
    <m/>
    <m/>
    <m/>
    <m/>
    <m/>
    <m/>
    <m/>
    <n v="3.6697382685457649"/>
    <m/>
    <n v="3.4381291621496057E-2"/>
    <m/>
    <m/>
    <m/>
    <m/>
    <m/>
    <m/>
    <n v="3.6697382685457649"/>
    <n v="3.704119560167261"/>
  </r>
  <r>
    <x v="1"/>
    <x v="23"/>
    <m/>
    <s v="Germany, org"/>
    <m/>
    <s v="DE"/>
    <n v="2015"/>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5.019436270713955"/>
    <n v="5.0538175623354515"/>
    <m/>
    <m/>
    <m/>
    <m/>
    <m/>
    <m/>
    <m/>
    <m/>
    <m/>
    <m/>
    <m/>
    <m/>
    <m/>
    <n v="5.019436270713955"/>
    <m/>
    <n v="3.4381291621496057E-2"/>
    <m/>
    <m/>
    <m/>
    <m/>
    <m/>
    <m/>
    <n v="5.019436270713955"/>
    <n v="5.0538175623354515"/>
  </r>
  <r>
    <x v="1"/>
    <x v="23"/>
    <m/>
    <s v="Denmark, conv"/>
    <m/>
    <s v="DK"/>
    <n v="2016"/>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574105621805797"/>
    <n v="3.4917918538020758"/>
    <m/>
    <m/>
    <m/>
    <m/>
    <m/>
    <m/>
    <m/>
    <m/>
    <m/>
    <m/>
    <m/>
    <m/>
    <m/>
    <n v="3.4574105621805797"/>
    <m/>
    <n v="3.4381291621496057E-2"/>
    <m/>
    <m/>
    <m/>
    <m/>
    <m/>
    <m/>
    <n v="3.4574105621805797"/>
    <n v="3.4917918538020758"/>
  </r>
  <r>
    <x v="1"/>
    <x v="23"/>
    <m/>
    <s v="Denmark, org"/>
    <m/>
    <s v="DK"/>
    <n v="2017"/>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0116927365649691"/>
    <n v="4.0460740281864656"/>
    <m/>
    <m/>
    <m/>
    <m/>
    <m/>
    <m/>
    <m/>
    <m/>
    <m/>
    <m/>
    <m/>
    <m/>
    <m/>
    <n v="4.0116927365649691"/>
    <m/>
    <n v="3.4381291621496057E-2"/>
    <m/>
    <m/>
    <m/>
    <m/>
    <m/>
    <m/>
    <n v="4.0116927365649691"/>
    <n v="4.0460740281864656"/>
  </r>
  <r>
    <x v="1"/>
    <x v="23"/>
    <m/>
    <m/>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m/>
    <m/>
    <m/>
    <m/>
    <m/>
    <m/>
    <m/>
    <m/>
    <m/>
    <m/>
    <m/>
    <m/>
    <m/>
    <m/>
    <m/>
    <m/>
    <m/>
    <s v=""/>
    <s v=""/>
    <n v="4.6899999999999995"/>
    <s v=""/>
    <m/>
    <m/>
    <m/>
    <m/>
    <m/>
    <m/>
    <m/>
    <m/>
    <m/>
    <m/>
    <m/>
    <m/>
    <m/>
    <n v="4.6899999999999995"/>
    <m/>
    <m/>
    <m/>
    <m/>
    <m/>
    <m/>
    <m/>
    <m/>
    <n v="4.6899999999999995"/>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076904761904762"/>
    <s v=""/>
    <m/>
    <m/>
    <m/>
    <m/>
    <m/>
    <m/>
    <m/>
    <m/>
    <m/>
    <m/>
    <m/>
    <m/>
    <m/>
    <n v="0.2076904761904762"/>
    <m/>
    <m/>
    <m/>
    <m/>
    <m/>
    <m/>
    <m/>
    <m/>
    <n v="0.2076904761904762"/>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6697619047619048"/>
    <s v=""/>
    <m/>
    <m/>
    <m/>
    <m/>
    <m/>
    <m/>
    <m/>
    <m/>
    <m/>
    <m/>
    <m/>
    <m/>
    <m/>
    <n v="0.26697619047619048"/>
    <m/>
    <m/>
    <m/>
    <m/>
    <m/>
    <m/>
    <m/>
    <m/>
    <n v="0.26697619047619048"/>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19265476190476191"/>
    <s v=""/>
    <m/>
    <m/>
    <m/>
    <m/>
    <m/>
    <m/>
    <m/>
    <m/>
    <m/>
    <m/>
    <m/>
    <m/>
    <m/>
    <n v="0.19265476190476191"/>
    <m/>
    <m/>
    <m/>
    <m/>
    <m/>
    <m/>
    <m/>
    <m/>
    <n v="0.19265476190476191"/>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1939285714285714"/>
    <s v=""/>
    <m/>
    <m/>
    <m/>
    <m/>
    <m/>
    <m/>
    <m/>
    <m/>
    <m/>
    <m/>
    <m/>
    <m/>
    <m/>
    <n v="0.21939285714285714"/>
    <m/>
    <m/>
    <m/>
    <m/>
    <m/>
    <m/>
    <m/>
    <m/>
    <n v="0.21939285714285714"/>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43"/>
    <s v=""/>
    <m/>
    <m/>
    <m/>
    <m/>
    <m/>
    <m/>
    <m/>
    <m/>
    <m/>
    <m/>
    <m/>
    <m/>
    <m/>
    <n v="0.43"/>
    <m/>
    <m/>
    <m/>
    <n v="0.44"/>
    <m/>
    <n v="0.3"/>
    <m/>
    <m/>
    <n v="0.43"/>
    <n v="1.17"/>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71"/>
    <s v=""/>
    <m/>
    <m/>
    <m/>
    <m/>
    <m/>
    <m/>
    <m/>
    <m/>
    <m/>
    <m/>
    <m/>
    <m/>
    <m/>
    <n v="1.71"/>
    <m/>
    <m/>
    <m/>
    <n v="0.01"/>
    <m/>
    <n v="0.30999999999999983"/>
    <m/>
    <m/>
    <n v="1.71"/>
    <n v="2.0299999999999998"/>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86"/>
    <s v=""/>
    <m/>
    <m/>
    <m/>
    <m/>
    <m/>
    <m/>
    <m/>
    <m/>
    <m/>
    <m/>
    <m/>
    <m/>
    <m/>
    <n v="1.86"/>
    <m/>
    <m/>
    <m/>
    <n v="1.97"/>
    <m/>
    <n v="0.30999999999999983"/>
    <m/>
    <m/>
    <n v="1.86"/>
    <n v="4.1399999999999997"/>
  </r>
  <r>
    <x v="3"/>
    <x v="19"/>
    <m/>
    <s v="open field"/>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3"/>
    <s v=""/>
    <m/>
    <m/>
    <m/>
    <m/>
    <m/>
    <m/>
    <m/>
    <m/>
    <m/>
    <m/>
    <m/>
    <m/>
    <m/>
    <n v="0.3"/>
    <m/>
    <m/>
    <m/>
    <n v="0.36000000000000004"/>
    <m/>
    <n v="0.30999999999999994"/>
    <m/>
    <m/>
    <n v="0.3"/>
    <n v="0.97"/>
  </r>
  <r>
    <x v="3"/>
    <x v="18"/>
    <m/>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2.1"/>
    <s v=""/>
    <m/>
    <m/>
    <m/>
    <m/>
    <m/>
    <m/>
    <m/>
    <m/>
    <m/>
    <m/>
    <m/>
    <m/>
    <m/>
    <n v="2.1"/>
    <m/>
    <m/>
    <m/>
    <n v="0.1"/>
    <m/>
    <m/>
    <m/>
    <m/>
    <n v="2.1"/>
    <m/>
  </r>
  <r>
    <x v="3"/>
    <x v="19"/>
    <m/>
    <s v="protected"/>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0.3"/>
    <s v=""/>
    <m/>
    <m/>
    <m/>
    <m/>
    <m/>
    <m/>
    <m/>
    <m/>
    <m/>
    <m/>
    <m/>
    <m/>
    <m/>
    <n v="0.3"/>
    <m/>
    <m/>
    <m/>
    <n v="0.3"/>
    <m/>
    <m/>
    <m/>
    <m/>
    <n v="0.3"/>
    <n v="0.6"/>
  </r>
  <r>
    <x v="3"/>
    <x v="19"/>
    <m/>
    <s v="protected"/>
    <m/>
    <s v="Spain"/>
    <n v="2012"/>
    <s v="Torrellas, M.; Antón, A.; López, J. C.; Baeza, E. J.; Parra, J. P.; Muñoz, P.; Montero, J. I"/>
    <s v="IRTA (Research and Technology Food and Agriculture), Ctra. de Cabrils, km 2, 08348 Cabrils Barcelona, Spain"/>
    <s v="Peer Reviewed Journal"/>
    <s v="Torrellas, M., Antón, A., López, J. C., Baeza, E. J., Parra, J. P., Muñoz, P. and Montero, J. I., LCA of a tomato crop in a multi-tunnel greenhouse in Almeria. The International Journal of Life Cycle Assessment 2012, 17 (7), 863-875."/>
    <m/>
    <m/>
    <m/>
    <m/>
    <m/>
    <m/>
    <m/>
    <m/>
    <m/>
    <m/>
    <m/>
    <m/>
    <m/>
    <m/>
    <m/>
    <m/>
    <m/>
    <m/>
    <s v=""/>
    <s v=""/>
    <n v="0.25"/>
    <s v=""/>
    <m/>
    <m/>
    <m/>
    <m/>
    <m/>
    <m/>
    <m/>
    <m/>
    <m/>
    <m/>
    <m/>
    <m/>
    <m/>
    <n v="0.25"/>
    <m/>
    <m/>
    <m/>
    <m/>
    <m/>
    <m/>
    <m/>
    <m/>
    <n v="0.25"/>
    <m/>
  </r>
  <r>
    <x v="3"/>
    <x v="19"/>
    <m/>
    <s v="protected"/>
    <m/>
    <s v="Morocco"/>
    <n v="2015"/>
    <s v="Payen, S.; Basset-Mens, C.; Perret, S.,"/>
    <s v="ADEME, (Agence de l'Environnement et de la Maîtrise de l'Energie), 20 avenue du Gr_x0001_esill_x0001_e e BP 90406, 49004 Angers, France"/>
    <s v="Peer Reviewed Journal"/>
    <s v="Payen, S., Basset-Mens, C. and Perret, S., LCA of local and imported tomato: an energy and water trade-off. Journal of Cleaner Production 2015, 87, 139-148."/>
    <m/>
    <m/>
    <m/>
    <m/>
    <m/>
    <m/>
    <m/>
    <m/>
    <m/>
    <m/>
    <m/>
    <m/>
    <m/>
    <m/>
    <m/>
    <m/>
    <m/>
    <m/>
    <s v=""/>
    <s v=""/>
    <n v="0.21500000000000002"/>
    <s v=""/>
    <m/>
    <m/>
    <m/>
    <m/>
    <m/>
    <m/>
    <m/>
    <m/>
    <m/>
    <m/>
    <m/>
    <m/>
    <m/>
    <n v="0.21500000000000002"/>
    <m/>
    <m/>
    <n v="9.0999999999999998E-2"/>
    <n v="0.24"/>
    <m/>
    <m/>
    <m/>
    <m/>
    <n v="0.21500000000000002"/>
    <n v="0.54600000000000004"/>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99999999999998"/>
    <s v=""/>
    <m/>
    <m/>
    <m/>
    <m/>
    <m/>
    <m/>
    <m/>
    <m/>
    <m/>
    <m/>
    <m/>
    <m/>
    <m/>
    <n v="2.0699999999999998"/>
    <m/>
    <m/>
    <m/>
    <m/>
    <m/>
    <m/>
    <m/>
    <m/>
    <n v="2.0699999999999998"/>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1"/>
    <s v=""/>
    <m/>
    <m/>
    <m/>
    <m/>
    <m/>
    <m/>
    <m/>
    <m/>
    <m/>
    <m/>
    <m/>
    <m/>
    <m/>
    <n v="1.81"/>
    <m/>
    <m/>
    <m/>
    <m/>
    <m/>
    <m/>
    <m/>
    <m/>
    <n v="1.81"/>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1"/>
    <s v=""/>
    <m/>
    <m/>
    <m/>
    <m/>
    <m/>
    <m/>
    <m/>
    <m/>
    <m/>
    <m/>
    <m/>
    <m/>
    <m/>
    <n v="2.1"/>
    <m/>
    <m/>
    <m/>
    <m/>
    <m/>
    <m/>
    <m/>
    <m/>
    <n v="2.1"/>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
    <s v=""/>
    <m/>
    <m/>
    <m/>
    <m/>
    <m/>
    <m/>
    <m/>
    <m/>
    <m/>
    <m/>
    <m/>
    <m/>
    <m/>
    <n v="2.06"/>
    <m/>
    <m/>
    <m/>
    <m/>
    <m/>
    <m/>
    <m/>
    <m/>
    <n v="2.06"/>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6"/>
    <s v=""/>
    <m/>
    <m/>
    <m/>
    <m/>
    <m/>
    <m/>
    <m/>
    <m/>
    <m/>
    <m/>
    <m/>
    <m/>
    <m/>
    <n v="1.86"/>
    <m/>
    <m/>
    <m/>
    <m/>
    <m/>
    <m/>
    <m/>
    <m/>
    <n v="1.86"/>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62"/>
    <s v=""/>
    <m/>
    <m/>
    <m/>
    <m/>
    <m/>
    <m/>
    <m/>
    <m/>
    <m/>
    <m/>
    <m/>
    <m/>
    <m/>
    <n v="1.62"/>
    <m/>
    <m/>
    <m/>
    <m/>
    <m/>
    <m/>
    <m/>
    <m/>
    <n v="1.62"/>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6"/>
    <s v=""/>
    <m/>
    <m/>
    <m/>
    <m/>
    <m/>
    <m/>
    <m/>
    <m/>
    <m/>
    <m/>
    <m/>
    <m/>
    <m/>
    <n v="2.36"/>
    <m/>
    <m/>
    <m/>
    <m/>
    <m/>
    <m/>
    <m/>
    <m/>
    <n v="2.36"/>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1"/>
    <s v=""/>
    <m/>
    <m/>
    <m/>
    <m/>
    <m/>
    <m/>
    <m/>
    <m/>
    <m/>
    <m/>
    <m/>
    <m/>
    <m/>
    <n v="2.31"/>
    <m/>
    <m/>
    <m/>
    <m/>
    <m/>
    <m/>
    <m/>
    <m/>
    <n v="2.31"/>
    <m/>
  </r>
  <r>
    <x v="3"/>
    <x v="19"/>
    <m/>
    <s v="Fresh tomatoes, protected"/>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0.50800000000000001"/>
    <s v=""/>
    <m/>
    <m/>
    <m/>
    <m/>
    <m/>
    <m/>
    <m/>
    <m/>
    <m/>
    <m/>
    <m/>
    <m/>
    <m/>
    <n v="0.50800000000000001"/>
    <m/>
    <m/>
    <m/>
    <m/>
    <m/>
    <m/>
    <m/>
    <m/>
    <n v="0.50800000000000001"/>
    <m/>
  </r>
  <r>
    <x v="7"/>
    <x v="225"/>
    <m/>
    <m/>
    <m/>
    <m/>
    <n v="2005"/>
    <s v="Aranda et al. (2005)"/>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3333333333333331"/>
    <n v="0.71972789115646263"/>
    <m/>
    <m/>
    <m/>
    <m/>
    <m/>
    <m/>
    <m/>
    <m/>
    <m/>
    <m/>
    <m/>
    <m/>
    <m/>
    <n v="0.33333333333333331"/>
    <m/>
    <n v="0.38639455782312926"/>
    <s v=""/>
    <n v="0.35374149659863946"/>
    <s v=""/>
    <m/>
    <s v=""/>
    <m/>
    <n v="0.33333333333333331"/>
    <n v="1.073469387755102"/>
  </r>
  <r>
    <x v="7"/>
    <x v="225"/>
    <m/>
    <m/>
    <m/>
    <m/>
    <n v="2006"/>
    <s v="Ardente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088435374149658"/>
    <n v="0.69523809523809521"/>
    <m/>
    <m/>
    <m/>
    <m/>
    <m/>
    <m/>
    <m/>
    <m/>
    <m/>
    <m/>
    <m/>
    <m/>
    <m/>
    <n v="0.21088435374149658"/>
    <m/>
    <n v="0.48435374149659866"/>
    <n v="1.361904761904762"/>
    <n v="0.18367346938775511"/>
    <s v=""/>
    <m/>
    <s v=""/>
    <m/>
    <n v="0.21088435374149658"/>
    <n v="2.2408163265306125"/>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23129251700680273"/>
    <m/>
    <m/>
    <m/>
    <m/>
    <m/>
    <m/>
    <m/>
    <m/>
    <m/>
    <m/>
    <m/>
    <m/>
    <m/>
    <n v="9.6598639455782315E-2"/>
    <m/>
    <n v="0.13469387755102041"/>
    <n v="0.92108843537414975"/>
    <n v="0.67210884353741496"/>
    <s v=""/>
    <m/>
    <n v="9.6598639455782315E-2"/>
    <m/>
    <n v="9.6598639455782315E-2"/>
    <n v="1.9183673469387754"/>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1700680272108842"/>
    <n v="0.17551020408163262"/>
    <m/>
    <m/>
    <m/>
    <m/>
    <m/>
    <m/>
    <m/>
    <m/>
    <m/>
    <m/>
    <m/>
    <m/>
    <m/>
    <n v="0.11700680272108842"/>
    <m/>
    <n v="5.8503401360544209E-2"/>
    <n v="1.0122448979591838"/>
    <n v="0.64217687074829921"/>
    <s v=""/>
    <m/>
    <n v="0.11700680272108842"/>
    <m/>
    <n v="0.11700680272108842"/>
    <n v="1.9455782312925169"/>
  </r>
  <r>
    <x v="7"/>
    <x v="225"/>
    <m/>
    <m/>
    <m/>
    <m/>
    <n v="2010"/>
    <s v="Benedetto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6326530612244898"/>
    <n v="0.96734693877551026"/>
    <m/>
    <m/>
    <m/>
    <m/>
    <m/>
    <m/>
    <m/>
    <m/>
    <m/>
    <m/>
    <m/>
    <m/>
    <m/>
    <n v="0.96326530612244898"/>
    <m/>
    <n v="4.081632653061224E-3"/>
    <n v="1.2666666666666668"/>
    <s v=""/>
    <s v=""/>
    <m/>
    <s v=""/>
    <m/>
    <n v="0.96326530612244898"/>
    <n v="2.2340136054421769"/>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897959183673469"/>
    <n v="0.7482993197278911"/>
    <m/>
    <m/>
    <m/>
    <m/>
    <m/>
    <m/>
    <m/>
    <m/>
    <m/>
    <m/>
    <m/>
    <m/>
    <m/>
    <n v="0.44897959183673469"/>
    <m/>
    <n v="0.29931972789115646"/>
    <n v="0.62585034013605445"/>
    <n v="5.4421768707482998E-2"/>
    <s v=""/>
    <m/>
    <n v="4.0816326530612242E-2"/>
    <m/>
    <n v="0.44897959183673469"/>
    <n v="1.4693877551020409"/>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931972789115646"/>
    <n v="0.35374149659863946"/>
    <m/>
    <m/>
    <m/>
    <m/>
    <m/>
    <m/>
    <m/>
    <m/>
    <m/>
    <m/>
    <m/>
    <m/>
    <m/>
    <n v="0.29931972789115646"/>
    <m/>
    <n v="5.4421768707482998E-2"/>
    <n v="0.73469387755102045"/>
    <n v="0.59863945578231292"/>
    <s v=""/>
    <m/>
    <n v="4.0816326530612242E-2"/>
    <m/>
    <n v="0.29931972789115646"/>
    <n v="1.7278911564625852"/>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6326530612244899"/>
    <n v="0.2857142857142857"/>
    <m/>
    <m/>
    <m/>
    <m/>
    <m/>
    <m/>
    <m/>
    <m/>
    <m/>
    <m/>
    <m/>
    <m/>
    <m/>
    <n v="0.16326530612244899"/>
    <m/>
    <n v="0.12244897959183673"/>
    <n v="0.43537414965986398"/>
    <n v="0.12244897959183673"/>
    <s v=""/>
    <m/>
    <n v="2.7210884353741499E-2"/>
    <m/>
    <n v="0.16326530612244899"/>
    <n v="0.87074829931972797"/>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5850340136054417"/>
    <n v="0.32653061224489788"/>
    <m/>
    <m/>
    <m/>
    <m/>
    <m/>
    <m/>
    <m/>
    <m/>
    <m/>
    <m/>
    <m/>
    <m/>
    <m/>
    <n v="0.25850340136054417"/>
    <m/>
    <n v="6.8027210884353734E-2"/>
    <n v="0.82993197278911568"/>
    <n v="2.7210884353741499E-2"/>
    <s v=""/>
    <m/>
    <n v="4.0816326530612242E-2"/>
    <m/>
    <n v="0.25850340136054417"/>
    <n v="1.2244897959183676"/>
  </r>
  <r>
    <x v="7"/>
    <x v="225"/>
    <m/>
    <m/>
    <m/>
    <m/>
    <n v="2009"/>
    <s v="Carta (2009), in: Vázquez-Rowe et al. (2013)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7755102040816327"/>
    <n v="0.66802721088435379"/>
    <m/>
    <m/>
    <m/>
    <m/>
    <m/>
    <m/>
    <m/>
    <m/>
    <m/>
    <m/>
    <m/>
    <m/>
    <m/>
    <n v="0.47755102040816327"/>
    <m/>
    <n v="0.19047619047619052"/>
    <n v="0.38095238095238104"/>
    <s v=""/>
    <s v=""/>
    <m/>
    <s v=""/>
    <m/>
    <n v="0.47755102040816327"/>
    <n v="1.0489795918367348"/>
  </r>
  <r>
    <x v="7"/>
    <x v="225"/>
    <m/>
    <m/>
    <m/>
    <m/>
    <n v="2009"/>
    <s v="Carta (2009), in: 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979591836734697"/>
    <n v="0.69115646258503394"/>
    <m/>
    <m/>
    <m/>
    <m/>
    <m/>
    <m/>
    <m/>
    <m/>
    <m/>
    <m/>
    <m/>
    <m/>
    <m/>
    <n v="0.28979591836734697"/>
    <m/>
    <n v="0.40136054421768702"/>
    <n v="0.45442176870748302"/>
    <s v=""/>
    <s v=""/>
    <m/>
    <s v=""/>
    <m/>
    <n v="0.28979591836734697"/>
    <n v="1.1455782312925169"/>
  </r>
  <r>
    <x v="7"/>
    <x v="225"/>
    <m/>
    <m/>
    <m/>
    <m/>
    <n v="2008"/>
    <s v="CIV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n v="0.57551020408163267"/>
    <m/>
    <m/>
    <m/>
    <m/>
    <m/>
    <m/>
    <m/>
    <m/>
    <m/>
    <m/>
    <m/>
    <m/>
    <m/>
    <n v="0.417687074829932"/>
    <m/>
    <n v="0.15782312925170067"/>
    <n v="0.8013605442176871"/>
    <n v="0.91292517006802731"/>
    <s v=""/>
    <m/>
    <s v=""/>
    <m/>
    <n v="0.417687074829932"/>
    <n v="2.2884353741496599"/>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2.8843537414965992"/>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0340136054421771"/>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10340136054421768"/>
    <s v=""/>
    <m/>
    <s v=""/>
    <m/>
    <n v="0.68435374149659867"/>
    <n v="1.3741496598639455"/>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21904761904761905"/>
    <s v=""/>
    <m/>
    <s v=""/>
    <m/>
    <n v="0.68435374149659867"/>
    <n v="1.489795918367347"/>
  </r>
  <r>
    <x v="7"/>
    <x v="225"/>
    <m/>
    <m/>
    <m/>
    <m/>
    <n v="2006"/>
    <s v="Gonzalez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9782312925170067"/>
    <n v="4.5605442176870747"/>
    <m/>
    <m/>
    <m/>
    <m/>
    <m/>
    <m/>
    <m/>
    <m/>
    <m/>
    <m/>
    <m/>
    <m/>
    <m/>
    <n v="1.9782312925170067"/>
    <m/>
    <n v="2.5823129251700681"/>
    <n v="0.77551020408163263"/>
    <n v="0.80544217687074826"/>
    <s v=""/>
    <m/>
    <s v=""/>
    <m/>
    <n v="1.9782312925170067"/>
    <n v="6.1414965986394563"/>
  </r>
  <r>
    <x v="7"/>
    <x v="225"/>
    <m/>
    <m/>
    <m/>
    <m/>
    <n v="2011"/>
    <s v="Greenhaigh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421768707482991"/>
    <n v="0.66394557823129252"/>
    <m/>
    <m/>
    <m/>
    <m/>
    <m/>
    <m/>
    <m/>
    <m/>
    <m/>
    <m/>
    <m/>
    <m/>
    <m/>
    <n v="0.34421768707482991"/>
    <m/>
    <n v="0.31972789115646261"/>
    <n v="0.62312925170068034"/>
    <n v="0.36734693877551022"/>
    <n v="3.6734693877551024E-2"/>
    <m/>
    <s v=""/>
    <m/>
    <n v="0.34421768707482991"/>
    <n v="1.6911564625850344"/>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163265306122448"/>
    <s v=""/>
    <m/>
    <m/>
    <m/>
    <m/>
    <m/>
    <m/>
    <m/>
    <m/>
    <m/>
    <m/>
    <m/>
    <m/>
    <m/>
    <n v="0.28163265306122448"/>
    <m/>
    <s v=""/>
    <s v=""/>
    <s v=""/>
    <s v=""/>
    <m/>
    <s v=""/>
    <m/>
    <n v="0.28163265306122448"/>
    <s v=""/>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
    <s v=""/>
    <m/>
    <m/>
    <m/>
    <m/>
    <m/>
    <m/>
    <m/>
    <m/>
    <m/>
    <m/>
    <m/>
    <m/>
    <m/>
    <n v="0.2"/>
    <m/>
    <s v=""/>
    <s v=""/>
    <s v=""/>
    <s v=""/>
    <m/>
    <s v=""/>
    <m/>
    <n v="0.2"/>
    <s v=""/>
  </r>
  <r>
    <x v="7"/>
    <x v="225"/>
    <m/>
    <m/>
    <m/>
    <m/>
    <n v="2013"/>
    <s v="Neto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2.7210884353741496"/>
    <n v="3.3197278911564627"/>
    <m/>
    <m/>
    <m/>
    <m/>
    <m/>
    <m/>
    <m/>
    <m/>
    <m/>
    <m/>
    <m/>
    <m/>
    <m/>
    <n v="2.7210884353741496"/>
    <m/>
    <n v="0.59863945578231292"/>
    <n v="0.32653061224489793"/>
    <n v="0.31564625850340133"/>
    <s v=""/>
    <m/>
    <s v=""/>
    <m/>
    <n v="2.7210884353741496"/>
    <n v="3.961904761904762"/>
  </r>
  <r>
    <x v="7"/>
    <x v="225"/>
    <m/>
    <m/>
    <m/>
    <m/>
    <n v="2012"/>
    <s v="Pattara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6.1224489795918366E-2"/>
    <n v="8.8435374149659865E-2"/>
    <m/>
    <m/>
    <m/>
    <m/>
    <m/>
    <m/>
    <m/>
    <m/>
    <m/>
    <m/>
    <m/>
    <m/>
    <m/>
    <n v="6.1224489795918366E-2"/>
    <m/>
    <n v="2.7210884353741499E-2"/>
    <n v="1.5482993197278909"/>
    <n v="0.11700680272108842"/>
    <s v=""/>
    <m/>
    <s v=""/>
    <m/>
    <n v="6.1224489795918366E-2"/>
    <n v="1.7537414965986393"/>
  </r>
  <r>
    <x v="7"/>
    <x v="225"/>
    <m/>
    <m/>
    <m/>
    <m/>
    <n v="2006"/>
    <s v="Petti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8.0272108843537401E-2"/>
    <s v=""/>
    <m/>
    <m/>
    <m/>
    <m/>
    <m/>
    <m/>
    <m/>
    <m/>
    <m/>
    <m/>
    <m/>
    <m/>
    <m/>
    <n v="8.0272108843537401E-2"/>
    <m/>
    <s v=""/>
    <n v="1.0721088435374151"/>
    <n v="0.4285714285714286"/>
    <s v=""/>
    <m/>
    <s v=""/>
    <m/>
    <n v="8.0272108843537401E-2"/>
    <n v="1.5809523809523811"/>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13605442176870747"/>
    <m/>
    <m/>
    <m/>
    <m/>
    <m/>
    <m/>
    <m/>
    <m/>
    <m/>
    <m/>
    <m/>
    <m/>
    <m/>
    <n v="9.6598639455782315E-2"/>
    <m/>
    <n v="3.9455782312925167E-2"/>
    <n v="0.33877551020408164"/>
    <s v=""/>
    <s v=""/>
    <m/>
    <n v="1.6326530612244896E-2"/>
    <m/>
    <n v="9.6598639455782315E-2"/>
    <n v="0.48979591836734693"/>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1"/>
    <n v="0.45986394557823118"/>
    <m/>
    <m/>
    <m/>
    <m/>
    <m/>
    <m/>
    <m/>
    <m/>
    <m/>
    <m/>
    <m/>
    <m/>
    <m/>
    <n v="0.42176870748299311"/>
    <m/>
    <n v="3.8095238095238099E-2"/>
    <n v="0.50340136054421769"/>
    <s v=""/>
    <s v=""/>
    <m/>
    <n v="2.4489795918367346E-2"/>
    <m/>
    <n v="0.42176870748299311"/>
    <n v="0.9877551020408164"/>
  </r>
  <r>
    <x v="7"/>
    <x v="225"/>
    <m/>
    <m/>
    <m/>
    <m/>
    <n v="2012"/>
    <s v="Point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1170068027210884"/>
    <n v="1.5755102040816327"/>
    <m/>
    <m/>
    <m/>
    <m/>
    <m/>
    <m/>
    <m/>
    <m/>
    <m/>
    <m/>
    <m/>
    <m/>
    <m/>
    <n v="1.1170068027210884"/>
    <m/>
    <n v="0.45850340136054429"/>
    <n v="0.59047619047619049"/>
    <n v="0.53605442176870755"/>
    <n v="1.6367346938775513"/>
    <m/>
    <n v="5.1700680272108841E-2"/>
    <m/>
    <n v="1.1170068027210884"/>
    <n v="4.389115646258503"/>
  </r>
  <r>
    <x v="7"/>
    <x v="225"/>
    <m/>
    <m/>
    <m/>
    <m/>
    <n v="2009"/>
    <s v="Rugani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585034013605434"/>
    <n v="0.68979591836734688"/>
    <m/>
    <m/>
    <m/>
    <m/>
    <m/>
    <m/>
    <m/>
    <m/>
    <m/>
    <m/>
    <m/>
    <m/>
    <m/>
    <n v="0.62585034013605434"/>
    <m/>
    <n v="6.3945578231292516E-2"/>
    <n v="0.36870748299319733"/>
    <s v=""/>
    <s v=""/>
    <m/>
    <s v=""/>
    <m/>
    <n v="0.62585034013605434"/>
    <n v="1.0598639455782313"/>
  </r>
  <r>
    <x v="7"/>
    <x v="225"/>
    <m/>
    <m/>
    <m/>
    <m/>
    <n v="2004"/>
    <s v="SAWIA (2004)"/>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904761904761905"/>
    <n v="0.472108843537415"/>
    <m/>
    <m/>
    <m/>
    <m/>
    <m/>
    <m/>
    <m/>
    <m/>
    <m/>
    <m/>
    <m/>
    <m/>
    <m/>
    <n v="0.21904761904761905"/>
    <m/>
    <n v="0.25306122448979596"/>
    <n v="7.6190476190476197E-2"/>
    <s v=""/>
    <s v=""/>
    <m/>
    <s v=""/>
    <m/>
    <n v="0.21904761904761905"/>
    <n v="0.5496598639455782"/>
  </r>
  <r>
    <x v="7"/>
    <x v="225"/>
    <m/>
    <m/>
    <m/>
    <m/>
    <n v="2010"/>
    <s v="Soj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789115646258506"/>
    <n v="1.1265306122448979"/>
    <m/>
    <m/>
    <m/>
    <m/>
    <m/>
    <m/>
    <m/>
    <m/>
    <m/>
    <m/>
    <m/>
    <m/>
    <m/>
    <n v="0.72789115646258506"/>
    <m/>
    <n v="0.39863945578231291"/>
    <n v="0.91564625850340153"/>
    <n v="0.28163265306122448"/>
    <s v=""/>
    <m/>
    <n v="2.3129251700680271E-2"/>
    <m/>
    <n v="0.72789115646258506"/>
    <n v="2.3469387755102042"/>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1768707482993201"/>
    <s v=""/>
    <m/>
    <m/>
    <m/>
    <m/>
    <m/>
    <m/>
    <m/>
    <m/>
    <m/>
    <m/>
    <m/>
    <m/>
    <m/>
    <n v="0.61768707482993201"/>
    <m/>
    <s v=""/>
    <s v=""/>
    <s v=""/>
    <s v=""/>
    <m/>
    <s v=""/>
    <m/>
    <n v="0.6176870748299320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666666666666667"/>
    <s v=""/>
    <m/>
    <m/>
    <m/>
    <m/>
    <m/>
    <m/>
    <m/>
    <m/>
    <m/>
    <m/>
    <m/>
    <m/>
    <m/>
    <n v="1.0666666666666667"/>
    <m/>
    <s v=""/>
    <s v=""/>
    <s v=""/>
    <s v=""/>
    <m/>
    <s v=""/>
    <m/>
    <n v="1.066666666666666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993197278911564"/>
    <s v=""/>
    <m/>
    <m/>
    <m/>
    <m/>
    <m/>
    <m/>
    <m/>
    <m/>
    <m/>
    <m/>
    <m/>
    <m/>
    <m/>
    <n v="1.0993197278911564"/>
    <m/>
    <s v=""/>
    <s v=""/>
    <s v=""/>
    <s v=""/>
    <m/>
    <s v=""/>
    <m/>
    <n v="1.099319727891156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3265306122448982"/>
    <s v=""/>
    <m/>
    <m/>
    <m/>
    <m/>
    <m/>
    <m/>
    <m/>
    <m/>
    <m/>
    <m/>
    <m/>
    <m/>
    <m/>
    <n v="0.43265306122448982"/>
    <m/>
    <s v=""/>
    <s v=""/>
    <s v=""/>
    <s v=""/>
    <m/>
    <s v=""/>
    <m/>
    <n v="0.4326530612244898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108843537414979"/>
    <s v=""/>
    <m/>
    <m/>
    <m/>
    <m/>
    <m/>
    <m/>
    <m/>
    <m/>
    <m/>
    <m/>
    <m/>
    <m/>
    <m/>
    <n v="0.72108843537414979"/>
    <m/>
    <s v=""/>
    <s v=""/>
    <s v=""/>
    <s v=""/>
    <m/>
    <s v=""/>
    <m/>
    <n v="0.7210884353741497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870748299319724"/>
    <s v=""/>
    <m/>
    <m/>
    <m/>
    <m/>
    <m/>
    <m/>
    <m/>
    <m/>
    <m/>
    <m/>
    <m/>
    <m/>
    <m/>
    <n v="0.76870748299319724"/>
    <m/>
    <s v=""/>
    <s v=""/>
    <s v=""/>
    <s v=""/>
    <m/>
    <s v=""/>
    <m/>
    <n v="0.7687074829931972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598639455782314"/>
    <s v=""/>
    <m/>
    <m/>
    <m/>
    <m/>
    <m/>
    <m/>
    <m/>
    <m/>
    <m/>
    <m/>
    <m/>
    <m/>
    <m/>
    <n v="0.76598639455782314"/>
    <m/>
    <s v=""/>
    <s v=""/>
    <s v=""/>
    <s v=""/>
    <m/>
    <s v=""/>
    <m/>
    <n v="0.7659863945578231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9251700680272121"/>
    <s v=""/>
    <m/>
    <m/>
    <m/>
    <m/>
    <m/>
    <m/>
    <m/>
    <m/>
    <m/>
    <m/>
    <m/>
    <m/>
    <m/>
    <n v="0.69251700680272121"/>
    <m/>
    <s v=""/>
    <s v=""/>
    <s v=""/>
    <s v=""/>
    <m/>
    <s v=""/>
    <m/>
    <n v="0.6925170068027212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040816326530612"/>
    <s v=""/>
    <m/>
    <m/>
    <m/>
    <m/>
    <m/>
    <m/>
    <m/>
    <m/>
    <m/>
    <m/>
    <m/>
    <m/>
    <m/>
    <n v="0.62040816326530612"/>
    <m/>
    <s v=""/>
    <s v=""/>
    <s v=""/>
    <s v=""/>
    <m/>
    <s v=""/>
    <m/>
    <n v="0.6204081632653061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7"/>
    <s v=""/>
    <m/>
    <m/>
    <m/>
    <m/>
    <m/>
    <m/>
    <m/>
    <m/>
    <m/>
    <m/>
    <m/>
    <m/>
    <m/>
    <n v="0.42176870748299317"/>
    <m/>
    <s v=""/>
    <s v=""/>
    <s v=""/>
    <s v=""/>
    <m/>
    <s v=""/>
    <m/>
    <n v="0.4217687074829931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5578231292517013"/>
    <s v=""/>
    <m/>
    <m/>
    <m/>
    <m/>
    <m/>
    <m/>
    <m/>
    <m/>
    <m/>
    <m/>
    <m/>
    <m/>
    <m/>
    <n v="0.45578231292517013"/>
    <m/>
    <s v=""/>
    <s v=""/>
    <s v=""/>
    <s v=""/>
    <m/>
    <s v=""/>
    <m/>
    <n v="0.4557823129251701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3265306122448983"/>
    <s v=""/>
    <m/>
    <m/>
    <m/>
    <m/>
    <m/>
    <m/>
    <m/>
    <m/>
    <m/>
    <m/>
    <m/>
    <m/>
    <m/>
    <n v="0.63265306122448983"/>
    <m/>
    <s v=""/>
    <s v=""/>
    <s v=""/>
    <s v=""/>
    <m/>
    <s v=""/>
    <m/>
    <n v="0.6326530612244898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040816326530611"/>
    <s v=""/>
    <m/>
    <m/>
    <m/>
    <m/>
    <m/>
    <m/>
    <m/>
    <m/>
    <m/>
    <m/>
    <m/>
    <m/>
    <m/>
    <n v="0.42040816326530611"/>
    <m/>
    <s v=""/>
    <s v=""/>
    <s v=""/>
    <s v=""/>
    <m/>
    <s v=""/>
    <m/>
    <n v="0.4204081632653061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6462585034013606"/>
    <s v=""/>
    <m/>
    <m/>
    <m/>
    <m/>
    <m/>
    <m/>
    <m/>
    <m/>
    <m/>
    <m/>
    <m/>
    <m/>
    <m/>
    <n v="0.36462585034013606"/>
    <m/>
    <s v=""/>
    <s v=""/>
    <s v=""/>
    <s v=""/>
    <m/>
    <s v=""/>
    <m/>
    <n v="0.3646258503401360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843537414965986"/>
    <s v=""/>
    <m/>
    <m/>
    <m/>
    <m/>
    <m/>
    <m/>
    <m/>
    <m/>
    <m/>
    <m/>
    <m/>
    <m/>
    <m/>
    <n v="0.28843537414965986"/>
    <m/>
    <s v=""/>
    <s v=""/>
    <s v=""/>
    <s v=""/>
    <m/>
    <s v=""/>
    <m/>
    <n v="0.2884353741496598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380952380952381"/>
    <s v=""/>
    <m/>
    <m/>
    <m/>
    <m/>
    <m/>
    <m/>
    <m/>
    <m/>
    <m/>
    <m/>
    <m/>
    <m/>
    <m/>
    <n v="1.2380952380952381"/>
    <m/>
    <s v=""/>
    <s v=""/>
    <s v=""/>
    <s v=""/>
    <m/>
    <s v=""/>
    <m/>
    <n v="1.238095238095238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3877551020408172"/>
    <s v=""/>
    <m/>
    <m/>
    <m/>
    <m/>
    <m/>
    <m/>
    <m/>
    <m/>
    <m/>
    <m/>
    <m/>
    <m/>
    <m/>
    <n v="0.73877551020408172"/>
    <m/>
    <s v=""/>
    <s v=""/>
    <s v=""/>
    <s v=""/>
    <m/>
    <s v=""/>
    <m/>
    <n v="0.7387755102040817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857142857142859"/>
    <s v=""/>
    <m/>
    <m/>
    <m/>
    <m/>
    <m/>
    <m/>
    <m/>
    <m/>
    <m/>
    <m/>
    <m/>
    <m/>
    <m/>
    <n v="1.0857142857142859"/>
    <m/>
    <s v=""/>
    <s v=""/>
    <s v=""/>
    <s v=""/>
    <m/>
    <s v=""/>
    <m/>
    <n v="1.085714285714285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2925170068027207"/>
    <s v=""/>
    <m/>
    <m/>
    <m/>
    <m/>
    <m/>
    <m/>
    <m/>
    <m/>
    <m/>
    <m/>
    <m/>
    <m/>
    <m/>
    <n v="0.92925170068027207"/>
    <m/>
    <s v=""/>
    <s v=""/>
    <s v=""/>
    <s v=""/>
    <m/>
    <s v=""/>
    <m/>
    <n v="0.9292517006802720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5918367346938773"/>
    <s v=""/>
    <m/>
    <m/>
    <m/>
    <m/>
    <m/>
    <m/>
    <m/>
    <m/>
    <m/>
    <m/>
    <m/>
    <m/>
    <m/>
    <n v="0.35918367346938773"/>
    <m/>
    <s v=""/>
    <s v=""/>
    <s v=""/>
    <s v=""/>
    <m/>
    <s v=""/>
    <m/>
    <n v="0.3591836734693877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0884353741496602"/>
    <s v=""/>
    <m/>
    <m/>
    <m/>
    <m/>
    <m/>
    <m/>
    <m/>
    <m/>
    <m/>
    <m/>
    <m/>
    <m/>
    <m/>
    <n v="0.50884353741496602"/>
    <m/>
    <s v=""/>
    <s v=""/>
    <s v=""/>
    <s v=""/>
    <m/>
    <s v=""/>
    <m/>
    <n v="0.5088435374149660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4761904761904761"/>
    <s v=""/>
    <m/>
    <m/>
    <m/>
    <m/>
    <m/>
    <m/>
    <m/>
    <m/>
    <m/>
    <m/>
    <m/>
    <m/>
    <m/>
    <n v="0.84761904761904761"/>
    <m/>
    <s v=""/>
    <s v=""/>
    <s v=""/>
    <s v=""/>
    <m/>
    <s v=""/>
    <m/>
    <n v="0.8476190476190476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632653061224491"/>
    <s v=""/>
    <m/>
    <m/>
    <m/>
    <m/>
    <m/>
    <m/>
    <m/>
    <m/>
    <m/>
    <m/>
    <m/>
    <m/>
    <m/>
    <n v="0.21632653061224491"/>
    <m/>
    <s v=""/>
    <s v=""/>
    <s v=""/>
    <s v=""/>
    <m/>
    <s v=""/>
    <m/>
    <n v="0.2163265306122449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666666666666667"/>
    <s v=""/>
    <m/>
    <m/>
    <m/>
    <m/>
    <m/>
    <m/>
    <m/>
    <m/>
    <m/>
    <m/>
    <m/>
    <m/>
    <m/>
    <n v="0.8666666666666667"/>
    <m/>
    <s v=""/>
    <s v=""/>
    <s v=""/>
    <s v=""/>
    <m/>
    <s v=""/>
    <m/>
    <n v="0.866666666666666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8163265306122462"/>
    <s v=""/>
    <m/>
    <m/>
    <m/>
    <m/>
    <m/>
    <m/>
    <m/>
    <m/>
    <m/>
    <m/>
    <m/>
    <m/>
    <m/>
    <n v="0.88163265306122462"/>
    <m/>
    <s v=""/>
    <s v=""/>
    <s v=""/>
    <s v=""/>
    <m/>
    <s v=""/>
    <m/>
    <n v="0.8816326530612246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435374149659866"/>
    <s v=""/>
    <m/>
    <m/>
    <m/>
    <m/>
    <m/>
    <m/>
    <m/>
    <m/>
    <m/>
    <m/>
    <m/>
    <m/>
    <m/>
    <n v="1.2435374149659866"/>
    <m/>
    <s v=""/>
    <s v=""/>
    <s v=""/>
    <s v=""/>
    <m/>
    <s v=""/>
    <m/>
    <n v="1.243537414965986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1292517006802725"/>
    <s v=""/>
    <m/>
    <m/>
    <m/>
    <m/>
    <m/>
    <m/>
    <m/>
    <m/>
    <m/>
    <m/>
    <m/>
    <m/>
    <m/>
    <n v="0.71292517006802725"/>
    <m/>
    <s v=""/>
    <s v=""/>
    <s v=""/>
    <s v=""/>
    <m/>
    <s v=""/>
    <m/>
    <n v="0.71292517006802725"/>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1972789115646261"/>
    <s v=""/>
    <m/>
    <m/>
    <m/>
    <m/>
    <m/>
    <m/>
    <m/>
    <m/>
    <m/>
    <m/>
    <m/>
    <m/>
    <m/>
    <n v="0.31972789115646261"/>
    <m/>
    <s v=""/>
    <s v=""/>
    <s v=""/>
    <s v=""/>
    <m/>
    <s v=""/>
    <m/>
    <n v="0.3197278911564626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829931972789119"/>
    <s v=""/>
    <m/>
    <m/>
    <m/>
    <m/>
    <m/>
    <m/>
    <m/>
    <m/>
    <m/>
    <m/>
    <m/>
    <m/>
    <m/>
    <n v="0.34829931972789119"/>
    <m/>
    <s v=""/>
    <s v=""/>
    <s v=""/>
    <s v=""/>
    <m/>
    <s v=""/>
    <m/>
    <n v="0.3482993197278911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6258503401360546"/>
    <s v=""/>
    <m/>
    <m/>
    <m/>
    <m/>
    <m/>
    <m/>
    <m/>
    <m/>
    <m/>
    <m/>
    <m/>
    <m/>
    <m/>
    <n v="0.46258503401360546"/>
    <m/>
    <s v=""/>
    <s v=""/>
    <s v=""/>
    <s v=""/>
    <m/>
    <s v=""/>
    <m/>
    <n v="0.4625850340136054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884353741496609"/>
    <s v=""/>
    <m/>
    <m/>
    <m/>
    <m/>
    <m/>
    <m/>
    <m/>
    <m/>
    <m/>
    <m/>
    <m/>
    <m/>
    <m/>
    <n v="0.70884353741496609"/>
    <m/>
    <s v=""/>
    <s v=""/>
    <s v=""/>
    <s v=""/>
    <m/>
    <s v=""/>
    <m/>
    <n v="0.7088435374149660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836734693877551"/>
    <s v=""/>
    <m/>
    <m/>
    <m/>
    <m/>
    <m/>
    <m/>
    <m/>
    <m/>
    <m/>
    <m/>
    <m/>
    <m/>
    <m/>
    <n v="0.3836734693877551"/>
    <m/>
    <s v=""/>
    <s v=""/>
    <s v=""/>
    <s v=""/>
    <m/>
    <s v=""/>
    <m/>
    <n v="0.383673469387755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8163265306122449"/>
    <s v=""/>
    <m/>
    <m/>
    <m/>
    <m/>
    <m/>
    <m/>
    <m/>
    <m/>
    <m/>
    <m/>
    <m/>
    <m/>
    <m/>
    <n v="0.48163265306122449"/>
    <m/>
    <s v=""/>
    <s v=""/>
    <s v=""/>
    <s v=""/>
    <m/>
    <s v=""/>
    <m/>
    <n v="0.4816326530612244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761904761904764"/>
    <s v=""/>
    <m/>
    <m/>
    <m/>
    <m/>
    <m/>
    <m/>
    <m/>
    <m/>
    <m/>
    <m/>
    <m/>
    <m/>
    <m/>
    <n v="0.44761904761904764"/>
    <m/>
    <s v=""/>
    <s v=""/>
    <s v=""/>
    <s v=""/>
    <m/>
    <s v=""/>
    <m/>
    <n v="0.4476190476190476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6122448979591834"/>
    <s v=""/>
    <m/>
    <m/>
    <m/>
    <m/>
    <m/>
    <m/>
    <m/>
    <m/>
    <m/>
    <m/>
    <m/>
    <m/>
    <m/>
    <n v="0.26122448979591834"/>
    <m/>
    <s v=""/>
    <s v=""/>
    <s v=""/>
    <s v=""/>
    <m/>
    <s v=""/>
    <m/>
    <n v="0.2612244897959183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s v=""/>
    <m/>
    <m/>
    <m/>
    <m/>
    <m/>
    <m/>
    <m/>
    <m/>
    <m/>
    <m/>
    <m/>
    <m/>
    <m/>
    <n v="0.417687074829932"/>
    <m/>
    <s v=""/>
    <s v=""/>
    <s v=""/>
    <s v=""/>
    <m/>
    <s v=""/>
    <m/>
    <n v="0.41768707482993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3469387755102049"/>
    <s v=""/>
    <m/>
    <m/>
    <m/>
    <m/>
    <m/>
    <m/>
    <m/>
    <m/>
    <m/>
    <m/>
    <m/>
    <m/>
    <m/>
    <n v="0.53469387755102049"/>
    <m/>
    <s v=""/>
    <s v=""/>
    <s v=""/>
    <s v=""/>
    <m/>
    <s v=""/>
    <m/>
    <n v="0.5346938775510204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0272108843537413"/>
    <s v=""/>
    <m/>
    <m/>
    <m/>
    <m/>
    <m/>
    <m/>
    <m/>
    <m/>
    <m/>
    <m/>
    <m/>
    <m/>
    <m/>
    <n v="0.40272108843537413"/>
    <m/>
    <s v=""/>
    <s v=""/>
    <s v=""/>
    <s v=""/>
    <m/>
    <s v=""/>
    <m/>
    <n v="0.40272108843537413"/>
    <s v=""/>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44217687074829937"/>
    <m/>
    <m/>
    <m/>
    <m/>
    <m/>
    <m/>
    <m/>
    <m/>
    <m/>
    <m/>
    <m/>
    <m/>
    <m/>
    <s v=""/>
    <m/>
    <n v="0.44217687074829937"/>
    <n v="0.23401360544217684"/>
    <s v=""/>
    <s v=""/>
    <m/>
    <s v=""/>
    <m/>
    <s v=""/>
    <n v="0.67619047619047612"/>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1.5782312925170066"/>
    <m/>
    <m/>
    <m/>
    <m/>
    <m/>
    <m/>
    <m/>
    <m/>
    <m/>
    <m/>
    <m/>
    <m/>
    <m/>
    <s v=""/>
    <m/>
    <n v="1.5782312925170066"/>
    <n v="0.23401360544217684"/>
    <s v=""/>
    <s v=""/>
    <m/>
    <s v=""/>
    <m/>
    <s v=""/>
    <n v="1.8122448979591836"/>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16462585034013605"/>
    <m/>
    <m/>
    <m/>
    <m/>
    <m/>
    <m/>
    <m/>
    <m/>
    <m/>
    <m/>
    <m/>
    <m/>
    <m/>
    <s v=""/>
    <m/>
    <n v="0.16462585034013605"/>
    <n v="0.23401360544217684"/>
    <s v=""/>
    <s v=""/>
    <m/>
    <s v=""/>
    <m/>
    <s v=""/>
    <n v="0.39863945578231291"/>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9863945578231291"/>
    <s v=""/>
    <m/>
    <m/>
    <m/>
    <m/>
    <m/>
    <m/>
    <m/>
    <m/>
    <m/>
    <m/>
    <m/>
    <m/>
    <m/>
    <n v="0.39863945578231291"/>
    <m/>
    <s v=""/>
    <s v=""/>
    <s v=""/>
    <s v=""/>
    <m/>
    <s v=""/>
    <m/>
    <n v="0.39863945578231291"/>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7.4829931972789115E-2"/>
    <s v=""/>
    <m/>
    <m/>
    <m/>
    <m/>
    <m/>
    <m/>
    <m/>
    <m/>
    <m/>
    <m/>
    <m/>
    <m/>
    <m/>
    <n v="7.4829931972789115E-2"/>
    <m/>
    <s v=""/>
    <s v=""/>
    <s v=""/>
    <s v=""/>
    <m/>
    <s v=""/>
    <m/>
    <n v="7.4829931972789115E-2"/>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489795918367347"/>
    <s v=""/>
    <m/>
    <m/>
    <m/>
    <m/>
    <m/>
    <m/>
    <m/>
    <m/>
    <m/>
    <m/>
    <m/>
    <m/>
    <m/>
    <n v="0.44489795918367347"/>
    <m/>
    <s v=""/>
    <s v=""/>
    <s v=""/>
    <s v=""/>
    <m/>
    <s v=""/>
    <m/>
    <n v="0.44489795918367347"/>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65986394557823"/>
    <s v=""/>
    <m/>
    <m/>
    <m/>
    <m/>
    <m/>
    <m/>
    <m/>
    <m/>
    <m/>
    <m/>
    <m/>
    <m/>
    <m/>
    <n v="0.2965986394557823"/>
    <m/>
    <s v=""/>
    <s v=""/>
    <s v=""/>
    <s v=""/>
    <m/>
    <s v=""/>
    <m/>
    <n v="0.2965986394557823"/>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251700680272108"/>
    <s v=""/>
    <m/>
    <m/>
    <m/>
    <m/>
    <m/>
    <m/>
    <m/>
    <m/>
    <m/>
    <m/>
    <m/>
    <m/>
    <m/>
    <n v="0.29251700680272108"/>
    <m/>
    <s v=""/>
    <s v=""/>
    <s v=""/>
    <s v=""/>
    <m/>
    <s v=""/>
    <m/>
    <n v="0.29251700680272108"/>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01360544217687"/>
    <s v=""/>
    <m/>
    <m/>
    <m/>
    <m/>
    <m/>
    <m/>
    <m/>
    <m/>
    <m/>
    <m/>
    <m/>
    <m/>
    <m/>
    <n v="0.3401360544217687"/>
    <m/>
    <s v=""/>
    <s v=""/>
    <s v=""/>
    <s v=""/>
    <m/>
    <s v=""/>
    <m/>
    <n v="0.3401360544217687"/>
    <s v=""/>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36598639455782317"/>
    <n v="0.47210884353741495"/>
    <m/>
    <s v=""/>
    <m/>
    <n v="0.20816326530612245"/>
    <n v="1.2884353741496599"/>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58911564625850343"/>
    <n v="0.47210884353741495"/>
    <m/>
    <s v=""/>
    <m/>
    <n v="0.20816326530612245"/>
    <n v="2.07619047619047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46530612244897962"/>
    <n v="0.55102040816326525"/>
    <n v="0.47210884353741495"/>
    <m/>
    <s v=""/>
    <m/>
    <n v="0.20816326530612245"/>
    <n v="1.9387755102040818"/>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36734693877551022"/>
    <n v="0.46666666666666673"/>
    <n v="0.47210884353741495"/>
    <m/>
    <s v=""/>
    <m/>
    <n v="0.20816326530612245"/>
    <n v="1.756462585034013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12108843537414966"/>
    <n v="0.47210884353741495"/>
    <m/>
    <s v=""/>
    <m/>
    <n v="0.20816326530612245"/>
    <n v="1.04353741496598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9.9319727891156465E-2"/>
    <n v="0.47210884353741495"/>
    <m/>
    <s v=""/>
    <m/>
    <n v="0.20816326530612245"/>
    <n v="1.0217687074829931"/>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8.8435374149659865E-2"/>
    <n v="0.47210884353741495"/>
    <m/>
    <s v=""/>
    <m/>
    <n v="0.20816326530612245"/>
    <n v="1.01088435374149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6326530612244897"/>
    <n v="0.47210884353741495"/>
    <m/>
    <s v=""/>
    <m/>
    <n v="0.20816326530612245"/>
    <n v="1.6503401360544221"/>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3605442176870747"/>
    <n v="0.47210884353741495"/>
    <m/>
    <s v=""/>
    <m/>
    <n v="0.20816326530612245"/>
    <n v="1.6231292517006803"/>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183673469387755"/>
    <n v="0.47210884353741495"/>
    <m/>
    <s v=""/>
    <m/>
    <n v="0.20816326530612245"/>
    <n v="1.6054421768707481"/>
  </r>
  <r>
    <x v="7"/>
    <x v="225"/>
    <m/>
    <m/>
    <m/>
    <m/>
    <n v="2003"/>
    <s v="Zabalza et al. (200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7959183673469394"/>
    <n v="1.0068027210884354"/>
    <m/>
    <m/>
    <m/>
    <m/>
    <m/>
    <m/>
    <m/>
    <m/>
    <m/>
    <m/>
    <m/>
    <m/>
    <m/>
    <n v="0.57959183673469394"/>
    <m/>
    <n v="0.42721088435374149"/>
    <n v="0.38231292517006804"/>
    <n v="0.13741496598639455"/>
    <s v=""/>
    <m/>
    <s v=""/>
    <m/>
    <n v="0.57959183673469394"/>
    <n v="1.5265306122448981"/>
  </r>
  <r>
    <x v="7"/>
    <x v="225"/>
    <m/>
    <m/>
    <m/>
    <m/>
    <n v="2013"/>
    <s v="Benedetto, G.,"/>
    <m/>
    <s v="Peer Reviewed Journal"/>
    <s v="Benedetto, G., The environmental impact of a Sardinian wine by partial life cycle assessment. Wine Economics and Policy 2013, 2 (1), 33-41."/>
    <m/>
    <m/>
    <m/>
    <m/>
    <m/>
    <m/>
    <m/>
    <m/>
    <m/>
    <m/>
    <m/>
    <m/>
    <m/>
    <m/>
    <m/>
    <m/>
    <m/>
    <m/>
    <s v=""/>
    <s v=""/>
    <n v="0.96326530612244898"/>
    <n v="0.96715646258503407"/>
    <m/>
    <m/>
    <m/>
    <m/>
    <m/>
    <m/>
    <m/>
    <m/>
    <m/>
    <m/>
    <m/>
    <m/>
    <m/>
    <n v="0.96326530612244898"/>
    <m/>
    <n v="3.8911564625850339E-3"/>
    <n v="1.2666666666666668"/>
    <s v=""/>
    <s v=""/>
    <m/>
    <s v=""/>
    <m/>
    <n v="0.96326530612244898"/>
    <n v="2.2338231292517006"/>
  </r>
  <r>
    <x v="7"/>
    <x v="225"/>
    <m/>
    <m/>
    <m/>
    <m/>
    <n v="2014"/>
    <s v="Amienyo, D.; Camilleri, C.; Azapagic, A"/>
    <m/>
    <s v="Peer Reviewed Journal"/>
    <s v="Amienyo, D., Camilleri, C. and Azapagic, A., Environmental impacts of consumption of Australian red wine in the UK. Journal of Cleaner Production 2014, 72, 110-119."/>
    <m/>
    <m/>
    <m/>
    <m/>
    <m/>
    <m/>
    <m/>
    <m/>
    <m/>
    <m/>
    <m/>
    <m/>
    <m/>
    <m/>
    <m/>
    <m/>
    <m/>
    <m/>
    <s v=""/>
    <s v=""/>
    <n v="0.68027210884353739"/>
    <n v="0.7482993197278911"/>
    <m/>
    <m/>
    <m/>
    <m/>
    <m/>
    <m/>
    <m/>
    <m/>
    <m/>
    <m/>
    <m/>
    <m/>
    <m/>
    <n v="0.68027210884353739"/>
    <m/>
    <n v="6.8027210884353734E-2"/>
    <n v="0.68027210884353739"/>
    <n v="0.27210884353741494"/>
    <s v=""/>
    <m/>
    <s v=""/>
    <m/>
    <n v="0.68027210884353739"/>
    <n v="1.7006802721088436"/>
  </r>
  <r>
    <x v="7"/>
    <x v="225"/>
    <m/>
    <m/>
    <m/>
    <m/>
    <n v="2014"/>
    <s v="usi, A.; Guidetti, R.; Benedetto, G., "/>
    <m/>
    <s v="Peer Reviewed Journal"/>
    <s v="Fusi, A., Guidetti, R. and Benedetto, G., Delving into the environmental aspect of a Sardinian white wine: from partial to total life cycle assessment. Science of the Total Environment 2014, 472, 989-1000."/>
    <m/>
    <m/>
    <m/>
    <m/>
    <m/>
    <m/>
    <m/>
    <m/>
    <m/>
    <m/>
    <m/>
    <m/>
    <m/>
    <m/>
    <m/>
    <m/>
    <m/>
    <m/>
    <s v=""/>
    <s v=""/>
    <n v="0.22993197278911567"/>
    <n v="0.6027210884353742"/>
    <m/>
    <m/>
    <m/>
    <m/>
    <m/>
    <m/>
    <m/>
    <m/>
    <m/>
    <m/>
    <m/>
    <m/>
    <m/>
    <n v="0.22993197278911567"/>
    <m/>
    <n v="0.3727891156462585"/>
    <n v="0.76462585034013608"/>
    <s v=""/>
    <s v=""/>
    <m/>
    <s v=""/>
    <m/>
    <n v="0.22993197278911567"/>
    <n v="1.3673469387755104"/>
  </r>
  <r>
    <x v="7"/>
    <x v="225"/>
    <m/>
    <m/>
    <m/>
    <m/>
    <n v="2016"/>
    <s v="Bonamente, E.; Scrucca, F.; Rinaldi, S.; Merico, M. C.; Asdrubali, F.; Lamastra, L.,"/>
    <m/>
    <s v="Peer Reviewed Journal"/>
    <s v="Bonamente, E., Scrucca, F., Rinaldi, S., Merico, M. C., Asdrubali, F. and Lamastra, L., Environmental impact of an Italian wine bottle: Carbon and water footprint assessment. Science of The Total Environment 2016, 560, 274-283."/>
    <m/>
    <m/>
    <m/>
    <m/>
    <m/>
    <m/>
    <m/>
    <m/>
    <m/>
    <m/>
    <m/>
    <m/>
    <m/>
    <m/>
    <m/>
    <m/>
    <m/>
    <m/>
    <s v=""/>
    <s v=""/>
    <n v="1.398639455782313"/>
    <n v="1.4025182312925171"/>
    <m/>
    <m/>
    <m/>
    <m/>
    <m/>
    <m/>
    <m/>
    <m/>
    <m/>
    <m/>
    <m/>
    <m/>
    <m/>
    <n v="1.398639455782313"/>
    <m/>
    <n v="3.8787755102040818E-3"/>
    <s v=""/>
    <n v="0.64414965986394557"/>
    <s v=""/>
    <m/>
    <n v="-0.59278911564625858"/>
    <m/>
    <n v="1.398639455782313"/>
    <n v="1.4538787755102043"/>
  </r>
  <r>
    <x v="7"/>
    <x v="225"/>
    <m/>
    <m/>
    <m/>
    <m/>
    <n v="2012"/>
    <s v="BIER European format"/>
    <m/>
    <s v="Peer Reviewed Journal"/>
    <s v="Beverage Industry Environmental Roundtable, Research on the Carbon Footprint of Wine. 2012, ."/>
    <m/>
    <m/>
    <m/>
    <m/>
    <m/>
    <m/>
    <m/>
    <m/>
    <m/>
    <m/>
    <m/>
    <m/>
    <m/>
    <m/>
    <m/>
    <m/>
    <m/>
    <m/>
    <s v=""/>
    <s v=""/>
    <n v="0.41115646258503408"/>
    <n v="0.53333333333333344"/>
    <m/>
    <m/>
    <m/>
    <m/>
    <m/>
    <m/>
    <m/>
    <m/>
    <m/>
    <m/>
    <m/>
    <m/>
    <m/>
    <n v="0.41115646258503408"/>
    <m/>
    <n v="0.12217687074829936"/>
    <n v="1.1278911564625851"/>
    <n v="9.3605442176870737E-2"/>
    <s v=""/>
    <m/>
    <s v=""/>
    <m/>
    <n v="0.41115646258503408"/>
    <n v="1.7551020408163265"/>
  </r>
  <r>
    <x v="7"/>
    <x v="225"/>
    <m/>
    <m/>
    <m/>
    <m/>
    <n v="2012"/>
    <s v="BIER N. American format"/>
    <m/>
    <s v="Peer Reviewed Journal"/>
    <s v="Beverage Industry Environmental Roundtable, Research on the Carbon Footprint of Wine. 2012, ."/>
    <m/>
    <m/>
    <m/>
    <m/>
    <m/>
    <m/>
    <m/>
    <m/>
    <m/>
    <m/>
    <m/>
    <m/>
    <m/>
    <m/>
    <m/>
    <m/>
    <m/>
    <m/>
    <s v=""/>
    <s v=""/>
    <n v="0.4118367346938776"/>
    <n v="1.1617687074829932"/>
    <m/>
    <m/>
    <m/>
    <m/>
    <m/>
    <m/>
    <m/>
    <m/>
    <m/>
    <m/>
    <m/>
    <m/>
    <m/>
    <n v="0.4118367346938776"/>
    <m/>
    <n v="0.74993197278911561"/>
    <n v="1.1779591836734695"/>
    <n v="9.5918367346938774E-2"/>
    <s v=""/>
    <m/>
    <s v=""/>
    <m/>
    <n v="0.4118367346938776"/>
    <n v="2.435374149659864"/>
  </r>
  <r>
    <x v="7"/>
    <x v="225"/>
    <m/>
    <m/>
    <m/>
    <m/>
    <n v="2013"/>
    <s v="Villanueva-Rey, P.; Vázquez-Rowe, I.; Moreira, M. T.; Feijoo, G."/>
    <m/>
    <s v="Peer Reviewed Journal"/>
    <s v="Villanueva-Rey, P., Vázquez-Rowe, I., Moreira, M. T. and Feijoo, G., Comparative life cycle assessment in the wine sector: biodynamic vs. conventional viticulture activities in NW Spain. Journal of Cleaner Production 2014, 65, 330-341."/>
    <m/>
    <m/>
    <m/>
    <m/>
    <m/>
    <m/>
    <m/>
    <m/>
    <m/>
    <m/>
    <m/>
    <m/>
    <m/>
    <m/>
    <m/>
    <m/>
    <m/>
    <m/>
    <s v=""/>
    <s v=""/>
    <n v="0.13220408163265304"/>
    <s v=""/>
    <m/>
    <m/>
    <m/>
    <m/>
    <m/>
    <m/>
    <m/>
    <m/>
    <m/>
    <m/>
    <m/>
    <m/>
    <m/>
    <n v="0.13220408163265304"/>
    <m/>
    <s v=""/>
    <s v=""/>
    <s v=""/>
    <s v=""/>
    <m/>
    <s v=""/>
    <m/>
    <n v="0.13220408163265304"/>
    <s v=""/>
  </r>
  <r>
    <x v="4"/>
    <x v="80"/>
    <m/>
    <m/>
    <m/>
    <m/>
    <m/>
    <m/>
    <m/>
    <m/>
    <m/>
    <m/>
    <m/>
    <m/>
    <m/>
    <m/>
    <m/>
    <m/>
    <m/>
    <m/>
    <m/>
    <m/>
    <m/>
    <m/>
    <m/>
    <m/>
    <m/>
    <m/>
    <m/>
    <n v="28.264295951765718"/>
    <s v=""/>
    <s v=""/>
    <s v=""/>
    <m/>
    <m/>
    <m/>
    <m/>
    <m/>
    <m/>
    <m/>
    <m/>
    <m/>
    <n v="28.264295951765718"/>
    <m/>
    <m/>
    <s v="grape proxy * mass conv. Factor from FICRCD"/>
    <m/>
    <m/>
    <m/>
    <m/>
    <m/>
    <m/>
    <m/>
    <m/>
    <m/>
    <m/>
    <m/>
  </r>
  <r>
    <x v="4"/>
    <x v="87"/>
    <m/>
    <m/>
    <m/>
    <m/>
    <m/>
    <s v="Ecoinvent 3 process: Grape {GLO}| production | Alloc Def, S"/>
    <m/>
    <m/>
    <s v="Swiss Center for Life Cycle Inventories, Ecoinvent Database version 3.3. 2016, 2016, ."/>
    <m/>
    <m/>
    <m/>
    <m/>
    <m/>
    <m/>
    <m/>
    <m/>
    <m/>
    <m/>
    <m/>
    <m/>
    <m/>
    <m/>
    <m/>
    <m/>
    <m/>
    <m/>
    <n v="2.7020649299999997"/>
    <s v=""/>
    <n v="0.20832000000000001"/>
    <s v=""/>
    <m/>
    <m/>
    <m/>
    <m/>
    <m/>
    <m/>
    <m/>
    <m/>
    <m/>
    <n v="2.7020649299999997"/>
    <m/>
    <m/>
    <m/>
    <m/>
    <m/>
    <m/>
    <m/>
    <m/>
    <m/>
    <m/>
    <m/>
    <m/>
    <n v="0.20832000000000001"/>
    <m/>
  </r>
  <r>
    <x v="9"/>
    <x v="226"/>
    <m/>
    <m/>
    <m/>
    <m/>
    <m/>
    <s v="estimated from processing calculations (see processed foods methods)"/>
    <m/>
    <m/>
    <m/>
    <m/>
    <m/>
    <m/>
    <m/>
    <m/>
    <m/>
    <m/>
    <m/>
    <m/>
    <m/>
    <m/>
    <m/>
    <m/>
    <m/>
    <m/>
    <m/>
    <m/>
    <m/>
    <s v=""/>
    <n v="69.364547771906771"/>
    <s v=""/>
    <n v="6.7544572691172551"/>
    <m/>
    <m/>
    <n v="69.364547771906771"/>
    <m/>
    <m/>
    <m/>
    <m/>
    <m/>
    <m/>
    <m/>
    <m/>
    <m/>
    <m/>
    <m/>
    <m/>
    <n v="6.7544572691172551"/>
    <m/>
    <m/>
    <m/>
    <m/>
    <m/>
    <m/>
    <m/>
    <m/>
  </r>
  <r>
    <x v="1"/>
    <x v="227"/>
    <m/>
    <m/>
    <m/>
    <m/>
    <m/>
    <s v="assumed as average of ONLY processing stage for beef entries"/>
    <m/>
    <m/>
    <m/>
    <m/>
    <m/>
    <m/>
    <m/>
    <m/>
    <m/>
    <m/>
    <m/>
    <m/>
    <m/>
    <m/>
    <m/>
    <m/>
    <m/>
    <m/>
    <m/>
    <m/>
    <m/>
    <s v=""/>
    <n v="8.5"/>
    <s v=""/>
    <n v="0.84"/>
    <m/>
    <m/>
    <n v="8.5"/>
    <m/>
    <m/>
    <m/>
    <m/>
    <m/>
    <m/>
    <m/>
    <m/>
    <m/>
    <m/>
    <m/>
    <m/>
    <n v="0.84"/>
    <m/>
    <m/>
    <m/>
    <m/>
    <m/>
    <m/>
    <m/>
    <m/>
  </r>
  <r>
    <x v="7"/>
    <x v="228"/>
    <m/>
    <s v="Tap best_x000a_37"/>
    <m/>
    <m/>
    <n v="2009"/>
    <s v="Franklin Associates"/>
    <m/>
    <s v="Government Report"/>
    <s v="Franklin Associates, Life Cycle Assessment of Drinking Water Systems: Bottle Water, Tap Water, and Home/Office Delivery Water. 2009,  (09-LQ-104), ."/>
    <m/>
    <m/>
    <m/>
    <m/>
    <m/>
    <m/>
    <m/>
    <m/>
    <m/>
    <m/>
    <m/>
    <m/>
    <m/>
    <m/>
    <m/>
    <m/>
    <m/>
    <m/>
    <s v=""/>
    <n v="4.1807661240187933E-3"/>
    <s v=""/>
    <n v="2.7919572459079257E-4"/>
    <m/>
    <m/>
    <n v="4.1807661240187933E-3"/>
    <n v="3.2888693508947848E-3"/>
    <n v="0"/>
    <m/>
    <n v="1.2821016113657633E-2"/>
    <n v="3.1550848349261826E-5"/>
    <m/>
    <m/>
    <n v="2.0322202436920473E-2"/>
    <m/>
    <m/>
    <m/>
    <m/>
    <n v="2.7919572459079257E-4"/>
    <n v="1.4618831931363383E-4"/>
    <m/>
    <m/>
    <n v="8.2081146499868188E-4"/>
    <n v="8.2200972991108875E-6"/>
    <m/>
    <n v="0"/>
    <n v="1.2544156062022191E-3"/>
  </r>
  <r>
    <x v="4"/>
    <x v="185"/>
    <m/>
    <m/>
    <m/>
    <s v="Tunisia"/>
    <m/>
    <s v="Ecoinvent process: Palm date, conditioned and dried, organic {GLO}| palm date production, conditioned and dried, organic | Alloc Def, S"/>
    <m/>
    <m/>
    <s v="Swiss Center for Life Cycle Inventories, Ecoinvent Database version 3.3. 2016, 2016, ."/>
    <m/>
    <m/>
    <m/>
    <m/>
    <m/>
    <m/>
    <m/>
    <m/>
    <m/>
    <m/>
    <m/>
    <m/>
    <m/>
    <m/>
    <m/>
    <m/>
    <m/>
    <m/>
    <n v="19.814250000000001"/>
    <s v=""/>
    <n v="3.5733000000000001"/>
    <s v=""/>
    <m/>
    <m/>
    <m/>
    <m/>
    <m/>
    <m/>
    <m/>
    <m/>
    <m/>
    <n v="19.814250000000001"/>
    <m/>
    <m/>
    <m/>
    <m/>
    <m/>
    <m/>
    <m/>
    <m/>
    <m/>
    <m/>
    <m/>
    <m/>
    <n v="3.5733000000000001"/>
    <m/>
  </r>
  <r>
    <x v="4"/>
    <x v="185"/>
    <m/>
    <m/>
    <m/>
    <s v="Tunisia"/>
    <m/>
    <s v="Ecoinvent process: Palm date, conditioned and dried {GLO}| palm date production, conditioned and dried | Alloc Def, S"/>
    <m/>
    <m/>
    <s v="Swiss Center for Life Cycle Inventories, Ecoinvent Database version 3.3. 2016, 2016, ."/>
    <m/>
    <m/>
    <m/>
    <m/>
    <m/>
    <m/>
    <m/>
    <m/>
    <m/>
    <m/>
    <m/>
    <m/>
    <m/>
    <m/>
    <m/>
    <m/>
    <m/>
    <m/>
    <n v="18.157867"/>
    <s v=""/>
    <n v="2.5215999999999998"/>
    <s v=""/>
    <m/>
    <m/>
    <m/>
    <m/>
    <m/>
    <m/>
    <m/>
    <m/>
    <m/>
    <n v="18.157867"/>
    <m/>
    <m/>
    <m/>
    <m/>
    <m/>
    <m/>
    <m/>
    <m/>
    <m/>
    <m/>
    <m/>
    <m/>
    <n v="2.5215999999999998"/>
    <m/>
  </r>
  <r>
    <x v="7"/>
    <x v="229"/>
    <m/>
    <s v="PET ref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52766842839949202"/>
    <m/>
    <m/>
    <n v="2.758971180562483"/>
    <m/>
    <m/>
    <m/>
    <m/>
    <n v="1.0926977736237927E-2"/>
    <n v="0.11726220432813288"/>
    <n v="7.2135547726891458E-3"/>
    <m/>
    <n v="9.3704316150214507E-3"/>
    <n v="-1.0515972871282383E-2"/>
    <m/>
    <n v="0"/>
    <n v="0.13425719558079902"/>
  </r>
  <r>
    <x v="7"/>
    <x v="229"/>
    <m/>
    <s v="PET ref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7.8040967648350802E-4"/>
    <m/>
    <m/>
    <n v="3.2874200186384588"/>
    <m/>
    <m/>
    <m/>
    <m/>
    <n v="1.0926977736237927E-2"/>
    <n v="0.11726220432813288"/>
    <n v="7.2135547726891458E-3"/>
    <m/>
    <n v="9.3704316150214507E-3"/>
    <n v="3.2964267740312032E-3"/>
    <m/>
    <n v="0"/>
    <n v="0.1480695952261126"/>
  </r>
  <r>
    <x v="7"/>
    <x v="229"/>
    <m/>
    <s v="PET ref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r>
  <r>
    <x v="7"/>
    <x v="229"/>
    <m/>
    <s v="PET 1 lite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3.7125203181286892"/>
    <n v="0.10033838697645106"/>
    <m/>
    <n v="6.6892257984300693E-2"/>
    <n v="-0.73187098178365007"/>
    <m/>
    <m/>
    <n v="3.3156680617497449"/>
    <m/>
    <m/>
    <m/>
    <m/>
    <n v="1.0926977736237927E-2"/>
    <n v="0.15299446401610467"/>
    <n v="7.2734680183094884E-3"/>
    <m/>
    <n v="4.7211637548829292E-3"/>
    <n v="-1.4579289189253962E-2"/>
    <m/>
    <n v="0"/>
    <n v="0.16133678433628107"/>
  </r>
  <r>
    <x v="7"/>
    <x v="229"/>
    <m/>
    <s v="PET 8oz"/>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5.6523957996734087"/>
    <n v="0.10312556439246358"/>
    <m/>
    <n v="0.27593056418524042"/>
    <n v="-1.0393663302052321"/>
    <m/>
    <m/>
    <n v="5.1598736784898351"/>
    <m/>
    <m/>
    <m/>
    <m/>
    <n v="1.0926977736237927E-2"/>
    <n v="0.23006686318211231"/>
    <n v="7.4532077551705128E-3"/>
    <m/>
    <n v="1.9771371054712779E-2"/>
    <n v="-2.0789896230258582E-2"/>
    <m/>
    <n v="0"/>
    <n v="0.24742852349797492"/>
  </r>
  <r>
    <x v="7"/>
    <x v="229"/>
    <m/>
    <s v="PET ligh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631880618021736"/>
    <n v="0.10033838697645106"/>
    <m/>
    <n v="0.13099733855258888"/>
    <n v="-0.39941645960167549"/>
    <m/>
    <m/>
    <n v="2.2628954081734927"/>
    <m/>
    <m/>
    <m/>
    <m/>
    <n v="1.0926977736237927E-2"/>
    <n v="9.1379682220145239E-2"/>
    <n v="7.1536415270688049E-3"/>
    <m/>
    <n v="9.3704316150214507E-3"/>
    <n v="-7.968461667505455E-3"/>
    <m/>
    <n v="0"/>
    <n v="0.11086227143096797"/>
  </r>
  <r>
    <x v="7"/>
    <x v="229"/>
    <m/>
    <s v="PET light, low mold"/>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43677819890086"/>
    <n v="0.10033838697645106"/>
    <m/>
    <n v="0.13099733855258888"/>
    <n v="-0.39941645960167549"/>
    <m/>
    <m/>
    <n v="2.2433851662614051"/>
    <m/>
    <m/>
    <m/>
    <m/>
    <n v="1.0926977736237927E-2"/>
    <n v="9.0061590816497714E-2"/>
    <n v="7.1536415270688049E-3"/>
    <m/>
    <n v="9.3704316150214507E-3"/>
    <n v="-7.968461667505455E-3"/>
    <m/>
    <n v="0"/>
    <n v="0.10954418002732044"/>
  </r>
  <r>
    <x v="7"/>
    <x v="229"/>
    <m/>
    <s v="25% rPET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6784774967880405"/>
    <n v="0.10033838697645106"/>
    <m/>
    <n v="0.13099733855258888"/>
    <n v="-0.4552018155831663"/>
    <m/>
    <m/>
    <n v="2.6223994871778684"/>
    <m/>
    <m/>
    <m/>
    <m/>
    <n v="1.0926977736237927E-2"/>
    <n v="0.11031226783617321"/>
    <n v="7.2135547726891458E-3"/>
    <m/>
    <n v="9.3704316150214507E-3"/>
    <n v="-8.4309919236944912E-3"/>
    <m/>
    <n v="0"/>
    <n v="0.12939224003642724"/>
  </r>
  <r>
    <x v="7"/>
    <x v="229"/>
    <m/>
    <s v="25% rPET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4694391905871003"/>
    <n v="0.10033838697645106"/>
    <m/>
    <n v="0.13099733855258888"/>
    <n v="7.8040967648350802E-4"/>
    <m/>
    <m/>
    <n v="2.8693434062365784"/>
    <m/>
    <m/>
    <m/>
    <m/>
    <n v="1.0926977736237927E-2"/>
    <n v="0.10324250485297289"/>
    <n v="7.2135547726891458E-3"/>
    <m/>
    <n v="9.3704316150214507E-3"/>
    <n v="3.2964267740312032E-3"/>
    <m/>
    <n v="0"/>
    <n v="0.13404989575095261"/>
  </r>
  <r>
    <x v="7"/>
    <x v="229"/>
    <m/>
    <s v="25% rPET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r>
  <r>
    <x v="7"/>
    <x v="229"/>
    <m/>
    <s v="PLA 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2944437057268093E-2"/>
    <m/>
    <m/>
    <n v="2.5457521082375241"/>
    <m/>
    <m/>
    <m/>
    <m/>
    <n v="1.0926977736237927E-2"/>
    <n v="0.12253456994272294"/>
    <n v="7.2135547726891458E-3"/>
    <m/>
    <n v="9.3704316150214507E-3"/>
    <n v="-4.641598964699116E-2"/>
    <m/>
    <n v="0"/>
    <n v="0.10362954441968032"/>
  </r>
  <r>
    <x v="7"/>
    <x v="229"/>
    <m/>
    <s v="PLA 10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0.15697383206982565"/>
    <m/>
    <m/>
    <n v="2.4217227132249666"/>
    <m/>
    <m/>
    <m/>
    <m/>
    <n v="1.0926977736237927E-2"/>
    <n v="0.12253456994272294"/>
    <n v="7.2135547726891458E-3"/>
    <m/>
    <n v="9.3704316150214507E-3"/>
    <n v="6.6939871066695425E-2"/>
    <m/>
    <n v="0"/>
    <n v="0.21698540513336689"/>
  </r>
  <r>
    <x v="7"/>
    <x v="229"/>
    <m/>
    <s v="PLA compos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7961356406090642E-2"/>
    <m/>
    <m/>
    <n v="2.5407351888887018"/>
    <m/>
    <m/>
    <m/>
    <m/>
    <n v="1.0926977736237927E-2"/>
    <n v="0.12253456994272294"/>
    <n v="7.2135547726891458E-3"/>
    <m/>
    <n v="9.3704316150214507E-3"/>
    <n v="-8.6472184198043444E-20"/>
    <m/>
    <n v="0"/>
    <n v="0.15004553406667148"/>
  </r>
  <r>
    <x v="7"/>
    <x v="229"/>
    <m/>
    <s v="PET nat"/>
    <m/>
    <m/>
    <n v="2009"/>
    <s v="Franklin Associates"/>
    <m/>
    <s v="Government Report"/>
    <s v="Franklin Associates, Life Cycle Assessment of Drinking Water Systems: Bottle Water, Tap Water, and Home/Office Delivery Water. 2009,  (09-LQ-104), ."/>
    <m/>
    <m/>
    <m/>
    <m/>
    <m/>
    <m/>
    <m/>
    <m/>
    <m/>
    <m/>
    <m/>
    <m/>
    <m/>
    <m/>
    <m/>
    <m/>
    <m/>
    <m/>
    <s v=""/>
    <n v="8.4172757963578398E-2"/>
    <s v=""/>
    <n v="5.438924437414624E-3"/>
    <m/>
    <m/>
    <n v="8.4172757963578398E-2"/>
    <n v="2.8875158029889807"/>
    <n v="0.26199467710517776"/>
    <m/>
    <n v="0.13099733855258888"/>
    <n v="-0.52819799210853446"/>
    <m/>
    <m/>
    <n v="2.8364825845017911"/>
    <m/>
    <m/>
    <m/>
    <m/>
    <n v="5.438924437414624E-3"/>
    <n v="0.11726220432813288"/>
    <n v="1.8692932633546624E-2"/>
    <m/>
    <n v="9.3704316150214507E-3"/>
    <n v="-1.0551920818654588E-2"/>
    <m/>
    <n v="0"/>
    <n v="0.14021257219546102"/>
  </r>
  <r>
    <x v="7"/>
    <x v="229"/>
    <m/>
    <s v="PET Maine nat"/>
    <m/>
    <m/>
    <n v="2009"/>
    <s v="Franklin Associates"/>
    <m/>
    <s v="Government Report"/>
    <s v="Franklin Associates, Life Cycle Assessment of Drinking Water Systems: Bottle Water, Tap Water, and Home/Office Delivery Water. 2009,  (09-LQ-104), ."/>
    <m/>
    <m/>
    <m/>
    <m/>
    <m/>
    <m/>
    <m/>
    <m/>
    <m/>
    <m/>
    <m/>
    <m/>
    <m/>
    <m/>
    <m/>
    <m/>
    <m/>
    <m/>
    <s v=""/>
    <n v="0.10842120148288739"/>
    <s v=""/>
    <n v="7.5107244709660412E-3"/>
    <m/>
    <m/>
    <n v="0.10842120148288739"/>
    <n v="2.9655567706373311"/>
    <n v="6.6334822501098181"/>
    <m/>
    <n v="0.13099733855258888"/>
    <n v="-0.52819799210853446"/>
    <m/>
    <m/>
    <n v="9.3102595686740912"/>
    <m/>
    <m/>
    <m/>
    <m/>
    <n v="7.5107244709660412E-3"/>
    <n v="0.12421214082009251"/>
    <n v="0.47127759004960817"/>
    <m/>
    <n v="9.3704316150214507E-3"/>
    <n v="-1.0551920818654588E-2"/>
    <m/>
    <n v="0"/>
    <n v="0.60181896613703356"/>
  </r>
  <r>
    <x v="7"/>
    <x v="229"/>
    <m/>
    <s v="PET Fiji nat"/>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3.8741766082574158"/>
    <m/>
    <n v="0.13099733855258888"/>
    <n v="-1.044020916489973"/>
    <m/>
    <m/>
    <n v="8.5716101714147008"/>
    <m/>
    <m/>
    <m/>
    <m/>
    <n v="5.7121288374433821E-4"/>
    <n v="0.23797541160399741"/>
    <n v="0.28542670213530807"/>
    <m/>
    <n v="9.3704316150214507E-3"/>
    <n v="-2.0571812016200536E-2"/>
    <m/>
    <n v="0"/>
    <n v="0.51277194622187083"/>
  </r>
  <r>
    <x v="7"/>
    <x v="229"/>
    <m/>
    <s v="PET Fiji free sea"/>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1.9231524170486451"/>
    <m/>
    <n v="0.13099733855258888"/>
    <n v="-1.044020916489973"/>
    <m/>
    <m/>
    <n v="6.620585980205929"/>
    <m/>
    <m/>
    <m/>
    <m/>
    <n v="5.7121288374433821E-4"/>
    <n v="0.23797541160399741"/>
    <n v="0.13684185299686055"/>
    <m/>
    <n v="9.3704316150214507E-3"/>
    <n v="-2.0571812016200536E-2"/>
    <m/>
    <n v="0"/>
    <n v="0.36418709708342323"/>
  </r>
  <r>
    <x v="7"/>
    <x v="229"/>
    <m/>
    <s v="PET 500 mi empty"/>
    <m/>
    <m/>
    <n v="2009"/>
    <s v="Franklin Associates"/>
    <m/>
    <s v="Government Report"/>
    <s v="Franklin Associates, Life Cycle Assessment of Drinking Water Systems: Bottle Water, Tap Water, and Home/Office Delivery Water. 2009,  (09-LQ-104), ."/>
    <m/>
    <m/>
    <m/>
    <m/>
    <m/>
    <m/>
    <m/>
    <m/>
    <m/>
    <m/>
    <m/>
    <m/>
    <m/>
    <m/>
    <m/>
    <m/>
    <m/>
    <m/>
    <s v=""/>
    <n v="0.16778808044395427"/>
    <s v=""/>
    <n v="4.8170249478754765E-3"/>
    <m/>
    <m/>
    <n v="0.16778808044395427"/>
    <n v="3.1160643511020067"/>
    <n v="0.10033838697645106"/>
    <m/>
    <n v="0.13099733855258888"/>
    <n v="-0.52766842839949202"/>
    <m/>
    <m/>
    <n v="2.9875197286755091"/>
    <m/>
    <m/>
    <m/>
    <m/>
    <n v="4.8170249478754765E-3"/>
    <n v="0.64933975603326377"/>
    <n v="0.85148704675629694"/>
    <m/>
    <n v="1.3061087545234501E-2"/>
    <n v="-0.16448582452608623"/>
    <m/>
    <n v="0"/>
    <n v="1.3542190907565845"/>
  </r>
  <r>
    <x v="7"/>
    <x v="229"/>
    <m/>
    <s v="PET 100% store tri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3.2609975767346593"/>
    <n v="-0.52766842839949202"/>
    <m/>
    <m/>
    <n v="5.8889714187445534"/>
    <m/>
    <m/>
    <m/>
    <m/>
    <n v="1.0926977736237927E-2"/>
    <n v="0.13355860713686579"/>
    <n v="7.2135547726891458E-3"/>
    <m/>
    <n v="9.3704316150214507E-3"/>
    <n v="-1.0515972871282383E-2"/>
    <m/>
    <n v="0"/>
    <n v="0.15055359838953195"/>
  </r>
  <r>
    <x v="7"/>
    <x v="229"/>
    <m/>
    <s v="PET refrig"/>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22297419328100232"/>
    <n v="-0.52766842839949202"/>
    <m/>
    <m/>
    <n v="2.8509480352908962"/>
    <m/>
    <m/>
    <m/>
    <m/>
    <n v="1.0926977736237927E-2"/>
    <n v="0.10432094327413906"/>
    <n v="7.2135547726891458E-3"/>
    <m/>
    <n v="0.23270304598940733"/>
    <n v="-1.0515972871282383E-2"/>
    <m/>
    <n v="0"/>
    <n v="0.34464854890119112"/>
  </r>
  <r>
    <x v="7"/>
    <x v="229"/>
    <m/>
    <s v="PET 37%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3269916544465899"/>
    <m/>
    <m/>
    <n v="2.9596479545153853"/>
    <m/>
    <m/>
    <m/>
    <m/>
    <n v="1.0926977736237927E-2"/>
    <n v="0.11726220432813288"/>
    <n v="7.2135547726891458E-3"/>
    <m/>
    <n v="1.5241929685814943E-2"/>
    <n v="-1.0515972871282383E-2"/>
    <m/>
    <n v="0"/>
    <n v="0.1401286936515925"/>
  </r>
  <r>
    <x v="7"/>
    <x v="229"/>
    <m/>
    <s v="PET best"/>
    <m/>
    <m/>
    <n v="2009"/>
    <s v="Franklin Associates"/>
    <m/>
    <s v="Government Report"/>
    <s v="Franklin Associates, Life Cycle Assessment of Drinking Water Systems: Bottle Water, Tap Water, and Home/Office Delivery Water. 2009,  (09-LQ-104), ."/>
    <m/>
    <m/>
    <m/>
    <m/>
    <m/>
    <m/>
    <m/>
    <m/>
    <m/>
    <m/>
    <m/>
    <m/>
    <m/>
    <m/>
    <m/>
    <m/>
    <m/>
    <m/>
    <s v=""/>
    <n v="6.2488517667000911E-3"/>
    <s v=""/>
    <n v="1.0926977736237927E-2"/>
    <m/>
    <m/>
    <n v="6.2488517667000911E-3"/>
    <n v="2.1433394329136344"/>
    <n v="3.902048382417541E-2"/>
    <m/>
    <n v="8.9189677312400935E-4"/>
    <n v="-1.144791315965906"/>
    <m/>
    <m/>
    <n v="1.0447093493117277"/>
    <m/>
    <m/>
    <m/>
    <m/>
    <n v="1.0926977736237927E-2"/>
    <n v="0.11726220432813288"/>
    <n v="7.2135547726891458E-3"/>
    <m/>
    <n v="9.3704316150214507E-3"/>
    <n v="-4.5605962566204142E-3"/>
    <m/>
    <n v="0"/>
    <n v="0.14021257219546099"/>
  </r>
  <r>
    <x v="7"/>
    <x v="229"/>
    <m/>
    <s v="PET worst"/>
    <m/>
    <m/>
    <n v="2009"/>
    <s v="Franklin Associates"/>
    <m/>
    <s v="Government Report"/>
    <s v="Franklin Associates, Life Cycle Assessment of Drinking Water Systems: Bottle Water, Tap Water, and Home/Office Delivery Water. 2009,  (09-LQ-104), ."/>
    <m/>
    <m/>
    <m/>
    <m/>
    <m/>
    <m/>
    <m/>
    <m/>
    <m/>
    <m/>
    <m/>
    <m/>
    <m/>
    <m/>
    <m/>
    <m/>
    <m/>
    <m/>
    <s v=""/>
    <n v="0.11956991114693753"/>
    <s v=""/>
    <n v="4.1376087425408015E-4"/>
    <m/>
    <m/>
    <n v="0.11956991114693753"/>
    <n v="6.1122800733154756"/>
    <n v="6.8564564433908215"/>
    <m/>
    <n v="7.2661715235446636"/>
    <n v="-8.6660035089627968E-2"/>
    <m/>
    <m/>
    <n v="20.267817916308267"/>
    <m/>
    <m/>
    <m/>
    <m/>
    <n v="4.1376087425408015E-4"/>
    <n v="8.4238023342200485E-2"/>
    <n v="2.8518704915282676E-3"/>
    <m/>
    <n v="6.230977544515541E-5"/>
    <n v="-2.9761305629448561E-2"/>
    <m/>
    <n v="0"/>
    <n v="5.7804658853979424E-2"/>
  </r>
  <r>
    <x v="7"/>
    <x v="229"/>
    <m/>
    <s v="PLA best"/>
    <m/>
    <m/>
    <n v="2009"/>
    <s v="Franklin Associates"/>
    <m/>
    <s v="Government Report"/>
    <s v="Franklin Associates, Life Cycle Assessment of Drinking Water Systems: Bottle Water, Tap Water, and Home/Office Delivery Water. 2009,  (09-LQ-104), ."/>
    <m/>
    <m/>
    <m/>
    <m/>
    <m/>
    <m/>
    <m/>
    <m/>
    <m/>
    <m/>
    <m/>
    <m/>
    <m/>
    <m/>
    <m/>
    <m/>
    <m/>
    <m/>
    <s v=""/>
    <n v="6.2488517667000911E-3"/>
    <s v=""/>
    <n v="8.2895966640304849E-3"/>
    <m/>
    <m/>
    <n v="6.2488517667000911E-3"/>
    <n v="1.6221372561192919"/>
    <n v="3.902048382417541E-2"/>
    <m/>
    <n v="8.9189677312400935E-4"/>
    <n v="7.1491100720721375E-3"/>
    <m/>
    <m/>
    <n v="1.6754475985553636"/>
    <m/>
    <m/>
    <m/>
    <m/>
    <n v="8.2895966640304849E-3"/>
    <n v="0.26265966879957825"/>
    <n v="0.48817312531454454"/>
    <m/>
    <n v="0.51621252426486453"/>
    <n v="7.9099863397800001E-3"/>
    <m/>
    <n v="0"/>
    <n v="1.2832449013827978"/>
  </r>
  <r>
    <x v="7"/>
    <x v="228"/>
    <m/>
    <s v="Tap Al ref_x000a_26"/>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2.0848087071773718E-3"/>
    <m/>
    <m/>
    <n v="0.62585511441078134"/>
    <m/>
    <m/>
    <m/>
    <m/>
    <n v="5.0087473338605696E-4"/>
    <n v="6.967910465645745E-3"/>
    <m/>
    <m/>
    <n v="3.3072111582428648E-2"/>
    <n v="1.5577443861288854E-4"/>
    <m/>
    <n v="0"/>
    <n v="4.0696671220073338E-2"/>
  </r>
  <r>
    <x v="7"/>
    <x v="228"/>
    <m/>
    <s v="Tap PET_x000a_27"/>
    <m/>
    <m/>
    <n v="2009"/>
    <s v="Franklin Associates"/>
    <m/>
    <s v="Government Report"/>
    <s v="Franklin Associates, Life Cycle Assessment of Drinking Water Systems: Bottle Water, Tap Water, and Home/Office Delivery Water. 2009,  (09-LQ-104), ."/>
    <m/>
    <m/>
    <m/>
    <m/>
    <m/>
    <m/>
    <m/>
    <m/>
    <m/>
    <m/>
    <m/>
    <m/>
    <m/>
    <m/>
    <m/>
    <m/>
    <m/>
    <m/>
    <s v=""/>
    <n v="6.4105080568288165E-3"/>
    <s v=""/>
    <n v="4.1699618951757854E-4"/>
    <m/>
    <m/>
    <n v="6.4105080568288165E-3"/>
    <n v="3.2888693508947846E-2"/>
    <n v="0"/>
    <m/>
    <n v="0.32331258025745341"/>
    <n v="1.1823206598725151E-3"/>
    <m/>
    <m/>
    <n v="0.36379410248310257"/>
    <m/>
    <m/>
    <m/>
    <m/>
    <n v="4.1699618951757854E-4"/>
    <n v="1.4582883983991182E-3"/>
    <m/>
    <m/>
    <n v="2.061015649339756E-2"/>
    <n v="1.4091595369904378E-4"/>
    <m/>
    <n v="0"/>
    <n v="2.2626357035013301E-2"/>
  </r>
  <r>
    <x v="7"/>
    <x v="228"/>
    <m/>
    <s v="Tap steel_x000a_28"/>
    <m/>
    <m/>
    <n v="2009"/>
    <s v="Franklin Associates"/>
    <m/>
    <s v="Government Report"/>
    <s v="Franklin Associates, Life Cycle Assessment of Drinking Water Systems: Bottle Water, Tap Water, and Home/Office Delivery Water. 2009,  (09-LQ-104), ."/>
    <m/>
    <m/>
    <m/>
    <m/>
    <m/>
    <m/>
    <m/>
    <m/>
    <m/>
    <m/>
    <m/>
    <m/>
    <m/>
    <m/>
    <m/>
    <m/>
    <m/>
    <m/>
    <s v=""/>
    <n v="6.9679435400313225E-3"/>
    <s v=""/>
    <n v="4.4215975267812211E-4"/>
    <m/>
    <m/>
    <n v="6.9679435400313225E-3"/>
    <n v="4.8496887038618007E-2"/>
    <n v="0"/>
    <m/>
    <n v="0.38184330599371652"/>
    <n v="1.7439369091990389E-3"/>
    <m/>
    <m/>
    <n v="0.43905207348156489"/>
    <m/>
    <m/>
    <m/>
    <m/>
    <n v="4.4215975267812211E-4"/>
    <n v="4.7714908812040166E-3"/>
    <m/>
    <m/>
    <n v="2.4444604213099432E-2"/>
    <n v="1.4858484913844754E-4"/>
    <m/>
    <n v="0"/>
    <n v="2.9806839696120017E-2"/>
  </r>
  <r>
    <x v="7"/>
    <x v="228"/>
    <m/>
    <s v="Tap glass_x000a_29"/>
    <m/>
    <m/>
    <n v="2009"/>
    <s v="Franklin Associates"/>
    <m/>
    <s v="Government Report"/>
    <s v="Franklin Associates, Life Cycle Assessment of Drinking Water Systems: Bottle Water, Tap Water, and Home/Office Delivery Water. 2009,  (09-LQ-104), ."/>
    <m/>
    <m/>
    <m/>
    <m/>
    <m/>
    <m/>
    <m/>
    <m/>
    <m/>
    <m/>
    <m/>
    <m/>
    <m/>
    <m/>
    <m/>
    <m/>
    <m/>
    <m/>
    <s v=""/>
    <n v="8.6402499896388405E-3"/>
    <s v=""/>
    <n v="5.5719318426917836E-4"/>
    <m/>
    <m/>
    <n v="8.6402499896388405E-3"/>
    <n v="1.4493322563265151E-2"/>
    <n v="0"/>
    <m/>
    <n v="0.64662516051490682"/>
    <n v="2.4805879002511508E-3"/>
    <m/>
    <m/>
    <n v="0.67223932096806194"/>
    <m/>
    <m/>
    <m/>
    <m/>
    <n v="5.5719318426917836E-4"/>
    <n v="1.1203776931003905E-3"/>
    <m/>
    <m/>
    <n v="4.1340139478035796E-2"/>
    <n v="1.6895535264936371E-4"/>
    <m/>
    <n v="0"/>
    <n v="4.3186665708054732E-2"/>
  </r>
  <r>
    <x v="7"/>
    <x v="228"/>
    <m/>
    <s v="Tap Al 5 yr_x000a_30"/>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2.0067677395290213E-2"/>
    <n v="0"/>
    <m/>
    <n v="0.51562782196231782"/>
    <n v="1.8022167889678612E-3"/>
    <m/>
    <m/>
    <n v="0.545301812911411"/>
    <m/>
    <m/>
    <m/>
    <m/>
    <n v="5.0087473338605696E-4"/>
    <n v="1.3959786229539627E-3"/>
    <m/>
    <m/>
    <n v="3.3072111582428648E-2"/>
    <n v="1.2414024492534811E-4"/>
    <m/>
    <n v="0"/>
    <n v="3.5093105183694011E-2"/>
  </r>
  <r>
    <x v="7"/>
    <x v="228"/>
    <m/>
    <s v="100%R_x000a_31"/>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3.8134161405883424E-2"/>
    <m/>
    <m/>
    <n v="0.58563614429772048"/>
    <m/>
    <m/>
    <m/>
    <m/>
    <n v="5.0087473338605696E-4"/>
    <n v="6.967910465645745E-3"/>
    <m/>
    <m/>
    <n v="3.3072111582428648E-2"/>
    <n v="-2.8183190739808762E-3"/>
    <m/>
    <n v="0"/>
    <n v="3.7722577707479575E-2"/>
  </r>
  <r>
    <x v="7"/>
    <x v="228"/>
    <m/>
    <s v="fill_x000a_32"/>
    <m/>
    <m/>
    <n v="2009"/>
    <s v="Franklin Associates"/>
    <m/>
    <s v="Government Report"/>
    <s v="Franklin Associates, Life Cycle Assessment of Drinking Water Systems: Bottle Water, Tap Water, and Home/Office Delivery Water. 2009,  (09-LQ-104), ."/>
    <m/>
    <m/>
    <m/>
    <m/>
    <m/>
    <m/>
    <m/>
    <m/>
    <m/>
    <m/>
    <m/>
    <m/>
    <m/>
    <m/>
    <m/>
    <m/>
    <m/>
    <m/>
    <s v=""/>
    <n v="6.1317903152275635E-3"/>
    <s v=""/>
    <n v="3.8823783161981456E-4"/>
    <m/>
    <m/>
    <n v="6.1317903152275635E-3"/>
    <n v="5.0169193488225537E-2"/>
    <n v="0"/>
    <m/>
    <n v="0.25920749968916518"/>
    <n v="1.0480344519690312E-3"/>
    <m/>
    <m/>
    <n v="0.31655651794458733"/>
    <m/>
    <m/>
    <m/>
    <m/>
    <n v="3.8823783161981456E-4"/>
    <n v="3.4833561003666685E-3"/>
    <m/>
    <m/>
    <n v="1.6536055791214324E-2"/>
    <n v="7.8246698780166322E-5"/>
    <m/>
    <n v="0"/>
    <n v="2.0485896421980974E-2"/>
  </r>
  <r>
    <x v="7"/>
    <x v="228"/>
    <m/>
    <s v="wash_x000a_33"/>
    <m/>
    <m/>
    <n v="2009"/>
    <s v="Franklin Associates"/>
    <m/>
    <s v="Government Report"/>
    <s v="Franklin Associates, Life Cycle Assessment of Drinking Water Systems: Bottle Water, Tap Water, and Home/Office Delivery Water. 2009,  (09-LQ-104), ."/>
    <m/>
    <m/>
    <m/>
    <m/>
    <m/>
    <m/>
    <m/>
    <m/>
    <m/>
    <m/>
    <m/>
    <m/>
    <m/>
    <m/>
    <m/>
    <m/>
    <m/>
    <m/>
    <s v=""/>
    <n v="4.7382016072213002E-3"/>
    <s v=""/>
    <n v="3.0795408248855655E-4"/>
    <m/>
    <m/>
    <n v="4.7382016072213002E-3"/>
    <n v="0.10033838697645107"/>
    <n v="0"/>
    <m/>
    <n v="7.2466612816325743E-2"/>
    <n v="6.0481749927471891E-4"/>
    <m/>
    <m/>
    <n v="0.17814801889927284"/>
    <m/>
    <m/>
    <m/>
    <m/>
    <n v="3.0795408248855655E-4"/>
    <n v="6.967910465645745E-3"/>
    <m/>
    <m/>
    <n v="4.7211637548829292E-3"/>
    <n v="5.631845088312125E-5"/>
    <m/>
    <n v="0"/>
    <n v="1.2053346753900351E-2"/>
  </r>
  <r>
    <x v="7"/>
    <x v="228"/>
    <m/>
    <s v="wash_x000a_34"/>
    <m/>
    <m/>
    <n v="2009"/>
    <s v="Franklin Associates"/>
    <m/>
    <s v="Government Report"/>
    <s v="Franklin Associates, Life Cycle Assessment of Drinking Water Systems: Bottle Water, Tap Water, and Home/Office Delivery Water. 2009,  (09-LQ-104), ."/>
    <m/>
    <m/>
    <m/>
    <m/>
    <m/>
    <m/>
    <m/>
    <m/>
    <m/>
    <m/>
    <m/>
    <m/>
    <m/>
    <m/>
    <m/>
    <m/>
    <m/>
    <m/>
    <s v=""/>
    <n v="5.2956370904238053E-3"/>
    <s v=""/>
    <n v="3.4030723512354106E-4"/>
    <m/>
    <m/>
    <n v="5.2956370904238053E-3"/>
    <n v="0.10033838697645107"/>
    <n v="0"/>
    <m/>
    <n v="0.28707927384929049"/>
    <n v="8.5845064413185893E-4"/>
    <m/>
    <m/>
    <n v="0.39357174856029725"/>
    <m/>
    <m/>
    <m/>
    <m/>
    <n v="3.4030723512354106E-4"/>
    <n v="6.967910465645745E-3"/>
    <m/>
    <m/>
    <n v="1.8333453159824573E-2"/>
    <n v="7.3094159656816944E-5"/>
    <m/>
    <n v="0"/>
    <n v="2.5714765020250677E-2"/>
  </r>
  <r>
    <x v="7"/>
    <x v="228"/>
    <m/>
    <s v="wash_x000a_35"/>
    <m/>
    <m/>
    <n v="2009"/>
    <s v="Franklin Associates"/>
    <m/>
    <s v="Government Report"/>
    <s v="Franklin Associates, Life Cycle Assessment of Drinking Water Systems: Bottle Water, Tap Water, and Home/Office Delivery Water. 2009,  (09-LQ-104), ."/>
    <m/>
    <m/>
    <m/>
    <m/>
    <m/>
    <m/>
    <m/>
    <m/>
    <m/>
    <m/>
    <m/>
    <m/>
    <m/>
    <m/>
    <m/>
    <m/>
    <m/>
    <m/>
    <s v=""/>
    <n v="1.1148709664050117E-2"/>
    <s v=""/>
    <n v="7.2495027200613509E-4"/>
    <m/>
    <m/>
    <n v="1.1148709664050117E-2"/>
    <n v="0.10033838697645107"/>
    <n v="0"/>
    <m/>
    <n v="1.0340428213406483"/>
    <n v="3.7013716084646387E-3"/>
    <m/>
    <m/>
    <n v="1.1492312895896142"/>
    <m/>
    <m/>
    <m/>
    <m/>
    <n v="7.2495027200613509E-4"/>
    <n v="6.967910465645745E-3"/>
    <m/>
    <m/>
    <n v="6.6024396673616606E-2"/>
    <n v="2.7200613511635152E-4"/>
    <m/>
    <n v="0"/>
    <n v="7.398926354638484E-2"/>
  </r>
  <r>
    <x v="7"/>
    <x v="228"/>
    <m/>
    <s v="Tap Al ice_x000a_36"/>
    <m/>
    <m/>
    <n v="2009"/>
    <s v="Franklin Associates"/>
    <m/>
    <s v="Government Report"/>
    <s v="Franklin Associates, Life Cycle Assessment of Drinking Water Systems: Bottle Water, Tap Water, and Home/Office Delivery Water. 2009,  (09-LQ-104), ."/>
    <m/>
    <m/>
    <m/>
    <m/>
    <m/>
    <m/>
    <m/>
    <m/>
    <m/>
    <m/>
    <m/>
    <m/>
    <m/>
    <m/>
    <m/>
    <m/>
    <m/>
    <m/>
    <s v=""/>
    <n v="9.7551209560438525E-3"/>
    <s v=""/>
    <n v="6.3867519831284293E-4"/>
    <m/>
    <m/>
    <n v="9.7551209560438525E-3"/>
    <n v="0.10033838697645107"/>
    <n v="0"/>
    <m/>
    <n v="0.51562782196231782"/>
    <n v="2.0848087071773718E-3"/>
    <m/>
    <m/>
    <n v="0.62780613860199019"/>
    <m/>
    <m/>
    <m/>
    <m/>
    <n v="6.3867519831284293E-4"/>
    <n v="6.967910465645745E-3"/>
    <m/>
    <m/>
    <n v="3.3072111582428648E-2"/>
    <n v="1.5577443861288854E-4"/>
    <m/>
    <n v="0"/>
    <n v="4.0834471685000123E-2"/>
  </r>
  <r>
    <x v="1"/>
    <x v="25"/>
    <s v="Fresh or Not Specified"/>
    <s v="Dutch beef from dairy cow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s v="Cradle to Packaging"/>
    <s v="No"/>
    <s v="Yes"/>
    <s v="kg meat at supermarket"/>
    <s v="N/A"/>
    <s v=""/>
    <s v=""/>
    <n v="8.2319999999999993"/>
    <n v="8.5809999999999995"/>
    <m/>
    <m/>
    <m/>
    <m/>
    <m/>
    <m/>
    <m/>
    <m/>
    <m/>
    <m/>
    <m/>
    <m/>
    <m/>
    <n v="8.2319999999999993"/>
    <n v="0.34899999999999998"/>
    <m/>
    <n v="0.186"/>
    <n v="2.3E-2"/>
    <n v="0.11600000000000001"/>
    <m/>
    <m/>
    <m/>
    <n v="8.2319999999999993"/>
    <n v="8.9059999999999988"/>
  </r>
  <r>
    <x v="1"/>
    <x v="3"/>
    <s v="Fresh or Not Specified"/>
    <s v="Dutch Beef"/>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15.56"/>
    <n v="16.77"/>
    <m/>
    <m/>
    <m/>
    <m/>
    <m/>
    <m/>
    <m/>
    <m/>
    <m/>
    <m/>
    <m/>
    <m/>
    <m/>
    <n v="15.56"/>
    <n v="1.21"/>
    <m/>
    <n v="0.24"/>
    <m/>
    <m/>
    <m/>
    <m/>
    <m/>
    <n v="15.56"/>
    <n v="17.009999999999998"/>
  </r>
  <r>
    <x v="1"/>
    <x v="3"/>
    <s v="Fresh or Not Specified"/>
    <s v="Irish Beef"/>
    <s v="No"/>
    <s v="Ireland"/>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37.74"/>
    <n v="37.79"/>
    <m/>
    <m/>
    <m/>
    <m/>
    <m/>
    <m/>
    <m/>
    <m/>
    <m/>
    <m/>
    <m/>
    <m/>
    <m/>
    <n v="37.74"/>
    <n v="0.05"/>
    <m/>
    <n v="0.08"/>
    <m/>
    <m/>
    <m/>
    <m/>
    <m/>
    <n v="37.74"/>
    <n v="37.869999999999997"/>
  </r>
  <r>
    <x v="1"/>
    <x v="3"/>
    <s v="Fresh or Not Specified"/>
    <s v="Brazilian Beef"/>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food at supermarket"/>
    <s v="N/A"/>
    <s v=""/>
    <s v=""/>
    <n v="58.39"/>
    <n v="58.44"/>
    <m/>
    <m/>
    <m/>
    <m/>
    <m/>
    <m/>
    <m/>
    <m/>
    <m/>
    <m/>
    <m/>
    <m/>
    <m/>
    <n v="58.39"/>
    <n v="0.05"/>
    <m/>
    <n v="0.08"/>
    <m/>
    <m/>
    <m/>
    <m/>
    <m/>
    <n v="58.39"/>
    <n v="58.519999999999996"/>
  </r>
  <r>
    <x v="1"/>
    <x v="24"/>
    <s v="Fresh or Not Specified"/>
    <s v="Brazilian Chicken"/>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44"/>
    <n v="2.4859999999999998"/>
    <m/>
    <m/>
    <m/>
    <m/>
    <m/>
    <m/>
    <m/>
    <m/>
    <m/>
    <m/>
    <m/>
    <m/>
    <m/>
    <n v="2.44"/>
    <n v="4.5999999999999999E-2"/>
    <m/>
    <n v="0.186"/>
    <n v="0.11600000000000001"/>
    <n v="0.11600000000000001"/>
    <m/>
    <m/>
    <m/>
    <n v="2.44"/>
    <n v="2.9039999999999999"/>
  </r>
  <r>
    <x v="1"/>
    <x v="24"/>
    <s v="Fresh or Not Specified"/>
    <s v="Dutch Chicke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72"/>
    <n v="2.7670000000000003"/>
    <m/>
    <m/>
    <m/>
    <m/>
    <m/>
    <m/>
    <m/>
    <m/>
    <m/>
    <m/>
    <m/>
    <m/>
    <m/>
    <n v="2.72"/>
    <n v="4.7E-2"/>
    <m/>
    <n v="0.186"/>
    <n v="2.3E-2"/>
    <n v="0.11600000000000001"/>
    <m/>
    <m/>
    <m/>
    <n v="2.72"/>
    <n v="3.0920000000000005"/>
  </r>
  <r>
    <x v="1"/>
    <x v="23"/>
    <s v="Fresh or Not Specified"/>
    <s v="Pork "/>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3.907"/>
    <n v="4.2089999999999996"/>
    <m/>
    <m/>
    <m/>
    <m/>
    <m/>
    <m/>
    <m/>
    <m/>
    <m/>
    <m/>
    <m/>
    <m/>
    <m/>
    <n v="3.907"/>
    <n v="0.30199999999999999"/>
    <m/>
    <n v="0.20899999999999999"/>
    <m/>
    <n v="0.11600000000000001"/>
    <m/>
    <m/>
    <m/>
    <n v="3.907"/>
    <n v="4.5339999999999989"/>
  </r>
  <r>
    <x v="1"/>
    <x v="32"/>
    <s v="Fresh or Not Specified"/>
    <s v="Vea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5.7670000000000003"/>
    <n v="5.9300000000000006"/>
    <m/>
    <m/>
    <m/>
    <m/>
    <m/>
    <m/>
    <m/>
    <m/>
    <m/>
    <m/>
    <m/>
    <m/>
    <m/>
    <n v="5.7670000000000003"/>
    <n v="0.16300000000000001"/>
    <m/>
    <n v="0.20899999999999999"/>
    <m/>
    <n v="0.112"/>
    <m/>
    <m/>
    <m/>
    <n v="5.7670000000000003"/>
    <n v="6.2510000000000003"/>
  </r>
  <r>
    <x v="1"/>
    <x v="1"/>
    <s v="Fresh or Not Specified"/>
    <s v="Lamb"/>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15.93"/>
    <n v="16"/>
    <m/>
    <m/>
    <m/>
    <m/>
    <m/>
    <m/>
    <m/>
    <m/>
    <m/>
    <m/>
    <m/>
    <m/>
    <m/>
    <n v="15.93"/>
    <n v="7.0000000000000007E-2"/>
    <m/>
    <n v="0.186"/>
    <m/>
    <n v="0.11600000000000001"/>
    <m/>
    <m/>
    <m/>
    <n v="15.93"/>
    <n v="16.302"/>
  </r>
  <r>
    <x v="6"/>
    <x v="230"/>
    <s v="Fresh or Not Specified"/>
    <s v="Tempeh"/>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45300000000000001"/>
    <n v="0.77300000000000002"/>
    <m/>
    <m/>
    <m/>
    <m/>
    <m/>
    <m/>
    <m/>
    <m/>
    <m/>
    <m/>
    <m/>
    <m/>
    <m/>
    <n v="0.45300000000000001"/>
    <n v="0.08"/>
    <n v="0.24"/>
    <n v="0.2"/>
    <n v="2.7E-2"/>
    <n v="9.2999999999999999E-2"/>
    <m/>
    <m/>
    <m/>
    <n v="0.45300000000000001"/>
    <n v="1.093"/>
  </r>
  <r>
    <x v="6"/>
    <x v="38"/>
    <s v="Fresh or Not Specified"/>
    <s v="Tofu"/>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61"/>
    <n v="1.6639999999999999"/>
    <m/>
    <m/>
    <m/>
    <m/>
    <m/>
    <m/>
    <m/>
    <m/>
    <m/>
    <m/>
    <m/>
    <m/>
    <m/>
    <n v="0.61"/>
    <n v="0.107"/>
    <n v="0.94699999999999995"/>
    <n v="0.2"/>
    <n v="2.7E-2"/>
    <n v="9.2999999999999999E-2"/>
    <m/>
    <m/>
    <m/>
    <n v="0.61"/>
    <n v="1.9839999999999998"/>
  </r>
  <r>
    <x v="11"/>
    <x v="83"/>
    <s v="Fresh or Not Specified"/>
    <s v="Walnut"/>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53"/>
    <n v="1.903"/>
    <m/>
    <m/>
    <m/>
    <m/>
    <m/>
    <m/>
    <m/>
    <m/>
    <m/>
    <m/>
    <m/>
    <m/>
    <m/>
    <n v="1.53"/>
    <n v="9.2999999999999999E-2"/>
    <n v="0.28000000000000003"/>
    <n v="0.21299999999999999"/>
    <n v="1.2999999999999999E-2"/>
    <m/>
    <m/>
    <m/>
    <m/>
    <n v="1.53"/>
    <n v="2.129"/>
  </r>
  <r>
    <x v="2"/>
    <x v="2"/>
    <s v="Fresh or Not Specified"/>
    <s v="Eg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7729999999999999"/>
    <n v="2.0529999999999999"/>
    <m/>
    <m/>
    <m/>
    <m/>
    <m/>
    <m/>
    <m/>
    <m/>
    <m/>
    <m/>
    <m/>
    <m/>
    <m/>
    <n v="1.7729999999999999"/>
    <n v="0.14699999999999999"/>
    <n v="0.13300000000000001"/>
    <n v="0.2"/>
    <n v="1.2999999999999999E-2"/>
    <m/>
    <m/>
    <m/>
    <m/>
    <n v="1.7729999999999999"/>
    <n v="2.266"/>
  </r>
  <r>
    <x v="11"/>
    <x v="116"/>
    <s v="Fresh or Not Specified"/>
    <s v="Cashew"/>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867"/>
    <n v="2.053666666666667"/>
    <m/>
    <m/>
    <m/>
    <m/>
    <m/>
    <m/>
    <m/>
    <m/>
    <m/>
    <m/>
    <m/>
    <m/>
    <m/>
    <n v="1.867"/>
    <n v="0.12"/>
    <n v="6.6666666666666666E-2"/>
    <n v="0.2"/>
    <n v="2.6666666666666668E-2"/>
    <m/>
    <m/>
    <m/>
    <m/>
    <n v="1.867"/>
    <n v="2.280333333333334"/>
  </r>
  <r>
    <x v="6"/>
    <x v="39"/>
    <s v="Fresh or Not Specified"/>
    <s v="Vales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3.573"/>
    <n v="5.9063333333333325"/>
    <m/>
    <m/>
    <m/>
    <m/>
    <m/>
    <m/>
    <m/>
    <m/>
    <m/>
    <m/>
    <m/>
    <m/>
    <m/>
    <n v="3.573"/>
    <n v="5.3333333333333337E-2"/>
    <n v="2.2799999999999998"/>
    <n v="0.2"/>
    <n v="1.3333333333333334E-2"/>
    <n v="0.10666666666666667"/>
    <m/>
    <m/>
    <m/>
    <n v="3.573"/>
    <n v="6.2263333333333328"/>
  </r>
  <r>
    <x v="0"/>
    <x v="4"/>
    <s v="Fresh or Not Specified"/>
    <s v="Chees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8.16"/>
    <n v="8.6533333333333342"/>
    <m/>
    <m/>
    <m/>
    <m/>
    <m/>
    <m/>
    <m/>
    <m/>
    <m/>
    <m/>
    <m/>
    <m/>
    <m/>
    <n v="8.16"/>
    <n v="9.3333333333333338E-2"/>
    <n v="0.4"/>
    <n v="0.18666666666666668"/>
    <n v="2.6666666666666668E-2"/>
    <n v="9.3333333333333338E-2"/>
    <m/>
    <m/>
    <m/>
    <n v="8.16"/>
    <n v="8.9600000000000026"/>
  </r>
  <r>
    <x v="7"/>
    <x v="40"/>
    <s v="Fresh or Not Specified"/>
    <s v="Soy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9.2999999999999999E-2"/>
    <n v="0.45300000000000001"/>
    <m/>
    <m/>
    <m/>
    <m/>
    <m/>
    <m/>
    <m/>
    <m/>
    <m/>
    <m/>
    <m/>
    <m/>
    <m/>
    <n v="9.2999999999999999E-2"/>
    <n v="0.10666666666666667"/>
    <n v="0.25333333333333335"/>
    <n v="5.3333333333333337E-2"/>
    <n v="2.6666666666666668E-2"/>
    <n v="9.3333333333333338E-2"/>
    <m/>
    <m/>
    <m/>
    <n v="9.2999999999999999E-2"/>
    <n v="0.6263333333333333"/>
  </r>
  <r>
    <x v="0"/>
    <x v="0"/>
    <s v="Fresh or Not Specified"/>
    <s v="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21299999999999999"/>
    <n v="1.0263333333333333"/>
    <m/>
    <m/>
    <m/>
    <m/>
    <m/>
    <m/>
    <m/>
    <m/>
    <m/>
    <m/>
    <m/>
    <m/>
    <m/>
    <n v="0.21299999999999999"/>
    <n v="2.6666666666666668E-2"/>
    <n v="0.78666666666666663"/>
    <n v="6.6666666666666666E-2"/>
    <n v="2.6666666666666668E-2"/>
    <n v="9.3333333333333338E-2"/>
    <m/>
    <m/>
    <m/>
    <n v="0.21299999999999999"/>
    <n v="1.2129999999999999"/>
  </r>
  <r>
    <x v="12"/>
    <x v="104"/>
    <s v="Fresh or Not Specified"/>
    <s v="Macker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62903225806451613"/>
    <m/>
    <m/>
    <m/>
    <m/>
    <m/>
    <m/>
    <m/>
    <m/>
    <m/>
    <m/>
    <m/>
    <m/>
    <m/>
    <m/>
    <n v="3.2258064516129031E-2"/>
    <n v="0.59677419354838712"/>
    <n v="0.17741935483870969"/>
    <n v="1.6129032258064516E-2"/>
    <n v="0.11290322580645161"/>
    <m/>
    <m/>
    <m/>
    <n v="0"/>
    <n v="0.93548387096774188"/>
  </r>
  <r>
    <x v="12"/>
    <x v="104"/>
    <s v="Fresh or Not Specified"/>
    <s v="Herrin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75806451612903225"/>
    <m/>
    <m/>
    <m/>
    <m/>
    <m/>
    <m/>
    <m/>
    <m/>
    <m/>
    <m/>
    <m/>
    <m/>
    <m/>
    <m/>
    <n v="1.6129032258064516E-2"/>
    <n v="0.74193548387096775"/>
    <n v="0.19354838709677419"/>
    <n v="1.6129032258064516E-2"/>
    <n v="0.11290322580645161"/>
    <m/>
    <m/>
    <m/>
    <n v="0"/>
    <n v="1.0806451612903225"/>
  </r>
  <r>
    <x v="12"/>
    <x v="104"/>
    <s v="Fresh or Not Specified"/>
    <s v="Polloc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2741935483870968"/>
    <m/>
    <m/>
    <m/>
    <m/>
    <m/>
    <m/>
    <m/>
    <m/>
    <m/>
    <m/>
    <m/>
    <m/>
    <m/>
    <m/>
    <n v="3.2258064516129031E-2"/>
    <n v="1.2419354838709677"/>
    <n v="0.19354838709677419"/>
    <n v="1.6129032258064516E-2"/>
    <n v="0.12903225806451613"/>
    <m/>
    <m/>
    <m/>
    <n v="0"/>
    <n v="1.6129032258064515"/>
  </r>
  <r>
    <x v="12"/>
    <x v="103"/>
    <s v="Fresh or Not Specified"/>
    <s v="Muss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6129032258064515"/>
    <m/>
    <m/>
    <m/>
    <m/>
    <m/>
    <m/>
    <m/>
    <m/>
    <m/>
    <m/>
    <m/>
    <m/>
    <m/>
    <m/>
    <n v="4.8387096774193547E-2"/>
    <n v="1.564516129032258"/>
    <n v="0.19354838709677419"/>
    <n v="1.6129032258064516E-2"/>
    <n v="0.11290322580645161"/>
    <m/>
    <m/>
    <m/>
    <n v="0"/>
    <n v="1.9354838709677418"/>
  </r>
  <r>
    <x v="12"/>
    <x v="104"/>
    <s v="Fresh or Not Specified"/>
    <s v="Salmon (Aquacultur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37096774193548387"/>
    <n v="1.7580645161290325"/>
    <m/>
    <m/>
    <m/>
    <m/>
    <m/>
    <m/>
    <m/>
    <m/>
    <m/>
    <m/>
    <m/>
    <m/>
    <m/>
    <n v="0.37096774193548387"/>
    <n v="0.22580645161290322"/>
    <n v="1.1612903225806452"/>
    <n v="0.19354838709677419"/>
    <n v="1.6129032258064516E-2"/>
    <n v="9.6774193548387094E-2"/>
    <m/>
    <m/>
    <m/>
    <n v="0.37096774193548387"/>
    <n v="2.0645161290322585"/>
  </r>
  <r>
    <x v="12"/>
    <x v="104"/>
    <s v="Fresh or Not Specified"/>
    <s v="Cod"/>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3.0806451612903225"/>
    <m/>
    <m/>
    <m/>
    <m/>
    <m/>
    <m/>
    <m/>
    <m/>
    <m/>
    <m/>
    <m/>
    <m/>
    <m/>
    <m/>
    <n v="3.2258064516129031E-2"/>
    <n v="3.0483870967741935"/>
    <n v="0.19354838709677419"/>
    <n v="1.6129032258064516E-2"/>
    <n v="9.6774193548387094E-2"/>
    <m/>
    <m/>
    <m/>
    <n v="0"/>
    <n v="3.387096774193548"/>
  </r>
  <r>
    <x v="12"/>
    <x v="111"/>
    <s v="Fresh or Not Specified"/>
    <s v="Praw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6.096774193548387"/>
    <m/>
    <m/>
    <m/>
    <m/>
    <m/>
    <m/>
    <m/>
    <m/>
    <m/>
    <m/>
    <m/>
    <m/>
    <m/>
    <m/>
    <n v="3.2258064516129031E-2"/>
    <n v="6.064516129032258"/>
    <n v="0.19354838709677419"/>
    <n v="1.6129032258064516E-2"/>
    <n v="9.6774193548387094E-2"/>
    <m/>
    <m/>
    <m/>
    <n v="0"/>
    <n v="6.403225806451613"/>
  </r>
  <r>
    <x v="12"/>
    <x v="111"/>
    <s v="Fresh or Not Specified"/>
    <s v="Shrimp"/>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9.5161290322580641"/>
    <m/>
    <m/>
    <m/>
    <m/>
    <m/>
    <m/>
    <m/>
    <m/>
    <m/>
    <m/>
    <m/>
    <m/>
    <m/>
    <m/>
    <n v="1.6129032258064516E-2"/>
    <n v="9.5"/>
    <n v="0.20967741935483872"/>
    <n v="1.6129032258064516E-2"/>
    <n v="0.11290322580645161"/>
    <m/>
    <m/>
    <m/>
    <n v="0"/>
    <n v="9.8548387096774182"/>
  </r>
  <r>
    <x v="11"/>
    <x v="201"/>
    <s v="Fresh or Not Specified"/>
    <s v="Gigantes (conventional)"/>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247"/>
    <s v=""/>
    <m/>
    <m/>
    <m/>
    <m/>
    <m/>
    <m/>
    <m/>
    <m/>
    <m/>
    <m/>
    <m/>
    <m/>
    <m/>
    <n v="0.247"/>
    <m/>
    <m/>
    <m/>
    <m/>
    <m/>
    <m/>
    <m/>
    <m/>
    <n v="0.247"/>
    <m/>
  </r>
  <r>
    <x v="11"/>
    <x v="201"/>
    <s v="Fresh or Not Specified"/>
    <s v="Gig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27"/>
    <s v=""/>
    <m/>
    <m/>
    <m/>
    <m/>
    <m/>
    <m/>
    <m/>
    <m/>
    <m/>
    <m/>
    <m/>
    <m/>
    <m/>
    <n v="0.127"/>
    <m/>
    <m/>
    <m/>
    <m/>
    <m/>
    <m/>
    <m/>
    <m/>
    <n v="0.127"/>
    <m/>
  </r>
  <r>
    <x v="11"/>
    <x v="201"/>
    <s v="Fresh or Not Specified"/>
    <s v="Gigantes (organic)"/>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299999999999999"/>
    <s v=""/>
    <m/>
    <m/>
    <m/>
    <m/>
    <m/>
    <m/>
    <m/>
    <m/>
    <m/>
    <m/>
    <m/>
    <m/>
    <m/>
    <n v="0.30299999999999999"/>
    <m/>
    <m/>
    <m/>
    <m/>
    <m/>
    <m/>
    <m/>
    <m/>
    <n v="0.30299999999999999"/>
    <m/>
  </r>
  <r>
    <x v="11"/>
    <x v="201"/>
    <s v="Fresh or Not Specified"/>
    <s v="Plake (Conventional)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199999999999999"/>
    <s v=""/>
    <m/>
    <m/>
    <m/>
    <m/>
    <m/>
    <m/>
    <m/>
    <m/>
    <m/>
    <m/>
    <m/>
    <m/>
    <m/>
    <n v="0.30199999999999999"/>
    <m/>
    <m/>
    <m/>
    <m/>
    <m/>
    <m/>
    <m/>
    <m/>
    <n v="0.30199999999999999"/>
    <m/>
  </r>
  <r>
    <x v="11"/>
    <x v="201"/>
    <s v="Fresh or Not Specified"/>
    <s v="Plake (integrated)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1799999999999999"/>
    <s v=""/>
    <m/>
    <m/>
    <m/>
    <m/>
    <m/>
    <m/>
    <m/>
    <m/>
    <m/>
    <m/>
    <m/>
    <m/>
    <m/>
    <n v="0.11799999999999999"/>
    <m/>
    <m/>
    <m/>
    <m/>
    <m/>
    <m/>
    <m/>
    <m/>
    <n v="0.11799999999999999"/>
    <m/>
  </r>
  <r>
    <x v="11"/>
    <x v="201"/>
    <s v="Fresh or Not Specified"/>
    <s v="Plake (organic) -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438"/>
    <s v=""/>
    <m/>
    <m/>
    <m/>
    <m/>
    <m/>
    <m/>
    <m/>
    <m/>
    <m/>
    <m/>
    <m/>
    <m/>
    <m/>
    <n v="0.438"/>
    <m/>
    <m/>
    <m/>
    <m/>
    <m/>
    <m/>
    <m/>
    <m/>
    <n v="0.438"/>
    <m/>
  </r>
  <r>
    <x v="11"/>
    <x v="201"/>
    <s v="Fresh or Not Specified"/>
    <s v="Elef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8.6599999999999996E-2"/>
    <s v=""/>
    <m/>
    <m/>
    <m/>
    <m/>
    <m/>
    <m/>
    <m/>
    <m/>
    <m/>
    <m/>
    <m/>
    <m/>
    <m/>
    <n v="8.6599999999999996E-2"/>
    <m/>
    <m/>
    <m/>
    <m/>
    <m/>
    <m/>
    <m/>
    <m/>
    <n v="8.6599999999999996E-2"/>
    <m/>
  </r>
  <r>
    <x v="1"/>
    <x v="24"/>
    <s v="Fresh or Not Specified"/>
    <s v="Roast Chicken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7069999999999999"/>
    <s v=""/>
    <m/>
    <m/>
    <m/>
    <m/>
    <m/>
    <m/>
    <m/>
    <m/>
    <m/>
    <m/>
    <m/>
    <m/>
    <m/>
    <n v="3.7069999999999999"/>
    <m/>
    <m/>
    <m/>
    <m/>
    <m/>
    <m/>
    <m/>
    <m/>
    <n v="3.7069999999999999"/>
    <m/>
  </r>
  <r>
    <x v="1"/>
    <x v="24"/>
    <s v="Fresh or Not Specified"/>
    <s v="Roast Chicken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4460000000000002"/>
    <s v=""/>
    <m/>
    <m/>
    <m/>
    <m/>
    <m/>
    <m/>
    <m/>
    <m/>
    <m/>
    <m/>
    <m/>
    <m/>
    <m/>
    <n v="3.4460000000000002"/>
    <m/>
    <m/>
    <m/>
    <m/>
    <m/>
    <m/>
    <m/>
    <m/>
    <n v="3.4460000000000002"/>
    <m/>
  </r>
  <r>
    <x v="1"/>
    <x v="24"/>
    <s v="Fresh or Not Specified"/>
    <s v="Breast Fillet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9.9809999999999999"/>
    <s v=""/>
    <m/>
    <m/>
    <m/>
    <m/>
    <m/>
    <m/>
    <m/>
    <m/>
    <m/>
    <m/>
    <m/>
    <m/>
    <m/>
    <n v="9.9809999999999999"/>
    <m/>
    <m/>
    <m/>
    <m/>
    <m/>
    <m/>
    <m/>
    <m/>
    <n v="9.9809999999999999"/>
    <m/>
  </r>
  <r>
    <x v="1"/>
    <x v="24"/>
    <s v="Fresh or Not Specified"/>
    <s v="Breast Fillet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10.657"/>
    <s v=""/>
    <m/>
    <m/>
    <m/>
    <m/>
    <m/>
    <m/>
    <m/>
    <m/>
    <m/>
    <m/>
    <m/>
    <m/>
    <m/>
    <n v="10.657"/>
    <m/>
    <m/>
    <m/>
    <m/>
    <m/>
    <m/>
    <m/>
    <m/>
    <n v="10.657"/>
    <m/>
  </r>
  <r>
    <x v="7"/>
    <x v="225"/>
    <s v="Fresh or Not Specified"/>
    <s v="Win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5"/>
    <s v=""/>
    <m/>
    <m/>
    <m/>
    <m/>
    <m/>
    <m/>
    <m/>
    <m/>
    <m/>
    <m/>
    <m/>
    <m/>
    <m/>
    <n v="0.5"/>
    <m/>
    <m/>
    <n v="0.55000000000000004"/>
    <m/>
    <n v="0.45"/>
    <m/>
    <m/>
    <m/>
    <n v="0.5"/>
    <n v="1.5"/>
  </r>
  <r>
    <x v="7"/>
    <x v="141"/>
    <s v="Fresh or Not Specified"/>
    <s v="Beer and Cid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25"/>
    <s v=""/>
    <m/>
    <m/>
    <m/>
    <m/>
    <m/>
    <m/>
    <m/>
    <m/>
    <m/>
    <m/>
    <m/>
    <m/>
    <m/>
    <n v="0.25"/>
    <m/>
    <m/>
    <n v="0.67500000000000004"/>
    <m/>
    <n v="0.25"/>
    <m/>
    <m/>
    <m/>
    <n v="0.25"/>
    <n v="1.175"/>
  </r>
  <r>
    <x v="7"/>
    <x v="169"/>
    <s v="Fresh or Not Specified"/>
    <s v="Spirits and Liqueur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67500000000000004"/>
    <s v=""/>
    <m/>
    <m/>
    <m/>
    <m/>
    <m/>
    <m/>
    <m/>
    <m/>
    <m/>
    <m/>
    <m/>
    <m/>
    <m/>
    <n v="0.67500000000000004"/>
    <m/>
    <m/>
    <n v="0.57999999999999996"/>
    <n v="0.18"/>
    <n v="0.81"/>
    <m/>
    <m/>
    <m/>
    <n v="0.67500000000000004"/>
    <n v="2.2450000000000001"/>
  </r>
  <r>
    <x v="3"/>
    <x v="44"/>
    <s v="Fresh or Not Specified"/>
    <s v="Pot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1"/>
    <s v=""/>
    <m/>
    <m/>
    <m/>
    <m/>
    <m/>
    <m/>
    <m/>
    <m/>
    <m/>
    <m/>
    <m/>
    <m/>
    <m/>
    <n v="0.21"/>
    <m/>
    <m/>
    <n v="0.03"/>
    <n v="0.08"/>
    <n v="0.08"/>
    <m/>
    <m/>
    <m/>
    <n v="0.21"/>
    <n v="0.4"/>
  </r>
  <r>
    <x v="3"/>
    <x v="19"/>
    <s v="Fresh or Not Specified"/>
    <s v="Tom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5.59"/>
    <s v=""/>
    <m/>
    <m/>
    <m/>
    <m/>
    <m/>
    <m/>
    <m/>
    <m/>
    <m/>
    <m/>
    <m/>
    <m/>
    <m/>
    <n v="5.59"/>
    <m/>
    <m/>
    <n v="0.22"/>
    <n v="0.125"/>
    <n v="0.22"/>
    <m/>
    <m/>
    <m/>
    <n v="5.59"/>
    <n v="6.1549999999999994"/>
  </r>
  <r>
    <x v="4"/>
    <x v="66"/>
    <s v="Fresh or Not Specified"/>
    <s v="Appl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3"/>
    <s v=""/>
    <m/>
    <m/>
    <m/>
    <m/>
    <m/>
    <m/>
    <m/>
    <m/>
    <m/>
    <m/>
    <m/>
    <m/>
    <m/>
    <n v="0.23"/>
    <m/>
    <m/>
    <n v="0.02"/>
    <n v="0.13500000000000001"/>
    <n v="0.09"/>
    <m/>
    <m/>
    <m/>
    <n v="0.23"/>
    <n v="0.47499999999999998"/>
  </r>
  <r>
    <x v="4"/>
    <x v="20"/>
    <s v="Fresh or Not Specified"/>
    <s v="Banana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31"/>
    <s v=""/>
    <m/>
    <m/>
    <m/>
    <m/>
    <m/>
    <m/>
    <m/>
    <m/>
    <m/>
    <m/>
    <m/>
    <m/>
    <m/>
    <n v="0.31"/>
    <m/>
    <m/>
    <m/>
    <n v="0.09"/>
    <n v="0.09"/>
    <m/>
    <m/>
    <m/>
    <n v="0.31"/>
    <n v="0.49"/>
  </r>
  <r>
    <x v="4"/>
    <x v="69"/>
    <s v="Fresh or Not Specified"/>
    <s v="Citrus Fruit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11"/>
    <s v=""/>
    <m/>
    <m/>
    <m/>
    <m/>
    <m/>
    <m/>
    <m/>
    <m/>
    <m/>
    <m/>
    <m/>
    <m/>
    <m/>
    <n v="0.11"/>
    <m/>
    <m/>
    <n v="0.02"/>
    <n v="0.17"/>
    <n v="0.21"/>
    <m/>
    <m/>
    <m/>
    <n v="0.11"/>
    <n v="0.51"/>
  </r>
  <r>
    <x v="0"/>
    <x v="7"/>
    <s v="Fresh or Not Specified"/>
    <s v="Butt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2.2599999999999998"/>
    <n v="2.3499999999999996"/>
    <m/>
    <m/>
    <m/>
    <m/>
    <m/>
    <m/>
    <m/>
    <m/>
    <m/>
    <m/>
    <m/>
    <m/>
    <m/>
    <n v="2.2599999999999998"/>
    <m/>
    <n v="0.09"/>
    <n v="0.11"/>
    <n v="0.19"/>
    <n v="0.72"/>
    <m/>
    <m/>
    <m/>
    <n v="2.2599999999999998"/>
    <n v="3.3699999999999992"/>
  </r>
  <r>
    <x v="0"/>
    <x v="5"/>
    <s v="Fresh or Not Specified"/>
    <s v="Yogurt"/>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95"/>
    <n v="1.05"/>
    <m/>
    <m/>
    <m/>
    <m/>
    <m/>
    <m/>
    <m/>
    <m/>
    <m/>
    <m/>
    <m/>
    <m/>
    <m/>
    <n v="0.95"/>
    <m/>
    <n v="0.1"/>
    <n v="0.14000000000000001"/>
    <n v="0.125"/>
    <n v="0.67"/>
    <m/>
    <m/>
    <m/>
    <n v="0.95"/>
    <n v="1.9849999999999999"/>
  </r>
  <r>
    <x v="0"/>
    <x v="4"/>
    <s v="Fresh or Not Specified"/>
    <s v="Chees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12.12"/>
    <n v="12.35"/>
    <m/>
    <m/>
    <m/>
    <m/>
    <m/>
    <m/>
    <m/>
    <m/>
    <m/>
    <m/>
    <m/>
    <m/>
    <m/>
    <n v="12.12"/>
    <m/>
    <n v="0.23"/>
    <n v="0.17"/>
    <n v="0.15"/>
    <n v="1.44"/>
    <m/>
    <m/>
    <m/>
    <n v="12.12"/>
    <n v="14.11"/>
  </r>
  <r>
    <x v="5"/>
    <x v="22"/>
    <s v="Fresh or Not Specified"/>
    <s v="Bread"/>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72"/>
    <n v="0.91999999999999993"/>
    <m/>
    <m/>
    <m/>
    <m/>
    <m/>
    <m/>
    <m/>
    <m/>
    <m/>
    <m/>
    <m/>
    <m/>
    <m/>
    <n v="0.72"/>
    <m/>
    <n v="0.2"/>
    <n v="0.03"/>
    <n v="0.16"/>
    <n v="0.14000000000000001"/>
    <m/>
    <m/>
    <m/>
    <n v="0.72"/>
    <n v="1.25"/>
  </r>
  <r>
    <x v="10"/>
    <x v="231"/>
    <s v="Fresh or Not Specified"/>
    <s v="Herbs and Spic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375"/>
    <s v=""/>
    <m/>
    <m/>
    <m/>
    <m/>
    <m/>
    <m/>
    <m/>
    <m/>
    <m/>
    <m/>
    <m/>
    <m/>
    <m/>
    <n v="0.375"/>
    <m/>
    <m/>
    <n v="0.09"/>
    <m/>
    <n v="0.2"/>
    <m/>
    <m/>
    <m/>
    <n v="0.375"/>
    <n v="0.66500000000000004"/>
  </r>
  <r>
    <x v="5"/>
    <x v="129"/>
    <s v="Fresh or Not Specified"/>
    <s v="Ric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58"/>
    <n v="4.76"/>
    <m/>
    <m/>
    <m/>
    <m/>
    <m/>
    <m/>
    <m/>
    <m/>
    <m/>
    <m/>
    <m/>
    <m/>
    <m/>
    <n v="4.58"/>
    <m/>
    <n v="0.18"/>
    <n v="0.375"/>
    <n v="1.23"/>
    <n v="0.25"/>
    <m/>
    <m/>
    <m/>
    <n v="4.58"/>
    <n v="6.6150000000000002"/>
  </r>
  <r>
    <x v="2"/>
    <x v="2"/>
    <s v="Fresh or Not Specified"/>
    <s v="Egg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25"/>
    <s v=""/>
    <m/>
    <m/>
    <m/>
    <m/>
    <m/>
    <m/>
    <m/>
    <m/>
    <m/>
    <m/>
    <m/>
    <m/>
    <m/>
    <n v="4.25"/>
    <m/>
    <m/>
    <n v="0.23"/>
    <n v="0.04"/>
    <n v="0.21"/>
    <m/>
    <m/>
    <m/>
    <n v="4.25"/>
    <n v="4.7300000000000004"/>
  </r>
  <r>
    <x v="0"/>
    <x v="4"/>
    <s v="Fresh or Not Specified"/>
    <s v="Cheddar Cheese - U.S. Total"/>
    <s v="No"/>
    <s v="United States"/>
    <n v="2011"/>
    <s v="Aguirre-Villegas, H., S. Kraatz, F. Milani, A. Newenhouse, T. Passos-Fonseca and D. Reinemann "/>
    <s v="University of Wisconsin"/>
    <s v="Other (specify)"/>
    <s v="Aguirre-Villegas H, Kraatz S, Milani F, Newenhouse A, Passos-Fonseca T, Reinemann D. Understand the Carbon Footprint of Cheese: University of Wisconsin Extension; 2011."/>
    <s v="Yes"/>
    <s v="No"/>
    <s v="Yes"/>
    <s v="Yes"/>
    <s v="No"/>
    <s v="Yes"/>
    <s v="No"/>
    <s v="No"/>
    <s v="No"/>
    <s v="No"/>
    <s v="No"/>
    <s v="No"/>
    <s v="no"/>
    <m/>
    <m/>
    <s v="Yes"/>
    <s v="kg CO2 / kg FPCM"/>
    <m/>
    <s v=""/>
    <s v=""/>
    <n v="1.2"/>
    <n v="8.3000000000000007"/>
    <m/>
    <m/>
    <m/>
    <m/>
    <m/>
    <m/>
    <m/>
    <m/>
    <m/>
    <m/>
    <m/>
    <m/>
    <m/>
    <n v="1.2"/>
    <n v="3.0000000000000001E-3"/>
    <n v="7.0970000000000004"/>
    <m/>
    <n v="7.6999999999999999E-2"/>
    <m/>
    <m/>
    <m/>
    <m/>
    <n v="1.2"/>
    <n v="8.3770000000000007"/>
  </r>
  <r>
    <x v="0"/>
    <x v="0"/>
    <s v="Fresh or Not Specified"/>
    <s v="Milk, Highlands of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13.78"/>
    <s v=""/>
    <m/>
    <m/>
    <m/>
    <m/>
    <m/>
    <m/>
    <m/>
    <m/>
    <m/>
    <m/>
    <m/>
    <m/>
    <m/>
    <n v="13.78"/>
    <m/>
    <m/>
    <m/>
    <m/>
    <m/>
    <m/>
    <m/>
    <m/>
    <n v="13.78"/>
    <m/>
  </r>
  <r>
    <x v="0"/>
    <x v="0"/>
    <s v="Fresh or Not Specified"/>
    <s v="Milk, Coastal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3.18"/>
    <s v=""/>
    <m/>
    <m/>
    <m/>
    <m/>
    <m/>
    <m/>
    <m/>
    <m/>
    <m/>
    <m/>
    <m/>
    <m/>
    <m/>
    <n v="3.18"/>
    <m/>
    <m/>
    <m/>
    <m/>
    <m/>
    <m/>
    <m/>
    <m/>
    <n v="3.18"/>
    <m/>
  </r>
  <r>
    <x v="0"/>
    <x v="0"/>
    <s v="Fresh or Not Specified"/>
    <s v="Milk, New Zealand Aver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1"/>
    <s v=""/>
    <n v="0.93300000000000005"/>
    <s v=""/>
    <n v="1.51"/>
    <m/>
    <m/>
    <m/>
    <m/>
    <m/>
    <m/>
    <m/>
    <m/>
    <n v="1.51"/>
    <m/>
    <m/>
    <m/>
    <n v="0.93300000000000005"/>
    <m/>
    <m/>
    <m/>
    <m/>
    <m/>
    <m/>
    <m/>
    <m/>
    <n v="0.93300000000000005"/>
    <m/>
  </r>
  <r>
    <x v="0"/>
    <x v="0"/>
    <s v="Fresh or Not Specified"/>
    <s v="Milk, Low Inputs"/>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0.55000000000000004"/>
    <s v=""/>
    <n v="0.64600000000000002"/>
    <s v=""/>
    <n v="0.55000000000000004"/>
    <m/>
    <m/>
    <m/>
    <m/>
    <m/>
    <m/>
    <m/>
    <m/>
    <n v="0.55000000000000004"/>
    <m/>
    <m/>
    <m/>
    <n v="0.64600000000000002"/>
    <m/>
    <m/>
    <m/>
    <m/>
    <m/>
    <m/>
    <m/>
    <m/>
    <n v="0.64600000000000002"/>
    <m/>
  </r>
  <r>
    <x v="0"/>
    <x v="0"/>
    <s v="Fresh or Not Specified"/>
    <s v="Milk, Nitrogen fertilizer"/>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1299999999999999"/>
    <s v=""/>
    <n v="0.76200000000000001"/>
    <s v=""/>
    <n v="1.1299999999999999"/>
    <m/>
    <m/>
    <m/>
    <m/>
    <m/>
    <m/>
    <m/>
    <m/>
    <n v="1.1299999999999999"/>
    <m/>
    <m/>
    <m/>
    <n v="0.76200000000000001"/>
    <m/>
    <m/>
    <m/>
    <m/>
    <m/>
    <m/>
    <m/>
    <m/>
    <n v="0.76200000000000001"/>
    <m/>
  </r>
  <r>
    <x v="0"/>
    <x v="0"/>
    <s v="Fresh or Not Specified"/>
    <s v="Milk, N fertilizer plus maize sil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5"/>
    <s v=""/>
    <n v="0.754"/>
    <s v=""/>
    <n v="1.55"/>
    <m/>
    <m/>
    <m/>
    <m/>
    <m/>
    <m/>
    <m/>
    <m/>
    <n v="1.55"/>
    <m/>
    <m/>
    <m/>
    <n v="0.754"/>
    <m/>
    <m/>
    <m/>
    <m/>
    <m/>
    <m/>
    <m/>
    <m/>
    <n v="0.754"/>
    <m/>
  </r>
  <r>
    <x v="3"/>
    <x v="206"/>
    <s v="Fresh or Not Specified"/>
    <s v="integrated production"/>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3.5799999999999998E-2"/>
    <s v=""/>
    <m/>
    <m/>
    <m/>
    <m/>
    <m/>
    <m/>
    <m/>
    <m/>
    <m/>
    <m/>
    <m/>
    <m/>
    <m/>
    <n v="3.5799999999999998E-2"/>
    <m/>
    <m/>
    <m/>
    <m/>
    <m/>
    <m/>
    <m/>
    <m/>
    <n v="3.5799999999999998E-2"/>
    <n v="0.68100000000000005"/>
  </r>
  <r>
    <x v="3"/>
    <x v="206"/>
    <s v="Fresh or Not Specified"/>
    <s v="organi DEMETER"/>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68600000000000005"/>
  </r>
  <r>
    <x v="3"/>
    <x v="206"/>
    <s v="Fresh or Not Specified"/>
    <s v="large farm business"/>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1.46E-2"/>
    <s v=""/>
    <m/>
    <m/>
    <m/>
    <m/>
    <m/>
    <m/>
    <m/>
    <m/>
    <m/>
    <m/>
    <m/>
    <m/>
    <m/>
    <n v="1.46E-2"/>
    <m/>
    <m/>
    <m/>
    <m/>
    <m/>
    <m/>
    <m/>
    <m/>
    <n v="1.46E-2"/>
    <n v="0.104"/>
  </r>
  <r>
    <x v="3"/>
    <x v="206"/>
    <s v="Fresh or Not Specified"/>
    <s v="Argentinian organic"/>
    <s v="Yes"/>
    <s v="Argentina"/>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20499999999999999"/>
  </r>
  <r>
    <x v="3"/>
    <x v="139"/>
    <s v="Fresh or Not Specified"/>
    <m/>
    <m/>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0.315"/>
    <n v="0.40100000000000002"/>
    <m/>
    <m/>
    <m/>
    <m/>
    <m/>
    <m/>
    <m/>
    <m/>
    <m/>
    <m/>
    <m/>
    <m/>
    <m/>
    <n v="0.315"/>
    <m/>
    <n v="8.5999999999999993E-2"/>
    <m/>
    <n v="9.6000000000000002E-2"/>
    <m/>
    <n v="0.30399999999999999"/>
    <m/>
    <m/>
    <n v="0.315"/>
    <n v="0.80099999999999993"/>
  </r>
  <r>
    <x v="4"/>
    <x v="81"/>
    <s v="Fresh or Not Specified"/>
    <s v="Spain produced, imported to UK"/>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8.3000000000000007"/>
    <s v=""/>
    <n v="0.3"/>
    <s v=""/>
    <n v="8.3000000000000007"/>
    <m/>
    <m/>
    <m/>
    <n v="3"/>
    <m/>
    <m/>
    <m/>
    <m/>
    <n v="8.3000000000000007"/>
    <n v="13.3"/>
    <m/>
    <m/>
    <n v="0.3"/>
    <m/>
    <m/>
    <m/>
    <n v="0.3"/>
    <m/>
    <m/>
    <m/>
    <m/>
    <n v="0.3"/>
    <n v="0.9"/>
  </r>
  <r>
    <x v="4"/>
    <x v="81"/>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s v="per tonne"/>
    <m/>
    <n v="12.9"/>
    <s v=""/>
    <n v="0.8"/>
    <s v=""/>
    <n v="12.9"/>
    <m/>
    <m/>
    <m/>
    <m/>
    <m/>
    <m/>
    <m/>
    <m/>
    <n v="12.9"/>
    <n v="14.6"/>
    <m/>
    <m/>
    <n v="0.8"/>
    <m/>
    <m/>
    <m/>
    <m/>
    <m/>
    <m/>
    <m/>
    <m/>
    <n v="0.8"/>
    <n v="1"/>
  </r>
  <r>
    <x v="3"/>
    <x v="44"/>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5"/>
    <s v=""/>
    <n v="0.2"/>
    <s v=""/>
    <n v="1.5"/>
    <m/>
    <m/>
    <m/>
    <m/>
    <m/>
    <m/>
    <m/>
    <m/>
    <n v="1.5"/>
    <n v="2.8"/>
    <m/>
    <m/>
    <n v="0.2"/>
    <m/>
    <m/>
    <m/>
    <m/>
    <m/>
    <m/>
    <m/>
    <m/>
    <n v="0.2"/>
    <n v="0.3"/>
  </r>
  <r>
    <x v="3"/>
    <x v="44"/>
    <s v="Fresh or Not Specified"/>
    <s v="imported to UK"/>
    <m/>
    <s v="Israe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9"/>
    <s v=""/>
    <n v="0.2"/>
    <s v=""/>
    <n v="1.9"/>
    <m/>
    <m/>
    <m/>
    <n v="8.6"/>
    <m/>
    <m/>
    <m/>
    <m/>
    <n v="1.9"/>
    <n v="10.5"/>
    <m/>
    <m/>
    <n v="0.2"/>
    <m/>
    <m/>
    <m/>
    <n v="0.3"/>
    <m/>
    <m/>
    <m/>
    <m/>
    <n v="0.2"/>
    <n v="0.5"/>
  </r>
  <r>
    <x v="4"/>
    <x v="66"/>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2.1"/>
    <s v=""/>
    <n v="0.2"/>
    <s v=""/>
    <n v="2.1"/>
    <m/>
    <m/>
    <m/>
    <m/>
    <m/>
    <m/>
    <m/>
    <m/>
    <n v="2.1"/>
    <n v="5.0999999999999996"/>
    <m/>
    <m/>
    <n v="0.2"/>
    <m/>
    <m/>
    <m/>
    <m/>
    <m/>
    <m/>
    <m/>
    <m/>
    <n v="0.2"/>
    <n v="0.4"/>
  </r>
  <r>
    <x v="4"/>
    <x v="66"/>
    <s v="Fresh or Not Specified"/>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2"/>
    <s v=""/>
    <n v="0.1"/>
    <s v=""/>
    <n v="1.2"/>
    <m/>
    <m/>
    <m/>
    <n v="7.5"/>
    <m/>
    <m/>
    <m/>
    <m/>
    <n v="1.2"/>
    <n v="11.2"/>
    <m/>
    <m/>
    <n v="0.1"/>
    <m/>
    <m/>
    <m/>
    <n v="0.7"/>
    <m/>
    <m/>
    <m/>
    <m/>
    <n v="0.1"/>
    <n v="0.9"/>
  </r>
  <r>
    <x v="1"/>
    <x v="1"/>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7.899999999999999"/>
    <s v=""/>
    <n v="13.5"/>
    <s v=""/>
    <n v="17.899999999999999"/>
    <m/>
    <m/>
    <m/>
    <m/>
    <m/>
    <m/>
    <m/>
    <m/>
    <n v="17.899999999999999"/>
    <n v="30.7"/>
    <m/>
    <m/>
    <n v="13.5"/>
    <m/>
    <m/>
    <m/>
    <m/>
    <m/>
    <m/>
    <m/>
    <m/>
    <n v="13.5"/>
    <n v="14.1"/>
  </r>
  <r>
    <x v="1"/>
    <x v="1"/>
    <s v="Frozen"/>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9.6999999999999993"/>
    <s v=""/>
    <n v="12.2"/>
    <m/>
    <m/>
    <m/>
    <n v="7.5"/>
    <m/>
    <m/>
    <m/>
    <m/>
    <n v="12.2"/>
    <n v="37"/>
    <m/>
    <m/>
    <n v="9.6999999999999993"/>
    <m/>
    <m/>
    <m/>
    <n v="0.6"/>
    <m/>
    <m/>
    <m/>
    <m/>
    <n v="9.6999999999999993"/>
    <n v="11.6"/>
  </r>
  <r>
    <x v="1"/>
    <x v="30"/>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5.9"/>
    <s v=""/>
    <n v="2.5"/>
    <s v=""/>
    <n v="15.9"/>
    <m/>
    <m/>
    <m/>
    <m/>
    <m/>
    <m/>
    <m/>
    <m/>
    <n v="15.9"/>
    <n v="21.1"/>
    <m/>
    <m/>
    <n v="2.5"/>
    <m/>
    <m/>
    <m/>
    <m/>
    <m/>
    <m/>
    <m/>
    <m/>
    <n v="2.5"/>
    <n v="2.8"/>
  </r>
  <r>
    <x v="1"/>
    <x v="30"/>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2.1"/>
    <s v=""/>
    <n v="12.2"/>
    <m/>
    <m/>
    <m/>
    <n v="4.0999999999999996"/>
    <m/>
    <m/>
    <m/>
    <m/>
    <n v="12.2"/>
    <n v="24.7"/>
    <m/>
    <m/>
    <n v="2.1"/>
    <m/>
    <m/>
    <m/>
    <n v="0.4"/>
    <m/>
    <m/>
    <m/>
    <m/>
    <n v="2.1"/>
    <n v="2.6"/>
  </r>
  <r>
    <x v="1"/>
    <x v="3"/>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41.3"/>
    <s v=""/>
    <n v="23.8"/>
    <s v=""/>
    <n v="41.3"/>
    <m/>
    <m/>
    <m/>
    <m/>
    <m/>
    <m/>
    <m/>
    <m/>
    <n v="41.3"/>
    <n v="44.4"/>
    <m/>
    <m/>
    <n v="23.8"/>
    <m/>
    <m/>
    <m/>
    <m/>
    <m/>
    <m/>
    <m/>
    <m/>
    <n v="23.8"/>
    <n v="24"/>
  </r>
  <r>
    <x v="1"/>
    <x v="3"/>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7.8"/>
    <s v=""/>
    <n v="31.7"/>
    <s v=""/>
    <n v="7.8"/>
    <m/>
    <m/>
    <m/>
    <n v="4"/>
    <m/>
    <m/>
    <m/>
    <m/>
    <n v="7.8"/>
    <n v="17.100000000000001"/>
    <m/>
    <m/>
    <n v="31.7"/>
    <m/>
    <m/>
    <m/>
    <n v="0.3"/>
    <m/>
    <m/>
    <m/>
    <m/>
    <n v="31.7"/>
    <n v="32.200000000000003"/>
  </r>
  <r>
    <x v="3"/>
    <x v="187"/>
    <s v="Fresh or Not Specified"/>
    <m/>
    <m/>
    <s v="Sicily"/>
    <n v="2014"/>
    <s v="Lo Giudice, A., Mbohwa, C, Clasadonte, M.T and Ingrao, C"/>
    <m/>
    <s v="Peer Reviewed Journal"/>
    <s v="Lo Giudice, A., Mbohwa, C., Clasadonte, M. and Ingrao, C., Life cycle assessment interpretation and improvement of the Sicilian artichokes production. International Journal of Environmental Research 2014, 8 (2), 305-316."/>
    <s v="Yes"/>
    <m/>
    <m/>
    <m/>
    <m/>
    <m/>
    <m/>
    <m/>
    <m/>
    <m/>
    <m/>
    <m/>
    <m/>
    <m/>
    <m/>
    <m/>
    <s v="per ha, @12.5 tonnes/ha"/>
    <m/>
    <n v="6.77"/>
    <s v=""/>
    <n v="0.1968"/>
    <s v=""/>
    <n v="6.77"/>
    <m/>
    <m/>
    <m/>
    <m/>
    <m/>
    <m/>
    <m/>
    <m/>
    <n v="6.77"/>
    <m/>
    <m/>
    <m/>
    <n v="0.1968"/>
    <m/>
    <m/>
    <m/>
    <m/>
    <m/>
    <m/>
    <m/>
    <m/>
    <n v="0.1968"/>
    <m/>
  </r>
  <r>
    <x v="3"/>
    <x v="92"/>
    <s v="Fresh or Not Specified"/>
    <s v="conventional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9.4E-2"/>
    <s v=""/>
    <m/>
    <m/>
    <m/>
    <m/>
    <m/>
    <m/>
    <m/>
    <m/>
    <m/>
    <m/>
    <m/>
    <m/>
    <m/>
    <n v="9.4E-2"/>
    <m/>
    <m/>
    <m/>
    <m/>
    <m/>
    <m/>
    <m/>
    <m/>
    <n v="9.4E-2"/>
    <m/>
  </r>
  <r>
    <x v="3"/>
    <x v="92"/>
    <s v="Fresh or Not Specified"/>
    <s v="organic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4.3999999999999997E-2"/>
    <s v=""/>
    <m/>
    <m/>
    <m/>
    <m/>
    <m/>
    <m/>
    <m/>
    <m/>
    <m/>
    <m/>
    <m/>
    <m/>
    <m/>
    <n v="4.3999999999999997E-2"/>
    <m/>
    <m/>
    <m/>
    <m/>
    <m/>
    <m/>
    <m/>
    <m/>
    <n v="4.3999999999999997E-2"/>
    <m/>
  </r>
  <r>
    <x v="3"/>
    <x v="77"/>
    <s v="Fresh or Not Specified"/>
    <s v="open field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3600000000000001"/>
    <s v=""/>
    <m/>
    <m/>
    <m/>
    <m/>
    <m/>
    <m/>
    <m/>
    <m/>
    <m/>
    <m/>
    <m/>
    <m/>
    <m/>
    <n v="0.13600000000000001"/>
    <m/>
    <m/>
    <m/>
    <m/>
    <m/>
    <m/>
    <m/>
    <m/>
    <n v="0.13600000000000001"/>
    <m/>
  </r>
  <r>
    <x v="3"/>
    <x v="77"/>
    <s v="Fresh or Not Specified"/>
    <s v="open field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35599999999999998"/>
    <s v=""/>
    <m/>
    <m/>
    <m/>
    <m/>
    <m/>
    <m/>
    <m/>
    <m/>
    <m/>
    <m/>
    <m/>
    <m/>
    <m/>
    <n v="0.35599999999999998"/>
    <m/>
    <m/>
    <m/>
    <m/>
    <m/>
    <m/>
    <m/>
    <m/>
    <n v="0.35599999999999998"/>
    <m/>
  </r>
  <r>
    <x v="3"/>
    <x v="77"/>
    <s v="Fresh or Not Specified"/>
    <s v="screenhouse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99999999999999"/>
    <s v=""/>
    <m/>
    <m/>
    <m/>
    <m/>
    <m/>
    <m/>
    <m/>
    <m/>
    <m/>
    <m/>
    <m/>
    <m/>
    <m/>
    <n v="0.10199999999999999"/>
    <m/>
    <m/>
    <m/>
    <m/>
    <m/>
    <m/>
    <m/>
    <m/>
    <n v="0.10199999999999999"/>
    <m/>
  </r>
  <r>
    <x v="3"/>
    <x v="77"/>
    <s v="Fresh or Not Specified"/>
    <s v="screenhouse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6900000000000001"/>
    <s v=""/>
    <m/>
    <m/>
    <m/>
    <m/>
    <m/>
    <m/>
    <m/>
    <m/>
    <m/>
    <m/>
    <m/>
    <m/>
    <m/>
    <n v="0.16900000000000001"/>
    <m/>
    <m/>
    <m/>
    <m/>
    <m/>
    <m/>
    <m/>
    <m/>
    <n v="0.16900000000000001"/>
    <m/>
  </r>
  <r>
    <x v="3"/>
    <x v="77"/>
    <s v="Fresh or Not Specified"/>
    <s v="screenhouse w mist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00000000000001"/>
    <s v=""/>
    <m/>
    <m/>
    <m/>
    <m/>
    <m/>
    <m/>
    <m/>
    <m/>
    <m/>
    <m/>
    <m/>
    <m/>
    <m/>
    <n v="0.10100000000000001"/>
    <m/>
    <m/>
    <m/>
    <m/>
    <m/>
    <m/>
    <m/>
    <m/>
    <n v="0.10100000000000001"/>
    <m/>
  </r>
  <r>
    <x v="3"/>
    <x v="77"/>
    <s v="Fresh or Not Specified"/>
    <s v="screenhouse w mist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2.89"/>
    <s v=""/>
    <m/>
    <m/>
    <m/>
    <m/>
    <m/>
    <m/>
    <m/>
    <m/>
    <m/>
    <m/>
    <m/>
    <m/>
    <m/>
    <n v="2.89"/>
    <m/>
    <m/>
    <m/>
    <m/>
    <m/>
    <m/>
    <m/>
    <m/>
    <n v="2.89"/>
    <m/>
  </r>
  <r>
    <x v="5"/>
    <x v="67"/>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m/>
    <m/>
    <s v=""/>
    <s v=""/>
    <n v="0.3"/>
    <n v="0.52"/>
    <m/>
    <m/>
    <m/>
    <m/>
    <m/>
    <m/>
    <m/>
    <m/>
    <m/>
    <m/>
    <m/>
    <m/>
    <m/>
    <n v="0.3"/>
    <m/>
    <n v="0.22"/>
    <n v="0.17"/>
    <n v="4.2999999999999997E-2"/>
    <n v="4.3999999999999997E-2"/>
    <n v="0.28400000000000003"/>
    <m/>
    <m/>
    <n v="0.3"/>
    <n v="1.0610000000000002"/>
  </r>
  <r>
    <x v="1"/>
    <x v="3"/>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s v="carcass weight, includes bones"/>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037037037037038"/>
    <n v="37.338820301783265"/>
    <m/>
    <m/>
    <m/>
    <m/>
    <m/>
    <m/>
    <m/>
    <m/>
    <m/>
    <m/>
    <m/>
    <m/>
    <m/>
    <n v="37.037037037037038"/>
    <m/>
    <n v="0.30178326474622774"/>
    <n v="0.23319615912208508"/>
    <n v="1.2757201646090537"/>
    <n v="0.46639231824417016"/>
    <n v="2.9629629629629632"/>
    <m/>
    <m/>
    <n v="37.037037037037038"/>
    <n v="42.277091906721537"/>
  </r>
  <r>
    <x v="11"/>
    <x v="178"/>
    <s v="Fresh or Not Specified"/>
    <s v="fresh"/>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37"/>
    <m/>
    <m/>
    <m/>
    <m/>
    <m/>
    <m/>
    <m/>
    <m/>
    <m/>
    <m/>
    <m/>
    <m/>
    <m/>
    <n v="1.32"/>
    <m/>
    <n v="0.05"/>
    <m/>
    <m/>
    <m/>
    <m/>
    <m/>
    <m/>
    <n v="1.32"/>
    <n v="1.37"/>
  </r>
  <r>
    <x v="11"/>
    <x v="178"/>
    <s v="Frozen"/>
    <s v="frozen"/>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55"/>
    <m/>
    <m/>
    <m/>
    <m/>
    <m/>
    <m/>
    <m/>
    <m/>
    <m/>
    <m/>
    <m/>
    <m/>
    <m/>
    <n v="1.32"/>
    <m/>
    <n v="0.23"/>
    <m/>
    <m/>
    <m/>
    <m/>
    <m/>
    <m/>
    <n v="1.32"/>
    <n v="1.55"/>
  </r>
  <r>
    <x v="4"/>
    <x v="136"/>
    <s v="Fresh or Not Specified"/>
    <s v="groundwater,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799310938845826"/>
    <s v=""/>
    <m/>
    <m/>
    <m/>
    <m/>
    <m/>
    <m/>
    <m/>
    <m/>
    <m/>
    <m/>
    <m/>
    <m/>
    <m/>
    <n v="0.22799310938845826"/>
    <m/>
    <m/>
    <m/>
    <m/>
    <m/>
    <m/>
    <m/>
    <m/>
    <n v="0.22799310938845826"/>
    <m/>
  </r>
  <r>
    <x v="4"/>
    <x v="136"/>
    <s v="Fresh or Not Specified"/>
    <s v="groundwater,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7168389319552111"/>
    <s v=""/>
    <m/>
    <m/>
    <m/>
    <m/>
    <m/>
    <m/>
    <m/>
    <m/>
    <m/>
    <m/>
    <m/>
    <m/>
    <m/>
    <n v="0.27168389319552111"/>
    <m/>
    <m/>
    <m/>
    <m/>
    <m/>
    <m/>
    <m/>
    <m/>
    <n v="0.27168389319552111"/>
    <m/>
  </r>
  <r>
    <x v="4"/>
    <x v="136"/>
    <s v="Fresh or Not Specified"/>
    <s v="surface,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198535745047376"/>
    <s v=""/>
    <m/>
    <m/>
    <m/>
    <m/>
    <m/>
    <m/>
    <m/>
    <m/>
    <m/>
    <m/>
    <m/>
    <m/>
    <m/>
    <n v="0.22198535745047376"/>
    <m/>
    <m/>
    <m/>
    <m/>
    <m/>
    <m/>
    <m/>
    <m/>
    <n v="0.22198535745047376"/>
    <m/>
  </r>
  <r>
    <x v="4"/>
    <x v="136"/>
    <s v="Fresh or Not Specified"/>
    <s v="surface,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6401808785529723"/>
    <s v=""/>
    <m/>
    <m/>
    <m/>
    <m/>
    <m/>
    <m/>
    <m/>
    <m/>
    <m/>
    <m/>
    <m/>
    <m/>
    <m/>
    <n v="0.26401808785529723"/>
    <m/>
    <m/>
    <m/>
    <m/>
    <m/>
    <m/>
    <m/>
    <m/>
    <n v="0.26401808785529723"/>
    <m/>
  </r>
  <r>
    <x v="4"/>
    <x v="136"/>
    <s v="Fresh or Not Specified"/>
    <s v="groundwater, gravity,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4414298018949185"/>
    <s v=""/>
    <m/>
    <m/>
    <m/>
    <m/>
    <m/>
    <m/>
    <m/>
    <m/>
    <m/>
    <m/>
    <m/>
    <m/>
    <m/>
    <n v="0.24414298018949185"/>
    <m/>
    <m/>
    <m/>
    <m/>
    <m/>
    <m/>
    <m/>
    <m/>
    <n v="0.24414298018949185"/>
    <m/>
  </r>
  <r>
    <x v="4"/>
    <x v="136"/>
    <s v="Fresh or Not Specified"/>
    <s v="groundwater,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847975882859606"/>
    <s v=""/>
    <m/>
    <m/>
    <m/>
    <m/>
    <m/>
    <m/>
    <m/>
    <m/>
    <m/>
    <m/>
    <m/>
    <m/>
    <m/>
    <n v="0.28847975882859606"/>
    <m/>
    <m/>
    <m/>
    <m/>
    <m/>
    <m/>
    <m/>
    <m/>
    <n v="0.28847975882859606"/>
    <m/>
  </r>
  <r>
    <x v="4"/>
    <x v="136"/>
    <s v="Fresh or Not Specified"/>
    <s v="surface, gravity,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3858742463393631"/>
    <s v=""/>
    <m/>
    <m/>
    <m/>
    <m/>
    <m/>
    <m/>
    <m/>
    <m/>
    <m/>
    <m/>
    <m/>
    <m/>
    <m/>
    <n v="0.23858742463393631"/>
    <m/>
    <m/>
    <m/>
    <m/>
    <m/>
    <m/>
    <m/>
    <m/>
    <n v="0.23858742463393631"/>
    <m/>
  </r>
  <r>
    <x v="4"/>
    <x v="136"/>
    <s v="Fresh or Not Specified"/>
    <s v="surface,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277347114556417"/>
    <s v=""/>
    <m/>
    <m/>
    <m/>
    <m/>
    <m/>
    <m/>
    <m/>
    <m/>
    <m/>
    <m/>
    <m/>
    <m/>
    <m/>
    <n v="0.28277347114556417"/>
    <m/>
    <m/>
    <m/>
    <m/>
    <m/>
    <m/>
    <m/>
    <m/>
    <n v="0.28277347114556417"/>
    <m/>
  </r>
  <r>
    <x v="1"/>
    <x v="3"/>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22.6"/>
    <s v=""/>
    <m/>
    <m/>
    <m/>
    <m/>
    <m/>
    <m/>
    <m/>
    <m/>
    <m/>
    <m/>
    <m/>
    <m/>
    <m/>
    <n v="22.6"/>
    <m/>
    <m/>
    <m/>
    <m/>
    <m/>
    <m/>
    <m/>
    <m/>
    <n v="22.6"/>
    <m/>
  </r>
  <r>
    <x v="1"/>
    <x v="3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1.6"/>
    <s v=""/>
    <m/>
    <m/>
    <m/>
    <m/>
    <m/>
    <m/>
    <m/>
    <m/>
    <m/>
    <m/>
    <m/>
    <m/>
    <m/>
    <n v="1.6"/>
    <m/>
    <m/>
    <m/>
    <m/>
    <m/>
    <m/>
    <m/>
    <m/>
    <n v="1.6"/>
    <m/>
  </r>
  <r>
    <x v="2"/>
    <x v="2"/>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ggs in shell"/>
    <m/>
    <s v=""/>
    <s v=""/>
    <n v="1.7"/>
    <s v=""/>
    <m/>
    <m/>
    <m/>
    <m/>
    <m/>
    <m/>
    <m/>
    <m/>
    <m/>
    <m/>
    <m/>
    <m/>
    <m/>
    <n v="1.7"/>
    <m/>
    <m/>
    <m/>
    <m/>
    <m/>
    <m/>
    <m/>
    <m/>
    <n v="1.7"/>
    <m/>
  </r>
  <r>
    <x v="0"/>
    <x v="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whole fresh cows milk"/>
    <m/>
    <s v=""/>
    <s v=""/>
    <n v="14.3"/>
    <s v=""/>
    <m/>
    <m/>
    <m/>
    <m/>
    <m/>
    <m/>
    <m/>
    <m/>
    <m/>
    <m/>
    <m/>
    <m/>
    <m/>
    <n v="14.3"/>
    <m/>
    <m/>
    <m/>
    <m/>
    <m/>
    <m/>
    <m/>
    <m/>
    <n v="14.3"/>
    <m/>
  </r>
  <r>
    <x v="0"/>
    <x v="0"/>
    <m/>
    <s v="based on 8 Dutch organic dairy farms, year 2000"/>
    <m/>
    <s v="Netherlands"/>
    <n v="2005"/>
    <s v="Thomassen, M. A._x000a_de Boer, I. J. M."/>
    <s v="Wageningen Inst."/>
    <s v="Peer Reviewed Journal"/>
    <s v="Thomassen, M. A. and De Boer, I. J. M., Evaluation of indicators to assess the environmental impact of dairy production systems. Agriculture, Ecosystems &amp; Environment 2005, 111 (1–4), 185-199."/>
    <s v="Yes"/>
    <s v="No"/>
    <m/>
    <m/>
    <m/>
    <m/>
    <m/>
    <m/>
    <m/>
    <m/>
    <m/>
    <m/>
    <m/>
    <s v="farm gate"/>
    <m/>
    <m/>
    <s v="kg FPCM"/>
    <m/>
    <n v="2.48"/>
    <s v=""/>
    <n v="1.81"/>
    <s v=""/>
    <n v="2.48"/>
    <m/>
    <m/>
    <m/>
    <m/>
    <m/>
    <m/>
    <m/>
    <m/>
    <n v="2.48"/>
    <m/>
    <m/>
    <s v="SD=0.91; CV=37%"/>
    <n v="1.81"/>
    <m/>
    <m/>
    <m/>
    <m/>
    <m/>
    <m/>
    <m/>
    <m/>
    <n v="1.81"/>
    <m/>
  </r>
  <r>
    <x v="1"/>
    <x v="3"/>
    <m/>
    <s v="typical Irish beef-suckler system, su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8.04245717672725"/>
    <s v=""/>
    <m/>
    <m/>
    <m/>
    <m/>
    <m/>
    <m/>
    <m/>
    <m/>
    <m/>
    <m/>
    <m/>
    <m/>
    <m/>
    <n v="28.04245717672725"/>
    <m/>
    <m/>
    <m/>
    <m/>
    <m/>
    <m/>
    <m/>
    <m/>
    <n v="28.04245717672725"/>
    <m/>
  </r>
  <r>
    <x v="1"/>
    <x v="3"/>
    <m/>
    <s v="typical Irish beef-suckler system, su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718698790139815"/>
    <s v=""/>
    <m/>
    <m/>
    <m/>
    <m/>
    <m/>
    <m/>
    <m/>
    <m/>
    <m/>
    <m/>
    <m/>
    <m/>
    <m/>
    <n v="27.718698790139815"/>
    <m/>
    <m/>
    <m/>
    <m/>
    <m/>
    <m/>
    <m/>
    <m/>
    <n v="27.718698790139815"/>
    <m/>
  </r>
  <r>
    <x v="1"/>
    <x v="3"/>
    <m/>
    <s v="typical Irish beef-suckler system, su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4945583686562"/>
    <s v=""/>
    <m/>
    <m/>
    <m/>
    <m/>
    <m/>
    <m/>
    <m/>
    <m/>
    <m/>
    <m/>
    <m/>
    <m/>
    <m/>
    <n v="27.4945583686562"/>
    <m/>
    <m/>
    <m/>
    <m/>
    <m/>
    <m/>
    <m/>
    <m/>
    <n v="27.4945583686562"/>
    <m/>
  </r>
  <r>
    <x v="1"/>
    <x v="3"/>
    <m/>
    <s v="shorter life scenario, harvesting younger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25575418270931"/>
    <s v=""/>
    <m/>
    <m/>
    <m/>
    <m/>
    <m/>
    <m/>
    <m/>
    <m/>
    <m/>
    <m/>
    <m/>
    <m/>
    <m/>
    <n v="25.925575418270931"/>
    <m/>
    <m/>
    <m/>
    <m/>
    <m/>
    <m/>
    <m/>
    <m/>
    <n v="25.925575418270931"/>
    <m/>
  </r>
  <r>
    <x v="1"/>
    <x v="3"/>
    <m/>
    <s v="non-castrated males in intensive indoor feedlot"/>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99646854313707"/>
    <s v=""/>
    <m/>
    <m/>
    <m/>
    <m/>
    <m/>
    <m/>
    <m/>
    <m/>
    <m/>
    <m/>
    <m/>
    <m/>
    <m/>
    <n v="26.99646854313707"/>
    <m/>
    <m/>
    <m/>
    <m/>
    <m/>
    <m/>
    <m/>
    <m/>
    <n v="26.99646854313707"/>
    <m/>
  </r>
  <r>
    <x v="1"/>
    <x v="3"/>
    <m/>
    <s v="same management as scenario 1 but using dairy-bred beef, s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281878994057788"/>
    <s v=""/>
    <m/>
    <m/>
    <m/>
    <m/>
    <m/>
    <m/>
    <m/>
    <m/>
    <m/>
    <m/>
    <m/>
    <m/>
    <m/>
    <n v="24.281878994057788"/>
    <m/>
    <m/>
    <m/>
    <m/>
    <m/>
    <m/>
    <m/>
    <m/>
    <n v="24.281878994057788"/>
    <m/>
  </r>
  <r>
    <x v="1"/>
    <x v="3"/>
    <m/>
    <s v="same management as scenario 1 but using dairy-bred beef, s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7609517500389"/>
    <s v=""/>
    <m/>
    <m/>
    <m/>
    <m/>
    <m/>
    <m/>
    <m/>
    <m/>
    <m/>
    <m/>
    <m/>
    <m/>
    <m/>
    <n v="22.787609517500389"/>
    <m/>
    <m/>
    <m/>
    <m/>
    <m/>
    <m/>
    <m/>
    <m/>
    <n v="22.787609517500389"/>
    <m/>
  </r>
  <r>
    <x v="1"/>
    <x v="3"/>
    <m/>
    <s v="same management as scenario 1 but using dairy-bred beef, s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563469096016778"/>
    <s v=""/>
    <m/>
    <m/>
    <m/>
    <m/>
    <m/>
    <m/>
    <m/>
    <m/>
    <m/>
    <m/>
    <m/>
    <m/>
    <m/>
    <n v="22.563469096016778"/>
    <m/>
    <m/>
    <m/>
    <m/>
    <m/>
    <m/>
    <m/>
    <m/>
    <n v="22.563469096016778"/>
    <m/>
  </r>
  <r>
    <x v="1"/>
    <x v="3"/>
    <m/>
    <s v="same as scenario 2, with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7.85652024486096"/>
    <s v=""/>
    <m/>
    <m/>
    <m/>
    <m/>
    <m/>
    <m/>
    <m/>
    <m/>
    <m/>
    <m/>
    <m/>
    <m/>
    <m/>
    <n v="17.85652024486096"/>
    <m/>
    <m/>
    <m/>
    <m/>
    <m/>
    <m/>
    <m/>
    <m/>
    <n v="17.85652024486096"/>
    <m/>
  </r>
  <r>
    <x v="1"/>
    <x v="3"/>
    <m/>
    <s v="same as scenario 3, but using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8.82779540462327"/>
    <s v=""/>
    <m/>
    <m/>
    <m/>
    <m/>
    <m/>
    <m/>
    <m/>
    <m/>
    <m/>
    <m/>
    <m/>
    <m/>
    <m/>
    <n v="18.82779540462327"/>
    <m/>
    <m/>
    <m/>
    <m/>
    <m/>
    <m/>
    <m/>
    <m/>
    <n v="18.82779540462327"/>
    <m/>
  </r>
  <r>
    <x v="3"/>
    <x v="94"/>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223"/>
    <s v=""/>
    <n v="1.7999999999999999E-2"/>
    <s v=""/>
    <n v="0.223"/>
    <m/>
    <m/>
    <n v="2.16"/>
    <n v="0.26"/>
    <m/>
    <m/>
    <m/>
    <m/>
    <n v="0.223"/>
    <n v="2.6429999999999998"/>
    <m/>
    <m/>
    <n v="1.7999999999999999E-2"/>
    <m/>
    <m/>
    <n v="3.2000000000000001E-2"/>
    <n v="1.9E-2"/>
    <m/>
    <m/>
    <m/>
    <m/>
    <n v="1.7999999999999999E-2"/>
    <n v="6.9000000000000006E-2"/>
  </r>
  <r>
    <x v="3"/>
    <x v="232"/>
    <s v="Frozen"/>
    <s v="frozen, cut carrots at wholesaler"/>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59000000000000008"/>
    <n v="6.8900000000000006"/>
    <n v="2.3E-2"/>
    <n v="0.218"/>
    <n v="0.59000000000000008"/>
    <m/>
    <n v="6.3000000000000007"/>
    <m/>
    <n v="0.67"/>
    <m/>
    <m/>
    <m/>
    <m/>
    <n v="0.59000000000000008"/>
    <n v="7.5600000000000005"/>
    <m/>
    <m/>
    <n v="2.3E-2"/>
    <m/>
    <n v="0.19500000000000001"/>
    <m/>
    <n v="4.9000000000000002E-2"/>
    <m/>
    <m/>
    <m/>
    <m/>
    <n v="2.3E-2"/>
    <n v="0.26700000000000002"/>
  </r>
  <r>
    <x v="3"/>
    <x v="94"/>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216"/>
    <s v=""/>
    <n v="0.04"/>
    <s v=""/>
    <n v="1.216"/>
    <m/>
    <m/>
    <n v="1.88"/>
    <n v="0.98"/>
    <m/>
    <m/>
    <m/>
    <m/>
    <n v="1.216"/>
    <n v="4.0760000000000005"/>
    <m/>
    <m/>
    <n v="0.04"/>
    <m/>
    <m/>
    <n v="4.3999999999999997E-2"/>
    <n v="7.0999999999999994E-2"/>
    <m/>
    <m/>
    <m/>
    <m/>
    <n v="0.04"/>
    <n v="0.15499999999999997"/>
  </r>
  <r>
    <x v="3"/>
    <x v="233"/>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131"/>
    <s v=""/>
    <n v="3.9E-2"/>
    <s v=""/>
    <n v="1.131"/>
    <m/>
    <m/>
    <n v="0.52"/>
    <n v="0.26"/>
    <m/>
    <m/>
    <m/>
    <m/>
    <n v="1.131"/>
    <n v="1.911"/>
    <m/>
    <m/>
    <n v="3.9E-2"/>
    <m/>
    <m/>
    <n v="1.0999999999999999E-2"/>
    <n v="1.9E-2"/>
    <m/>
    <m/>
    <m/>
    <m/>
    <n v="3.9E-2"/>
    <n v="6.9000000000000006E-2"/>
  </r>
  <r>
    <x v="3"/>
    <x v="233"/>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49"/>
    <s v=""/>
    <n v="4.5999999999999999E-2"/>
    <s v=""/>
    <n v="1.49"/>
    <m/>
    <m/>
    <n v="0.98"/>
    <n v="0.55000000000000004"/>
    <m/>
    <m/>
    <m/>
    <m/>
    <n v="1.49"/>
    <n v="3.0199999999999996"/>
    <m/>
    <m/>
    <n v="4.5999999999999999E-2"/>
    <m/>
    <m/>
    <n v="5.8999999999999997E-2"/>
    <n v="0.04"/>
    <m/>
    <m/>
    <m/>
    <m/>
    <n v="4.5999999999999999E-2"/>
    <n v="0.14499999999999999"/>
  </r>
  <r>
    <x v="3"/>
    <x v="18"/>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1"/>
    <s v=""/>
    <n v="2.694"/>
    <s v=""/>
    <n v="51"/>
    <m/>
    <m/>
    <m/>
    <n v="0.41"/>
    <m/>
    <m/>
    <m/>
    <m/>
    <n v="51"/>
    <n v="51.41"/>
    <m/>
    <m/>
    <n v="2.694"/>
    <m/>
    <m/>
    <m/>
    <n v="0.03"/>
    <m/>
    <m/>
    <m/>
    <m/>
    <n v="2.694"/>
    <n v="2.7239999999999998"/>
  </r>
  <r>
    <x v="3"/>
    <x v="18"/>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2.4"/>
    <s v=""/>
    <n v="2.8330000000000002"/>
    <s v=""/>
    <n v="52.4"/>
    <m/>
    <m/>
    <m/>
    <n v="1.1000000000000001"/>
    <m/>
    <m/>
    <m/>
    <m/>
    <n v="52.4"/>
    <n v="53.5"/>
    <m/>
    <m/>
    <n v="2.8330000000000002"/>
    <m/>
    <m/>
    <m/>
    <n v="7.3999999999999996E-2"/>
    <m/>
    <m/>
    <m/>
    <m/>
    <n v="2.8330000000000002"/>
    <n v="2.907"/>
  </r>
  <r>
    <x v="3"/>
    <x v="18"/>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60.91"/>
    <s v=""/>
    <n v="3.62"/>
    <s v=""/>
    <n v="60.91"/>
    <m/>
    <m/>
    <m/>
    <n v="0.55000000000000004"/>
    <m/>
    <m/>
    <m/>
    <m/>
    <n v="60.91"/>
    <n v="61.459999999999994"/>
    <m/>
    <m/>
    <n v="3.62"/>
    <m/>
    <m/>
    <m/>
    <n v="3.7999999999999999E-2"/>
    <m/>
    <m/>
    <m/>
    <m/>
    <n v="3.62"/>
    <n v="3.6579999999999999"/>
  </r>
  <r>
    <x v="3"/>
    <x v="75"/>
    <s v="Frozen"/>
    <s v="possible Swe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7.4509090909090903"/>
    <n v="12.212727272727271"/>
    <n v="0.61181818181818182"/>
    <n v="0.66723636363636363"/>
    <n v="7.4509090909090903"/>
    <m/>
    <n v="4.7618181818181817"/>
    <n v="0.49454545454545457"/>
    <n v="7.5545454545454547"/>
    <m/>
    <n v="7.045454545454545"/>
    <m/>
    <m/>
    <n v="7.4509090909090903"/>
    <n v="27.307272727272725"/>
    <m/>
    <m/>
    <n v="0.61181818181818182"/>
    <m/>
    <n v="5.5418181818181811E-2"/>
    <n v="1.5090909090909091E-2"/>
    <n v="0.15999999999999998"/>
    <m/>
    <n v="4.4272727272727269E-2"/>
    <m/>
    <m/>
    <n v="0.61181818181818182"/>
    <n v="0.88659999999999983"/>
  </r>
  <r>
    <x v="3"/>
    <x v="75"/>
    <s v="Frozen"/>
    <s v="South Europe case 1"/>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6636363636363636"/>
    <n v="9.6818181818181817"/>
    <n v="0.36363636363636365"/>
    <n v="0.41905454545454546"/>
    <n v="3.6636363636363636"/>
    <m/>
    <n v="6.0181818181818176"/>
    <n v="0.49454545454545457"/>
    <n v="9.9"/>
    <m/>
    <n v="7.2363636363636354"/>
    <m/>
    <m/>
    <n v="3.6636363636363636"/>
    <n v="27.312727272727273"/>
    <m/>
    <m/>
    <n v="0.36363636363636365"/>
    <m/>
    <n v="5.5418181818181811E-2"/>
    <n v="1.5090909090909091E-2"/>
    <n v="0.32454545454545453"/>
    <m/>
    <n v="4.4272727272727269E-2"/>
    <m/>
    <m/>
    <n v="0.36363636363636365"/>
    <n v="0.80296363636363632"/>
  </r>
  <r>
    <x v="3"/>
    <x v="75"/>
    <s v="Frozen"/>
    <s v="South Europe case 2"/>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3626363636363634"/>
    <n v="9.5899090909090905"/>
    <n v="0.33909090909090905"/>
    <n v="0.70045454545454544"/>
    <n v="3.3626363636363634"/>
    <m/>
    <n v="6.2272727272727266"/>
    <n v="0.49454545454545457"/>
    <n v="6.540909090909091"/>
    <m/>
    <n v="7.045454545454545"/>
    <m/>
    <m/>
    <n v="3.3626363636363634"/>
    <n v="23.670818181818184"/>
    <m/>
    <m/>
    <n v="0.33909090909090905"/>
    <m/>
    <n v="0.36136363636363633"/>
    <n v="1.5090909090909091E-2"/>
    <n v="0.18772727272727271"/>
    <m/>
    <n v="4.4272727272727269E-2"/>
    <m/>
    <m/>
    <n v="0.33909090909090905"/>
    <n v="0.94754545454545447"/>
  </r>
  <r>
    <x v="3"/>
    <x v="75"/>
    <s v="Frozen"/>
    <s v="S and C American case 1"/>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0909090909090904"/>
    <n v="7.3818181818181809"/>
    <n v="0.57390909090909081"/>
    <n v="0.7827272727272726"/>
    <n v="3.0909090909090904"/>
    <m/>
    <n v="4.2909090909090901"/>
    <n v="0.49454545454545457"/>
    <n v="8.0272727272727273"/>
    <m/>
    <n v="7.2363636363636354"/>
    <m/>
    <m/>
    <n v="3.0909090909090904"/>
    <n v="23.139999999999997"/>
    <m/>
    <m/>
    <n v="0.57390909090909081"/>
    <m/>
    <n v="0.20881818181818179"/>
    <n v="1.5090909090909091E-2"/>
    <n v="0.34909090909090906"/>
    <m/>
    <n v="4.4272727272727269E-2"/>
    <m/>
    <m/>
    <n v="0.57390909090909081"/>
    <n v="1.1911818181818179"/>
  </r>
  <r>
    <x v="3"/>
    <x v="75"/>
    <s v="Frozen"/>
    <s v="S and C American case 2"/>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s v=""/>
    <n v="5.1090909090909085"/>
    <n v="0.21636363636363634"/>
    <n v="0.53818181818181809"/>
    <n v="0"/>
    <m/>
    <n v="5.1090909090909085"/>
    <n v="0.49454545454545457"/>
    <n v="7.8090909090909086"/>
    <m/>
    <n v="7.045454545454545"/>
    <m/>
    <m/>
    <n v="0"/>
    <n v="20.458181818181814"/>
    <m/>
    <m/>
    <n v="0.21636363636363634"/>
    <m/>
    <n v="0.32181818181818178"/>
    <n v="1.5090909090909091E-2"/>
    <n v="0.30727272727272725"/>
    <m/>
    <n v="4.4272727272727269E-2"/>
    <m/>
    <m/>
    <n v="0.21636363636363634"/>
    <n v="0.90481818181818163"/>
  </r>
  <r>
    <x v="3"/>
    <x v="75"/>
    <s v="Fresh or Not Specified"/>
    <s v="possible Swed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7.5"/>
    <n v="8.11"/>
    <n v="0.629"/>
    <n v="0.64370000000000005"/>
    <n v="7.5"/>
    <m/>
    <n v="0.61"/>
    <n v="0.90500000000000003"/>
    <n v="2.79"/>
    <m/>
    <n v="6.61"/>
    <m/>
    <m/>
    <n v="7.5"/>
    <n v="18.414999999999999"/>
    <m/>
    <m/>
    <n v="0.629"/>
    <m/>
    <n v="1.47E-2"/>
    <n v="1.66E-2"/>
    <n v="0.17499999999999999"/>
    <m/>
    <n v="0.159"/>
    <m/>
    <m/>
    <n v="0.629"/>
    <n v="0.99429999999999996"/>
  </r>
  <r>
    <x v="3"/>
    <x v="75"/>
    <s v="Fresh or Not Specified"/>
    <s v="South Europe case 1,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5"/>
    <n v="4.452"/>
    <n v="0.39700000000000002"/>
    <n v="0.41170000000000001"/>
    <n v="3.95"/>
    <m/>
    <n v="0.502"/>
    <n v="1.1200000000000001"/>
    <n v="4.95"/>
    <m/>
    <n v="6.3440000000000003"/>
    <m/>
    <m/>
    <n v="3.95"/>
    <n v="16.866"/>
    <m/>
    <m/>
    <n v="0.39700000000000002"/>
    <m/>
    <n v="1.47E-2"/>
    <n v="1.66E-2"/>
    <n v="0.246"/>
    <m/>
    <n v="0.16400000000000001"/>
    <m/>
    <m/>
    <n v="0.39700000000000002"/>
    <n v="0.83830000000000005"/>
  </r>
  <r>
    <x v="3"/>
    <x v="75"/>
    <s v="Fresh or Not Specified"/>
    <s v="South Europe case 2,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9"/>
    <n v="4.492"/>
    <n v="0.42699999999999999"/>
    <n v="0.46179999999999999"/>
    <n v="3.99"/>
    <m/>
    <n v="0.502"/>
    <n v="1.1200000000000001"/>
    <n v="5.22"/>
    <m/>
    <n v="6.3440000000000003"/>
    <m/>
    <m/>
    <n v="3.99"/>
    <n v="17.176000000000002"/>
    <m/>
    <m/>
    <n v="0.42699999999999999"/>
    <m/>
    <n v="3.4799999999999998E-2"/>
    <n v="3.6600000000000001E-2"/>
    <n v="0.27600000000000002"/>
    <m/>
    <n v="0.14899999999999999"/>
    <m/>
    <m/>
    <n v="0.42699999999999999"/>
    <n v="0.9234"/>
  </r>
  <r>
    <x v="12"/>
    <x v="101"/>
    <s v="Fresh or Not Specified"/>
    <s v="albacor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388303448275867"/>
    <s v=""/>
    <n v="1.8279310344827588"/>
    <s v=""/>
    <n v="27.388303448275867"/>
    <m/>
    <m/>
    <m/>
    <m/>
    <m/>
    <m/>
    <m/>
    <m/>
    <n v="27.388303448275867"/>
    <m/>
    <m/>
    <m/>
    <n v="1.8279310344827588"/>
    <m/>
    <m/>
    <m/>
    <m/>
    <m/>
    <m/>
    <m/>
    <m/>
    <n v="1.8279310344827588"/>
    <m/>
  </r>
  <r>
    <x v="12"/>
    <x v="101"/>
    <s v="Fresh or Not Specified"/>
    <s v="bigey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156331034482761"/>
    <s v=""/>
    <n v="2.3463793103448278"/>
    <s v=""/>
    <n v="35.156331034482761"/>
    <m/>
    <m/>
    <m/>
    <m/>
    <m/>
    <m/>
    <m/>
    <m/>
    <n v="35.156331034482761"/>
    <m/>
    <m/>
    <m/>
    <n v="2.3463793103448278"/>
    <m/>
    <m/>
    <m/>
    <m/>
    <m/>
    <m/>
    <m/>
    <m/>
    <n v="2.3463793103448278"/>
    <m/>
  </r>
  <r>
    <x v="12"/>
    <x v="101"/>
    <s v="Fresh or Not Specified"/>
    <s v="skipjack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636827586206898"/>
    <s v=""/>
    <n v="2.3784482758620693"/>
    <s v=""/>
    <n v="35.636827586206898"/>
    <m/>
    <m/>
    <m/>
    <m/>
    <m/>
    <m/>
    <m/>
    <m/>
    <n v="35.636827586206898"/>
    <m/>
    <m/>
    <m/>
    <n v="2.3784482758620693"/>
    <m/>
    <m/>
    <m/>
    <m/>
    <m/>
    <m/>
    <m/>
    <m/>
    <n v="2.3784482758620693"/>
    <m/>
  </r>
  <r>
    <x v="12"/>
    <x v="101"/>
    <s v="Fresh or Not Specified"/>
    <s v="yellowfin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3.875006896551724"/>
    <s v=""/>
    <n v="2.2608620689655172"/>
    <s v=""/>
    <n v="33.875006896551724"/>
    <m/>
    <m/>
    <m/>
    <m/>
    <m/>
    <m/>
    <m/>
    <m/>
    <n v="33.875006896551724"/>
    <m/>
    <m/>
    <m/>
    <n v="2.2608620689655172"/>
    <m/>
    <m/>
    <m/>
    <m/>
    <m/>
    <m/>
    <m/>
    <m/>
    <n v="2.2608620689655172"/>
    <m/>
  </r>
  <r>
    <x v="12"/>
    <x v="101"/>
    <s v="Fresh or Not Specified"/>
    <s v="albacor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4.104910344827587"/>
    <s v=""/>
    <n v="1.6087931034482761"/>
    <s v=""/>
    <n v="24.104910344827587"/>
    <m/>
    <m/>
    <m/>
    <m/>
    <m/>
    <m/>
    <m/>
    <m/>
    <n v="24.104910344827587"/>
    <m/>
    <m/>
    <m/>
    <n v="1.6087931034482761"/>
    <m/>
    <m/>
    <m/>
    <m/>
    <m/>
    <m/>
    <m/>
    <m/>
    <n v="1.6087931034482761"/>
    <m/>
  </r>
  <r>
    <x v="12"/>
    <x v="101"/>
    <s v="Fresh or Not Specified"/>
    <s v="bigey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318565517241389"/>
    <s v=""/>
    <n v="2.4906896551724143"/>
    <s v=""/>
    <n v="37.318565517241389"/>
    <m/>
    <m/>
    <m/>
    <m/>
    <m/>
    <m/>
    <m/>
    <m/>
    <n v="37.318565517241389"/>
    <m/>
    <m/>
    <m/>
    <n v="2.4906896551724143"/>
    <m/>
    <m/>
    <m/>
    <m/>
    <m/>
    <m/>
    <m/>
    <m/>
    <n v="2.4906896551724143"/>
    <m/>
  </r>
  <r>
    <x v="12"/>
    <x v="101"/>
    <s v="Fresh or Not Specified"/>
    <s v="skipjack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6.757986206896561"/>
    <s v=""/>
    <n v="2.4532758620689656"/>
    <s v=""/>
    <n v="36.757986206896561"/>
    <m/>
    <m/>
    <m/>
    <m/>
    <m/>
    <m/>
    <m/>
    <m/>
    <n v="36.757986206896561"/>
    <m/>
    <m/>
    <m/>
    <n v="2.4532758620689656"/>
    <m/>
    <m/>
    <m/>
    <m/>
    <m/>
    <m/>
    <m/>
    <m/>
    <n v="2.4532758620689656"/>
    <m/>
  </r>
  <r>
    <x v="12"/>
    <x v="101"/>
    <s v="Fresh or Not Specified"/>
    <s v="yellowfin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396579310344826"/>
    <s v=""/>
    <n v="2.3624137931034488"/>
    <s v=""/>
    <n v="35.396579310344826"/>
    <m/>
    <m/>
    <m/>
    <m/>
    <m/>
    <m/>
    <m/>
    <m/>
    <n v="35.396579310344826"/>
    <m/>
    <m/>
    <m/>
    <n v="2.3624137931034488"/>
    <m/>
    <m/>
    <m/>
    <m/>
    <m/>
    <m/>
    <m/>
    <m/>
    <n v="2.3624137931034488"/>
    <m/>
  </r>
  <r>
    <x v="12"/>
    <x v="101"/>
    <s v="Fresh or Not Specified"/>
    <s v="albacor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5.866731034482761"/>
    <s v=""/>
    <n v="1.7263793103448279"/>
    <s v=""/>
    <n v="25.866731034482761"/>
    <m/>
    <m/>
    <m/>
    <m/>
    <m/>
    <m/>
    <m/>
    <m/>
    <n v="25.866731034482761"/>
    <m/>
    <m/>
    <m/>
    <n v="1.7263793103448279"/>
    <m/>
    <m/>
    <m/>
    <m/>
    <m/>
    <m/>
    <m/>
    <m/>
    <n v="1.7263793103448279"/>
    <m/>
  </r>
  <r>
    <x v="12"/>
    <x v="101"/>
    <s v="Fresh or Not Specified"/>
    <s v="bigey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718979310344828"/>
    <s v=""/>
    <n v="2.5174137931034481"/>
    <s v=""/>
    <n v="37.718979310344828"/>
    <m/>
    <m/>
    <m/>
    <m/>
    <m/>
    <m/>
    <m/>
    <m/>
    <n v="37.718979310344828"/>
    <m/>
    <m/>
    <m/>
    <n v="2.5174137931034481"/>
    <m/>
    <m/>
    <m/>
    <m/>
    <m/>
    <m/>
    <m/>
    <m/>
    <n v="2.5174137931034481"/>
    <m/>
  </r>
  <r>
    <x v="12"/>
    <x v="101"/>
    <s v="Fresh or Not Specified"/>
    <s v="skipjack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948882758620691"/>
    <s v=""/>
    <n v="1.8653448275862068"/>
    <s v=""/>
    <n v="27.948882758620691"/>
    <m/>
    <m/>
    <m/>
    <m/>
    <m/>
    <m/>
    <m/>
    <m/>
    <n v="27.948882758620691"/>
    <m/>
    <m/>
    <m/>
    <n v="1.8653448275862068"/>
    <m/>
    <m/>
    <m/>
    <m/>
    <m/>
    <m/>
    <m/>
    <m/>
    <n v="1.8653448275862068"/>
    <m/>
  </r>
  <r>
    <x v="12"/>
    <x v="101"/>
    <s v="Fresh or Not Specified"/>
    <s v="yellowfin tuna in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8.989958620689656"/>
    <s v=""/>
    <n v="1.9348275862068969"/>
    <s v=""/>
    <n v="28.989958620689656"/>
    <m/>
    <m/>
    <m/>
    <m/>
    <m/>
    <m/>
    <m/>
    <m/>
    <n v="28.989958620689656"/>
    <m/>
    <m/>
    <m/>
    <n v="1.9348275862068969"/>
    <m/>
    <m/>
    <m/>
    <m/>
    <m/>
    <m/>
    <m/>
    <m/>
    <n v="1.9348275862068969"/>
    <m/>
  </r>
  <r>
    <x v="12"/>
    <x v="111"/>
    <s v="Fresh or Not Specified"/>
    <s v="mangrove shrimp farms, 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34.736842105263165"/>
    <s v=""/>
    <m/>
    <m/>
    <m/>
    <m/>
    <m/>
    <m/>
    <m/>
    <m/>
    <m/>
    <m/>
    <m/>
    <m/>
    <m/>
    <n v="34.736842105263165"/>
    <m/>
    <m/>
    <m/>
    <m/>
    <m/>
    <m/>
    <m/>
    <m/>
    <n v="34.736842105263165"/>
    <m/>
  </r>
  <r>
    <x v="12"/>
    <x v="111"/>
    <s v="Fresh or Not Specified"/>
    <s v="mangrove shrimp farms, non-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54.736842105263165"/>
    <s v=""/>
    <m/>
    <m/>
    <m/>
    <m/>
    <m/>
    <m/>
    <m/>
    <m/>
    <m/>
    <m/>
    <m/>
    <m/>
    <m/>
    <n v="54.736842105263165"/>
    <m/>
    <m/>
    <m/>
    <m/>
    <m/>
    <m/>
    <m/>
    <m/>
    <n v="54.736842105263165"/>
    <m/>
  </r>
  <r>
    <x v="12"/>
    <x v="111"/>
    <s v="Fresh or Not Specified"/>
    <s v="wild-caught banana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n v="114.6"/>
    <n v="182.6181818181818"/>
    <n v="7.8"/>
    <n v="12.6"/>
    <n v="114.6"/>
    <m/>
    <n v="68.018181818181802"/>
    <m/>
    <n v="7.1999999999999993"/>
    <m/>
    <m/>
    <m/>
    <m/>
    <n v="114.6"/>
    <n v="189.81818181818178"/>
    <m/>
    <m/>
    <n v="7.8"/>
    <m/>
    <n v="4.8"/>
    <m/>
    <n v="0.49090909090909091"/>
    <m/>
    <m/>
    <m/>
    <m/>
    <n v="7.8"/>
    <n v="13.09090909090909"/>
  </r>
  <r>
    <x v="12"/>
    <x v="111"/>
    <s v="Fresh or Not Specified"/>
    <s v="wild-caught Tiger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s v=""/>
    <s v=""/>
    <n v="58.18181818181818"/>
    <s v=""/>
    <m/>
    <m/>
    <m/>
    <m/>
    <m/>
    <m/>
    <m/>
    <m/>
    <m/>
    <m/>
    <m/>
    <m/>
    <m/>
    <n v="58.18181818181818"/>
    <m/>
    <m/>
    <m/>
    <m/>
    <m/>
    <m/>
    <m/>
    <m/>
    <n v="58.18181818181818"/>
    <m/>
  </r>
  <r>
    <x v="1"/>
    <x v="23"/>
    <s v="Fresh or Not Specified"/>
    <m/>
    <m/>
    <s v="Brazil"/>
    <n v="2015"/>
    <s v="Cherubini, Edivan_x000a_Zanghelini, Guilherme Marcelo_x000a_Alvarenga, Rodrigo Augusto Freitas_x000a_Franco, Davide_x000a_Soares, Sebastião Roberto"/>
    <m/>
    <s v="Peer Reviewed Journal"/>
    <s v="Cherubini, E., Zanghelini, G. M., Alvarenga, R. a. F., Franco, D. and Soares, S. R., Life cycle assessment of swine production in Brazil: a comparison of four manure management systems. Journal of Cleaner Production 2015, 87, 68-77."/>
    <s v="Yes"/>
    <s v="Yes"/>
    <s v="Yes"/>
    <s v="Yes"/>
    <s v="No"/>
    <s v="No"/>
    <s v="No"/>
    <s v="No"/>
    <s v="No"/>
    <s v="No"/>
    <s v="No"/>
    <s v="No"/>
    <s v="no"/>
    <m/>
    <m/>
    <m/>
    <s v="1000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1.918106995884774"/>
    <n v="33.595061728395059"/>
    <n v="4.9883401920438954"/>
    <n v="5.0553635116598077"/>
    <n v="31.918106995884774"/>
    <m/>
    <n v="1.676954732510288"/>
    <m/>
    <m/>
    <m/>
    <m/>
    <n v="-4.0733882030178332"/>
    <m/>
    <n v="31.918106995884774"/>
    <n v="29.521673525377224"/>
    <m/>
    <m/>
    <n v="4.9883401920438954"/>
    <m/>
    <n v="6.7023319615912208E-2"/>
    <m/>
    <m/>
    <m/>
    <m/>
    <n v="-0.2496570644718793"/>
    <m/>
    <n v="4.9883401920438954"/>
    <n v="4.8057064471879283"/>
  </r>
  <r>
    <x v="0"/>
    <x v="0"/>
    <s v="Fresh or Not Specified"/>
    <s v="paper looks at coproduction of milk and energy via AD; only including base case without energy here"/>
    <m/>
    <s v="USA (Wisconcin)"/>
    <n v="2015"/>
    <s v="Aguirre-Villegas, Horacio A_x000a_Passos-Fonseca, Thaís H_x000a_Reinemann, Douglas J_x000a_Armentano, Louis E_x000a_Wattiaux, Michel A_x000a_Cabrera, Victor E_x000a_Norman, John M_x000a_Larson, R"/>
    <m/>
    <s v="Peer Reviewed Journal"/>
    <s v="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
    <s v="Yes"/>
    <s v="No"/>
    <s v="No"/>
    <s v="No"/>
    <s v="No"/>
    <s v="No"/>
    <s v="No"/>
    <s v="No"/>
    <s v="No"/>
    <s v="No"/>
    <s v="No"/>
    <s v="No"/>
    <s v="no"/>
    <s v="farm gate"/>
    <m/>
    <m/>
    <s v="kg FPCM"/>
    <m/>
    <n v="3.9"/>
    <s v=""/>
    <n v="1.03"/>
    <s v=""/>
    <n v="3.9"/>
    <m/>
    <m/>
    <m/>
    <m/>
    <m/>
    <m/>
    <m/>
    <m/>
    <n v="3.9"/>
    <m/>
    <m/>
    <m/>
    <n v="1.03"/>
    <m/>
    <m/>
    <m/>
    <m/>
    <m/>
    <m/>
    <m/>
    <m/>
    <n v="1.03"/>
    <m/>
  </r>
  <r>
    <x v="5"/>
    <x v="122"/>
    <s v="Dried"/>
    <s v="rain-fed paddy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25"/>
    <s v=""/>
    <n v="2.97"/>
    <s v=""/>
    <n v="7.25"/>
    <m/>
    <m/>
    <m/>
    <m/>
    <m/>
    <m/>
    <m/>
    <m/>
    <n v="7.25"/>
    <m/>
    <m/>
    <m/>
    <n v="2.97"/>
    <m/>
    <m/>
    <m/>
    <m/>
    <m/>
    <m/>
    <m/>
    <m/>
    <n v="2.97"/>
    <m/>
  </r>
  <r>
    <x v="5"/>
    <x v="122"/>
    <s v="Dried"/>
    <s v="wet-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44"/>
    <s v=""/>
    <n v="4.87"/>
    <s v=""/>
    <n v="7.44"/>
    <m/>
    <m/>
    <m/>
    <m/>
    <m/>
    <m/>
    <m/>
    <m/>
    <n v="7.44"/>
    <m/>
    <m/>
    <m/>
    <n v="4.87"/>
    <m/>
    <m/>
    <m/>
    <m/>
    <m/>
    <m/>
    <m/>
    <m/>
    <n v="4.87"/>
    <m/>
  </r>
  <r>
    <x v="5"/>
    <x v="122"/>
    <s v="Dried"/>
    <s v="dry-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9.5299999999999994"/>
    <s v=""/>
    <n v="5.55"/>
    <s v=""/>
    <n v="9.5299999999999994"/>
    <m/>
    <m/>
    <m/>
    <m/>
    <m/>
    <m/>
    <m/>
    <m/>
    <n v="9.5299999999999994"/>
    <m/>
    <m/>
    <m/>
    <n v="5.55"/>
    <m/>
    <m/>
    <m/>
    <m/>
    <m/>
    <m/>
    <m/>
    <m/>
    <n v="5.55"/>
    <m/>
  </r>
  <r>
    <x v="1"/>
    <x v="24"/>
    <s v="Fresh or Not Specified"/>
    <s v="standard French production"/>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4.753246753246749"/>
    <n v="38.961038961038959"/>
    <n v="4.0348831168831172"/>
    <n v="4.1298701298701301"/>
    <n v="34.753246753246749"/>
    <m/>
    <n v="4.2077922077922079"/>
    <m/>
    <m/>
    <m/>
    <m/>
    <m/>
    <m/>
    <n v="34.753246753246749"/>
    <n v="38.961038961038959"/>
    <m/>
    <m/>
    <n v="4.0348831168831172"/>
    <m/>
    <n v="9.4987012987012995E-2"/>
    <m/>
    <m/>
    <m/>
    <m/>
    <m/>
    <m/>
    <n v="4.0348831168831172"/>
    <m/>
  </r>
  <r>
    <x v="1"/>
    <x v="24"/>
    <s v="Fresh or Not Specified"/>
    <s v="Label Rouge, France (Southwest"/>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56.041558441558436"/>
    <n v="60.259740259740255"/>
    <n v="5.1268051948051943"/>
    <n v="5.2207792207792201"/>
    <n v="56.041558441558436"/>
    <m/>
    <n v="4.2181818181818178"/>
    <m/>
    <m/>
    <m/>
    <m/>
    <m/>
    <m/>
    <n v="56.041558441558436"/>
    <n v="60.259740259740255"/>
    <m/>
    <m/>
    <n v="5.1268051948051943"/>
    <m/>
    <n v="9.397402597402596E-2"/>
    <m/>
    <m/>
    <m/>
    <m/>
    <m/>
    <m/>
    <n v="5.1268051948051943"/>
    <m/>
  </r>
  <r>
    <x v="1"/>
    <x v="24"/>
    <s v="Fresh or Not Specified"/>
    <s v="Center-West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Yes"/>
    <s v="Yes"/>
    <s v="Yes"/>
    <s v="Yes"/>
    <s v="No"/>
    <s v="No"/>
    <s v="No"/>
    <s v="No"/>
    <s v="No"/>
    <s v="No"/>
    <s v="No"/>
    <m/>
    <s v="cooled &amp; packaged chicken at slaughterhouse gate"/>
    <m/>
    <m/>
    <s v="1 tonne cooled &amp; packaged chicken at slaughterhouse"/>
    <s v="/1000/.77"/>
    <n v="30.647272727272732"/>
    <n v="39.090909090909093"/>
    <n v="3.5142857142857138"/>
    <n v="3.5714285714285707"/>
    <n v="30.647272727272732"/>
    <m/>
    <n v="8.4436363636363634"/>
    <m/>
    <m/>
    <m/>
    <m/>
    <m/>
    <m/>
    <n v="30.647272727272732"/>
    <n v="39.090909090909093"/>
    <m/>
    <m/>
    <n v="3.5142857142857138"/>
    <m/>
    <n v="5.7142857142857141E-2"/>
    <m/>
    <m/>
    <m/>
    <m/>
    <m/>
    <m/>
    <n v="3.5142857142857138"/>
    <m/>
  </r>
  <r>
    <x v="1"/>
    <x v="24"/>
    <s v="Fresh or Not Specified"/>
    <s v="South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2.68805194805195"/>
    <n v="41.168831168831169"/>
    <n v="2.4742207792207789"/>
    <n v="2.5324675324675323"/>
    <n v="32.68805194805195"/>
    <m/>
    <n v="8.4807792207792208"/>
    <m/>
    <m/>
    <m/>
    <m/>
    <m/>
    <m/>
    <n v="32.68805194805195"/>
    <n v="41.168831168831169"/>
    <m/>
    <m/>
    <n v="2.4742207792207789"/>
    <m/>
    <n v="5.8246753246753241E-2"/>
    <m/>
    <m/>
    <m/>
    <m/>
    <m/>
    <m/>
    <n v="2.4742207792207789"/>
    <m/>
  </r>
  <r>
    <x v="5"/>
    <x v="234"/>
    <s v="Dried"/>
    <s v="bulk quinoa from AlterEco 2012 emissions report"/>
    <m/>
    <s v="Bolivia"/>
    <n v="2012"/>
    <s v="ALTER ECO"/>
    <m/>
    <s v="Industry Based Report"/>
    <s v="Alter Eco. 2012 Emissions Report &amp; Impact Assessment; 2012."/>
    <m/>
    <m/>
    <m/>
    <m/>
    <m/>
    <m/>
    <m/>
    <m/>
    <m/>
    <m/>
    <m/>
    <m/>
    <m/>
    <s v="does not provide details on methods"/>
    <m/>
    <m/>
    <s v="kg bulk quinoa"/>
    <m/>
    <s v=""/>
    <s v=""/>
    <n v="0.91971728887277993"/>
    <n v="1.134650235592606"/>
    <m/>
    <m/>
    <m/>
    <m/>
    <m/>
    <m/>
    <m/>
    <m/>
    <m/>
    <m/>
    <m/>
    <m/>
    <m/>
    <n v="0.91971728887277993"/>
    <n v="0.21493294671982602"/>
    <m/>
    <n v="3.0808263863718738E-2"/>
    <n v="4.603117071402682E-2"/>
    <m/>
    <n v="6.6147154766219643E-2"/>
    <m/>
    <m/>
    <n v="0.91971728887277993"/>
    <n v="1.2776368249365713"/>
  </r>
  <r>
    <x v="0"/>
    <x v="26"/>
    <s v="Fresh or Not Specified"/>
    <s v="average of 6 Italian buffalo farms"/>
    <m/>
    <s v="Italy"/>
    <n v="2014"/>
    <s v="Prilo"/>
    <s v="Pirlo, G_x000a_Terzano, G_x000a_Pacelli, C_x000a_Abeni, F_x000a_Care, S"/>
    <s v="Peer Reviewed Journal"/>
    <s v="Pirlo, G., Terzano, G., Pacelli, C., Abeni, F. and Care, S., Carbon footprint of milk produced at Italian buffalo farms. Livestock Science 2014, 161, 176-184."/>
    <s v="Yes"/>
    <s v="No"/>
    <s v="No"/>
    <s v="No"/>
    <s v="No"/>
    <s v="No"/>
    <s v="No"/>
    <s v="No"/>
    <s v="No"/>
    <s v="No"/>
    <s v="No"/>
    <s v="No"/>
    <s v="no"/>
    <m/>
    <m/>
    <m/>
    <s v="kg FPCM"/>
    <m/>
    <s v=""/>
    <s v=""/>
    <n v="3.75"/>
    <s v=""/>
    <m/>
    <m/>
    <m/>
    <m/>
    <m/>
    <m/>
    <m/>
    <m/>
    <m/>
    <m/>
    <m/>
    <m/>
    <m/>
    <n v="3.75"/>
    <m/>
    <m/>
    <m/>
    <m/>
    <m/>
    <m/>
    <m/>
    <m/>
    <n v="3.75"/>
    <m/>
  </r>
  <r>
    <x v="0"/>
    <x v="0"/>
    <s v="Fresh or Not Specified"/>
    <s v="Irish pasture based dairy"/>
    <m/>
    <s v="Ireland"/>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s v="kg ECM"/>
    <m/>
    <s v=""/>
    <s v=""/>
    <n v="0.91400000000000003"/>
    <s v=""/>
    <m/>
    <m/>
    <m/>
    <m/>
    <m/>
    <m/>
    <m/>
    <m/>
    <m/>
    <m/>
    <m/>
    <m/>
    <m/>
    <n v="0.91400000000000003"/>
    <m/>
    <m/>
    <m/>
    <m/>
    <m/>
    <m/>
    <m/>
    <m/>
    <n v="0.91400000000000003"/>
    <m/>
  </r>
  <r>
    <x v="0"/>
    <x v="0"/>
    <s v="Fresh or Not Specified"/>
    <s v="UK confinement dairy"/>
    <m/>
    <s v="UK"/>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500000000000002"/>
    <s v=""/>
    <m/>
    <m/>
    <m/>
    <m/>
    <m/>
    <m/>
    <m/>
    <m/>
    <m/>
    <m/>
    <m/>
    <m/>
    <m/>
    <n v="0.89500000000000002"/>
    <m/>
    <m/>
    <m/>
    <m/>
    <m/>
    <m/>
    <m/>
    <m/>
    <n v="0.89500000000000002"/>
    <m/>
  </r>
  <r>
    <x v="0"/>
    <x v="0"/>
    <s v="Fresh or Not Specified"/>
    <s v="US confinement dairy"/>
    <m/>
    <s v="USA"/>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800000000000002"/>
    <s v=""/>
    <m/>
    <m/>
    <m/>
    <m/>
    <m/>
    <m/>
    <m/>
    <m/>
    <m/>
    <m/>
    <m/>
    <m/>
    <m/>
    <n v="0.89800000000000002"/>
    <m/>
    <m/>
    <m/>
    <m/>
    <m/>
    <m/>
    <m/>
    <m/>
    <n v="0.89800000000000002"/>
    <m/>
  </r>
  <r>
    <x v="4"/>
    <x v="20"/>
    <s v="Fresh or Not Specified"/>
    <s v="premium quality export bananas, 2009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1"/>
    <n v="0.219"/>
    <m/>
    <m/>
    <m/>
    <m/>
    <m/>
    <m/>
    <m/>
    <m/>
    <m/>
    <m/>
    <m/>
    <m/>
    <m/>
    <n v="0.21"/>
    <n v="8.0000000000000002E-3"/>
    <n v="1E-3"/>
    <n v="0.08"/>
    <n v="0.12"/>
    <m/>
    <m/>
    <m/>
    <m/>
    <n v="0.21"/>
    <n v="0.41899999999999998"/>
  </r>
  <r>
    <x v="4"/>
    <x v="20"/>
    <s v="Fresh or Not Specified"/>
    <s v="premium quality export bananas, 2010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4"/>
    <n v="0.249"/>
    <m/>
    <m/>
    <m/>
    <m/>
    <m/>
    <m/>
    <m/>
    <m/>
    <m/>
    <m/>
    <m/>
    <m/>
    <m/>
    <n v="0.24"/>
    <n v="8.0000000000000002E-3"/>
    <n v="1E-3"/>
    <n v="0.09"/>
    <n v="0.12"/>
    <m/>
    <m/>
    <m/>
    <m/>
    <n v="0.24"/>
    <n v="0.45899999999999996"/>
  </r>
  <r>
    <x v="4"/>
    <x v="20"/>
    <s v="Fresh or Not Specified"/>
    <s v="premium quality export bananas, 2011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6"/>
    <n v="0.27300000000000002"/>
    <m/>
    <m/>
    <m/>
    <m/>
    <m/>
    <m/>
    <m/>
    <m/>
    <m/>
    <m/>
    <m/>
    <m/>
    <m/>
    <n v="0.26"/>
    <n v="8.0000000000000002E-3"/>
    <n v="5.0000000000000001E-3"/>
    <n v="0.09"/>
    <n v="0.12"/>
    <m/>
    <m/>
    <m/>
    <m/>
    <n v="0.26"/>
    <n v="0.48299999999999998"/>
  </r>
  <r>
    <x v="1"/>
    <x v="3"/>
    <s v="Fresh or Not Specified"/>
    <s v="culled cow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0"/>
    <s v=""/>
    <m/>
    <m/>
    <m/>
    <m/>
    <m/>
    <m/>
    <m/>
    <m/>
    <m/>
    <m/>
    <m/>
    <m/>
    <m/>
    <n v="20"/>
    <m/>
    <m/>
    <m/>
    <m/>
    <m/>
    <m/>
    <m/>
    <m/>
    <n v="20"/>
    <m/>
  </r>
  <r>
    <x v="1"/>
    <x v="3"/>
    <s v="Fresh or Not Specified"/>
    <s v="bull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2"/>
    <s v=""/>
    <m/>
    <m/>
    <m/>
    <m/>
    <m/>
    <m/>
    <m/>
    <m/>
    <m/>
    <m/>
    <m/>
    <m/>
    <m/>
    <n v="22"/>
    <m/>
    <m/>
    <m/>
    <m/>
    <m/>
    <m/>
    <m/>
    <m/>
    <n v="22"/>
    <m/>
  </r>
  <r>
    <x v="1"/>
    <x v="3"/>
    <s v="Fresh or Not Specified"/>
    <s v="ste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8"/>
    <s v=""/>
    <m/>
    <m/>
    <m/>
    <m/>
    <m/>
    <m/>
    <m/>
    <m/>
    <m/>
    <m/>
    <m/>
    <m/>
    <m/>
    <n v="28"/>
    <m/>
    <m/>
    <m/>
    <m/>
    <m/>
    <m/>
    <m/>
    <m/>
    <n v="28"/>
    <m/>
  </r>
  <r>
    <x v="1"/>
    <x v="3"/>
    <s v="Fresh or Not Specified"/>
    <s v="heif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suckler production (cows and off-spring)"/>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suckler production (cows and off-spring)"/>
    <m/>
    <s v="Irelan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bulls from milk production"/>
    <m/>
    <s v="Germany, Poland and Denmark"/>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1"/>
    <s v=""/>
    <m/>
    <m/>
    <m/>
    <m/>
    <m/>
    <m/>
    <m/>
    <m/>
    <m/>
    <m/>
    <m/>
    <m/>
    <m/>
    <n v="21"/>
    <m/>
    <m/>
    <m/>
    <m/>
    <m/>
    <m/>
    <m/>
    <m/>
    <n v="21"/>
    <m/>
  </r>
  <r>
    <x v="1"/>
    <x v="3"/>
    <s v="Fresh or Not Specified"/>
    <s v="suckler production (cows and off-spring)"/>
    <m/>
    <s v="Uruguay"/>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Extensive suckler production"/>
    <m/>
    <s v="Brazil"/>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41"/>
    <s v=""/>
    <m/>
    <m/>
    <m/>
    <m/>
    <m/>
    <m/>
    <m/>
    <m/>
    <m/>
    <m/>
    <m/>
    <m/>
    <m/>
    <n v="41"/>
    <m/>
    <m/>
    <m/>
    <m/>
    <m/>
    <m/>
    <m/>
    <m/>
    <n v="41"/>
    <m/>
  </r>
  <r>
    <x v="1"/>
    <x v="3"/>
    <s v="Fresh or Not Specified"/>
    <s v="calves from milk production, extensive"/>
    <m/>
    <s v="other 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5"/>
    <s v=""/>
    <m/>
    <m/>
    <m/>
    <m/>
    <m/>
    <m/>
    <m/>
    <m/>
    <m/>
    <m/>
    <m/>
    <m/>
    <m/>
    <n v="25"/>
    <m/>
    <m/>
    <m/>
    <m/>
    <m/>
    <m/>
    <m/>
    <m/>
    <n v="25"/>
    <m/>
  </r>
  <r>
    <x v="1"/>
    <x v="23"/>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r>
  <r>
    <x v="1"/>
    <x v="23"/>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r>
  <r>
    <x v="1"/>
    <x v="24"/>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r>
  <r>
    <x v="1"/>
    <x v="24"/>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r>
  <r>
    <x v="1"/>
    <x v="24"/>
    <s v="Fresh or Not Specified"/>
    <m/>
    <m/>
    <s v="Portugal"/>
    <n v="2014"/>
    <s v="González-García, Sara_x000a_Gomez-Fernández, Zaira_x000a_Dias, Ana Cláudia_x000a_Feijoo, Gumersindo_x000a_Moreira, Mª Teresa_x000a_Arroja, Luis"/>
    <m/>
    <s v="Peer Reviewed Journal"/>
    <s v="González-García, S., Gomez-Fernández, Z., Dias, A. C., Feijoo, G., Moreira, M. T. and Arroja, L., Life Cycle Assessment of broiler chicken production: a Portuguese case study. Journal of Cleaner Production 2014, 74, 125-134."/>
    <s v="Yes"/>
    <s v="No"/>
    <s v="Yes"/>
    <s v="Yes"/>
    <s v="Yes"/>
    <s v="No"/>
    <s v="No"/>
    <s v="No"/>
    <s v="No"/>
    <s v="No"/>
    <s v="No"/>
    <s v="No"/>
    <m/>
    <s v="cradle to processor gate"/>
    <m/>
    <m/>
    <s v="1.2 kg broilder chicken meat ready to be distributed"/>
    <s v="/1.2"/>
    <n v="15.500000000000002"/>
    <n v="17.333333333333336"/>
    <n v="2.2500000000000004"/>
    <n v="2.3775000000000004"/>
    <n v="15.500000000000002"/>
    <m/>
    <n v="1.8333333333333335"/>
    <n v="1.1666666666666667"/>
    <m/>
    <m/>
    <m/>
    <m/>
    <m/>
    <n v="15.500000000000002"/>
    <n v="18.500000000000004"/>
    <m/>
    <m/>
    <n v="2.2500000000000004"/>
    <m/>
    <n v="0.12750000000000003"/>
    <n v="3.9166666666666669E-2"/>
    <m/>
    <m/>
    <m/>
    <m/>
    <m/>
    <n v="2.2500000000000004"/>
    <n v="2.416666666666667"/>
  </r>
  <r>
    <x v="0"/>
    <x v="0"/>
    <s v="Fresh or Not Specified"/>
    <m/>
    <m/>
    <s v="Australia"/>
    <n v="2014"/>
    <s v="Gollnow, Sebastian_x000a_Lundie, Sven_x000a_Moore, Andrew D._x000a_McLaren, Jake_x000a_van Buuren, Neil_x000a_Stahle, Peter_x000a_Christie, Karen_x000a_Thylmann, Daniel_x000a_Rehl, Torsten"/>
    <m/>
    <s v="Peer Reviewed Journal"/>
    <s v="Gollnow, S., Lundie, S., Moore, A. D., Mclaren, J., Van Buuren, N., Stahle, P., Christie, K., Thylmann, D. and Rehl, T., Carbon footprint of milk production from dairy cows in Australia. International Dairy Journal 2014, 37 (1), 31-38."/>
    <s v="Yes"/>
    <s v="Yes"/>
    <s v="No"/>
    <s v="No"/>
    <s v="No"/>
    <s v="No"/>
    <s v="No"/>
    <s v="No"/>
    <s v="No"/>
    <s v="No"/>
    <s v="No"/>
    <s v="No"/>
    <m/>
    <s v="cradle to farm gate"/>
    <m/>
    <m/>
    <s v="1 kg FPCM"/>
    <m/>
    <s v=""/>
    <s v=""/>
    <n v="1.1100000000000001"/>
    <s v=""/>
    <m/>
    <m/>
    <m/>
    <m/>
    <m/>
    <m/>
    <m/>
    <m/>
    <m/>
    <m/>
    <m/>
    <m/>
    <m/>
    <n v="1.1100000000000001"/>
    <m/>
    <m/>
    <m/>
    <m/>
    <m/>
    <m/>
    <m/>
    <m/>
    <n v="1.1100000000000001"/>
    <m/>
  </r>
  <r>
    <x v="1"/>
    <x v="1"/>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42.481391953665359"/>
    <s v=""/>
    <m/>
    <m/>
    <m/>
    <m/>
    <m/>
    <m/>
    <m/>
    <m/>
    <m/>
    <m/>
    <m/>
    <m/>
    <m/>
    <n v="42.481391953665359"/>
    <m/>
    <m/>
    <m/>
    <m/>
    <m/>
    <m/>
    <m/>
    <m/>
    <n v="42.481391953665359"/>
    <m/>
  </r>
  <r>
    <x v="1"/>
    <x v="1"/>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39.489744632984703"/>
    <s v=""/>
    <m/>
    <m/>
    <m/>
    <m/>
    <m/>
    <m/>
    <m/>
    <m/>
    <m/>
    <m/>
    <m/>
    <m/>
    <m/>
    <n v="39.489744632984703"/>
    <m/>
    <m/>
    <m/>
    <m/>
    <m/>
    <m/>
    <m/>
    <m/>
    <n v="39.489744632984703"/>
    <m/>
  </r>
  <r>
    <x v="1"/>
    <x v="3"/>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5.115332699098957"/>
    <s v=""/>
    <m/>
    <m/>
    <m/>
    <m/>
    <m/>
    <m/>
    <m/>
    <m/>
    <m/>
    <m/>
    <m/>
    <m/>
    <m/>
    <n v="35.115332699098957"/>
    <m/>
    <m/>
    <m/>
    <m/>
    <m/>
    <m/>
    <m/>
    <m/>
    <n v="35.115332699098957"/>
    <m/>
  </r>
  <r>
    <x v="1"/>
    <x v="3"/>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0067092699497"/>
    <s v=""/>
    <m/>
    <m/>
    <m/>
    <m/>
    <m/>
    <m/>
    <m/>
    <m/>
    <m/>
    <m/>
    <m/>
    <m/>
    <m/>
    <n v="25.90067092699497"/>
    <m/>
    <m/>
    <m/>
    <m/>
    <m/>
    <m/>
    <m/>
    <m/>
    <n v="25.90067092699497"/>
    <m/>
  </r>
  <r>
    <x v="12"/>
    <x v="235"/>
    <s v="Frozen"/>
    <s v="based on Patagonian grenadier fishery"/>
    <m/>
    <s v="Spain"/>
    <n v="2013"/>
    <s v="Vázquez-Rowe, Ian_x000a_Villanueva-Rey, Pedro_x000a_Mallo, Juan_x000a_De la Cerda, Juan José_x000a_Moreira, Ma Teresa_x000a_Feijoo, Gumersindo"/>
    <m/>
    <s v="Peer Reviewed Journal"/>
    <s v="Vázquez-Rowe, I., Villanueva-Rey, P., Mallo, J., De La Cerda, J. J., Moreira, M. T. and Feijoo, G., Carbon footprint of a multi-ingredient seafood product from a business-to-business perspective. Journal of Cleaner Production 2013, 44, 200-210."/>
    <s v="Yes"/>
    <s v="No"/>
    <s v="Yes"/>
    <s v="Yes"/>
    <s v="Yes"/>
    <s v="No"/>
    <s v="No"/>
    <s v="No"/>
    <s v="No"/>
    <s v="No"/>
    <s v="No"/>
    <s v="No"/>
    <m/>
    <m/>
    <m/>
    <m/>
    <s v="1 package - 320g  edible product"/>
    <s v="/.32"/>
    <s v=""/>
    <s v=""/>
    <n v="1.98084375"/>
    <n v="2.1531562499999999"/>
    <m/>
    <m/>
    <m/>
    <m/>
    <m/>
    <m/>
    <m/>
    <m/>
    <m/>
    <m/>
    <m/>
    <m/>
    <m/>
    <n v="1.98084375"/>
    <m/>
    <n v="0.17231250000000001"/>
    <n v="5.7999999999999996E-2"/>
    <m/>
    <m/>
    <m/>
    <m/>
    <m/>
    <n v="1.98084375"/>
    <n v="2.2111562499999997"/>
  </r>
  <r>
    <x v="1"/>
    <x v="24"/>
    <s v="Fresh or Not Specified"/>
    <m/>
    <m/>
    <s v="Reunion Island (Indian Ocean)"/>
    <n v="2013"/>
    <s v="Thévenot, Alexandre_x000a_Aubin, Joël_x000a_Tillard, Emmanuel_x000a_Vayssières, Jonathan"/>
    <m/>
    <s v="Peer Reviewed Journal"/>
    <s v="Thévenot, A., Aubin, J., Tillard, E. and Vayssières, J., Accounting for farm diversity in Life Cycle Assessment studies – the case of poultry production in a tropical island. Journal of Cleaner Production 2013, 57, 280-292."/>
    <s v="Yes"/>
    <s v="No"/>
    <s v="Yes"/>
    <s v="Yes"/>
    <s v="Yes"/>
    <s v="No"/>
    <s v="No"/>
    <s v="No"/>
    <s v="No"/>
    <s v="No"/>
    <s v="No"/>
    <s v="No"/>
    <m/>
    <m/>
    <m/>
    <m/>
    <s v="1 tonne bone-in chicken ready for retail"/>
    <m/>
    <n v="30.509999999999998"/>
    <n v="33.866250000000001"/>
    <n v="2.2311000000000001"/>
    <n v="2.4469799999999999"/>
    <n v="30.509999999999998"/>
    <m/>
    <n v="3.3562499999999997"/>
    <n v="1.1187499999999999"/>
    <m/>
    <m/>
    <m/>
    <m/>
    <m/>
    <n v="30.509999999999998"/>
    <n v="34.984999999999999"/>
    <m/>
    <m/>
    <n v="2.2311000000000001"/>
    <m/>
    <n v="0.21587999999999999"/>
    <n v="4.1120000000000004E-2"/>
    <m/>
    <m/>
    <m/>
    <m/>
    <m/>
    <n v="2.2311000000000001"/>
    <n v="2.4880999999999998"/>
  </r>
  <r>
    <x v="0"/>
    <x v="0"/>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4.6619999999999999"/>
    <s v=""/>
    <n v="1.59"/>
    <s v=""/>
    <n v="4.6619999999999999"/>
    <m/>
    <m/>
    <m/>
    <m/>
    <m/>
    <m/>
    <m/>
    <m/>
    <n v="4.6619999999999999"/>
    <m/>
    <m/>
    <m/>
    <n v="1.59"/>
    <m/>
    <m/>
    <m/>
    <m/>
    <m/>
    <m/>
    <m/>
    <m/>
    <n v="1.59"/>
    <m/>
  </r>
  <r>
    <x v="0"/>
    <x v="0"/>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9438"/>
    <s v=""/>
    <n v="1.54"/>
    <s v=""/>
    <n v="3.9438"/>
    <m/>
    <m/>
    <m/>
    <m/>
    <m/>
    <m/>
    <m/>
    <m/>
    <n v="3.9438"/>
    <m/>
    <m/>
    <m/>
    <n v="1.54"/>
    <m/>
    <m/>
    <m/>
    <m/>
    <m/>
    <m/>
    <m/>
    <m/>
    <n v="1.54"/>
    <m/>
  </r>
  <r>
    <x v="0"/>
    <x v="0"/>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7506000000000004"/>
    <s v=""/>
    <n v="1.47"/>
    <s v=""/>
    <n v="3.7506000000000004"/>
    <m/>
    <m/>
    <m/>
    <m/>
    <m/>
    <m/>
    <m/>
    <m/>
    <n v="3.7506000000000004"/>
    <m/>
    <m/>
    <m/>
    <n v="1.47"/>
    <m/>
    <m/>
    <m/>
    <m/>
    <m/>
    <m/>
    <m/>
    <m/>
    <n v="1.47"/>
    <m/>
  </r>
  <r>
    <x v="1"/>
    <x v="25"/>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80.599700149925027"/>
    <s v=""/>
    <n v="27.586206896551719"/>
    <s v=""/>
    <n v="80.599700149925027"/>
    <m/>
    <m/>
    <m/>
    <m/>
    <m/>
    <m/>
    <m/>
    <m/>
    <n v="80.599700149925027"/>
    <m/>
    <m/>
    <m/>
    <n v="27.586206896551719"/>
    <m/>
    <m/>
    <m/>
    <m/>
    <m/>
    <m/>
    <m/>
    <m/>
    <n v="27.586206896551719"/>
    <m/>
  </r>
  <r>
    <x v="1"/>
    <x v="25"/>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1.784107946026978"/>
    <s v=""/>
    <n v="26.536731634182907"/>
    <s v=""/>
    <n v="71.784107946026978"/>
    <m/>
    <m/>
    <m/>
    <m/>
    <m/>
    <m/>
    <m/>
    <m/>
    <n v="71.784107946026978"/>
    <m/>
    <m/>
    <m/>
    <n v="26.536731634182907"/>
    <m/>
    <m/>
    <m/>
    <m/>
    <m/>
    <m/>
    <m/>
    <m/>
    <n v="26.536731634182907"/>
    <m/>
  </r>
  <r>
    <x v="1"/>
    <x v="25"/>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3.673163418290855"/>
    <s v=""/>
    <n v="27.286356821589202"/>
    <s v=""/>
    <n v="73.673163418290855"/>
    <m/>
    <m/>
    <m/>
    <m/>
    <m/>
    <m/>
    <m/>
    <m/>
    <n v="73.673163418290855"/>
    <m/>
    <m/>
    <m/>
    <n v="27.286356821589202"/>
    <m/>
    <m/>
    <m/>
    <m/>
    <m/>
    <m/>
    <m/>
    <m/>
    <n v="27.286356821589202"/>
    <m/>
  </r>
  <r>
    <x v="1"/>
    <x v="1"/>
    <s v="Fresh or Not Specified"/>
    <s v="pasture bas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51.7"/>
    <s v=""/>
    <m/>
    <m/>
    <m/>
    <m/>
    <m/>
    <m/>
    <m/>
    <m/>
    <m/>
    <m/>
    <m/>
    <m/>
    <m/>
    <n v="51.7"/>
    <m/>
    <m/>
    <m/>
    <m/>
    <m/>
    <m/>
    <m/>
    <m/>
    <n v="51.7"/>
    <m/>
  </r>
  <r>
    <x v="1"/>
    <x v="1"/>
    <s v="Fresh or Not Specified"/>
    <s v="mixed pasture &amp;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47.9"/>
    <s v=""/>
    <m/>
    <m/>
    <m/>
    <m/>
    <m/>
    <m/>
    <m/>
    <m/>
    <m/>
    <m/>
    <m/>
    <m/>
    <m/>
    <n v="47.9"/>
    <m/>
    <m/>
    <m/>
    <m/>
    <m/>
    <m/>
    <m/>
    <m/>
    <n v="47.9"/>
    <m/>
  </r>
  <r>
    <x v="1"/>
    <x v="1"/>
    <s v="Fresh or Not Specified"/>
    <s v="zero grazing (all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38.9"/>
    <s v=""/>
    <m/>
    <m/>
    <m/>
    <m/>
    <m/>
    <m/>
    <m/>
    <m/>
    <m/>
    <m/>
    <m/>
    <m/>
    <m/>
    <n v="38.9"/>
    <m/>
    <m/>
    <m/>
    <m/>
    <m/>
    <m/>
    <m/>
    <m/>
    <n v="38.9"/>
    <m/>
  </r>
  <r>
    <x v="1"/>
    <x v="3"/>
    <s v="Fresh or Not Specified"/>
    <s v="Japanese ox-grassfed steers (Scone)"/>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402581101475839"/>
    <s v=""/>
    <m/>
    <m/>
    <m/>
    <m/>
    <m/>
    <m/>
    <m/>
    <m/>
    <m/>
    <m/>
    <m/>
    <m/>
    <m/>
    <n v="25.402581101475839"/>
    <m/>
    <m/>
    <m/>
    <m/>
    <m/>
    <m/>
    <m/>
    <m/>
    <n v="25.402581101475839"/>
    <m/>
  </r>
  <r>
    <x v="1"/>
    <x v="3"/>
    <s v="Fresh or Not Specified"/>
    <s v="EU Cattle (Parkes)"/>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896850578033245"/>
    <s v=""/>
    <m/>
    <m/>
    <m/>
    <m/>
    <m/>
    <m/>
    <m/>
    <m/>
    <m/>
    <m/>
    <m/>
    <m/>
    <m/>
    <n v="26.896850578033245"/>
    <m/>
    <m/>
    <m/>
    <m/>
    <m/>
    <m/>
    <m/>
    <m/>
    <n v="26.896850578033245"/>
    <m/>
  </r>
  <r>
    <x v="1"/>
    <x v="3"/>
    <s v="Fresh or Not Specified"/>
    <s v="Inland weaners, grass fattened and feedlot finished (Walgett, Gunnedah, Quirind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15353618871627"/>
    <s v=""/>
    <m/>
    <m/>
    <m/>
    <m/>
    <m/>
    <m/>
    <m/>
    <m/>
    <m/>
    <m/>
    <m/>
    <m/>
    <m/>
    <n v="25.15353618871627"/>
    <m/>
    <m/>
    <m/>
    <m/>
    <m/>
    <m/>
    <m/>
    <m/>
    <n v="25.15353618871627"/>
    <m/>
  </r>
  <r>
    <x v="1"/>
    <x v="3"/>
    <s v="Fresh or Not Specified"/>
    <s v="North coast weanters, grass fattened and feedlot finished (Casino, Glen Innes, Rangers Valley)"/>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31.628703920465011"/>
    <s v=""/>
    <m/>
    <m/>
    <m/>
    <m/>
    <m/>
    <m/>
    <m/>
    <m/>
    <m/>
    <m/>
    <m/>
    <m/>
    <m/>
    <n v="31.628703920465011"/>
    <m/>
    <m/>
    <m/>
    <m/>
    <m/>
    <m/>
    <m/>
    <m/>
    <n v="31.628703920465011"/>
    <m/>
  </r>
  <r>
    <x v="1"/>
    <x v="3"/>
    <s v="Fresh or Not Specified"/>
    <s v="Yearling (Gundaga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900670926994973"/>
    <s v=""/>
    <m/>
    <m/>
    <m/>
    <m/>
    <m/>
    <m/>
    <m/>
    <m/>
    <m/>
    <m/>
    <m/>
    <m/>
    <m/>
    <n v="25.900670926994973"/>
    <m/>
    <m/>
    <m/>
    <m/>
    <m/>
    <m/>
    <m/>
    <m/>
    <n v="25.900670926994973"/>
    <m/>
  </r>
  <r>
    <x v="1"/>
    <x v="3"/>
    <s v="Fresh or Not Specified"/>
    <s v="Yearling (Bathurst)"/>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398760752514107"/>
    <s v=""/>
    <m/>
    <m/>
    <m/>
    <m/>
    <m/>
    <m/>
    <m/>
    <m/>
    <m/>
    <m/>
    <m/>
    <m/>
    <m/>
    <n v="26.398760752514107"/>
    <m/>
    <m/>
    <m/>
    <m/>
    <m/>
    <m/>
    <m/>
    <m/>
    <n v="26.398760752514107"/>
    <m/>
  </r>
  <r>
    <x v="4"/>
    <x v="73"/>
    <s v="Fresh or Not Specified"/>
    <s v="conventional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2.8"/>
    <s v=""/>
    <n v="0.11"/>
    <s v=""/>
    <n v="2.8"/>
    <m/>
    <m/>
    <m/>
    <m/>
    <m/>
    <m/>
    <m/>
    <m/>
    <n v="2.8"/>
    <m/>
    <m/>
    <m/>
    <n v="0.11"/>
    <m/>
    <m/>
    <m/>
    <m/>
    <m/>
    <m/>
    <m/>
    <m/>
    <n v="0.11"/>
    <m/>
  </r>
  <r>
    <x v="4"/>
    <x v="73"/>
    <s v="Fresh or Not Specified"/>
    <s v="sustainable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4.43"/>
    <s v=""/>
    <n v="0.08"/>
    <s v=""/>
    <n v="4.43"/>
    <m/>
    <m/>
    <m/>
    <m/>
    <m/>
    <m/>
    <m/>
    <m/>
    <n v="4.43"/>
    <m/>
    <m/>
    <m/>
    <n v="0.08"/>
    <m/>
    <m/>
    <m/>
    <m/>
    <m/>
    <m/>
    <m/>
    <m/>
    <n v="0.08"/>
    <m/>
  </r>
  <r>
    <x v="4"/>
    <x v="173"/>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85"/>
    <s v=""/>
    <n v="0.12"/>
    <s v=""/>
    <n v="2.85"/>
    <m/>
    <m/>
    <m/>
    <m/>
    <m/>
    <m/>
    <m/>
    <m/>
    <n v="2.85"/>
    <m/>
    <m/>
    <m/>
    <n v="0.12"/>
    <m/>
    <m/>
    <m/>
    <m/>
    <m/>
    <m/>
    <m/>
    <m/>
    <n v="0.12"/>
    <m/>
  </r>
  <r>
    <x v="4"/>
    <x v="173"/>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1"/>
    <s v=""/>
    <n v="0.04"/>
    <s v=""/>
    <n v="2.1"/>
    <m/>
    <m/>
    <m/>
    <m/>
    <m/>
    <m/>
    <m/>
    <m/>
    <n v="2.1"/>
    <m/>
    <m/>
    <m/>
    <n v="0.04"/>
    <m/>
    <m/>
    <m/>
    <m/>
    <m/>
    <m/>
    <m/>
    <m/>
    <n v="0.04"/>
    <m/>
  </r>
  <r>
    <x v="4"/>
    <x v="136"/>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87"/>
    <s v=""/>
    <n v="0.13"/>
    <s v=""/>
    <n v="2.87"/>
    <m/>
    <m/>
    <m/>
    <m/>
    <m/>
    <m/>
    <m/>
    <m/>
    <n v="2.87"/>
    <m/>
    <m/>
    <m/>
    <n v="0.13"/>
    <m/>
    <m/>
    <m/>
    <m/>
    <m/>
    <m/>
    <m/>
    <m/>
    <n v="0.13"/>
    <m/>
  </r>
  <r>
    <x v="4"/>
    <x v="136"/>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38"/>
    <s v=""/>
    <n v="0.04"/>
    <s v=""/>
    <n v="2.38"/>
    <m/>
    <m/>
    <m/>
    <m/>
    <m/>
    <m/>
    <m/>
    <m/>
    <n v="2.38"/>
    <m/>
    <m/>
    <m/>
    <n v="0.04"/>
    <m/>
    <m/>
    <m/>
    <m/>
    <m/>
    <m/>
    <m/>
    <m/>
    <n v="0.04"/>
    <m/>
  </r>
  <r>
    <x v="0"/>
    <x v="0"/>
    <s v="Fresh or Not Specified"/>
    <s v="grass fed Normande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4.29"/>
    <s v=""/>
    <n v="1.45"/>
    <s v=""/>
    <n v="4.29"/>
    <m/>
    <m/>
    <m/>
    <m/>
    <m/>
    <m/>
    <m/>
    <m/>
    <n v="4.29"/>
    <m/>
    <m/>
    <m/>
    <n v="1.45"/>
    <m/>
    <m/>
    <m/>
    <m/>
    <m/>
    <m/>
    <m/>
    <m/>
    <n v="1.45"/>
    <m/>
  </r>
  <r>
    <x v="0"/>
    <x v="0"/>
    <s v="Fresh or Not Specified"/>
    <s v="Grass fed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7"/>
    <s v=""/>
    <n v="1.33"/>
    <s v=""/>
    <n v="3.97"/>
    <m/>
    <m/>
    <m/>
    <m/>
    <m/>
    <m/>
    <m/>
    <m/>
    <n v="3.97"/>
    <m/>
    <m/>
    <m/>
    <n v="1.33"/>
    <m/>
    <m/>
    <m/>
    <m/>
    <m/>
    <m/>
    <m/>
    <m/>
    <n v="1.33"/>
    <m/>
  </r>
  <r>
    <x v="0"/>
    <x v="0"/>
    <s v="Fresh or Not Specified"/>
    <s v="grass with low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3"/>
    <s v=""/>
    <n v="1.29"/>
    <s v=""/>
    <n v="3.93"/>
    <m/>
    <m/>
    <m/>
    <m/>
    <m/>
    <m/>
    <m/>
    <m/>
    <n v="3.93"/>
    <m/>
    <m/>
    <m/>
    <n v="1.29"/>
    <m/>
    <m/>
    <m/>
    <m/>
    <m/>
    <m/>
    <m/>
    <m/>
    <n v="1.29"/>
    <m/>
  </r>
  <r>
    <x v="0"/>
    <x v="0"/>
    <s v="Fresh or Not Specified"/>
    <s v="grass with high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75"/>
    <s v=""/>
    <n v="1.17"/>
    <s v=""/>
    <n v="3.75"/>
    <m/>
    <m/>
    <m/>
    <m/>
    <m/>
    <m/>
    <m/>
    <m/>
    <n v="3.75"/>
    <m/>
    <m/>
    <m/>
    <n v="1.17"/>
    <m/>
    <m/>
    <m/>
    <m/>
    <m/>
    <m/>
    <m/>
    <m/>
    <n v="1.17"/>
    <m/>
  </r>
  <r>
    <x v="0"/>
    <x v="0"/>
    <s v="Fresh or Not Specified"/>
    <s v="grass with low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8"/>
    <s v=""/>
    <n v="1.28"/>
    <s v=""/>
    <n v="3.98"/>
    <m/>
    <m/>
    <m/>
    <m/>
    <m/>
    <m/>
    <m/>
    <m/>
    <n v="3.98"/>
    <m/>
    <m/>
    <m/>
    <n v="1.28"/>
    <m/>
    <m/>
    <m/>
    <m/>
    <m/>
    <m/>
    <m/>
    <m/>
    <n v="1.28"/>
    <m/>
  </r>
  <r>
    <x v="0"/>
    <x v="0"/>
    <s v="Fresh or Not Specified"/>
    <s v="grass with high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87"/>
    <s v=""/>
    <n v="1.1599999999999999"/>
    <s v=""/>
    <n v="3.87"/>
    <m/>
    <m/>
    <m/>
    <m/>
    <m/>
    <m/>
    <m/>
    <m/>
    <n v="3.87"/>
    <m/>
    <m/>
    <m/>
    <n v="1.1599999999999999"/>
    <m/>
    <m/>
    <m/>
    <m/>
    <m/>
    <m/>
    <m/>
    <m/>
    <n v="1.1599999999999999"/>
    <m/>
  </r>
  <r>
    <x v="12"/>
    <x v="102"/>
    <s v="Fresh or Not Specified"/>
    <s v="carp and tilapia, feed 2,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77.418918918918919"/>
    <s v=""/>
    <n v="4.6675675675675681"/>
    <s v=""/>
    <n v="77.418918918918919"/>
    <m/>
    <m/>
    <m/>
    <m/>
    <m/>
    <m/>
    <m/>
    <m/>
    <n v="77.418918918918919"/>
    <m/>
    <m/>
    <m/>
    <n v="4.6675675675675681"/>
    <m/>
    <m/>
    <m/>
    <m/>
    <m/>
    <m/>
    <m/>
    <m/>
    <n v="4.6675675675675681"/>
    <m/>
  </r>
  <r>
    <x v="12"/>
    <x v="102"/>
    <s v="Fresh or Not Specified"/>
    <s v="carp and tilapia, feed 2, practice 2 (small farms and relatively lower fish stocking density, feeding efficiency or water quality than for practice 1)"/>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9.040540540540547"/>
    <s v=""/>
    <n v="5.4729729729729728"/>
    <s v=""/>
    <n v="89.040540540540547"/>
    <m/>
    <m/>
    <m/>
    <m/>
    <m/>
    <m/>
    <m/>
    <m/>
    <n v="89.040540540540547"/>
    <m/>
    <m/>
    <m/>
    <n v="5.4729729729729728"/>
    <m/>
    <m/>
    <m/>
    <m/>
    <m/>
    <m/>
    <m/>
    <m/>
    <n v="5.4729729729729728"/>
    <m/>
  </r>
  <r>
    <x v="12"/>
    <x v="102"/>
    <s v="Fresh or Not Specified"/>
    <s v="carp and tilapia, feed 3,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99.086486486486478"/>
    <s v=""/>
    <n v="4.7621621621621619"/>
    <s v=""/>
    <n v="99.086486486486478"/>
    <m/>
    <m/>
    <m/>
    <m/>
    <m/>
    <m/>
    <m/>
    <m/>
    <n v="99.086486486486478"/>
    <m/>
    <m/>
    <m/>
    <n v="4.7621621621621619"/>
    <m/>
    <m/>
    <m/>
    <m/>
    <m/>
    <m/>
    <m/>
    <m/>
    <n v="4.7621621621621619"/>
    <m/>
  </r>
  <r>
    <x v="12"/>
    <x v="102"/>
    <s v="Fresh or Not Specified"/>
    <s v="carp and tilapia, feed 4,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6.994594594594602"/>
    <s v=""/>
    <n v="5.2027027027027026"/>
    <s v=""/>
    <n v="86.994594594594602"/>
    <m/>
    <m/>
    <m/>
    <m/>
    <m/>
    <m/>
    <m/>
    <m/>
    <n v="86.994594594594602"/>
    <m/>
    <m/>
    <m/>
    <n v="5.2027027027027026"/>
    <m/>
    <m/>
    <m/>
    <m/>
    <m/>
    <m/>
    <m/>
    <m/>
    <n v="5.2027027027027026"/>
    <m/>
  </r>
  <r>
    <x v="0"/>
    <x v="0"/>
    <s v="Fresh or Not Specified"/>
    <s v="pedigree milk production index &lt;1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03"/>
    <s v=""/>
    <m/>
    <m/>
    <m/>
    <m/>
    <m/>
    <m/>
    <m/>
    <m/>
    <m/>
    <m/>
    <m/>
    <m/>
    <m/>
    <n v="1.103"/>
    <m/>
    <m/>
    <m/>
    <m/>
    <m/>
    <m/>
    <m/>
    <m/>
    <n v="1.103"/>
    <m/>
  </r>
  <r>
    <x v="0"/>
    <x v="0"/>
    <s v="Fresh or Not Specified"/>
    <s v="pedigree milk production index &lt;1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840000000000001"/>
    <s v=""/>
    <m/>
    <m/>
    <m/>
    <m/>
    <m/>
    <m/>
    <m/>
    <m/>
    <m/>
    <m/>
    <m/>
    <m/>
    <m/>
    <n v="1.0840000000000001"/>
    <m/>
    <m/>
    <m/>
    <m/>
    <m/>
    <m/>
    <m/>
    <m/>
    <n v="1.0840000000000001"/>
    <m/>
  </r>
  <r>
    <x v="0"/>
    <x v="0"/>
    <s v="Fresh or Not Specified"/>
    <s v="pedigree milk production index &lt;1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09999999999999"/>
    <s v=""/>
    <m/>
    <m/>
    <m/>
    <m/>
    <m/>
    <m/>
    <m/>
    <m/>
    <m/>
    <m/>
    <m/>
    <m/>
    <m/>
    <n v="1.0409999999999999"/>
    <m/>
    <m/>
    <m/>
    <m/>
    <m/>
    <m/>
    <m/>
    <m/>
    <n v="1.0409999999999999"/>
    <m/>
  </r>
  <r>
    <x v="0"/>
    <x v="0"/>
    <s v="Fresh or Not Specified"/>
    <s v="pedigree milk production index 100kg-2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45"/>
    <s v=""/>
    <m/>
    <m/>
    <m/>
    <m/>
    <m/>
    <m/>
    <m/>
    <m/>
    <m/>
    <m/>
    <m/>
    <m/>
    <m/>
    <n v="1.145"/>
    <m/>
    <m/>
    <m/>
    <m/>
    <m/>
    <m/>
    <m/>
    <m/>
    <n v="1.145"/>
    <m/>
  </r>
  <r>
    <x v="0"/>
    <x v="0"/>
    <s v="Fresh or Not Specified"/>
    <s v="pedigree milk production index 100kg-2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920000000000001"/>
    <s v=""/>
    <m/>
    <m/>
    <m/>
    <m/>
    <m/>
    <m/>
    <m/>
    <m/>
    <m/>
    <m/>
    <m/>
    <m/>
    <m/>
    <n v="1.0920000000000001"/>
    <m/>
    <m/>
    <m/>
    <m/>
    <m/>
    <m/>
    <m/>
    <m/>
    <n v="1.0920000000000001"/>
    <m/>
  </r>
  <r>
    <x v="0"/>
    <x v="0"/>
    <s v="Fresh or Not Specified"/>
    <s v="pedigree milk production index 100kg-2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329999999999999"/>
    <s v=""/>
    <m/>
    <m/>
    <m/>
    <m/>
    <m/>
    <m/>
    <m/>
    <m/>
    <m/>
    <m/>
    <m/>
    <m/>
    <m/>
    <n v="1.0329999999999999"/>
    <m/>
    <m/>
    <m/>
    <m/>
    <m/>
    <m/>
    <m/>
    <m/>
    <n v="1.0329999999999999"/>
    <m/>
  </r>
  <r>
    <x v="0"/>
    <x v="0"/>
    <s v="Fresh or Not Specified"/>
    <s v="pedigree milk production index 200-3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2"/>
    <s v=""/>
    <m/>
    <m/>
    <m/>
    <m/>
    <m/>
    <m/>
    <m/>
    <m/>
    <m/>
    <m/>
    <m/>
    <m/>
    <m/>
    <n v="1.2"/>
    <m/>
    <m/>
    <m/>
    <m/>
    <m/>
    <m/>
    <m/>
    <m/>
    <n v="1.2"/>
    <m/>
  </r>
  <r>
    <x v="0"/>
    <x v="0"/>
    <s v="Fresh or Not Specified"/>
    <s v="pedigree milk production index 200-3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319999999999999"/>
    <s v=""/>
    <m/>
    <m/>
    <m/>
    <m/>
    <m/>
    <m/>
    <m/>
    <m/>
    <m/>
    <m/>
    <m/>
    <m/>
    <m/>
    <n v="1.1319999999999999"/>
    <m/>
    <m/>
    <m/>
    <m/>
    <m/>
    <m/>
    <m/>
    <m/>
    <n v="1.1319999999999999"/>
    <m/>
  </r>
  <r>
    <x v="0"/>
    <x v="0"/>
    <s v="Fresh or Not Specified"/>
    <s v="pedigree milk production index 200-3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69999999999999"/>
    <s v=""/>
    <m/>
    <m/>
    <m/>
    <m/>
    <m/>
    <m/>
    <m/>
    <m/>
    <m/>
    <m/>
    <m/>
    <m/>
    <m/>
    <n v="1.0469999999999999"/>
    <m/>
    <m/>
    <m/>
    <m/>
    <m/>
    <m/>
    <m/>
    <m/>
    <n v="1.0469999999999999"/>
    <m/>
  </r>
  <r>
    <x v="4"/>
    <x v="66"/>
    <s v="Fresh or Not Specified"/>
    <s v="braeburn apples, Hawke's Bay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0"/>
    <n v="0.41699999999999998"/>
    <s v=""/>
    <n v="3.9699999999999999E-2"/>
    <s v=""/>
    <n v="0.41699999999999998"/>
    <m/>
    <m/>
    <m/>
    <m/>
    <m/>
    <m/>
    <m/>
    <m/>
    <n v="0.41699999999999998"/>
    <m/>
    <m/>
    <m/>
    <n v="3.9699999999999999E-2"/>
    <m/>
    <m/>
    <m/>
    <m/>
    <m/>
    <m/>
    <m/>
    <m/>
    <n v="3.9699999999999999E-2"/>
    <m/>
  </r>
  <r>
    <x v="4"/>
    <x v="66"/>
    <s v="Fresh or Not Specified"/>
    <s v="braeburn apples, Hawke's Bay site #2"/>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1"/>
    <n v="0.44600000000000001"/>
    <s v=""/>
    <n v="4.0599999999999997E-2"/>
    <s v=""/>
    <n v="0.44600000000000001"/>
    <m/>
    <m/>
    <m/>
    <m/>
    <m/>
    <m/>
    <m/>
    <m/>
    <n v="0.44600000000000001"/>
    <m/>
    <m/>
    <m/>
    <n v="4.0599999999999997E-2"/>
    <m/>
    <m/>
    <m/>
    <m/>
    <m/>
    <m/>
    <m/>
    <m/>
    <n v="4.0599999999999997E-2"/>
    <m/>
  </r>
  <r>
    <x v="4"/>
    <x v="66"/>
    <s v="Fresh or Not Specified"/>
    <s v="braeburn apples, Hawke's Bay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2"/>
    <n v="0.71050000000000002"/>
    <s v=""/>
    <n v="9.5500000000000002E-2"/>
    <s v=""/>
    <n v="0.71050000000000002"/>
    <m/>
    <m/>
    <m/>
    <m/>
    <m/>
    <m/>
    <m/>
    <m/>
    <n v="0.71050000000000002"/>
    <m/>
    <m/>
    <m/>
    <n v="9.5500000000000002E-2"/>
    <m/>
    <m/>
    <m/>
    <m/>
    <m/>
    <m/>
    <m/>
    <m/>
    <n v="9.5500000000000002E-2"/>
    <m/>
  </r>
  <r>
    <x v="4"/>
    <x v="66"/>
    <s v="Fresh or Not Specified"/>
    <s v="braeburn apples,Central Otago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3"/>
    <n v="0.54500000000000004"/>
    <s v=""/>
    <n v="6.268E-2"/>
    <s v=""/>
    <n v="0.54500000000000004"/>
    <m/>
    <m/>
    <m/>
    <m/>
    <m/>
    <m/>
    <m/>
    <m/>
    <n v="0.54500000000000004"/>
    <m/>
    <m/>
    <m/>
    <n v="6.268E-2"/>
    <m/>
    <m/>
    <m/>
    <m/>
    <m/>
    <m/>
    <m/>
    <m/>
    <n v="6.268E-2"/>
    <m/>
  </r>
  <r>
    <x v="4"/>
    <x v="66"/>
    <s v="Fresh or Not Specified"/>
    <s v="braeburn apples,Central Otago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4"/>
    <n v="0.68300000000000005"/>
    <s v=""/>
    <n v="9.4600000000000004E-2"/>
    <s v=""/>
    <n v="0.68300000000000005"/>
    <m/>
    <m/>
    <m/>
    <m/>
    <m/>
    <m/>
    <m/>
    <m/>
    <n v="0.68300000000000005"/>
    <m/>
    <m/>
    <m/>
    <n v="9.4600000000000004E-2"/>
    <m/>
    <m/>
    <m/>
    <m/>
    <m/>
    <m/>
    <m/>
    <m/>
    <n v="9.4600000000000004E-2"/>
    <m/>
  </r>
  <r>
    <x v="12"/>
    <x v="104"/>
    <s v="Frozen"/>
    <s v="flatfish filet"/>
    <s v="No"/>
    <s v="Denmark"/>
    <n v="2006"/>
    <s v="Thrane, Mikkel"/>
    <m/>
    <s v="Peer Reviewed Journal"/>
    <s v="Thrane, M., LCA of Danish Fish Products. New methods and insights. The International Journal of Life Cycle Assessment 2006, 11 (1), 66-74."/>
    <s v="Yes"/>
    <s v="No"/>
    <s v="Yes"/>
    <s v="Yes"/>
    <s v="No"/>
    <s v="Yes"/>
    <s v="Yes"/>
    <s v="Yes"/>
    <s v="Yes"/>
    <s v="Yes"/>
    <s v="No"/>
    <s v="No"/>
    <m/>
    <m/>
    <s v="Yes"/>
    <m/>
    <s v="1 kg consumed frozen flatfish filet"/>
    <m/>
    <s v=""/>
    <s v=""/>
    <n v="9.8648880000000005"/>
    <n v="10.8784896"/>
    <m/>
    <m/>
    <m/>
    <m/>
    <m/>
    <m/>
    <m/>
    <m/>
    <m/>
    <m/>
    <m/>
    <m/>
    <m/>
    <n v="9.8648880000000005"/>
    <m/>
    <n v="1.0136016000000001"/>
    <m/>
    <n v="0.36299999999999999"/>
    <n v="3.6915119999999999"/>
    <n v="5.9231040000000004"/>
    <m/>
    <m/>
    <n v="9.8648880000000005"/>
    <n v="20.856105599999999"/>
  </r>
  <r>
    <x v="1"/>
    <x v="23"/>
    <s v="Fresh or Not Specified"/>
    <m/>
    <m/>
    <s v="Denmark"/>
    <n v="2007"/>
    <s v="Dalgaard, Randi"/>
    <m/>
    <s v="Other (specify)"/>
    <s v="Dalgaard, R., The environmental impact of pork production from a life cycle perspective. 2007, PhD, ."/>
    <s v="Yes"/>
    <s v="No"/>
    <s v="Yes"/>
    <s v="Yes"/>
    <s v="No"/>
    <s v="Yes"/>
    <s v="No"/>
    <s v="No"/>
    <s v="No"/>
    <s v="No"/>
    <s v="No"/>
    <s v="No"/>
    <m/>
    <m/>
    <m/>
    <m/>
    <s v="1 kg carcass weight"/>
    <s v="/0.729"/>
    <s v=""/>
    <s v=""/>
    <n v="4.9128943758573387"/>
    <n v="5.1197530864197534"/>
    <m/>
    <m/>
    <m/>
    <m/>
    <m/>
    <m/>
    <m/>
    <m/>
    <m/>
    <m/>
    <m/>
    <m/>
    <m/>
    <n v="4.9128943758573387"/>
    <m/>
    <n v="0.20685871056241428"/>
    <m/>
    <n v="5.1714677640603571E-2"/>
    <m/>
    <m/>
    <m/>
    <m/>
    <n v="4.9128943758573387"/>
    <n v="5.171467764060357"/>
  </r>
  <r>
    <x v="1"/>
    <x v="3"/>
    <s v="Fresh or Not Specified"/>
    <s v="Japanese Wagyu beef"/>
    <m/>
    <s v="Japan"/>
    <n v="2007"/>
    <s v="Ogino, Akifumi_x000a_Orito, Hideki_x000a_Shimada, Kazuhiro_x000a_Hirooka, Hiroyuki"/>
    <m/>
    <s v="Peer Reviewed Journal"/>
    <s v="Ogino, A., Orito, H., Shimada, K. and Hirooka, H., Evaluating environmental impacts of the Japanese beef cow–calf system by the life cycle assessment method. Animal Science Journal 2007, 78 (4), 424-432."/>
    <s v="Yes"/>
    <s v="No"/>
    <s v="No"/>
    <s v="No"/>
    <s v="No"/>
    <s v="No"/>
    <s v="No"/>
    <s v="No"/>
    <s v="No"/>
    <s v="No"/>
    <s v="No"/>
    <s v="No"/>
    <s v="no"/>
    <s v="study focuses on cow-calf stage but extrapolates to finished beef"/>
    <m/>
    <m/>
    <s v="presents a value per kg retail beef; assuming this refers to boneless"/>
    <m/>
    <n v="169"/>
    <s v=""/>
    <n v="36.4"/>
    <s v=""/>
    <n v="169"/>
    <m/>
    <m/>
    <m/>
    <m/>
    <m/>
    <m/>
    <m/>
    <m/>
    <n v="169"/>
    <m/>
    <m/>
    <m/>
    <n v="36.4"/>
    <m/>
    <m/>
    <m/>
    <m/>
    <m/>
    <m/>
    <m/>
    <m/>
    <n v="36.4"/>
    <m/>
  </r>
  <r>
    <x v="0"/>
    <x v="0"/>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5.8"/>
    <m/>
    <m/>
    <m/>
    <m/>
    <m/>
    <m/>
    <m/>
    <m/>
    <m/>
    <m/>
    <m/>
    <m/>
    <n v="1.1399999999999999"/>
  </r>
  <r>
    <x v="0"/>
    <x v="4"/>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40"/>
    <m/>
    <m/>
    <m/>
    <m/>
    <m/>
    <m/>
    <m/>
    <m/>
    <m/>
    <m/>
    <m/>
    <m/>
    <n v="10.7"/>
  </r>
  <r>
    <x v="0"/>
    <x v="5"/>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8.9"/>
    <m/>
    <m/>
    <m/>
    <m/>
    <m/>
    <m/>
    <m/>
    <m/>
    <m/>
    <m/>
    <m/>
    <m/>
    <n v="1.45"/>
  </r>
  <r>
    <x v="12"/>
    <x v="102"/>
    <s v="Frozen"/>
    <s v="farmed salmon, filleted, frozen and delivered to consumer in Paris"/>
    <m/>
    <s v="Norway"/>
    <n v="2008"/>
    <s v="Ellingsen, H_x000a_Olaussen, JO_x000a_Utne, IB"/>
    <m/>
    <s v="Peer Reviewed Journal"/>
    <s v="Ellingsen, H., Olaussen, J. and Utne, I., Environmental analysis of the Norwegian fishery and aquaculture industry—A preliminary study focusing on farmed salmon. Marine Policy 2009, 33 (3), 479-488."/>
    <s v="Yes"/>
    <s v="No"/>
    <s v="Yes"/>
    <s v="Yes"/>
    <s v="No"/>
    <s v="Yes"/>
    <s v="No"/>
    <s v="Yes"/>
    <s v="No"/>
    <s v="No"/>
    <s v="No"/>
    <s v="No"/>
    <m/>
    <m/>
    <m/>
    <m/>
    <s v="1 kg salmon fillet"/>
    <m/>
    <s v=""/>
    <s v=""/>
    <n v="2.25"/>
    <n v="2.3311000000000002"/>
    <m/>
    <m/>
    <m/>
    <m/>
    <m/>
    <m/>
    <m/>
    <m/>
    <m/>
    <m/>
    <m/>
    <m/>
    <m/>
    <n v="2.25"/>
    <n v="8.1100000000000005E-2"/>
    <n v="0"/>
    <m/>
    <n v="0.36906800000000001"/>
    <m/>
    <n v="0.33040000000000003"/>
    <m/>
    <m/>
    <n v="2.25"/>
    <n v="3.0305680000000002"/>
  </r>
  <r>
    <x v="3"/>
    <x v="18"/>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742500000000007"/>
    <m/>
    <m/>
    <m/>
    <m/>
    <m/>
    <m/>
    <m/>
    <m/>
    <m/>
    <m/>
    <m/>
    <m/>
    <m/>
    <n v="0.81"/>
    <n v="5.5599999999999998E-3"/>
    <n v="1.8649999999999999E-3"/>
    <n v="5.8799999999999998E-2"/>
    <n v="1.2529999999999998E-4"/>
    <m/>
    <m/>
    <m/>
    <m/>
    <n v="0.81"/>
    <n v="0.87635030000000003"/>
  </r>
  <r>
    <x v="3"/>
    <x v="19"/>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942500000000003"/>
    <m/>
    <m/>
    <m/>
    <m/>
    <m/>
    <m/>
    <m/>
    <m/>
    <m/>
    <m/>
    <m/>
    <m/>
    <m/>
    <n v="0.20200000000000001"/>
    <n v="5.5599999999999998E-3"/>
    <n v="1.8649999999999999E-3"/>
    <n v="5.8799999999999998E-2"/>
    <n v="1.2529999999999998E-4"/>
    <m/>
    <m/>
    <m/>
    <m/>
    <n v="0.20200000000000001"/>
    <n v="0.26835030000000004"/>
  </r>
  <r>
    <x v="3"/>
    <x v="18"/>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556000000000006"/>
    <m/>
    <m/>
    <m/>
    <m/>
    <m/>
    <m/>
    <m/>
    <m/>
    <m/>
    <m/>
    <m/>
    <m/>
    <m/>
    <n v="0.81"/>
    <n v="5.5599999999999998E-3"/>
    <m/>
    <n v="7.4190000000000006E-2"/>
    <n v="1.0450000000000001E-4"/>
    <m/>
    <m/>
    <m/>
    <m/>
    <n v="0.81"/>
    <n v="0.88985449999999999"/>
  </r>
  <r>
    <x v="3"/>
    <x v="19"/>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756000000000002"/>
    <m/>
    <m/>
    <m/>
    <m/>
    <m/>
    <m/>
    <m/>
    <m/>
    <m/>
    <m/>
    <m/>
    <m/>
    <m/>
    <n v="0.20200000000000001"/>
    <n v="5.5599999999999998E-3"/>
    <m/>
    <n v="7.4190000000000006E-2"/>
    <n v="1.0450000000000001E-4"/>
    <m/>
    <m/>
    <m/>
    <m/>
    <n v="0.20200000000000001"/>
    <n v="0.28185450000000006"/>
  </r>
  <r>
    <x v="0"/>
    <x v="0"/>
    <s v="Fresh or Not Specified"/>
    <s v="mass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5.77"/>
    <s v=""/>
    <n v="1.56"/>
    <s v=""/>
    <n v="5.77"/>
    <m/>
    <m/>
    <m/>
    <m/>
    <m/>
    <m/>
    <m/>
    <m/>
    <n v="5.77"/>
    <m/>
    <m/>
    <m/>
    <n v="1.56"/>
    <m/>
    <m/>
    <m/>
    <m/>
    <m/>
    <m/>
    <m/>
    <m/>
    <n v="1.56"/>
    <m/>
  </r>
  <r>
    <x v="0"/>
    <x v="0"/>
    <s v="Fresh or Not Specified"/>
    <s v="economic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6.91"/>
    <s v=""/>
    <n v="1.61"/>
    <s v=""/>
    <n v="6.91"/>
    <m/>
    <m/>
    <m/>
    <m/>
    <m/>
    <m/>
    <m/>
    <m/>
    <n v="6.91"/>
    <m/>
    <m/>
    <m/>
    <n v="1.61"/>
    <m/>
    <m/>
    <m/>
    <m/>
    <m/>
    <m/>
    <m/>
    <m/>
    <n v="1.61"/>
    <m/>
  </r>
  <r>
    <x v="1"/>
    <x v="3"/>
    <s v="Fresh or Not Specified"/>
    <s v="ea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30.408383847943142"/>
    <s v=""/>
    <m/>
    <m/>
    <m/>
    <m/>
    <m/>
    <m/>
    <m/>
    <m/>
    <m/>
    <m/>
    <m/>
    <m/>
    <m/>
    <n v="30.408383847943142"/>
    <m/>
    <m/>
    <m/>
    <m/>
    <m/>
    <m/>
    <m/>
    <m/>
    <n v="30.408383847943142"/>
    <m/>
  </r>
  <r>
    <x v="1"/>
    <x v="3"/>
    <s v="Fresh or Not Specified"/>
    <s v="We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053918223612449"/>
    <s v=""/>
    <m/>
    <m/>
    <m/>
    <m/>
    <m/>
    <m/>
    <m/>
    <m/>
    <m/>
    <m/>
    <m/>
    <m/>
    <m/>
    <n v="25.053918223612449"/>
    <m/>
    <m/>
    <m/>
    <m/>
    <m/>
    <m/>
    <m/>
    <m/>
    <n v="25.053918223612449"/>
    <m/>
  </r>
  <r>
    <x v="1"/>
    <x v="3"/>
    <s v="Fresh or Not Specified"/>
    <s v="Canada wide"/>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825957453167099"/>
    <s v=""/>
    <m/>
    <m/>
    <m/>
    <m/>
    <m/>
    <m/>
    <m/>
    <m/>
    <m/>
    <m/>
    <m/>
    <m/>
    <m/>
    <n v="25.825957453167099"/>
    <m/>
    <m/>
    <m/>
    <m/>
    <m/>
    <m/>
    <m/>
    <m/>
    <n v="25.825957453167099"/>
    <m/>
  </r>
  <r>
    <x v="12"/>
    <x v="111"/>
    <s v="Fresh or Not Specified"/>
    <s v="Norway Lobster, traw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1066.6666666666667"/>
    <s v=""/>
    <n v="105.66666666666667"/>
    <s v=""/>
    <n v="1066.6666666666667"/>
    <m/>
    <m/>
    <m/>
    <n v="33.333333333333336"/>
    <m/>
    <n v="83.333333333333343"/>
    <m/>
    <m/>
    <n v="1066.6666666666667"/>
    <n v="1183.3333333333333"/>
    <m/>
    <m/>
    <n v="105.66666666666667"/>
    <m/>
    <m/>
    <m/>
    <n v="1.8293800000000002"/>
    <n v="1.19"/>
    <n v="9.9333333333333336"/>
    <n v="6.1000000000000004E-3"/>
    <m/>
    <n v="105.66666666666667"/>
    <n v="118.62548000000001"/>
  </r>
  <r>
    <x v="12"/>
    <x v="111"/>
    <s v="Fresh or Not Specified"/>
    <s v="Norway Lobster, cree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250"/>
    <s v=""/>
    <n v="37"/>
    <s v=""/>
    <n v="250"/>
    <m/>
    <m/>
    <m/>
    <n v="33.333333333333336"/>
    <m/>
    <n v="83.333333333333343"/>
    <m/>
    <m/>
    <n v="250"/>
    <n v="366.66666666666663"/>
    <m/>
    <m/>
    <n v="37"/>
    <m/>
    <m/>
    <m/>
    <n v="1.8293800000000002"/>
    <n v="1.19"/>
    <n v="9.9333333333333336"/>
    <n v="6.1000000000000004E-3"/>
    <m/>
    <n v="37"/>
    <n v="49.958813333333339"/>
  </r>
  <r>
    <x v="1"/>
    <x v="1"/>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43.617021276595743"/>
    <s v=""/>
    <m/>
    <m/>
    <m/>
    <m/>
    <m/>
    <m/>
    <m/>
    <m/>
    <m/>
    <m/>
    <m/>
    <m/>
    <m/>
    <n v="43.617021276595743"/>
    <m/>
    <m/>
    <m/>
    <m/>
    <m/>
    <m/>
    <m/>
    <m/>
    <n v="43.617021276595743"/>
    <m/>
  </r>
  <r>
    <x v="1"/>
    <x v="1"/>
    <s v="Fresh or Not Specified"/>
    <s v="conventional, 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166.71732522796353"/>
    <s v=""/>
    <m/>
    <m/>
    <m/>
    <m/>
    <m/>
    <m/>
    <m/>
    <m/>
    <m/>
    <m/>
    <m/>
    <m/>
    <m/>
    <n v="166.71732522796353"/>
    <m/>
    <m/>
    <m/>
    <m/>
    <m/>
    <m/>
    <m/>
    <m/>
    <n v="166.71732522796353"/>
    <m/>
  </r>
  <r>
    <x v="1"/>
    <x v="3"/>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38.6019614777329"/>
    <s v=""/>
    <m/>
    <m/>
    <m/>
    <m/>
    <m/>
    <m/>
    <m/>
    <m/>
    <m/>
    <m/>
    <m/>
    <m/>
    <m/>
    <n v="38.6019614777329"/>
    <m/>
    <m/>
    <m/>
    <m/>
    <m/>
    <m/>
    <m/>
    <m/>
    <n v="38.6019614777329"/>
    <m/>
  </r>
  <r>
    <x v="1"/>
    <x v="3"/>
    <s v="Fresh or Not Specified"/>
    <s v="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118.54537847355391"/>
    <s v=""/>
    <m/>
    <m/>
    <m/>
    <m/>
    <m/>
    <m/>
    <m/>
    <m/>
    <m/>
    <m/>
    <m/>
    <m/>
    <m/>
    <n v="118.54537847355391"/>
    <m/>
    <m/>
    <m/>
    <m/>
    <m/>
    <m/>
    <m/>
    <m/>
    <n v="118.54537847355391"/>
    <m/>
  </r>
  <r>
    <x v="12"/>
    <x v="104"/>
    <s v="Frozen"/>
    <s v="cod, processed, long lin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1.19529"/>
    <n v="1.42272"/>
    <n v="1.2008000000000001"/>
    <n v="1.2128080000000001"/>
    <n v="1.19529"/>
    <m/>
    <n v="0.22743000000000002"/>
    <m/>
    <n v="0.38303999999999999"/>
    <m/>
    <m/>
    <m/>
    <m/>
    <n v="1.19529"/>
    <n v="1.71"/>
    <m/>
    <m/>
    <n v="1.2008000000000001"/>
    <m/>
    <n v="1.2008000000000001E-2"/>
    <m/>
    <n v="0.37446000000000002"/>
    <m/>
    <m/>
    <m/>
    <m/>
    <n v="1.2008000000000001"/>
    <n v="1.58"/>
  </r>
  <r>
    <x v="12"/>
    <x v="104"/>
    <s v="Frozen"/>
    <s v="cod, processed, bottom trawl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3.4701600000000004"/>
    <n v="7.4121400000000008"/>
    <n v="3.4438"/>
    <n v="4.883"/>
    <n v="3.4701600000000004"/>
    <m/>
    <n v="3.9419800000000005"/>
    <m/>
    <n v="0.23667099999999999"/>
    <m/>
    <m/>
    <m/>
    <m/>
    <n v="3.4701600000000004"/>
    <n v="7.61"/>
    <m/>
    <m/>
    <n v="3.4438"/>
    <m/>
    <n v="1.4392"/>
    <m/>
    <n v="0.25700000000000001"/>
    <m/>
    <m/>
    <m/>
    <m/>
    <n v="3.4438"/>
    <n v="5.14"/>
  </r>
  <r>
    <x v="5"/>
    <x v="122"/>
    <m/>
    <s v="conventional"/>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5"/>
    <s v=""/>
    <m/>
    <m/>
    <m/>
    <m/>
    <m/>
    <m/>
    <m/>
    <m/>
    <m/>
    <m/>
    <m/>
    <m/>
    <m/>
    <n v="1.5"/>
    <m/>
    <m/>
    <m/>
    <m/>
    <m/>
    <m/>
    <m/>
    <m/>
    <n v="1.5"/>
    <m/>
  </r>
  <r>
    <x v="5"/>
    <x v="122"/>
    <m/>
    <s v="sustainable"/>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33"/>
    <s v=""/>
    <m/>
    <m/>
    <m/>
    <m/>
    <m/>
    <m/>
    <m/>
    <m/>
    <m/>
    <m/>
    <m/>
    <m/>
    <m/>
    <n v="1.33"/>
    <m/>
    <m/>
    <m/>
    <m/>
    <m/>
    <m/>
    <m/>
    <m/>
    <n v="1.33"/>
    <m/>
  </r>
  <r>
    <x v="5"/>
    <x v="122"/>
    <m/>
    <s v="organic"/>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62"/>
    <s v=""/>
    <m/>
    <m/>
    <m/>
    <m/>
    <m/>
    <m/>
    <m/>
    <m/>
    <m/>
    <m/>
    <m/>
    <m/>
    <m/>
    <n v="1.62"/>
    <m/>
    <m/>
    <m/>
    <m/>
    <m/>
    <m/>
    <m/>
    <m/>
    <n v="1.62"/>
    <m/>
  </r>
  <r>
    <x v="3"/>
    <x v="57"/>
    <m/>
    <s v="british farms (outdoors)"/>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3067000000000001"/>
    <n v="0.27423000000000003"/>
    <m/>
    <m/>
    <m/>
    <m/>
    <m/>
    <m/>
    <m/>
    <m/>
    <m/>
    <m/>
    <m/>
    <m/>
    <m/>
    <n v="0.23067000000000001"/>
    <m/>
    <n v="4.3560000000000001E-2"/>
    <m/>
    <n v="5.5770000000000007E-2"/>
    <m/>
    <m/>
    <m/>
    <m/>
    <n v="0.23067000000000001"/>
    <n v="0.33"/>
  </r>
  <r>
    <x v="3"/>
    <x v="57"/>
    <m/>
    <s v="Spanish farms (imported to UK)"/>
    <m/>
    <s v="Spain"/>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1042"/>
    <n v="0.24149999999999999"/>
    <m/>
    <m/>
    <m/>
    <m/>
    <m/>
    <m/>
    <m/>
    <m/>
    <m/>
    <m/>
    <m/>
    <m/>
    <m/>
    <n v="0.21042"/>
    <m/>
    <n v="3.1079999999999997E-2"/>
    <m/>
    <n v="0.17849999999999999"/>
    <m/>
    <m/>
    <m/>
    <m/>
    <n v="0.21042"/>
    <n v="0.42"/>
  </r>
  <r>
    <x v="3"/>
    <x v="59"/>
    <m/>
    <s v="British farms (with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2.45756"/>
    <n v="2.5492599999999999"/>
    <m/>
    <m/>
    <m/>
    <m/>
    <m/>
    <m/>
    <m/>
    <m/>
    <m/>
    <m/>
    <m/>
    <m/>
    <m/>
    <n v="2.45756"/>
    <m/>
    <n v="9.1700000000000018E-2"/>
    <m/>
    <n v="7.0739999999999997E-2"/>
    <m/>
    <m/>
    <m/>
    <m/>
    <n v="2.45756"/>
    <n v="2.62"/>
  </r>
  <r>
    <x v="3"/>
    <x v="57"/>
    <m/>
    <s v="british farms (without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9.7200000000000009E-2"/>
    <n v="0.18359999999999999"/>
    <m/>
    <m/>
    <m/>
    <m/>
    <m/>
    <m/>
    <m/>
    <m/>
    <m/>
    <m/>
    <m/>
    <m/>
    <m/>
    <n v="9.7200000000000009E-2"/>
    <m/>
    <n v="8.6399999999999991E-2"/>
    <m/>
    <n v="5.6399999999999992E-2"/>
    <m/>
    <m/>
    <m/>
    <m/>
    <n v="9.7200000000000009E-2"/>
    <n v="0.24"/>
  </r>
  <r>
    <x v="5"/>
    <x v="129"/>
    <m/>
    <m/>
    <m/>
    <s v="Thailand"/>
    <n v="2009"/>
    <s v="Kasmaprapruet, Sakaorat_x000a_Paengjuntuek, Woranee_x000a_Saikhwan, Phanida_x000a_Phungrassami, Harnpon"/>
    <m/>
    <s v="Peer Reviewed Journal"/>
    <s v="Kasmaprapruet, S., Paengjuntuek, W., Saikhwan, P. and Phungrassami, H., Life cycle assessment of milled rice production: case study in Thailand. European Journal of Scientific Research 2009, 30 (2), 195-203."/>
    <s v="Yes"/>
    <s v="No"/>
    <s v="Yes"/>
    <s v="Yes"/>
    <s v="No"/>
    <s v="No"/>
    <s v="No"/>
    <s v="No"/>
    <s v="No"/>
    <s v="No"/>
    <s v="No"/>
    <s v="No"/>
    <m/>
    <s v="note that rice hulls are used as energy source for drying; this contribution is not included in the CED data"/>
    <m/>
    <m/>
    <s v="1 kg milled rice at mill gate"/>
    <m/>
    <n v="1.456"/>
    <n v="1.8596999999999999"/>
    <n v="2.4506189999999997"/>
    <n v="2.4929999999999999"/>
    <n v="1.456"/>
    <n v="0.23769999999999999"/>
    <n v="0.16600000000000001"/>
    <m/>
    <m/>
    <m/>
    <m/>
    <m/>
    <m/>
    <n v="1.456"/>
    <n v="1.8596999999999999"/>
    <m/>
    <m/>
    <n v="2.4506189999999997"/>
    <n v="1.7525789999999999E-2"/>
    <n v="2.4855210000000225E-2"/>
    <m/>
    <m/>
    <m/>
    <m/>
    <m/>
    <m/>
    <n v="2.4506189999999997"/>
    <n v="2.4929999999999999"/>
  </r>
  <r>
    <x v="0"/>
    <x v="0"/>
    <m/>
    <s v="based on analysis of 119 Dutch dairy farms; economic allocation"/>
    <m/>
    <s v="Netherlands"/>
    <n v="2009"/>
    <s v="Thomassen, MA_x000a_Dolman, MA_x000a_Van Calker, KJ_x000a_De Boer, IJM"/>
    <m/>
    <s v="Peer Reviewed Journal"/>
    <s v="Thomassen, M., Dolman, M., Van Calker, K. and De Boer, I., Relating life cycle assessment indicators to gross value added for Dutch dairy farms. Ecological Economics 2009, 68 (8), 2278-2284."/>
    <s v="Yes"/>
    <s v="No"/>
    <s v="No"/>
    <s v="No"/>
    <s v="No"/>
    <s v="No"/>
    <s v="No"/>
    <s v="No"/>
    <s v="No"/>
    <s v="No"/>
    <s v="No"/>
    <s v="No"/>
    <m/>
    <m/>
    <m/>
    <m/>
    <s v="1 kg FPCM"/>
    <m/>
    <n v="5.3"/>
    <s v=""/>
    <n v="1.36"/>
    <s v=""/>
    <n v="5.3"/>
    <m/>
    <m/>
    <m/>
    <m/>
    <m/>
    <m/>
    <m/>
    <m/>
    <n v="5.3"/>
    <m/>
    <m/>
    <m/>
    <n v="1.36"/>
    <m/>
    <m/>
    <m/>
    <m/>
    <m/>
    <m/>
    <m/>
    <m/>
    <n v="1.36"/>
    <m/>
  </r>
  <r>
    <x v="1"/>
    <x v="3"/>
    <m/>
    <s v="UK1 (~10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57"/>
    <n v="33.770000000000003"/>
    <m/>
    <m/>
    <m/>
    <m/>
    <m/>
    <m/>
    <m/>
    <m/>
    <m/>
    <m/>
    <m/>
    <m/>
    <m/>
    <n v="33.57"/>
    <m/>
    <n v="0.2"/>
    <m/>
    <n v="8.3699999999999997E-2"/>
    <m/>
    <m/>
    <m/>
    <m/>
    <n v="33.57"/>
    <n v="33.853700000000003"/>
  </r>
  <r>
    <x v="1"/>
    <x v="3"/>
    <m/>
    <s v="UK2 (~5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710000000000008"/>
    <n v="33.910000000000011"/>
    <m/>
    <m/>
    <m/>
    <m/>
    <m/>
    <m/>
    <m/>
    <m/>
    <m/>
    <m/>
    <m/>
    <m/>
    <m/>
    <n v="33.710000000000008"/>
    <m/>
    <n v="0.2"/>
    <m/>
    <n v="7.9500000000000001E-2"/>
    <m/>
    <m/>
    <m/>
    <m/>
    <n v="33.710000000000008"/>
    <n v="33.989500000000014"/>
  </r>
  <r>
    <x v="1"/>
    <x v="3"/>
    <m/>
    <s v="Brazil (~300 cow farm)"/>
    <m/>
    <s v="Brazil"/>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44.75"/>
    <n v="44.95"/>
    <m/>
    <m/>
    <m/>
    <m/>
    <m/>
    <m/>
    <m/>
    <m/>
    <m/>
    <m/>
    <m/>
    <m/>
    <m/>
    <n v="44.75"/>
    <m/>
    <n v="0.2"/>
    <m/>
    <n v="0.1179"/>
    <m/>
    <m/>
    <m/>
    <m/>
    <n v="44.75"/>
    <n v="45.067900000000002"/>
  </r>
  <r>
    <x v="0"/>
    <x v="0"/>
    <m/>
    <s v="organic"/>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6"/>
    <s v=""/>
    <n v="1.0820000000000001"/>
    <s v=""/>
    <n v="2.6"/>
    <m/>
    <m/>
    <m/>
    <m/>
    <m/>
    <m/>
    <m/>
    <m/>
    <n v="2.6"/>
    <m/>
    <m/>
    <s v="CV=34%, n=6"/>
    <n v="1.0820000000000001"/>
    <m/>
    <m/>
    <m/>
    <m/>
    <m/>
    <m/>
    <m/>
    <m/>
    <n v="1.0820000000000001"/>
    <m/>
  </r>
  <r>
    <x v="0"/>
    <x v="0"/>
    <m/>
    <s v="conventional"/>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8"/>
    <s v=""/>
    <n v="1.0369999999999999"/>
    <s v=""/>
    <n v="2.8"/>
    <m/>
    <m/>
    <m/>
    <m/>
    <m/>
    <m/>
    <m/>
    <m/>
    <n v="2.8"/>
    <m/>
    <m/>
    <s v="CV=16%, n=41"/>
    <n v="1.0369999999999999"/>
    <m/>
    <m/>
    <m/>
    <m/>
    <m/>
    <m/>
    <m/>
    <m/>
    <n v="1.0369999999999999"/>
    <m/>
  </r>
  <r>
    <x v="12"/>
    <x v="102"/>
    <m/>
    <s v="aquaculture, salmon,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55.4"/>
    <m/>
    <m/>
    <n v="2.8600000000000003"/>
    <m/>
    <n v="0.03"/>
    <n v="0.2"/>
    <n v="0.51"/>
    <m/>
    <m/>
    <m/>
    <m/>
    <n v="2.8600000000000003"/>
    <n v="3.6000000000000005"/>
  </r>
  <r>
    <x v="12"/>
    <x v="102"/>
    <m/>
    <s v="aquaculture, salmon, fresh gutted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49.9"/>
    <m/>
    <m/>
    <n v="2.8600000000000003"/>
    <m/>
    <n v="0.03"/>
    <n v="0.2"/>
    <n v="0.2"/>
    <m/>
    <m/>
    <m/>
    <m/>
    <n v="2.8600000000000003"/>
    <n v="3.2900000000000005"/>
  </r>
  <r>
    <x v="12"/>
    <x v="102"/>
    <m/>
    <s v="aquaculture, salmon, fresh gutted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62.3"/>
    <m/>
    <m/>
    <n v="2.8600000000000003"/>
    <m/>
    <n v="0.03"/>
    <n v="0.2"/>
    <n v="1.05"/>
    <m/>
    <m/>
    <m/>
    <m/>
    <n v="2.8600000000000003"/>
    <n v="4.1400000000000006"/>
  </r>
  <r>
    <x v="12"/>
    <x v="102"/>
    <m/>
    <s v="aquaculture, salmon, fresh gutted to Tokyo (by air)"/>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210.2"/>
    <m/>
    <m/>
    <n v="2.8600000000000003"/>
    <m/>
    <n v="0.03"/>
    <n v="0.14000000000000001"/>
    <n v="10.83"/>
    <m/>
    <m/>
    <m/>
    <m/>
    <n v="2.8600000000000003"/>
    <n v="13.86"/>
  </r>
  <r>
    <x v="12"/>
    <x v="102"/>
    <m/>
    <s v="aquaculture, salmon, frozen gutted to Shanghai (by boat)"/>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91"/>
    <m/>
    <m/>
    <m/>
    <m/>
    <m/>
    <m/>
    <m/>
    <m/>
    <m/>
    <m/>
    <n v="61.5"/>
    <m/>
    <m/>
    <n v="2.8600000000000003"/>
    <m/>
    <n v="0.05"/>
    <n v="0.11"/>
    <n v="1.18"/>
    <m/>
    <m/>
    <m/>
    <m/>
    <n v="2.8600000000000003"/>
    <n v="4.2"/>
  </r>
  <r>
    <x v="12"/>
    <x v="102"/>
    <m/>
    <s v="aquaculture, salmon,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4"/>
    <m/>
    <m/>
    <m/>
    <m/>
    <m/>
    <m/>
    <m/>
    <m/>
    <m/>
    <m/>
    <n v="40.700000000000003"/>
    <m/>
    <m/>
    <n v="2"/>
    <m/>
    <n v="0.14000000000000001"/>
    <n v="0.09"/>
    <n v="0.26"/>
    <m/>
    <m/>
    <m/>
    <m/>
    <n v="2"/>
    <n v="2.4900000000000002"/>
  </r>
  <r>
    <x v="12"/>
    <x v="102"/>
    <m/>
    <s v="aquaculture, salmon,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800000000000002"/>
    <m/>
    <m/>
    <m/>
    <m/>
    <m/>
    <m/>
    <m/>
    <m/>
    <m/>
    <m/>
    <n v="40.700000000000003"/>
    <m/>
    <m/>
    <n v="2"/>
    <m/>
    <n v="0.18"/>
    <n v="7.0000000000000007E-2"/>
    <n v="0.21"/>
    <m/>
    <m/>
    <m/>
    <m/>
    <n v="2"/>
    <n v="2.46"/>
  </r>
  <r>
    <x v="12"/>
    <x v="103"/>
    <m/>
    <s v="aquaculture, blue mussels, Fresh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24"/>
    <s v=""/>
    <m/>
    <m/>
    <m/>
    <m/>
    <m/>
    <m/>
    <m/>
    <m/>
    <m/>
    <m/>
    <n v="45.1"/>
    <m/>
    <m/>
    <n v="1.24"/>
    <m/>
    <n v="0"/>
    <n v="0.11"/>
    <n v="1.19"/>
    <m/>
    <m/>
    <m/>
    <m/>
    <n v="1.24"/>
    <n v="2.54"/>
  </r>
  <r>
    <x v="12"/>
    <x v="104"/>
    <m/>
    <s v="wild capture, cod,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s v=""/>
    <m/>
    <m/>
    <m/>
    <m/>
    <m/>
    <m/>
    <m/>
    <m/>
    <m/>
    <m/>
    <n v="42.6"/>
    <m/>
    <m/>
    <n v="2.8600000000000003"/>
    <m/>
    <n v="0"/>
    <n v="0.19"/>
    <n v="0.56999999999999995"/>
    <m/>
    <m/>
    <m/>
    <m/>
    <n v="2.8600000000000003"/>
    <n v="3.62"/>
  </r>
  <r>
    <x v="12"/>
    <x v="104"/>
    <m/>
    <s v="wild capture, cod, fresh fillet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28.6"/>
    <m/>
    <m/>
    <n v="2.0099999999999998"/>
    <m/>
    <n v="0.12"/>
    <n v="0.09"/>
    <n v="0.13"/>
    <m/>
    <m/>
    <m/>
    <m/>
    <n v="2.0099999999999998"/>
    <n v="2.3499999999999996"/>
  </r>
  <r>
    <x v="12"/>
    <x v="104"/>
    <m/>
    <s v="wild capture, cod,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31.3"/>
    <m/>
    <m/>
    <n v="2.0099999999999998"/>
    <m/>
    <n v="0.12"/>
    <n v="0.09"/>
    <n v="0.28000000000000003"/>
    <m/>
    <m/>
    <m/>
    <m/>
    <n v="2.0099999999999998"/>
    <n v="2.5"/>
  </r>
  <r>
    <x v="12"/>
    <x v="104"/>
    <m/>
    <s v="wild capture, cod,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799999999999997"/>
    <m/>
    <m/>
    <m/>
    <m/>
    <m/>
    <m/>
    <m/>
    <m/>
    <m/>
    <m/>
    <n v="31.5"/>
    <m/>
    <m/>
    <n v="2.0099999999999998"/>
    <m/>
    <n v="0.17"/>
    <n v="7.0000000000000007E-2"/>
    <n v="0.26"/>
    <m/>
    <m/>
    <m/>
    <m/>
    <n v="2.0099999999999998"/>
    <n v="2.5099999999999998"/>
  </r>
  <r>
    <x v="12"/>
    <x v="104"/>
    <m/>
    <s v="wild capture, cod, frozen fillet to Paris, via China"/>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400000000000002"/>
    <n v="2.31"/>
    <m/>
    <m/>
    <m/>
    <m/>
    <m/>
    <m/>
    <m/>
    <m/>
    <m/>
    <m/>
    <n v="45.7"/>
    <m/>
    <m/>
    <n v="1.7400000000000002"/>
    <m/>
    <n v="0.56999999999999995"/>
    <n v="0.13"/>
    <n v="1.34"/>
    <m/>
    <m/>
    <m/>
    <m/>
    <n v="1.7400000000000002"/>
    <n v="3.7800000000000002"/>
  </r>
  <r>
    <x v="12"/>
    <x v="104"/>
    <m/>
    <s v="wild capture, cod, salt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1.9100000000000001"/>
    <m/>
    <m/>
    <m/>
    <m/>
    <m/>
    <m/>
    <m/>
    <m/>
    <m/>
    <m/>
    <n v="26.6"/>
    <m/>
    <m/>
    <n v="1.7000000000000002"/>
    <m/>
    <n v="0.21"/>
    <n v="0.05"/>
    <n v="0.24"/>
    <m/>
    <m/>
    <m/>
    <m/>
    <n v="1.7000000000000002"/>
    <n v="2.2000000000000002"/>
  </r>
  <r>
    <x v="12"/>
    <x v="104"/>
    <m/>
    <s v="wild capture, cod, clip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2.06"/>
    <m/>
    <m/>
    <m/>
    <m/>
    <m/>
    <m/>
    <m/>
    <m/>
    <m/>
    <m/>
    <n v="28"/>
    <m/>
    <m/>
    <n v="1.7000000000000002"/>
    <m/>
    <n v="0.36"/>
    <n v="0.03"/>
    <n v="0.17"/>
    <m/>
    <m/>
    <m/>
    <m/>
    <n v="1.7000000000000002"/>
    <n v="2.2599999999999998"/>
  </r>
  <r>
    <x v="12"/>
    <x v="104"/>
    <m/>
    <s v="wild capture, saithe, frozen fillets to Berli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13"/>
    <n v="2.2999999999999998"/>
    <m/>
    <m/>
    <m/>
    <m/>
    <m/>
    <m/>
    <m/>
    <m/>
    <m/>
    <m/>
    <n v="32.700000000000003"/>
    <m/>
    <m/>
    <n v="2.13"/>
    <m/>
    <n v="0.17"/>
    <n v="7.0000000000000007E-2"/>
    <n v="0.19"/>
    <m/>
    <m/>
    <m/>
    <m/>
    <n v="2.13"/>
    <n v="2.5599999999999996"/>
  </r>
  <r>
    <x v="12"/>
    <x v="104"/>
    <m/>
    <s v="wild capture, haddock, frozen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n v="3.36"/>
    <m/>
    <m/>
    <m/>
    <m/>
    <m/>
    <m/>
    <m/>
    <m/>
    <m/>
    <m/>
    <n v="40.9"/>
    <m/>
    <m/>
    <n v="3.33"/>
    <m/>
    <n v="0.03"/>
    <n v="0.16"/>
    <n v="0.2"/>
    <m/>
    <m/>
    <m/>
    <m/>
    <n v="3.33"/>
    <n v="3.72"/>
  </r>
  <r>
    <x v="12"/>
    <x v="104"/>
    <m/>
    <s v="wild capture, haddock, fresh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s v=""/>
    <m/>
    <m/>
    <m/>
    <m/>
    <m/>
    <m/>
    <m/>
    <m/>
    <m/>
    <m/>
    <n v="44.7"/>
    <m/>
    <m/>
    <n v="3.33"/>
    <m/>
    <n v="0"/>
    <n v="0.21"/>
    <n v="0.3"/>
    <m/>
    <m/>
    <m/>
    <m/>
    <n v="3.33"/>
    <n v="3.84"/>
  </r>
  <r>
    <x v="12"/>
    <x v="104"/>
    <m/>
    <s v="wild capture, herring, round frozen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2"/>
    <n v="0.61"/>
    <m/>
    <m/>
    <m/>
    <m/>
    <m/>
    <m/>
    <m/>
    <m/>
    <m/>
    <m/>
    <n v="16.100000000000001"/>
    <m/>
    <m/>
    <n v="0.52"/>
    <m/>
    <n v="0.09"/>
    <n v="0.12"/>
    <n v="0.24"/>
    <m/>
    <m/>
    <m/>
    <m/>
    <n v="0.52"/>
    <n v="0.97"/>
  </r>
  <r>
    <x v="12"/>
    <x v="104"/>
    <m/>
    <s v="wild capture, herring, frozen fillet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32"/>
    <n v="0.48"/>
    <m/>
    <m/>
    <m/>
    <m/>
    <m/>
    <m/>
    <m/>
    <m/>
    <m/>
    <m/>
    <n v="23.8"/>
    <m/>
    <m/>
    <n v="0.32"/>
    <m/>
    <n v="0.16"/>
    <n v="7.0000000000000007E-2"/>
    <n v="0.83"/>
    <m/>
    <m/>
    <m/>
    <m/>
    <n v="0.32"/>
    <n v="1.38"/>
  </r>
  <r>
    <x v="12"/>
    <x v="104"/>
    <m/>
    <s v="wild capture, round frozen mackerel Toky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4"/>
    <n v="0.63"/>
    <m/>
    <m/>
    <m/>
    <m/>
    <m/>
    <m/>
    <m/>
    <m/>
    <m/>
    <m/>
    <n v="29"/>
    <m/>
    <m/>
    <n v="0.54"/>
    <m/>
    <n v="0.09"/>
    <n v="0.12"/>
    <n v="1.18"/>
    <m/>
    <m/>
    <m/>
    <m/>
    <n v="0.54"/>
    <n v="1.93"/>
  </r>
  <r>
    <x v="12"/>
    <x v="104"/>
    <m/>
    <s v="wild capture, round frozen mackerel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s v="Yes"/>
    <s v="No"/>
    <s v="No"/>
    <s v="Yes"/>
    <s v="Yes"/>
    <s v="Yes"/>
    <s v="No"/>
    <s v="No"/>
    <s v="No"/>
    <s v="No"/>
    <s v="No"/>
    <s v="No"/>
    <m/>
    <m/>
    <m/>
    <m/>
    <s v="1 kg edible product"/>
    <m/>
    <s v=""/>
    <s v=""/>
    <n v="0.54"/>
    <n v="0.63"/>
    <m/>
    <m/>
    <m/>
    <m/>
    <m/>
    <m/>
    <m/>
    <m/>
    <m/>
    <m/>
    <n v="16.3"/>
    <m/>
    <m/>
    <n v="0.54"/>
    <m/>
    <n v="0.09"/>
    <n v="0.12"/>
    <n v="0.24"/>
    <m/>
    <m/>
    <m/>
    <m/>
    <n v="0.54"/>
    <n v="0.99"/>
  </r>
  <r>
    <x v="1"/>
    <x v="1"/>
    <m/>
    <s v="sub-clover"/>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6.633559102984464"/>
    <s v=""/>
    <m/>
    <m/>
    <m/>
    <m/>
    <m/>
    <m/>
    <m/>
    <m/>
    <m/>
    <m/>
    <m/>
    <m/>
    <m/>
    <n v="16.633559102984464"/>
    <m/>
    <m/>
    <m/>
    <m/>
    <m/>
    <m/>
    <m/>
    <m/>
    <n v="16.633559102984464"/>
    <m/>
  </r>
  <r>
    <x v="1"/>
    <x v="1"/>
    <m/>
    <s v="mixed pasture"/>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5.227484862264557"/>
    <s v=""/>
    <m/>
    <m/>
    <m/>
    <m/>
    <m/>
    <m/>
    <m/>
    <m/>
    <m/>
    <m/>
    <m/>
    <m/>
    <m/>
    <n v="15.227484862264557"/>
    <m/>
    <m/>
    <m/>
    <m/>
    <m/>
    <m/>
    <m/>
    <m/>
    <n v="15.227484862264557"/>
    <m/>
  </r>
  <r>
    <x v="5"/>
    <x v="67"/>
    <m/>
    <m/>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m/>
    <s v=""/>
    <s v=""/>
    <n v="0.4"/>
    <s v=""/>
    <m/>
    <m/>
    <m/>
    <m/>
    <m/>
    <m/>
    <m/>
    <m/>
    <m/>
    <m/>
    <m/>
    <m/>
    <m/>
    <n v="0.4"/>
    <m/>
    <m/>
    <m/>
    <m/>
    <m/>
    <m/>
    <m/>
    <m/>
    <n v="0.4"/>
    <m/>
  </r>
  <r>
    <x v="12"/>
    <x v="104"/>
    <m/>
    <s v="combined purse seiner and pelagic trawler in NE Atlantic"/>
    <m/>
    <s v="Norway"/>
    <n v="2010"/>
    <s v=" Fet, Annik Magerholm_x000a_Schau, Erwin M_x000a_Haskins, Cecilia"/>
    <m/>
    <s v="Peer Reviewed Journal"/>
    <s v="Fet, A. M., Schau, E. M. and Haskins, C., A framework for environmental analyses of fish food production systems based on systems engineering principles. Systems Engineering 2010, 13 (2), 109-118."/>
    <s v="Yes"/>
    <s v="No"/>
    <s v="No"/>
    <s v="Yes"/>
    <s v="Yes"/>
    <s v="Yes"/>
    <s v="No"/>
    <s v="No"/>
    <s v="No"/>
    <s v="No"/>
    <s v="No"/>
    <s v="No"/>
    <m/>
    <m/>
    <m/>
    <m/>
    <s v="1 kg frozen fish fillet, delivered to Paris"/>
    <m/>
    <s v=""/>
    <s v=""/>
    <n v="0.82300000000000006"/>
    <n v="0.82517000000000007"/>
    <m/>
    <m/>
    <m/>
    <m/>
    <m/>
    <m/>
    <m/>
    <m/>
    <m/>
    <m/>
    <m/>
    <m/>
    <m/>
    <n v="0.82300000000000006"/>
    <m/>
    <n v="2.1700000000000001E-3"/>
    <n v="8.4000000000000005E-2"/>
    <n v="0.13800000000000001"/>
    <m/>
    <m/>
    <m/>
    <m/>
    <n v="0.82300000000000006"/>
    <n v="1.0471699999999999"/>
  </r>
  <r>
    <x v="1"/>
    <x v="1"/>
    <m/>
    <s v="typical New Zealand production"/>
    <m/>
    <s v="New Zealand"/>
    <n v="2010"/>
    <s v="Ledgard, SF_x000a_Lieffering, M_x000a_McDevitt, J_x000a_Boyes, M_x000a_Kemp, R"/>
    <m/>
    <s v="Peer Reviewed Journal"/>
    <s v="Ledgard, S., Lieffering, M., Mcdevitt, J., Boyes, M. and Kemp, R., A greenhouse gas footprint study for exported New Zealand lamb. Report for Meat Industry Association, Ballance Agri-nutrients, Landcorp and MAF. AgResearch, Hamilton, 26pp 2010."/>
    <s v="Yes"/>
    <s v="No"/>
    <s v="Yes"/>
    <s v="Yes"/>
    <s v="Yes"/>
    <s v="Yes"/>
    <s v="Yes"/>
    <s v="No"/>
    <s v="Yes"/>
    <s v="Yes"/>
    <s v="No"/>
    <s v="No"/>
    <m/>
    <s v="NZ lamb to UK"/>
    <m/>
    <m/>
    <s v="100g portion of raw purchased meat"/>
    <s v="assumed this is bone-free. X10"/>
    <s v=""/>
    <s v=""/>
    <n v="15.200000000000001"/>
    <n v="15.770000000000001"/>
    <m/>
    <m/>
    <m/>
    <m/>
    <m/>
    <m/>
    <m/>
    <m/>
    <m/>
    <m/>
    <m/>
    <m/>
    <m/>
    <n v="15.200000000000001"/>
    <m/>
    <n v="0.56999999999999995"/>
    <m/>
    <n v="0.95000000000000007"/>
    <m/>
    <n v="2.2799999999999998"/>
    <m/>
    <m/>
    <n v="15.200000000000001"/>
    <n v="19"/>
  </r>
  <r>
    <x v="3"/>
    <x v="13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54"/>
    <s v=""/>
    <m/>
    <m/>
    <m/>
    <m/>
    <m/>
    <m/>
    <m/>
    <m/>
    <m/>
    <m/>
    <m/>
    <m/>
    <m/>
    <n v="2.54"/>
    <m/>
    <m/>
    <m/>
    <m/>
    <m/>
    <m/>
    <m/>
    <m/>
    <n v="2.54"/>
    <m/>
  </r>
  <r>
    <x v="3"/>
    <x v="7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7"/>
    <s v=""/>
    <m/>
    <m/>
    <m/>
    <m/>
    <m/>
    <m/>
    <m/>
    <m/>
    <m/>
    <m/>
    <m/>
    <m/>
    <m/>
    <n v="1.37"/>
    <m/>
    <m/>
    <m/>
    <m/>
    <m/>
    <m/>
    <m/>
    <m/>
    <n v="1.37"/>
    <m/>
  </r>
  <r>
    <x v="3"/>
    <x v="19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4"/>
    <s v=""/>
    <m/>
    <m/>
    <m/>
    <m/>
    <m/>
    <m/>
    <m/>
    <m/>
    <m/>
    <m/>
    <m/>
    <m/>
    <m/>
    <n v="0.24"/>
    <m/>
    <m/>
    <m/>
    <m/>
    <m/>
    <m/>
    <m/>
    <m/>
    <n v="0.24"/>
    <m/>
  </r>
  <r>
    <x v="3"/>
    <x v="7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73"/>
    <s v=""/>
    <m/>
    <m/>
    <m/>
    <m/>
    <m/>
    <m/>
    <m/>
    <m/>
    <m/>
    <m/>
    <m/>
    <m/>
    <m/>
    <n v="1.73"/>
    <m/>
    <m/>
    <m/>
    <m/>
    <m/>
    <m/>
    <m/>
    <m/>
    <n v="1.73"/>
    <m/>
  </r>
  <r>
    <x v="3"/>
    <x v="19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3"/>
    <s v=""/>
    <m/>
    <m/>
    <m/>
    <m/>
    <m/>
    <m/>
    <m/>
    <m/>
    <m/>
    <m/>
    <m/>
    <m/>
    <m/>
    <n v="0.23"/>
    <m/>
    <m/>
    <m/>
    <m/>
    <m/>
    <m/>
    <m/>
    <m/>
    <n v="0.23"/>
    <m/>
  </r>
  <r>
    <x v="3"/>
    <x v="8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59"/>
    <s v=""/>
    <m/>
    <m/>
    <m/>
    <m/>
    <m/>
    <m/>
    <m/>
    <m/>
    <m/>
    <m/>
    <m/>
    <m/>
    <m/>
    <n v="0.59"/>
    <m/>
    <m/>
    <m/>
    <m/>
    <m/>
    <m/>
    <m/>
    <m/>
    <n v="0.59"/>
    <m/>
  </r>
  <r>
    <x v="3"/>
    <x v="232"/>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
    <s v=""/>
    <m/>
    <m/>
    <m/>
    <m/>
    <m/>
    <m/>
    <m/>
    <m/>
    <m/>
    <m/>
    <m/>
    <m/>
    <m/>
    <n v="0.2"/>
    <m/>
    <m/>
    <m/>
    <m/>
    <m/>
    <m/>
    <m/>
    <m/>
    <n v="0.2"/>
    <m/>
  </r>
  <r>
    <x v="3"/>
    <x v="9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r>
  <r>
    <x v="3"/>
    <x v="20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8"/>
    <s v=""/>
    <m/>
    <m/>
    <m/>
    <m/>
    <m/>
    <m/>
    <m/>
    <m/>
    <m/>
    <m/>
    <m/>
    <m/>
    <m/>
    <n v="0.18"/>
    <m/>
    <m/>
    <m/>
    <m/>
    <m/>
    <m/>
    <m/>
    <m/>
    <n v="0.18"/>
    <m/>
  </r>
  <r>
    <x v="3"/>
    <x v="23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6"/>
    <s v=""/>
    <m/>
    <m/>
    <m/>
    <m/>
    <m/>
    <m/>
    <m/>
    <m/>
    <m/>
    <m/>
    <m/>
    <m/>
    <m/>
    <n v="0.66"/>
    <m/>
    <m/>
    <m/>
    <m/>
    <m/>
    <m/>
    <m/>
    <m/>
    <n v="0.66"/>
    <m/>
  </r>
  <r>
    <x v="3"/>
    <x v="8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3"/>
    <s v=""/>
    <m/>
    <m/>
    <m/>
    <m/>
    <m/>
    <m/>
    <m/>
    <m/>
    <m/>
    <m/>
    <m/>
    <m/>
    <m/>
    <n v="0.13"/>
    <m/>
    <m/>
    <m/>
    <m/>
    <m/>
    <m/>
    <m/>
    <m/>
    <n v="0.13"/>
    <m/>
  </r>
  <r>
    <x v="3"/>
    <x v="166"/>
    <m/>
    <s v="fresh po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3.94"/>
    <s v=""/>
    <m/>
    <m/>
    <m/>
    <m/>
    <m/>
    <m/>
    <m/>
    <m/>
    <m/>
    <m/>
    <m/>
    <m/>
    <m/>
    <n v="3.94"/>
    <m/>
    <m/>
    <m/>
    <m/>
    <m/>
    <m/>
    <m/>
    <m/>
    <n v="3.94"/>
    <m/>
  </r>
  <r>
    <x v="3"/>
    <x v="166"/>
    <m/>
    <s v="shelle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46"/>
    <s v=""/>
    <m/>
    <m/>
    <m/>
    <m/>
    <m/>
    <m/>
    <m/>
    <m/>
    <m/>
    <m/>
    <m/>
    <m/>
    <m/>
    <n v="2.46"/>
    <m/>
    <m/>
    <m/>
    <m/>
    <m/>
    <m/>
    <m/>
    <m/>
    <n v="2.46"/>
    <m/>
  </r>
  <r>
    <x v="3"/>
    <x v="5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2"/>
    <s v=""/>
    <m/>
    <m/>
    <m/>
    <m/>
    <m/>
    <m/>
    <m/>
    <m/>
    <m/>
    <m/>
    <m/>
    <m/>
    <m/>
    <n v="0.32"/>
    <m/>
    <m/>
    <m/>
    <m/>
    <m/>
    <m/>
    <m/>
    <m/>
    <n v="0.32"/>
    <m/>
  </r>
  <r>
    <x v="3"/>
    <x v="23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5"/>
    <s v=""/>
    <m/>
    <m/>
    <m/>
    <m/>
    <m/>
    <m/>
    <m/>
    <m/>
    <m/>
    <m/>
    <m/>
    <m/>
    <m/>
    <n v="0.25"/>
    <m/>
    <m/>
    <m/>
    <m/>
    <m/>
    <m/>
    <m/>
    <m/>
    <n v="0.25"/>
    <m/>
  </r>
  <r>
    <x v="4"/>
    <x v="1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r>
  <r>
    <x v="3"/>
    <x v="6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06"/>
    <s v=""/>
    <m/>
    <m/>
    <m/>
    <m/>
    <m/>
    <m/>
    <m/>
    <m/>
    <m/>
    <m/>
    <m/>
    <m/>
    <m/>
    <n v="0.06"/>
    <m/>
    <m/>
    <m/>
    <m/>
    <m/>
    <m/>
    <m/>
    <m/>
    <n v="0.06"/>
    <m/>
  </r>
  <r>
    <x v="3"/>
    <x v="23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1"/>
    <s v=""/>
    <m/>
    <m/>
    <m/>
    <m/>
    <m/>
    <m/>
    <m/>
    <m/>
    <m/>
    <m/>
    <m/>
    <m/>
    <m/>
    <n v="0.21"/>
    <m/>
    <m/>
    <m/>
    <m/>
    <m/>
    <m/>
    <m/>
    <m/>
    <n v="0.21"/>
    <m/>
  </r>
  <r>
    <x v="3"/>
    <x v="44"/>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7"/>
    <s v=""/>
    <m/>
    <m/>
    <m/>
    <m/>
    <m/>
    <m/>
    <m/>
    <m/>
    <m/>
    <m/>
    <m/>
    <m/>
    <m/>
    <n v="0.27"/>
    <m/>
    <m/>
    <m/>
    <m/>
    <m/>
    <m/>
    <m/>
    <m/>
    <n v="0.27"/>
    <m/>
  </r>
  <r>
    <x v="3"/>
    <x v="20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3"/>
    <s v=""/>
    <m/>
    <m/>
    <m/>
    <m/>
    <m/>
    <m/>
    <m/>
    <m/>
    <m/>
    <m/>
    <m/>
    <m/>
    <m/>
    <n v="0.63"/>
    <m/>
    <m/>
    <m/>
    <m/>
    <m/>
    <m/>
    <m/>
    <m/>
    <n v="0.63"/>
    <m/>
  </r>
  <r>
    <x v="3"/>
    <x v="23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8"/>
    <s v=""/>
    <m/>
    <m/>
    <m/>
    <m/>
    <m/>
    <m/>
    <m/>
    <m/>
    <m/>
    <m/>
    <m/>
    <m/>
    <m/>
    <n v="1.38"/>
    <m/>
    <m/>
    <m/>
    <m/>
    <m/>
    <m/>
    <m/>
    <m/>
    <n v="1.38"/>
    <m/>
  </r>
  <r>
    <x v="3"/>
    <x v="1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2"/>
    <s v=""/>
    <m/>
    <m/>
    <m/>
    <m/>
    <m/>
    <m/>
    <m/>
    <m/>
    <m/>
    <m/>
    <m/>
    <m/>
    <m/>
    <n v="0.22"/>
    <m/>
    <m/>
    <m/>
    <m/>
    <m/>
    <m/>
    <m/>
    <m/>
    <n v="0.22"/>
    <m/>
  </r>
  <r>
    <x v="3"/>
    <x v="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17"/>
    <s v=""/>
    <m/>
    <m/>
    <m/>
    <m/>
    <m/>
    <m/>
    <m/>
    <m/>
    <m/>
    <m/>
    <m/>
    <m/>
    <m/>
    <n v="1.17"/>
    <m/>
    <m/>
    <m/>
    <m/>
    <m/>
    <m/>
    <m/>
    <m/>
    <n v="1.17"/>
    <m/>
  </r>
  <r>
    <x v="1"/>
    <x v="3"/>
    <m/>
    <s v="specialized beef in grassland area, calf-to-weanling and fattend females"/>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7.034572414789267"/>
    <s v=""/>
    <n v="41.092410605328567"/>
    <s v=""/>
    <n v="77.034572414789267"/>
    <m/>
    <m/>
    <m/>
    <m/>
    <m/>
    <m/>
    <m/>
    <m/>
    <n v="77.034572414789267"/>
    <m/>
    <m/>
    <m/>
    <n v="41.092410605328567"/>
    <m/>
    <m/>
    <m/>
    <m/>
    <m/>
    <m/>
    <m/>
    <m/>
    <n v="41.092410605328567"/>
    <m/>
  </r>
  <r>
    <x v="1"/>
    <x v="3"/>
    <m/>
    <s v="specialized beef in grassland area, calf-to-weanling, 100% grassland farm"/>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3.694880134683487"/>
    <s v=""/>
    <n v="42.586680081885966"/>
    <s v=""/>
    <n v="73.694880134683487"/>
    <m/>
    <m/>
    <m/>
    <m/>
    <m/>
    <m/>
    <m/>
    <m/>
    <n v="73.694880134683487"/>
    <m/>
    <m/>
    <m/>
    <n v="42.586680081885966"/>
    <m/>
    <m/>
    <m/>
    <m/>
    <m/>
    <m/>
    <m/>
    <m/>
    <n v="42.586680081885966"/>
    <m/>
  </r>
  <r>
    <x v="1"/>
    <x v="3"/>
    <m/>
    <s v="specialized beef in grassland area, calf-to-beef, beef steer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2.110954489532631"/>
    <s v=""/>
    <n v="37.107692001175486"/>
    <s v=""/>
    <n v="72.110954489532631"/>
    <m/>
    <m/>
    <m/>
    <m/>
    <m/>
    <m/>
    <m/>
    <m/>
    <n v="72.110954489532631"/>
    <m/>
    <m/>
    <m/>
    <n v="37.107692001175486"/>
    <m/>
    <m/>
    <m/>
    <m/>
    <m/>
    <m/>
    <m/>
    <m/>
    <n v="37.107692001175486"/>
    <m/>
  </r>
  <r>
    <x v="1"/>
    <x v="3"/>
    <m/>
    <s v="mixed crop-livestock, calf-to-beef intensive baby beef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66.497482155932005"/>
    <s v=""/>
    <n v="36.360557262896791"/>
    <s v=""/>
    <n v="66.497482155932005"/>
    <m/>
    <m/>
    <m/>
    <m/>
    <m/>
    <m/>
    <m/>
    <m/>
    <n v="66.497482155932005"/>
    <m/>
    <m/>
    <m/>
    <n v="36.360557262896791"/>
    <m/>
    <m/>
    <m/>
    <m/>
    <m/>
    <m/>
    <m/>
    <m/>
    <n v="36.360557262896791"/>
    <m/>
  </r>
  <r>
    <x v="1"/>
    <x v="3"/>
    <m/>
    <s v="mixed crop-livestock, calf-to-weanling and cereals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5.632449555952917"/>
    <s v=""/>
    <n v="47.318533424317742"/>
    <s v=""/>
    <n v="75.632449555952917"/>
    <m/>
    <m/>
    <m/>
    <m/>
    <m/>
    <m/>
    <m/>
    <m/>
    <n v="75.632449555952917"/>
    <m/>
    <m/>
    <m/>
    <n v="47.318533424317742"/>
    <m/>
    <m/>
    <m/>
    <m/>
    <m/>
    <m/>
    <m/>
    <m/>
    <n v="47.318533424317742"/>
    <m/>
  </r>
  <r>
    <x v="5"/>
    <x v="67"/>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4"/>
    <s v=""/>
    <n v="0.7"/>
    <s v=""/>
    <n v="2.4"/>
    <m/>
    <m/>
    <m/>
    <m/>
    <m/>
    <m/>
    <m/>
    <m/>
    <n v="2.4"/>
    <m/>
    <m/>
    <m/>
    <n v="0.7"/>
    <m/>
    <m/>
    <m/>
    <m/>
    <m/>
    <m/>
    <m/>
    <m/>
    <n v="0.7"/>
    <m/>
  </r>
  <r>
    <x v="5"/>
    <x v="45"/>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4.9000000000000004"/>
    <s v=""/>
    <n v="1.4"/>
    <s v=""/>
    <n v="4.9000000000000004"/>
    <m/>
    <m/>
    <m/>
    <m/>
    <m/>
    <m/>
    <m/>
    <m/>
    <n v="4.9000000000000004"/>
    <m/>
    <m/>
    <m/>
    <n v="1.4"/>
    <m/>
    <m/>
    <m/>
    <m/>
    <m/>
    <m/>
    <m/>
    <m/>
    <n v="1.4"/>
    <m/>
  </r>
  <r>
    <x v="3"/>
    <x v="44"/>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4"/>
    <s v=""/>
    <n v="0.19"/>
    <s v=""/>
    <n v="1.4"/>
    <m/>
    <m/>
    <m/>
    <m/>
    <m/>
    <m/>
    <m/>
    <m/>
    <n v="1.4"/>
    <m/>
    <m/>
    <m/>
    <n v="0.19"/>
    <m/>
    <m/>
    <m/>
    <m/>
    <m/>
    <m/>
    <m/>
    <m/>
    <n v="0.19"/>
    <m/>
  </r>
  <r>
    <x v="5"/>
    <x v="67"/>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
    <s v=""/>
    <n v="0.8"/>
    <s v=""/>
    <n v="2"/>
    <m/>
    <m/>
    <m/>
    <m/>
    <m/>
    <m/>
    <m/>
    <m/>
    <n v="2"/>
    <m/>
    <m/>
    <m/>
    <n v="0.8"/>
    <m/>
    <m/>
    <m/>
    <m/>
    <m/>
    <m/>
    <m/>
    <m/>
    <n v="0.8"/>
    <m/>
  </r>
  <r>
    <x v="3"/>
    <x v="44"/>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6"/>
    <s v=""/>
    <n v="0.2"/>
    <s v=""/>
    <n v="1.6"/>
    <m/>
    <m/>
    <m/>
    <m/>
    <m/>
    <m/>
    <m/>
    <m/>
    <n v="1.6"/>
    <m/>
    <m/>
    <m/>
    <n v="0.2"/>
    <m/>
    <m/>
    <m/>
    <m/>
    <m/>
    <m/>
    <m/>
    <m/>
    <n v="0.2"/>
    <m/>
  </r>
  <r>
    <x v="12"/>
    <x v="102"/>
    <m/>
    <s v="striped catfish (Pangasianodon hypophthalmus), Mekong Delta"/>
    <m/>
    <s v="Vietnam"/>
    <n v="2011"/>
    <s v="Bosma, Roel_x000a_Anh, Pham Thi_x000a_Potting, José"/>
    <m/>
    <s v="Peer Reviewed Journal"/>
    <s v="Bosma, R., Anh, P. T. and Potting, J., Life cycle assessment of intensive striped catfish farming in the Mekong Delta for screening hotspots as input to environmental policy and research agenda. The International Journal of Life Cycle Assessment 2011, 16 (9), 903."/>
    <s v="Yes"/>
    <s v="No"/>
    <s v="No"/>
    <s v="No"/>
    <s v="No"/>
    <s v="No"/>
    <s v="No"/>
    <s v="No"/>
    <s v="No"/>
    <s v="No"/>
    <s v="No"/>
    <s v="No"/>
    <m/>
    <m/>
    <m/>
    <m/>
    <s v="1 tonne fresh fish at farm gate"/>
    <s v="/.65"/>
    <n v="20.307692307692307"/>
    <s v=""/>
    <n v="13.738461538461538"/>
    <s v=""/>
    <n v="20.307692307692307"/>
    <m/>
    <m/>
    <m/>
    <m/>
    <m/>
    <m/>
    <m/>
    <m/>
    <n v="20.307692307692307"/>
    <m/>
    <m/>
    <m/>
    <n v="13.738461538461538"/>
    <m/>
    <m/>
    <m/>
    <m/>
    <m/>
    <m/>
    <m/>
    <m/>
    <n v="13.738461538461538"/>
    <m/>
  </r>
  <r>
    <x v="1"/>
    <x v="1"/>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58/0.508"/>
    <s v=""/>
    <s v=""/>
    <n v="34.10477945575952"/>
    <s v=""/>
    <m/>
    <m/>
    <m/>
    <m/>
    <m/>
    <m/>
    <m/>
    <m/>
    <m/>
    <n v="0"/>
    <m/>
    <m/>
    <m/>
    <n v="34.10477945575952"/>
    <m/>
    <m/>
    <m/>
    <m/>
    <m/>
    <m/>
    <m/>
    <m/>
    <n v="34.10477945575952"/>
    <m/>
  </r>
  <r>
    <x v="1"/>
    <x v="3"/>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67/0.602"/>
    <s v=""/>
    <s v=""/>
    <n v="56.782240109181295"/>
    <s v=""/>
    <m/>
    <m/>
    <m/>
    <m/>
    <m/>
    <m/>
    <m/>
    <m/>
    <m/>
    <m/>
    <m/>
    <m/>
    <m/>
    <n v="56.782240109181295"/>
    <m/>
    <m/>
    <m/>
    <m/>
    <m/>
    <m/>
    <m/>
    <m/>
    <n v="56.782240109181295"/>
    <m/>
  </r>
  <r>
    <x v="0"/>
    <x v="0"/>
    <m/>
    <s v="pasture"/>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9"/>
    <s v=""/>
    <m/>
    <m/>
    <m/>
    <m/>
    <m/>
    <m/>
    <m/>
    <m/>
    <m/>
    <m/>
    <m/>
    <m/>
    <m/>
    <n v="9"/>
    <m/>
    <m/>
    <m/>
    <m/>
    <m/>
    <m/>
    <m/>
    <m/>
    <n v="9"/>
    <m/>
  </r>
  <r>
    <x v="0"/>
    <x v="0"/>
    <m/>
    <s v="pasture/supplement"/>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8.5"/>
    <s v=""/>
    <m/>
    <m/>
    <m/>
    <m/>
    <m/>
    <m/>
    <m/>
    <m/>
    <m/>
    <m/>
    <m/>
    <m/>
    <m/>
    <n v="8.5"/>
    <m/>
    <m/>
    <m/>
    <m/>
    <m/>
    <m/>
    <m/>
    <m/>
    <n v="8.5"/>
    <m/>
  </r>
  <r>
    <x v="5"/>
    <x v="67"/>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
    <m/>
    <s v=""/>
    <s v=""/>
    <n v="0.04"/>
    <s v=""/>
    <m/>
    <m/>
    <m/>
    <m/>
    <m/>
    <m/>
    <m/>
    <m/>
    <m/>
    <m/>
    <m/>
    <m/>
    <m/>
    <n v="0.04"/>
    <m/>
    <m/>
    <m/>
    <m/>
    <m/>
    <m/>
    <m/>
    <m/>
    <n v="0.04"/>
    <m/>
  </r>
  <r>
    <x v="5"/>
    <x v="125"/>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m/>
    <s v=""/>
    <s v=""/>
    <n v="0.15"/>
    <s v=""/>
    <m/>
    <m/>
    <m/>
    <m/>
    <m/>
    <m/>
    <m/>
    <m/>
    <m/>
    <m/>
    <m/>
    <m/>
    <m/>
    <n v="0.15"/>
    <m/>
    <m/>
    <m/>
    <m/>
    <m/>
    <m/>
    <m/>
    <m/>
    <n v="0.15"/>
    <m/>
  </r>
  <r>
    <x v="0"/>
    <x v="0"/>
    <m/>
    <s v="average of 60 Tasmanian dairy farms, estimated by GHGE calculator"/>
    <m/>
    <s v="Australia (Tasmania)"/>
    <n v="2011"/>
    <s v="Christie, KM_x000a_Rawnsley, RP_x000a_Eckard, RJ"/>
    <m/>
    <s v="Peer Reviewed Journal"/>
    <s v="Christie, K., Rawnsley, R. and Eckard, R., A whole farm systems analysis of greenhouse gas emissions of 60 Tasmanian dairy farms. Animal Feed Science and Technology 2011, 166, 653-662."/>
    <s v="Yes"/>
    <s v="No"/>
    <s v="No"/>
    <s v="No"/>
    <s v="No"/>
    <s v="No"/>
    <s v="No"/>
    <s v="No"/>
    <s v="No"/>
    <s v="No"/>
    <s v="No"/>
    <s v="No"/>
    <m/>
    <m/>
    <m/>
    <m/>
    <s v="kg FPCM"/>
    <m/>
    <s v=""/>
    <s v=""/>
    <n v="1.04"/>
    <s v=""/>
    <m/>
    <m/>
    <m/>
    <m/>
    <m/>
    <m/>
    <m/>
    <m/>
    <m/>
    <m/>
    <m/>
    <m/>
    <m/>
    <n v="1.04"/>
    <m/>
    <m/>
    <m/>
    <m/>
    <m/>
    <m/>
    <m/>
    <m/>
    <n v="1.04"/>
    <m/>
  </r>
  <r>
    <x v="1"/>
    <x v="3"/>
    <m/>
    <s v="National Farm Survey"/>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4.482758620689651"/>
    <s v=""/>
    <m/>
    <m/>
    <m/>
    <m/>
    <m/>
    <m/>
    <m/>
    <m/>
    <m/>
    <m/>
    <m/>
    <m/>
    <m/>
    <n v="34.482758620689651"/>
    <m/>
    <m/>
    <m/>
    <m/>
    <m/>
    <m/>
    <m/>
    <m/>
    <n v="34.482758620689651"/>
    <m/>
  </r>
  <r>
    <x v="1"/>
    <x v="3"/>
    <m/>
    <s v="Steer,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9.535232383808093"/>
    <s v=""/>
    <m/>
    <m/>
    <m/>
    <m/>
    <m/>
    <m/>
    <m/>
    <m/>
    <m/>
    <m/>
    <m/>
    <m/>
    <m/>
    <n v="29.535232383808093"/>
    <m/>
    <m/>
    <m/>
    <m/>
    <m/>
    <m/>
    <m/>
    <m/>
    <n v="29.535232383808093"/>
    <m/>
  </r>
  <r>
    <x v="1"/>
    <x v="3"/>
    <m/>
    <s v="steer,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2.983508245877061"/>
    <s v=""/>
    <m/>
    <m/>
    <m/>
    <m/>
    <m/>
    <m/>
    <m/>
    <m/>
    <m/>
    <m/>
    <m/>
    <m/>
    <m/>
    <n v="32.983508245877061"/>
    <m/>
    <m/>
    <m/>
    <m/>
    <m/>
    <m/>
    <m/>
    <m/>
    <n v="32.983508245877061"/>
    <m/>
  </r>
  <r>
    <x v="1"/>
    <x v="3"/>
    <m/>
    <s v="bull,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8.335832083958017"/>
    <s v=""/>
    <m/>
    <m/>
    <m/>
    <m/>
    <m/>
    <m/>
    <m/>
    <m/>
    <m/>
    <m/>
    <m/>
    <m/>
    <m/>
    <n v="28.335832083958017"/>
    <m/>
    <m/>
    <m/>
    <m/>
    <m/>
    <m/>
    <m/>
    <m/>
    <n v="28.335832083958017"/>
    <m/>
  </r>
  <r>
    <x v="1"/>
    <x v="3"/>
    <m/>
    <s v="bull,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0.584707646176909"/>
    <s v=""/>
    <m/>
    <m/>
    <m/>
    <m/>
    <m/>
    <m/>
    <m/>
    <m/>
    <m/>
    <m/>
    <m/>
    <m/>
    <m/>
    <n v="30.584707646176909"/>
    <m/>
    <m/>
    <m/>
    <m/>
    <m/>
    <m/>
    <m/>
    <m/>
    <n v="30.584707646176909"/>
    <m/>
  </r>
  <r>
    <x v="0"/>
    <x v="0"/>
    <m/>
    <s v="average of 45 model farms in 38 countries"/>
    <m/>
    <s v="world"/>
    <n v="2011"/>
    <s v="Hagemann, Martin_x000a_Hemme, Torsten_x000a_Ndambi, Asaah_x000a_Alqaisi, Othman_x000a_Sultana, Mst Nadira"/>
    <m/>
    <s v="Peer Reviewed Journal"/>
    <s v="Hagemann, M., Hemme, T., Ndambi, A., Alqaisi, O. and Sultana, M. N., Benchmarking of greenhouse gas emissions of bovine milk production systems for 38 countries. Animal feed science and technology 2011, 166, 46-58."/>
    <s v="Yes"/>
    <s v="No"/>
    <s v="No"/>
    <s v="No"/>
    <s v="No"/>
    <s v="No"/>
    <s v="No"/>
    <s v="No"/>
    <s v="No"/>
    <s v="No"/>
    <s v="No"/>
    <s v="No"/>
    <m/>
    <m/>
    <m/>
    <m/>
    <s v="kg ECM"/>
    <m/>
    <s v=""/>
    <s v=""/>
    <n v="1.24"/>
    <s v=""/>
    <m/>
    <m/>
    <m/>
    <m/>
    <m/>
    <m/>
    <m/>
    <m/>
    <m/>
    <m/>
    <m/>
    <m/>
    <m/>
    <n v="1.24"/>
    <m/>
    <m/>
    <m/>
    <m/>
    <m/>
    <m/>
    <m/>
    <m/>
    <n v="1.24"/>
    <m/>
  </r>
  <r>
    <x v="0"/>
    <x v="0"/>
    <m/>
    <s v="Aurora Organic Dairy (vertically integrated organic dairy)"/>
    <m/>
    <s v="US"/>
    <n v="2011"/>
    <s v="Heller, M. C._x000a_Keoleian, G. A."/>
    <m/>
    <s v="Peer Reviewed Journal"/>
    <s v="Heller, M. C. and Keoleian, G. A., Life Cycle Energy and Greenhouse Gas Analysis of a Large-Scale Vertically Integrated Organic Dairy in the United States. Environmental Science and Technology 2011, 45 (5), 1903-1910."/>
    <s v="Yes"/>
    <s v="No"/>
    <s v="Yes"/>
    <s v="Yes"/>
    <s v="Yes"/>
    <s v="Yes"/>
    <s v="Yes"/>
    <s v="Yes"/>
    <s v="Yes"/>
    <s v="No"/>
    <s v="No"/>
    <s v="No"/>
    <m/>
    <s v="reporting average of 2 years"/>
    <m/>
    <m/>
    <s v="1 L packaged fluid milk"/>
    <s v="1.035kg/L"/>
    <n v="5.5993499999999994"/>
    <n v="9.4024251999999997"/>
    <n v="1.516275"/>
    <n v="1.72224"/>
    <n v="5.5993499999999994"/>
    <n v="0.49472999999999995"/>
    <n v="3.3083452000000002"/>
    <n v="2.8255499999999998"/>
    <n v="3.6638999999999999"/>
    <n v="0.67274999999999996"/>
    <n v="2.3463449999999999"/>
    <n v="1.0142999999999999E-2"/>
    <m/>
    <n v="5.5993499999999994"/>
    <n v="18.921113199999997"/>
    <m/>
    <m/>
    <n v="1.516275"/>
    <n v="3.5189999999999999E-2"/>
    <n v="0.17077499999999998"/>
    <n v="0.13734450000000001"/>
    <n v="0.24498449999999997"/>
    <n v="4.0468499999999998E-2"/>
    <n v="0.14862599999999998"/>
    <n v="9.2114999999999989E-2"/>
    <m/>
    <n v="1.516275"/>
    <n v="2.3857785000000002"/>
  </r>
  <r>
    <x v="0"/>
    <x v="0"/>
    <s v="Fresh or Not Specified"/>
    <s v="average of 41 intensive dairy farms in the Po valley "/>
    <m/>
    <s v="Italy"/>
    <n v="2013"/>
    <s v="Guerci, Matteo_x000a_Bava, Luciana_x000a_Zucali, Maddalena_x000a_Sandrucci, Anna_x000a_Penati, Chiara_x000a_Tamburini, Alberto"/>
    <s v="Intensive dairy farms in Italy"/>
    <s v="Peer Reviewed Journal"/>
    <s v="Guerci, M., Bava, L., Zucali, M., Sandrucci, A., Penati, C. and Tamburini, A., Effect of farming strategies on environmental impact of intensive dairy farms in Italy. Journal of Dairy Research 2013, 80 (3), 300-308."/>
    <s v="Yes"/>
    <s v="No"/>
    <s v="No"/>
    <s v="No"/>
    <s v="No"/>
    <s v="No"/>
    <s v="No"/>
    <s v="No"/>
    <s v="No"/>
    <s v="No"/>
    <s v="No"/>
    <s v="No"/>
    <m/>
    <s v="cradle to farm gate"/>
    <m/>
    <m/>
    <s v="kg FPCM"/>
    <m/>
    <n v="5.97"/>
    <s v=""/>
    <n v="1.3"/>
    <s v=""/>
    <n v="5.97"/>
    <m/>
    <m/>
    <m/>
    <m/>
    <m/>
    <m/>
    <m/>
    <m/>
    <n v="5.97"/>
    <m/>
    <m/>
    <s v="sd= 1.32; on-farm and off-farm values"/>
    <n v="1.3"/>
    <m/>
    <m/>
    <m/>
    <m/>
    <m/>
    <m/>
    <m/>
    <m/>
    <n v="1.3"/>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87"/>
    <s v=""/>
    <n v="1.43"/>
    <s v=""/>
    <n v="2.87"/>
    <m/>
    <m/>
    <m/>
    <m/>
    <m/>
    <m/>
    <m/>
    <m/>
    <n v="2.87"/>
    <m/>
    <m/>
    <s v="Provides on-farm %s"/>
    <n v="1.43"/>
    <m/>
    <m/>
    <m/>
    <m/>
    <m/>
    <m/>
    <m/>
    <m/>
    <n v="1.43"/>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5499999999999998"/>
    <s v=""/>
    <n v="1.1000000000000001"/>
    <s v=""/>
    <n v="2.5499999999999998"/>
    <m/>
    <m/>
    <m/>
    <m/>
    <m/>
    <m/>
    <m/>
    <m/>
    <n v="2.5499999999999998"/>
    <m/>
    <m/>
    <s v="Provides on-farm %s"/>
    <n v="1.1000000000000001"/>
    <m/>
    <m/>
    <m/>
    <m/>
    <m/>
    <m/>
    <m/>
    <m/>
    <n v="1.1000000000000001"/>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08"/>
    <s v=""/>
    <n v="1.57"/>
    <s v=""/>
    <n v="3.08"/>
    <m/>
    <m/>
    <m/>
    <m/>
    <m/>
    <m/>
    <m/>
    <m/>
    <n v="3.08"/>
    <m/>
    <m/>
    <s v="Provides on-farm %s"/>
    <n v="1.57"/>
    <m/>
    <m/>
    <m/>
    <m/>
    <m/>
    <m/>
    <m/>
    <m/>
    <n v="1.57"/>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96"/>
    <s v=""/>
    <n v="1.27"/>
    <s v=""/>
    <n v="2.96"/>
    <m/>
    <m/>
    <m/>
    <m/>
    <m/>
    <m/>
    <m/>
    <m/>
    <n v="2.96"/>
    <m/>
    <m/>
    <s v="Provides on-farm %s"/>
    <n v="1.27"/>
    <m/>
    <m/>
    <m/>
    <m/>
    <m/>
    <m/>
    <m/>
    <m/>
    <n v="1.27"/>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5.29"/>
    <s v=""/>
    <n v="1.66"/>
    <s v=""/>
    <n v="5.29"/>
    <m/>
    <m/>
    <m/>
    <m/>
    <m/>
    <m/>
    <m/>
    <m/>
    <n v="5.29"/>
    <m/>
    <m/>
    <s v="Provides on-farm %s"/>
    <n v="1.66"/>
    <m/>
    <m/>
    <m/>
    <m/>
    <m/>
    <m/>
    <m/>
    <m/>
    <n v="1.66"/>
    <m/>
  </r>
  <r>
    <x v="0"/>
    <x v="0"/>
    <s v="Fresh or Not Specified"/>
    <m/>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1"/>
    <s v=""/>
    <n v="1.32"/>
    <s v=""/>
    <n v="3.71"/>
    <m/>
    <m/>
    <m/>
    <m/>
    <m/>
    <m/>
    <m/>
    <m/>
    <n v="3.71"/>
    <m/>
    <m/>
    <s v="Provides on-farm %s"/>
    <n v="1.32"/>
    <m/>
    <m/>
    <m/>
    <m/>
    <m/>
    <m/>
    <m/>
    <m/>
    <n v="1.32"/>
    <m/>
  </r>
  <r>
    <x v="0"/>
    <x v="0"/>
    <s v="Fresh or Not Specified"/>
    <s v="pasture based feeding in the summer"/>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0.92"/>
    <s v=""/>
    <n v="0.55000000000000004"/>
    <s v=""/>
    <n v="0.92"/>
    <m/>
    <m/>
    <m/>
    <m/>
    <m/>
    <m/>
    <m/>
    <m/>
    <n v="0.92"/>
    <m/>
    <m/>
    <s v="Provides on-farm %s"/>
    <n v="0.55000000000000004"/>
    <m/>
    <m/>
    <m/>
    <m/>
    <m/>
    <m/>
    <m/>
    <m/>
    <n v="0.55000000000000004"/>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09"/>
    <s v=""/>
    <n v="1.36"/>
    <s v=""/>
    <n v="4.09"/>
    <m/>
    <m/>
    <m/>
    <m/>
    <m/>
    <m/>
    <m/>
    <m/>
    <n v="4.09"/>
    <m/>
    <m/>
    <s v="Provides on-farm %s"/>
    <n v="1.36"/>
    <m/>
    <m/>
    <m/>
    <m/>
    <m/>
    <m/>
    <m/>
    <m/>
    <n v="1.36"/>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3"/>
    <s v=""/>
    <n v="1.91"/>
    <s v=""/>
    <n v="3.73"/>
    <m/>
    <m/>
    <m/>
    <m/>
    <m/>
    <m/>
    <m/>
    <m/>
    <n v="3.73"/>
    <m/>
    <m/>
    <s v="Provides on-farm %s"/>
    <n v="1.91"/>
    <m/>
    <m/>
    <m/>
    <m/>
    <m/>
    <m/>
    <m/>
    <m/>
    <n v="1.91"/>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12"/>
    <s v=""/>
    <n v="1.47"/>
    <s v=""/>
    <n v="4.12"/>
    <m/>
    <m/>
    <m/>
    <m/>
    <m/>
    <m/>
    <m/>
    <m/>
    <n v="4.12"/>
    <m/>
    <m/>
    <s v="Provides on-farm %s"/>
    <n v="1.47"/>
    <m/>
    <m/>
    <m/>
    <m/>
    <m/>
    <m/>
    <m/>
    <m/>
    <n v="1.47"/>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37"/>
    <s v=""/>
    <n v="1.18"/>
    <s v=""/>
    <n v="3.37"/>
    <m/>
    <m/>
    <m/>
    <m/>
    <m/>
    <m/>
    <m/>
    <m/>
    <n v="3.37"/>
    <m/>
    <m/>
    <s v="Provides on-farm %s"/>
    <n v="1.18"/>
    <m/>
    <m/>
    <m/>
    <m/>
    <m/>
    <m/>
    <m/>
    <m/>
    <n v="1.18"/>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4"/>
    <s v=""/>
    <n v="1.1100000000000001"/>
    <s v=""/>
    <n v="2.4"/>
    <m/>
    <m/>
    <m/>
    <m/>
    <m/>
    <m/>
    <m/>
    <m/>
    <n v="2.4"/>
    <m/>
    <m/>
    <s v="Provides on-farm %s"/>
    <n v="1.1100000000000001"/>
    <m/>
    <m/>
    <m/>
    <m/>
    <m/>
    <m/>
    <m/>
    <m/>
    <n v="1.1100000000000001"/>
    <m/>
  </r>
  <r>
    <x v="0"/>
    <x v="5"/>
    <s v="Fresh or Not Specified"/>
    <s v="an average for different forms (drinking, stirrable, and solid) of  yogurt"/>
    <m/>
    <s v="Portugal"/>
    <n v="2013"/>
    <s v="González-García, Sara_x000a_Castanheira, Érica G._x000a_Dias, Ana Cláudia_x000a_Arroja, Luis"/>
    <s v="Environmental LCA of a diary product"/>
    <s v="Peer Reviewed Journal"/>
    <s v="González-García, S., Castanheira, É. G., Dias, A. C. and Arroja, L., Environmental life cycle assessment of a dairy product: the yoghurt. The International Journal of Life Cycle Assessment 2013, 18 (4), 796-811."/>
    <s v="Yes"/>
    <s v="No"/>
    <s v="Yes"/>
    <s v="Yes"/>
    <s v="Yes"/>
    <s v="Yes"/>
    <s v="Yes"/>
    <s v="Yes"/>
    <s v="Yes"/>
    <s v="No"/>
    <s v="Yes"/>
    <s v="No"/>
    <s v="Final Disposal"/>
    <s v="cradle to grave; uses mass allocation"/>
    <s v="Yes"/>
    <m/>
    <s v="1 tonne yogurt at the household"/>
    <m/>
    <n v="3.1236359999999999"/>
    <n v="9.6909869999999998"/>
    <n v="0.60097"/>
    <n v="1.3679779999999999"/>
    <n v="3.1236359999999999"/>
    <n v="0.80828900000000004"/>
    <n v="5.7590620000000001"/>
    <n v="4.7992179999999998"/>
    <m/>
    <n v="1.7353540000000001"/>
    <n v="0.86767700000000003"/>
    <n v="8.6767999999999998E-2"/>
    <m/>
    <n v="3.1236359999999999"/>
    <n v="17.180004"/>
    <m/>
    <m/>
    <n v="0.60097"/>
    <n v="5.8043999999999998E-2"/>
    <n v="0.70896400000000004"/>
    <n v="0.16583999999999999"/>
    <m/>
    <n v="0.134545"/>
    <n v="8.0726999999999993E-2"/>
    <n v="2.6908999999999999E-2"/>
    <m/>
    <n v="0.60097"/>
    <n v="1.7759989999999999"/>
  </r>
  <r>
    <x v="0"/>
    <x v="0"/>
    <s v="Fresh or Not Specified"/>
    <s v="average for simple (whole, semi-skimmed, and skimmed) UHT milk and cocoa UHT milk"/>
    <m/>
    <s v="Portugal"/>
    <n v="2013"/>
    <s v="González-García, Sara_x000a_Castanheira, Érica G._x000a_Dias, Ana Cláudia_x000a_Arroja, Luis"/>
    <s v="Using LCA to assess UHT milk production"/>
    <s v="Peer Reviewed Journal"/>
    <s v="González-García, S., Castanheira, É. G., Dias, A. C. and Arroja, L., Using Life Cycle Assessment methodology to assess UHT milk production in Portugal. Science of The Total Environment 2013, 442, 225-234."/>
    <s v="Yes"/>
    <s v="No"/>
    <s v="Yes"/>
    <s v="Yes"/>
    <s v="Yes"/>
    <s v="No"/>
    <s v="No"/>
    <s v="No"/>
    <s v="No"/>
    <s v="No"/>
    <s v="No"/>
    <s v="No"/>
    <m/>
    <s v="cradle to factory gate; uses mass allocation"/>
    <m/>
    <m/>
    <s v="1 kg ECM"/>
    <m/>
    <n v="5.0651999999999999"/>
    <n v="10.56295793"/>
    <n v="0.96256799999999998"/>
    <n v="1.734262"/>
    <n v="5.0651999999999999"/>
    <n v="1.2905534999999999"/>
    <n v="4.20720443"/>
    <n v="1.49704207"/>
    <m/>
    <m/>
    <m/>
    <m/>
    <m/>
    <n v="5.0651999999999999"/>
    <n v="12.059999999999999"/>
    <m/>
    <m/>
    <n v="0.96256799999999998"/>
    <n v="9.1800000000000007E-2"/>
    <n v="0.679894"/>
    <n v="5.738E-3"/>
    <m/>
    <m/>
    <m/>
    <m/>
    <m/>
    <n v="0.96256799999999998"/>
    <n v="1.74"/>
  </r>
  <r>
    <x v="0"/>
    <x v="4"/>
    <s v="Fresh or Not Specified"/>
    <s v="San Simon da Costa cheese (a type of Galician cheese)"/>
    <m/>
    <s v="Spain"/>
    <n v="2013"/>
    <s v="González-García, Sara_x000a_Hospido, Almudena_x000a_Moreira, María Teresa_x000a_Feijoo, Gumersindo_x000a_Arroja, Luis"/>
    <s v="Environmental LCA of a Galician cheese"/>
    <s v="Peer Reviewed Journal"/>
    <s v="González-García, S., Hospido, A., Moreira, M. T., Feijoo, G. and Arroja, L., Environmental Life Cycle Assessment of a Galician cheese: San Simon da Costa. Journal of Cleaner Production 2013, 52, 253-262."/>
    <s v="Yes"/>
    <s v="No"/>
    <s v="Yes"/>
    <s v="Yes"/>
    <s v="Yes"/>
    <s v="No"/>
    <s v="No"/>
    <s v="No"/>
    <s v="No"/>
    <s v="No"/>
    <s v="No"/>
    <s v="No"/>
    <s v="Wastewater treatment plant"/>
    <s v="cradle to packaging; with waste included"/>
    <s v="Yes"/>
    <m/>
    <s v="1 kg cheese packaged or ready to be consumed"/>
    <m/>
    <n v="45.29"/>
    <n v="67.600999999999999"/>
    <n v="8.52"/>
    <n v="10.026999999999999"/>
    <n v="45.29"/>
    <n v="3.4860000000000002"/>
    <n v="18.824999999999999"/>
    <n v="1.569"/>
    <m/>
    <m/>
    <m/>
    <n v="2.81"/>
    <m/>
    <n v="45.29"/>
    <n v="71.98"/>
    <m/>
    <m/>
    <n v="8.52"/>
    <n v="0.23860000000000001"/>
    <n v="1.2684"/>
    <n v="0.113"/>
    <m/>
    <m/>
    <m/>
    <n v="0.3"/>
    <m/>
    <n v="8.52"/>
    <n v="10.44"/>
  </r>
  <r>
    <x v="4"/>
    <x v="66"/>
    <s v="Fresh or Not Specified"/>
    <s v="Golden delicious apple; West Viriginia"/>
    <m/>
    <s v="US"/>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63882"/>
    <s v=""/>
    <m/>
    <m/>
    <m/>
    <m/>
    <m/>
    <m/>
    <m/>
    <m/>
    <m/>
    <m/>
    <m/>
    <m/>
    <m/>
    <n v="0.163882"/>
    <m/>
    <m/>
    <m/>
    <m/>
    <m/>
    <m/>
    <m/>
    <m/>
    <n v="0.163882"/>
    <m/>
  </r>
  <r>
    <x v="4"/>
    <x v="66"/>
    <s v="Fresh or Not Specified"/>
    <s v="Grigia di Torriana apple; Cue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20388999999999999"/>
    <s v=""/>
    <m/>
    <m/>
    <m/>
    <m/>
    <m/>
    <m/>
    <m/>
    <m/>
    <m/>
    <m/>
    <m/>
    <m/>
    <m/>
    <n v="0.20388999999999999"/>
    <m/>
    <m/>
    <m/>
    <m/>
    <m/>
    <m/>
    <m/>
    <m/>
    <n v="0.20388999999999999"/>
    <m/>
  </r>
  <r>
    <x v="4"/>
    <x v="66"/>
    <s v="Fresh or Not Specified"/>
    <s v="Magnana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287399999999999"/>
    <s v=""/>
    <m/>
    <m/>
    <m/>
    <m/>
    <m/>
    <m/>
    <m/>
    <m/>
    <m/>
    <m/>
    <m/>
    <m/>
    <m/>
    <n v="0.19287399999999999"/>
    <m/>
    <m/>
    <m/>
    <m/>
    <m/>
    <m/>
    <m/>
    <m/>
    <n v="0.19287399999999999"/>
    <m/>
  </r>
  <r>
    <x v="4"/>
    <x v="66"/>
    <s v="Fresh or Not Specified"/>
    <s v="Runse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654840000000001"/>
    <s v=""/>
    <m/>
    <m/>
    <m/>
    <m/>
    <m/>
    <m/>
    <m/>
    <m/>
    <m/>
    <m/>
    <m/>
    <m/>
    <m/>
    <n v="0.19654840000000001"/>
    <m/>
    <m/>
    <m/>
    <m/>
    <m/>
    <m/>
    <m/>
    <m/>
    <n v="0.19654840000000001"/>
    <m/>
  </r>
  <r>
    <x v="4"/>
    <x v="239"/>
    <s v="Fresh or Not Specified"/>
    <s v="Brazilian yellow melon; produced in non-heated greenhouses"/>
    <m/>
    <s v="Brazil"/>
    <n v="2013"/>
    <s v="Brito de Figueirêdo, Maria Cléa_x000a_Kroeze, Carolien_x000a_Potting, José_x000a_da Silva Barros, Viviane_x000a_Sousa de Aragão, Fernando Antônio_x000a_Gondim, Rubens Sonsol_x000a_de Lima Santos, Tayane_x000a_de Boer, Imke J. M."/>
    <s v="Carbon footprint of Brazilian yellow melon"/>
    <s v="Peer Reviewed Journal"/>
    <s v="Brito De Figueirêdo, M. C., Kroeze, C., Potting, J., Da Silva Barros, V., Sousa De Aragão, F. A., Gondim, R. S., De Lima Santos, T. and De Boer, I. J. M., The carbon footprint of exported Brazilian yellow melon. Journal of Cleaner Production 2013, 47, 404-414."/>
    <s v="Yes"/>
    <s v="No"/>
    <s v="No"/>
    <s v="No"/>
    <s v="No"/>
    <s v="Yes"/>
    <s v="No"/>
    <s v="No"/>
    <s v="No"/>
    <s v="No"/>
    <s v="No"/>
    <s v="No"/>
    <m/>
    <s v="cradle to transport to retail"/>
    <m/>
    <m/>
    <s v="1 tonne of melon"/>
    <m/>
    <s v=""/>
    <s v=""/>
    <n v="0.64634482758620693"/>
    <s v=""/>
    <m/>
    <m/>
    <m/>
    <m/>
    <m/>
    <m/>
    <m/>
    <m/>
    <m/>
    <m/>
    <m/>
    <m/>
    <m/>
    <n v="0.64634482758620693"/>
    <m/>
    <m/>
    <m/>
    <n v="6.3655172413793107E-2"/>
    <m/>
    <m/>
    <m/>
    <m/>
    <n v="0.64634482758620693"/>
    <n v="0.71000000000000008"/>
  </r>
  <r>
    <x v="0"/>
    <x v="0"/>
    <s v="Fresh or Not Specified"/>
    <s v="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FPCM"/>
    <m/>
    <s v=""/>
    <s v=""/>
    <n v="1.02"/>
    <s v=""/>
    <m/>
    <m/>
    <m/>
    <m/>
    <m/>
    <m/>
    <m/>
    <m/>
    <m/>
    <m/>
    <m/>
    <m/>
    <m/>
    <n v="1.02"/>
    <m/>
    <m/>
    <m/>
    <m/>
    <m/>
    <m/>
    <m/>
    <m/>
    <n v="1.02"/>
    <m/>
  </r>
  <r>
    <x v="1"/>
    <x v="3"/>
    <s v="Fresh or Not Specified"/>
    <s v="culled cows and heifer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32.488755622188904"/>
    <s v=""/>
    <m/>
    <m/>
    <m/>
    <m/>
    <m/>
    <m/>
    <m/>
    <m/>
    <m/>
    <m/>
    <m/>
    <m/>
    <m/>
    <n v="32.488755622188904"/>
    <m/>
    <m/>
    <m/>
    <m/>
    <m/>
    <m/>
    <m/>
    <m/>
    <n v="32.488755622188904"/>
    <m/>
  </r>
  <r>
    <x v="1"/>
    <x v="3"/>
    <s v="Fresh or Not Specified"/>
    <s v="young bull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25.862068965517238"/>
    <s v=""/>
    <m/>
    <m/>
    <m/>
    <m/>
    <m/>
    <m/>
    <m/>
    <m/>
    <m/>
    <m/>
    <m/>
    <m/>
    <m/>
    <n v="25.862068965517238"/>
    <m/>
    <m/>
    <m/>
    <m/>
    <m/>
    <m/>
    <m/>
    <m/>
    <n v="25.862068965517238"/>
    <m/>
  </r>
  <r>
    <x v="1"/>
    <x v="24"/>
    <s v="Fresh or Not Specified"/>
    <s v="Queensland;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20.38961038961039"/>
    <n v="26.233766233766232"/>
    <n v="2.5494363636363637"/>
    <n v="3.0909090909090908"/>
    <n v="20.38961038961039"/>
    <m/>
    <n v="5.8441558441558437"/>
    <m/>
    <m/>
    <m/>
    <m/>
    <m/>
    <m/>
    <n v="20.38961038961039"/>
    <n v="26.233766233766232"/>
    <m/>
    <m/>
    <n v="2.5494363636363637"/>
    <m/>
    <n v="0.54147272727272733"/>
    <m/>
    <m/>
    <m/>
    <m/>
    <m/>
    <m/>
    <n v="2.5494363636363637"/>
    <n v="3.0909090909090908"/>
  </r>
  <r>
    <x v="1"/>
    <x v="24"/>
    <s v="Fresh or Not Specified"/>
    <s v="South Australia;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4.285714285714285"/>
    <n v="18.831168831168831"/>
    <n v="2.1918909090909091"/>
    <n v="2.4545454545454546"/>
    <n v="14.285714285714285"/>
    <m/>
    <n v="4.545454545454545"/>
    <m/>
    <m/>
    <m/>
    <m/>
    <m/>
    <m/>
    <n v="14.285714285714285"/>
    <n v="18.831168831168831"/>
    <m/>
    <m/>
    <n v="2.1918909090909091"/>
    <m/>
    <n v="0.26265454545454547"/>
    <m/>
    <m/>
    <m/>
    <m/>
    <m/>
    <m/>
    <n v="2.1918909090909091"/>
    <n v="2.4545454545454546"/>
  </r>
  <r>
    <x v="1"/>
    <x v="24"/>
    <s v="Fresh or Not Specified"/>
    <s v="Free range"/>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7.012987012987011"/>
    <n v="21.818181818181817"/>
    <n v="2.4289506493506492"/>
    <n v="2.8441558441558441"/>
    <n v="17.012987012987011"/>
    <m/>
    <n v="4.8051948051948052"/>
    <m/>
    <m/>
    <m/>
    <m/>
    <m/>
    <m/>
    <n v="17.012987012987011"/>
    <n v="21.818181818181817"/>
    <m/>
    <m/>
    <n v="2.4289506493506492"/>
    <m/>
    <n v="0.4152051948051948"/>
    <m/>
    <m/>
    <m/>
    <m/>
    <m/>
    <m/>
    <n v="2.4289506493506492"/>
    <n v="2.8441558441558441"/>
  </r>
  <r>
    <x v="1"/>
    <x v="24"/>
    <s v="Fresh or Not Specified"/>
    <s v="Organic"/>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1.168831168831169"/>
    <n v="16.623376623376622"/>
    <n v="3.2805"/>
    <n v="3.7142857142857144"/>
    <n v="11.168831168831169"/>
    <m/>
    <n v="5.454545454545455"/>
    <m/>
    <m/>
    <m/>
    <m/>
    <m/>
    <m/>
    <n v="11.168831168831169"/>
    <n v="16.623376623376622"/>
    <m/>
    <m/>
    <n v="3.2805"/>
    <m/>
    <n v="0.43378571428571427"/>
    <m/>
    <m/>
    <m/>
    <m/>
    <m/>
    <m/>
    <n v="3.2805"/>
    <n v="3.7142857142857144"/>
  </r>
  <r>
    <x v="0"/>
    <x v="0"/>
    <s v="Fresh or Not Specified"/>
    <s v="Seasonally grass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2.2999999999999998"/>
    <s v=""/>
    <n v="0.87429999999999997"/>
    <s v=""/>
    <n v="2.2999999999999998"/>
    <m/>
    <m/>
    <m/>
    <m/>
    <m/>
    <m/>
    <m/>
    <m/>
    <n v="2.2999999999999998"/>
    <m/>
    <m/>
    <m/>
    <n v="0.87429999999999997"/>
    <m/>
    <m/>
    <m/>
    <m/>
    <m/>
    <m/>
    <m/>
    <m/>
    <n v="0.87429999999999997"/>
    <m/>
  </r>
  <r>
    <x v="0"/>
    <x v="0"/>
    <s v="Fresh or Not Specified"/>
    <s v="Confinement 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3.9"/>
    <s v=""/>
    <n v="1.0274000000000001"/>
    <s v=""/>
    <n v="3.9"/>
    <m/>
    <m/>
    <m/>
    <m/>
    <m/>
    <m/>
    <m/>
    <m/>
    <n v="3.9"/>
    <m/>
    <m/>
    <m/>
    <n v="1.0274000000000001"/>
    <m/>
    <m/>
    <m/>
    <m/>
    <m/>
    <m/>
    <m/>
    <m/>
    <n v="1.0274000000000001"/>
    <m/>
  </r>
  <r>
    <x v="1"/>
    <x v="3"/>
    <s v="Fresh or Not Specified"/>
    <s v="St-Sm (standard diet for cow-calf herd and silage maize starch for bull-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97.151424287856059"/>
    <s v=""/>
    <n v="41.679160419790101"/>
    <s v=""/>
    <n v="97.151424287856059"/>
    <m/>
    <m/>
    <m/>
    <m/>
    <m/>
    <m/>
    <m/>
    <m/>
    <n v="97.151424287856059"/>
    <m/>
    <m/>
    <m/>
    <n v="41.679160419790101"/>
    <m/>
    <m/>
    <m/>
    <m/>
    <m/>
    <m/>
    <m/>
    <m/>
    <n v="41.679160419790101"/>
    <m/>
  </r>
  <r>
    <x v="1"/>
    <x v="3"/>
    <s v="Fresh or Not Specified"/>
    <s v="O3-SML (maximizing omega-3 fatty acids using wrapped grass silage for cow-calf herd and silage maize starch plus linseed, rich in omega 3s,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2.54872563718141"/>
    <s v=""/>
    <n v="41.52923538230884"/>
    <s v=""/>
    <n v="102.54872563718141"/>
    <m/>
    <m/>
    <m/>
    <m/>
    <m/>
    <m/>
    <m/>
    <m/>
    <n v="102.54872563718141"/>
    <m/>
    <m/>
    <m/>
    <n v="41.52923538230884"/>
    <m/>
    <m/>
    <m/>
    <m/>
    <m/>
    <m/>
    <m/>
    <m/>
    <n v="41.52923538230884"/>
    <m/>
  </r>
  <r>
    <x v="1"/>
    <x v="3"/>
    <s v="Fresh or Not Specified"/>
    <s v="St-FC (standard diet for cow-calf herd and fiber-based concentrate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10.04497751124438"/>
    <s v=""/>
    <n v="41.829085457271361"/>
    <s v=""/>
    <n v="110.04497751124438"/>
    <m/>
    <m/>
    <m/>
    <m/>
    <m/>
    <m/>
    <m/>
    <m/>
    <n v="110.04497751124438"/>
    <m/>
    <m/>
    <m/>
    <n v="41.829085457271361"/>
    <m/>
    <m/>
    <m/>
    <m/>
    <m/>
    <m/>
    <m/>
    <m/>
    <n v="41.829085457271361"/>
    <m/>
  </r>
  <r>
    <x v="1"/>
    <x v="3"/>
    <s v="Fresh or Not Specified"/>
    <s v="O3-SCL (maximizing omega-3 fatty acids using wrapped grass silage for cow-calf herd and starch-based concentrate plus linseed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6.5967016491754"/>
    <s v=""/>
    <n v="40.479760119940025"/>
    <s v=""/>
    <n v="106.5967016491754"/>
    <m/>
    <m/>
    <m/>
    <m/>
    <m/>
    <m/>
    <m/>
    <m/>
    <n v="106.5967016491754"/>
    <m/>
    <m/>
    <m/>
    <n v="40.479760119940025"/>
    <m/>
    <m/>
    <m/>
    <m/>
    <m/>
    <m/>
    <m/>
    <m/>
    <n v="40.479760119940025"/>
    <m/>
  </r>
  <r>
    <x v="3"/>
    <x v="202"/>
    <s v="Fresh or Not Specified"/>
    <s v="Hokaido pumpkin; Small integrated vegetable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3.5799999999999998E-2"/>
    <s v=""/>
    <m/>
    <m/>
    <m/>
    <m/>
    <m/>
    <m/>
    <m/>
    <m/>
    <m/>
    <m/>
    <m/>
    <m/>
    <m/>
    <n v="3.5799999999999998E-2"/>
    <m/>
    <m/>
    <m/>
    <n v="9.9999999999999995E-7"/>
    <n v="7.0500000000000001E-4"/>
    <n v="0.67349999999999999"/>
    <m/>
    <m/>
    <n v="3.5799999999999998E-2"/>
    <n v="0.71000600000000003"/>
  </r>
  <r>
    <x v="3"/>
    <x v="202"/>
    <s v="Fresh or Not Specified"/>
    <s v="Hokaido pumpkin; Small organic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0"/>
    <n v="8.0029999999999999E-4"/>
    <n v="0.67349999999999999"/>
    <m/>
    <m/>
    <n v="4.1300000000000003E-2"/>
    <n v="0.71560029999999997"/>
  </r>
  <r>
    <x v="3"/>
    <x v="202"/>
    <s v="Fresh or Not Specified"/>
    <s v="Hokaido pumpkin; Large farm devoted to pumpkin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1.46E-2"/>
    <s v=""/>
    <m/>
    <m/>
    <m/>
    <m/>
    <m/>
    <m/>
    <m/>
    <m/>
    <m/>
    <m/>
    <m/>
    <m/>
    <m/>
    <n v="1.46E-2"/>
    <m/>
    <m/>
    <m/>
    <n v="5.0000000000000002E-5"/>
    <n v="8.9999999999999998E-4"/>
    <n v="0.1235"/>
    <m/>
    <m/>
    <n v="1.46E-2"/>
    <n v="0.13905000000000001"/>
  </r>
  <r>
    <x v="3"/>
    <x v="202"/>
    <s v="Fresh or Not Specified"/>
    <s v="Imported to Germany from Mendoza; organic"/>
    <s v="Yes"/>
    <s v="Argentina"/>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7.1300000000000002E-2"/>
    <n v="6.7999999999999996E-3"/>
    <n v="0.1235"/>
    <m/>
    <m/>
    <n v="4.1300000000000003E-2"/>
    <n v="0.2429"/>
  </r>
  <r>
    <x v="1"/>
    <x v="24"/>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4.57"/>
    <n v="4.74"/>
    <m/>
    <m/>
    <m/>
    <m/>
    <m/>
    <m/>
    <m/>
    <m/>
    <m/>
    <m/>
    <m/>
    <m/>
    <m/>
    <n v="4.57"/>
    <m/>
    <n v="0.17"/>
    <n v="0.6"/>
    <n v="0.23"/>
    <n v="0.06"/>
    <n v="0.34"/>
    <m/>
    <m/>
    <n v="4.57"/>
    <n v="5.97"/>
  </r>
  <r>
    <x v="1"/>
    <x v="2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5.57"/>
    <n v="5.69"/>
    <m/>
    <m/>
    <m/>
    <m/>
    <m/>
    <m/>
    <m/>
    <m/>
    <m/>
    <m/>
    <m/>
    <m/>
    <m/>
    <n v="5.57"/>
    <m/>
    <n v="0.12"/>
    <n v="0.6"/>
    <n v="0.24"/>
    <n v="7.0000000000000007E-2"/>
    <n v="0.34"/>
    <m/>
    <m/>
    <n v="5.57"/>
    <n v="6.94"/>
  </r>
  <r>
    <x v="1"/>
    <x v="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34.299999999999997"/>
    <n v="34.339999999999996"/>
    <m/>
    <m/>
    <m/>
    <m/>
    <m/>
    <m/>
    <m/>
    <m/>
    <m/>
    <m/>
    <m/>
    <m/>
    <m/>
    <n v="34.299999999999997"/>
    <m/>
    <n v="0.04"/>
    <n v="0.6"/>
    <n v="0.24"/>
    <n v="7.0000000000000007E-2"/>
    <n v="0.34"/>
    <m/>
    <m/>
    <n v="34.299999999999997"/>
    <n v="35.590000000000003"/>
  </r>
  <r>
    <x v="5"/>
    <x v="122"/>
    <s v="Dried"/>
    <s v="Conventional;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5.2"/>
    <s v=""/>
    <n v="1.46"/>
    <s v=""/>
    <n v="5.2"/>
    <m/>
    <m/>
    <m/>
    <m/>
    <m/>
    <m/>
    <m/>
    <m/>
    <n v="5.2"/>
    <m/>
    <m/>
    <m/>
    <n v="1.46"/>
    <m/>
    <m/>
    <m/>
    <m/>
    <m/>
    <m/>
    <m/>
    <m/>
    <n v="1.46"/>
    <m/>
  </r>
  <r>
    <x v="5"/>
    <x v="122"/>
    <s v="Dried"/>
    <s v="Environmentally friendly production;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4.5999999999999996"/>
    <s v=""/>
    <n v="1.58"/>
    <s v=""/>
    <n v="4.5999999999999996"/>
    <m/>
    <m/>
    <m/>
    <m/>
    <m/>
    <m/>
    <m/>
    <m/>
    <n v="4.5999999999999996"/>
    <m/>
    <m/>
    <m/>
    <n v="1.58"/>
    <m/>
    <m/>
    <m/>
    <m/>
    <m/>
    <m/>
    <m/>
    <m/>
    <n v="1.58"/>
    <m/>
  </r>
  <r>
    <x v="5"/>
    <x v="122"/>
    <s v="Dried"/>
    <s v="Organic;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6.1"/>
    <s v=""/>
    <n v="2"/>
    <s v=""/>
    <n v="6.1"/>
    <m/>
    <m/>
    <m/>
    <m/>
    <m/>
    <m/>
    <m/>
    <m/>
    <n v="6.1"/>
    <m/>
    <m/>
    <m/>
    <n v="2"/>
    <m/>
    <m/>
    <m/>
    <m/>
    <m/>
    <m/>
    <m/>
    <m/>
    <n v="2"/>
    <m/>
  </r>
  <r>
    <x v="4"/>
    <x v="73"/>
    <s v="Fresh or Not Specified"/>
    <s v="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54220000000000002"/>
    <s v=""/>
    <m/>
    <m/>
    <m/>
    <m/>
    <m/>
    <m/>
    <m/>
    <m/>
    <m/>
    <m/>
    <m/>
    <m/>
    <m/>
    <n v="0.54220000000000002"/>
    <m/>
    <m/>
    <m/>
    <m/>
    <m/>
    <m/>
    <m/>
    <m/>
    <n v="0.54220000000000002"/>
    <m/>
  </r>
  <r>
    <x v="4"/>
    <x v="73"/>
    <s v="Fresh or Not Specified"/>
    <s v="Super 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70710000000000006"/>
    <s v=""/>
    <m/>
    <m/>
    <m/>
    <m/>
    <m/>
    <m/>
    <m/>
    <m/>
    <m/>
    <m/>
    <m/>
    <m/>
    <m/>
    <n v="0.70710000000000006"/>
    <m/>
    <m/>
    <m/>
    <m/>
    <m/>
    <m/>
    <m/>
    <m/>
    <n v="0.70710000000000006"/>
    <m/>
  </r>
  <r>
    <x v="4"/>
    <x v="240"/>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4"/>
    <m/>
    <s v="Values for each LCA are not able to be broken down accurately"/>
    <m/>
    <m/>
    <m/>
    <m/>
    <m/>
    <m/>
    <m/>
    <m/>
    <m/>
    <m/>
    <n v="1.4275"/>
  </r>
  <r>
    <x v="3"/>
    <x v="241"/>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8"/>
    <m/>
    <s v="Values for each LCA are not able to be broken down accurately"/>
    <m/>
    <m/>
    <m/>
    <m/>
    <m/>
    <m/>
    <m/>
    <m/>
    <m/>
    <m/>
    <n v="0.91549999999999998"/>
  </r>
  <r>
    <x v="3"/>
    <x v="242"/>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9"/>
    <m/>
    <s v="Values for each LCA are not able to be broken down accurately"/>
    <m/>
    <m/>
    <m/>
    <m/>
    <m/>
    <m/>
    <m/>
    <m/>
    <m/>
    <m/>
    <n v="1.571"/>
  </r>
  <r>
    <x v="3"/>
    <x v="18"/>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6.2"/>
    <m/>
    <s v="Values for each LCA are not able to be broken down accurately"/>
    <m/>
    <m/>
    <m/>
    <m/>
    <m/>
    <m/>
    <m/>
    <m/>
    <m/>
    <m/>
    <n v="0.74"/>
  </r>
  <r>
    <x v="3"/>
    <x v="18"/>
    <s v="Fresh or Not Specified"/>
    <s v="Cherry tomato; 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3"/>
    <m/>
    <s v="Values for each LCA are not able to be broken down accurately"/>
    <m/>
    <m/>
    <m/>
    <m/>
    <m/>
    <m/>
    <m/>
    <m/>
    <m/>
    <m/>
    <n v="1.2459"/>
  </r>
  <r>
    <x v="0"/>
    <x v="0"/>
    <s v="Fresh or Not Specified"/>
    <s v="Average allocation attributional modelling"/>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1"/>
    <s v=""/>
    <m/>
    <m/>
    <m/>
    <m/>
    <m/>
    <m/>
    <m/>
    <m/>
    <m/>
    <m/>
    <m/>
    <m/>
    <m/>
    <n v="1.01"/>
    <m/>
    <m/>
    <m/>
    <m/>
    <m/>
    <m/>
    <m/>
    <m/>
    <n v="1.01"/>
    <m/>
  </r>
  <r>
    <x v="0"/>
    <x v="0"/>
    <s v="Fresh or Not Specified"/>
    <s v="Average allocation attributional modelling"/>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25"/>
    <s v=""/>
    <m/>
    <m/>
    <m/>
    <m/>
    <m/>
    <m/>
    <m/>
    <m/>
    <m/>
    <m/>
    <m/>
    <m/>
    <m/>
    <n v="1.25"/>
    <m/>
    <m/>
    <m/>
    <m/>
    <m/>
    <m/>
    <m/>
    <m/>
    <n v="1.25"/>
    <m/>
  </r>
  <r>
    <x v="0"/>
    <x v="0"/>
    <s v="Fresh or Not Specified"/>
    <s v="PAS2050"/>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0.94199999999999995"/>
    <s v=""/>
    <m/>
    <m/>
    <m/>
    <m/>
    <m/>
    <m/>
    <m/>
    <m/>
    <m/>
    <m/>
    <m/>
    <m/>
    <m/>
    <n v="0.94199999999999995"/>
    <m/>
    <m/>
    <m/>
    <m/>
    <m/>
    <m/>
    <m/>
    <m/>
    <n v="0.94199999999999995"/>
    <m/>
  </r>
  <r>
    <x v="0"/>
    <x v="0"/>
    <s v="Fresh or Not Specified"/>
    <s v="PAS2050"/>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1.1599999999999999"/>
    <s v=""/>
    <m/>
    <m/>
    <m/>
    <m/>
    <m/>
    <m/>
    <m/>
    <m/>
    <m/>
    <m/>
    <m/>
    <m/>
    <m/>
    <n v="1.1599999999999999"/>
    <m/>
    <m/>
    <m/>
    <m/>
    <m/>
    <m/>
    <m/>
    <m/>
    <n v="1.1599999999999999"/>
    <m/>
  </r>
  <r>
    <x v="0"/>
    <x v="0"/>
    <s v="Fresh or Not Specified"/>
    <s v="IDF guideline"/>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0.98099999999999998"/>
    <s v=""/>
    <m/>
    <m/>
    <m/>
    <m/>
    <m/>
    <m/>
    <m/>
    <m/>
    <m/>
    <m/>
    <m/>
    <m/>
    <m/>
    <n v="0.98099999999999998"/>
    <m/>
    <m/>
    <m/>
    <m/>
    <m/>
    <m/>
    <m/>
    <m/>
    <n v="0.98099999999999998"/>
    <m/>
  </r>
  <r>
    <x v="0"/>
    <x v="0"/>
    <s v="Fresh or Not Specified"/>
    <s v="IDF guideline"/>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900000000000001"/>
    <s v=""/>
    <m/>
    <m/>
    <m/>
    <m/>
    <m/>
    <m/>
    <m/>
    <m/>
    <m/>
    <m/>
    <m/>
    <m/>
    <m/>
    <n v="1.0900000000000001"/>
    <m/>
    <m/>
    <m/>
    <m/>
    <m/>
    <m/>
    <m/>
    <m/>
    <n v="1.0900000000000001"/>
    <m/>
  </r>
  <r>
    <x v="12"/>
    <x v="102"/>
    <s v="Fresh or Not Specified"/>
    <s v="Rainbow trout farmed in the Archipelago Sea area of the Baltic Sea "/>
    <m/>
    <s v="Finland"/>
    <n v="2012"/>
    <s v="Grönroos, Juha_x000a_Silvenius, Frans_x000a_Kankainen, Markus_x000a_Silvo, Kimmo_x000a_Mäkinen, Timo"/>
    <s v="Life cycle impacts Baltic Sea"/>
    <s v="Other, intergovernmental report"/>
    <s v="Grönroos, J., Silvenius, F., Kankainen, M., Silvo, K. and Mäkinen, T., Life cycle environmental impacts of different fish farming alternatives in the Baltic Sea. 2012,  (ICES CM 2012/Q:3), ."/>
    <s v="Yes"/>
    <s v="No"/>
    <s v="No"/>
    <s v="No"/>
    <s v="No"/>
    <s v="No"/>
    <s v="No"/>
    <s v="No"/>
    <s v="No"/>
    <s v="No"/>
    <s v="No"/>
    <s v="No"/>
    <m/>
    <s v="cradle to farm gate"/>
    <m/>
    <m/>
    <s v="1000 kg ungutted Rainbow trout"/>
    <s v="/1000/0.65"/>
    <n v="28.769230769230766"/>
    <s v=""/>
    <n v="2.6846153846153848"/>
    <s v=""/>
    <n v="28.769230769230766"/>
    <m/>
    <m/>
    <m/>
    <m/>
    <m/>
    <m/>
    <m/>
    <m/>
    <n v="28.769230769230766"/>
    <m/>
    <m/>
    <m/>
    <n v="2.6846153846153848"/>
    <m/>
    <m/>
    <m/>
    <m/>
    <m/>
    <m/>
    <m/>
    <m/>
    <n v="2.6846153846153848"/>
    <m/>
  </r>
  <r>
    <x v="0"/>
    <x v="0"/>
    <s v="Fresh or Not Specified"/>
    <s v="High quality milk; M1 study (follows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3196249999999998"/>
    <n v="1.5059249999999997"/>
    <m/>
    <m/>
    <m/>
    <m/>
    <m/>
    <m/>
    <m/>
    <m/>
    <m/>
    <m/>
    <m/>
    <m/>
    <m/>
    <n v="1.3196249999999998"/>
    <n v="1.5524999999999999E-2"/>
    <n v="0.17077499999999998"/>
    <m/>
    <n v="4.6574999999999991E-2"/>
    <m/>
    <m/>
    <m/>
    <m/>
    <n v="1.3196249999999998"/>
    <n v="1.5524999999999998"/>
  </r>
  <r>
    <x v="0"/>
    <x v="0"/>
    <s v="Fresh or Not Specified"/>
    <s v="High quality milk; M3 study (follows revised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10331"/>
    <n v="1.3051349999999999"/>
    <m/>
    <m/>
    <m/>
    <m/>
    <m/>
    <m/>
    <m/>
    <m/>
    <m/>
    <m/>
    <m/>
    <m/>
    <m/>
    <n v="1.10331"/>
    <n v="1.3455E-2"/>
    <n v="0.18837000000000001"/>
    <m/>
    <n v="4.0364999999999998E-2"/>
    <m/>
    <m/>
    <m/>
    <m/>
    <n v="1.10331"/>
    <n v="1.3454999999999999"/>
  </r>
  <r>
    <x v="1"/>
    <x v="1"/>
    <s v="Fresh or Not Specified"/>
    <s v="Swedish lamb; average of 10 farms (3 conventional indoor breeding, 3 conventional outdoor breeding, &amp; 4 organic)"/>
    <m/>
    <s v="Sweden"/>
    <n v="2011"/>
    <s v="Wallman, M_x000a_Cederberg, C_x000a_Sonesson, U"/>
    <s v="Life cycle assessment of Swedish Lamb Production"/>
    <s v="Other, government report"/>
    <s v="Wallman, M., Cederberg, C. and Sonesson, U., Life cycle assessment of Swedish lamb production. 2011,  (SIK-rapport NR 831), 2011."/>
    <s v="Yes"/>
    <s v="No"/>
    <s v="Yes"/>
    <s v="Yes"/>
    <s v="Yes"/>
    <s v="Yes"/>
    <s v="No"/>
    <s v="No"/>
    <s v="No"/>
    <s v="No"/>
    <s v="No"/>
    <s v="No"/>
    <m/>
    <s v="cradle to regional distribution center"/>
    <m/>
    <m/>
    <s v="1 kg carcass weight"/>
    <s v="/.658"/>
    <n v="47.112462006079028"/>
    <n v="54.711246200607903"/>
    <n v="24.012158054711247"/>
    <n v="24.316109422492403"/>
    <n v="47.112462006079028"/>
    <m/>
    <n v="7.598784194528875"/>
    <m/>
    <m/>
    <m/>
    <m/>
    <m/>
    <m/>
    <n v="47.112462006079028"/>
    <n v="54.711246200607903"/>
    <m/>
    <s v="Transport of animals to slaughter, energy use at slaughter house, packaging, and transport to regional distribution center all included in processing value- no way to separate"/>
    <n v="24.012158054711247"/>
    <m/>
    <n v="0.303951367781155"/>
    <m/>
    <m/>
    <m/>
    <m/>
    <m/>
    <m/>
    <n v="24.012158054711247"/>
    <n v="24.316109422492403"/>
  </r>
  <r>
    <x v="0"/>
    <x v="4"/>
    <s v="Fresh or Not Specified"/>
    <s v="Eight-week old, semi-hard Dutch cheese"/>
    <m/>
    <s v="The Netherlands"/>
    <n v="2011"/>
    <s v="van Middelaar, C. E._x000a_Berentsen, P. B. M._x000a_Dolman, M. A._x000a_de Boer, I. J. M."/>
    <s v="Eco-efficiency in the production chain of Dutch semi-hard cheese"/>
    <s v="Peer Reviewed Journal"/>
    <s v="Van Middelaar, C. E., Berentsen, P. B. M., Dolman, M. A. and De Boer, I. J. M., Eco-efficiency in the production chain of Dutch semi-hard cheese. Livestock Science 2011, 139 (1–2), 91-99."/>
    <s v="Yes"/>
    <s v="Yes"/>
    <s v="Yes"/>
    <s v="Yes"/>
    <s v="Yes"/>
    <s v="Yes"/>
    <s v="Yes"/>
    <s v="No"/>
    <s v="No"/>
    <s v="No"/>
    <s v="No"/>
    <s v="No"/>
    <m/>
    <s v="cradle to retail"/>
    <m/>
    <m/>
    <s v="1 kg cheese"/>
    <m/>
    <n v="32.200000000000003"/>
    <n v="42.67"/>
    <n v="7.5"/>
    <n v="8.09"/>
    <n v="32.200000000000003"/>
    <m/>
    <n v="10.469999999999999"/>
    <n v="3.38"/>
    <m/>
    <n v="1.1100000000000001"/>
    <m/>
    <m/>
    <m/>
    <n v="32.200000000000003"/>
    <n v="47.160000000000004"/>
    <m/>
    <m/>
    <n v="7.5"/>
    <m/>
    <n v="0.59"/>
    <n v="0.38"/>
    <m/>
    <n v="0.02"/>
    <m/>
    <m/>
    <m/>
    <n v="7.5"/>
    <n v="8.49"/>
  </r>
  <r>
    <x v="4"/>
    <x v="20"/>
    <s v="Fresh or Not Specified"/>
    <s v="Site A; Carbon Trust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3780000000000001"/>
    <n v="0.22739999999999999"/>
    <m/>
    <m/>
    <m/>
    <m/>
    <m/>
    <m/>
    <m/>
    <m/>
    <m/>
    <m/>
    <m/>
    <m/>
    <m/>
    <n v="0.13780000000000001"/>
    <m/>
    <n v="8.9599999999999999E-2"/>
    <m/>
    <n v="0.8962"/>
    <m/>
    <m/>
    <m/>
    <m/>
    <n v="0.13780000000000001"/>
    <n v="1.1235999999999999"/>
  </r>
  <r>
    <x v="4"/>
    <x v="20"/>
    <s v="Fresh or Not Specified"/>
    <s v="Site B; Carbon Trust methodology; exported to Europe"/>
    <m/>
    <s v="Not specified"/>
    <n v="2012"/>
    <s v="Lescot, Thierry"/>
    <s v="Carbon footprint analysis in banana production"/>
    <s v="Other"/>
    <s v="Lescot, T., Carbon footprint analysis in banana production. Second Conference of the World Banana Forum 2012, ."/>
    <s v="Yes"/>
    <s v="No"/>
    <s v="Yes"/>
    <s v="No"/>
    <s v="No"/>
    <s v="Yes"/>
    <s v="No"/>
    <s v="No"/>
    <s v="No"/>
    <s v="No"/>
    <s v="No"/>
    <s v="No"/>
    <m/>
    <s v="cradle to transport to retail"/>
    <m/>
    <m/>
    <s v="1 ton bananas"/>
    <m/>
    <s v=""/>
    <s v=""/>
    <n v="0.27750000000000008"/>
    <n v="0.36360000000000009"/>
    <m/>
    <m/>
    <m/>
    <m/>
    <m/>
    <m/>
    <m/>
    <m/>
    <m/>
    <m/>
    <m/>
    <m/>
    <m/>
    <n v="0.27750000000000008"/>
    <n v="8.6099999999999996E-2"/>
    <m/>
    <m/>
    <n v="0.56219999999999992"/>
    <m/>
    <m/>
    <m/>
    <m/>
    <n v="0.27750000000000008"/>
    <n v="0.92579999999999996"/>
  </r>
  <r>
    <x v="4"/>
    <x v="20"/>
    <s v="Fresh or Not Specified"/>
    <s v="Site B; LCA methodology; exported to Europe"/>
    <m/>
    <s v="Not specified"/>
    <n v="2012"/>
    <s v="Lescot, Thierry"/>
    <s v="Carbon footprint analysis in banana production"/>
    <s v="Other"/>
    <s v="Lescot, T., Carbon footprint analysis in banana production. Second Conference of the World Banana Forum 2012, ."/>
    <s v="Yes"/>
    <s v="No"/>
    <s v="No"/>
    <s v="No"/>
    <s v="No"/>
    <s v="Yes"/>
    <s v="No"/>
    <s v="No"/>
    <s v="No"/>
    <s v="No"/>
    <s v="No"/>
    <s v="No"/>
    <m/>
    <s v="cradle to transport to retail"/>
    <m/>
    <m/>
    <s v="1 ton bananas"/>
    <m/>
    <s v=""/>
    <s v=""/>
    <n v="0.36499999999999999"/>
    <s v=""/>
    <m/>
    <m/>
    <m/>
    <m/>
    <m/>
    <m/>
    <m/>
    <m/>
    <m/>
    <m/>
    <m/>
    <m/>
    <m/>
    <n v="0.36499999999999999"/>
    <m/>
    <m/>
    <m/>
    <n v="0.32800000000000001"/>
    <m/>
    <m/>
    <m/>
    <m/>
    <n v="0.36499999999999999"/>
    <n v="0.69300000000000006"/>
  </r>
  <r>
    <x v="4"/>
    <x v="20"/>
    <s v="Fresh or Not Specified"/>
    <s v="Site C; LCA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9159999999999999"/>
    <n v="0.30159999999999998"/>
    <m/>
    <m/>
    <m/>
    <m/>
    <m/>
    <m/>
    <m/>
    <m/>
    <m/>
    <m/>
    <m/>
    <m/>
    <m/>
    <n v="0.19159999999999999"/>
    <m/>
    <n v="0.11"/>
    <m/>
    <n v="0.35110000000000002"/>
    <m/>
    <m/>
    <m/>
    <m/>
    <n v="0.19159999999999999"/>
    <n v="0.65270000000000006"/>
  </r>
  <r>
    <x v="1"/>
    <x v="24"/>
    <s v="Fresh or Not Specified"/>
    <s v="average for Danish broiler chickens at 6 farms"/>
    <m/>
    <s v="Denmark"/>
    <n v="2011"/>
    <s v="Nielsen, NI_x000a_Jørgensen, M_x000a_Bahrndorff, S"/>
    <s v="GHGE from the Danish broiler production"/>
    <s v="Other"/>
    <s v="Nielsen, N., Jørgensen, M. and Bahrndorff, S., Greenhouse gas emission from the Danish broiler production estimated via LCA methodology. 2011, 4-22."/>
    <s v="Yes"/>
    <s v="No"/>
    <s v="No"/>
    <s v="Yes"/>
    <s v="No"/>
    <s v="No"/>
    <s v="No"/>
    <s v="No"/>
    <s v="No"/>
    <s v="No"/>
    <s v="No"/>
    <s v="Yes"/>
    <m/>
    <s v="cradle to processor gate"/>
    <m/>
    <m/>
    <s v="1 kg carcass weight"/>
    <s v="/0.77"/>
    <s v=""/>
    <s v=""/>
    <n v="2.6970000000000001"/>
    <n v="3"/>
    <m/>
    <m/>
    <m/>
    <m/>
    <m/>
    <m/>
    <m/>
    <m/>
    <m/>
    <m/>
    <m/>
    <m/>
    <m/>
    <n v="2.6970000000000001"/>
    <m/>
    <n v="0.30299999999999999"/>
    <m/>
    <m/>
    <m/>
    <m/>
    <m/>
    <m/>
    <n v="2.6970000000000001"/>
    <n v="3"/>
  </r>
  <r>
    <x v="1"/>
    <x v="30"/>
    <s v="50% Fresh; 50% Frozen"/>
    <s v="Typical Australian duck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carcass weight"/>
    <s v="/.45 from {Swanson, 1964 #663}"/>
    <n v="25.555555555555554"/>
    <n v="31.644444444444442"/>
    <n v="3.5999999999999996"/>
    <n v="4.3066666666666666"/>
    <n v="25.555555555555554"/>
    <m/>
    <n v="6.0888888888888895"/>
    <m/>
    <n v="2.3555555555555556"/>
    <m/>
    <m/>
    <m/>
    <m/>
    <n v="25.555555555555554"/>
    <n v="34"/>
    <m/>
    <m/>
    <n v="3.5999999999999996"/>
    <m/>
    <n v="0.70666666666666667"/>
    <m/>
    <n v="0.29333333333333333"/>
    <m/>
    <m/>
    <m/>
    <m/>
    <n v="3.5999999999999996"/>
    <n v="4.5999999999999996"/>
  </r>
  <r>
    <x v="1"/>
    <x v="33"/>
    <s v="50% Fresh; 50% Frozen"/>
    <s v="Typical Australian farmed rabbit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live rabbit produced for ag stage; 1 kg carcass weight for processing and distribution stages"/>
    <s v="/.795 from {Kirton, 1971 #664}"/>
    <n v="55.220125786163514"/>
    <n v="65.132075471698101"/>
    <n v="4.5408805031446535"/>
    <n v="5.3723270440251572"/>
    <n v="55.220125786163514"/>
    <m/>
    <n v="9.9119496855345908"/>
    <m/>
    <n v="1.320754716981132"/>
    <m/>
    <m/>
    <m/>
    <m/>
    <n v="55.220125786163514"/>
    <n v="66.452830188679229"/>
    <m/>
    <m/>
    <n v="4.5408805031446535"/>
    <m/>
    <n v="0.83144654088050318"/>
    <m/>
    <n v="0.13207547169811321"/>
    <m/>
    <m/>
    <m/>
    <m/>
    <n v="4.5408805031446535"/>
    <n v="5.5044025157232701"/>
  </r>
  <r>
    <x v="1"/>
    <x v="30"/>
    <s v="Fresh or Not Specified"/>
    <s v="Typical Australian emu enterprise"/>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processor gate"/>
    <m/>
    <m/>
    <s v="per kg live carcass weighing 45 kg for ag production; per kg of dressed carcass weighing 24 kg for processing"/>
    <s v="/.325 from http://posc.tamu.edu/wp-content/uploads/sites/20/2012/08/emuproduction1.pdf"/>
    <n v="44.246153846153845"/>
    <n v="49.98646153846154"/>
    <n v="4.3538461538461535"/>
    <n v="4.8615384615384611"/>
    <n v="44.246153846153845"/>
    <m/>
    <n v="5.7403076923076917"/>
    <m/>
    <m/>
    <m/>
    <m/>
    <m/>
    <m/>
    <n v="44.246153846153845"/>
    <n v="49.98646153846154"/>
    <m/>
    <s v="using economic allocation"/>
    <n v="4.3538461538461535"/>
    <m/>
    <n v="0.50769230769230766"/>
    <m/>
    <m/>
    <m/>
    <m/>
    <m/>
    <m/>
    <n v="4.3538461538461535"/>
    <n v="4.8615384615384611"/>
  </r>
  <r>
    <x v="0"/>
    <x v="29"/>
    <s v="Fresh or Not Specified"/>
    <s v="Typical Australian dairy goat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9.56"/>
    <s v=""/>
    <n v="5.61"/>
    <s v=""/>
    <n v="9.56"/>
    <m/>
    <m/>
    <m/>
    <m/>
    <m/>
    <m/>
    <m/>
    <m/>
    <n v="9.56"/>
    <m/>
    <m/>
    <m/>
    <n v="5.61"/>
    <m/>
    <m/>
    <m/>
    <m/>
    <m/>
    <m/>
    <m/>
    <m/>
    <n v="5.61"/>
    <m/>
  </r>
  <r>
    <x v="0"/>
    <x v="27"/>
    <s v="Fresh or Not Specified"/>
    <s v="Typical Australian dairy sheep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6.55"/>
    <s v=""/>
    <n v="4.0999999999999996"/>
    <s v=""/>
    <n v="6.55"/>
    <m/>
    <m/>
    <m/>
    <m/>
    <m/>
    <m/>
    <m/>
    <m/>
    <n v="6.55"/>
    <m/>
    <m/>
    <m/>
    <n v="4.0999999999999996"/>
    <m/>
    <m/>
    <m/>
    <m/>
    <m/>
    <m/>
    <m/>
    <m/>
    <n v="4.0999999999999996"/>
    <m/>
  </r>
  <r>
    <x v="12"/>
    <x v="111"/>
    <s v="Frozen"/>
    <s v="Sengalese southern pink shrimp; industri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28.697916666666664"/>
    <n v="35.229166666666664"/>
    <m/>
    <m/>
    <m/>
    <m/>
    <m/>
    <m/>
    <m/>
    <m/>
    <m/>
    <m/>
    <m/>
    <m/>
    <m/>
    <n v="28.697916666666664"/>
    <m/>
    <n v="6.53125"/>
    <m/>
    <n v="2.7708333333333335"/>
    <m/>
    <m/>
    <m/>
    <m/>
    <n v="28.697916666666664"/>
    <n v="38"/>
  </r>
  <r>
    <x v="12"/>
    <x v="111"/>
    <s v="Frozen"/>
    <s v="Sengalese southern pink shrimp; artisan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5.4166666666666669E-2"/>
    <n v="4.3874999999999993"/>
    <m/>
    <m/>
    <m/>
    <m/>
    <m/>
    <m/>
    <m/>
    <m/>
    <m/>
    <m/>
    <m/>
    <m/>
    <m/>
    <n v="5.4166666666666669E-2"/>
    <m/>
    <n v="4.333333333333333"/>
    <n v="9.4791666666666677E-2"/>
    <n v="3.3177083333333335"/>
    <m/>
    <m/>
    <m/>
    <m/>
    <n v="5.4166666666666669E-2"/>
    <n v="7.7999999999999989"/>
  </r>
  <r>
    <x v="0"/>
    <x v="0"/>
    <s v="Fresh or Not Specified"/>
    <s v="Pasture-based dairy farm in Georgia; ISFM "/>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79"/>
    <s v=""/>
    <m/>
    <m/>
    <m/>
    <m/>
    <m/>
    <m/>
    <m/>
    <m/>
    <m/>
    <m/>
    <m/>
    <m/>
    <m/>
    <n v="0.79"/>
    <m/>
    <m/>
    <m/>
    <m/>
    <m/>
    <m/>
    <m/>
    <m/>
    <n v="0.79"/>
    <m/>
  </r>
  <r>
    <x v="0"/>
    <x v="0"/>
    <s v="Fresh or Not Specified"/>
    <s v="Confinement dairy in Georgia; ISFM"/>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87"/>
    <s v=""/>
    <m/>
    <m/>
    <m/>
    <m/>
    <m/>
    <m/>
    <m/>
    <m/>
    <m/>
    <m/>
    <m/>
    <m/>
    <m/>
    <n v="0.87"/>
    <m/>
    <m/>
    <m/>
    <m/>
    <m/>
    <m/>
    <m/>
    <m/>
    <n v="0.87"/>
    <m/>
  </r>
  <r>
    <x v="1"/>
    <x v="23"/>
    <s v="Fresh or Not Specified"/>
    <s v="Typical 2010 production; PAS2050 method"/>
    <m/>
    <s v="Denmark"/>
    <n v="2011"/>
    <s v="Nguyen, T Lan T_x000a_Hermansen, John Erik_x000a_Mogensen, Lisbeth"/>
    <s v="Environmental Assessment of Danish Pork"/>
    <s v="Other, research center report"/>
    <s v="Nguyen, T. L. T., Hermansen, J. E. and Mogensen, L., Environmental assessment of Danish pork. 2011,  (REPORT NO. 103), ."/>
    <s v="Yes"/>
    <s v="No"/>
    <s v="No"/>
    <s v="Yes"/>
    <s v="No"/>
    <s v="No"/>
    <s v="No"/>
    <s v="No"/>
    <s v="No"/>
    <s v="No"/>
    <s v="No"/>
    <s v="No"/>
    <m/>
    <s v="cradle to processor gate"/>
    <m/>
    <m/>
    <s v="1kg live weight for age production; 1 kg carcass weight for processing"/>
    <s v="For ag production: /0.528; For processing: /0.729"/>
    <n v="25.824837156612858"/>
    <n v="28.658061519778379"/>
    <n v="4.134806003964882"/>
    <n v="4.3206962902359232"/>
    <n v="25.824837156612858"/>
    <m/>
    <n v="2.8332243631655194"/>
    <m/>
    <m/>
    <m/>
    <m/>
    <m/>
    <m/>
    <n v="25.824837156612858"/>
    <n v="28.658061519778379"/>
    <m/>
    <m/>
    <n v="4.134806003964882"/>
    <m/>
    <n v="0.18589028627104084"/>
    <m/>
    <m/>
    <m/>
    <m/>
    <m/>
    <m/>
    <n v="4.134806003964882"/>
    <n v="4.3206962902359232"/>
  </r>
  <r>
    <x v="0"/>
    <x v="0"/>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1"/>
    <s v=""/>
    <m/>
    <m/>
    <m/>
    <m/>
    <m/>
    <m/>
    <m/>
    <m/>
    <m/>
    <m/>
    <m/>
    <m/>
    <m/>
    <n v="0.91"/>
    <m/>
    <m/>
    <m/>
    <m/>
    <m/>
    <m/>
    <m/>
    <m/>
    <n v="0.91"/>
    <m/>
  </r>
  <r>
    <x v="0"/>
    <x v="0"/>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
    <s v=""/>
    <m/>
    <m/>
    <m/>
    <m/>
    <m/>
    <m/>
    <m/>
    <m/>
    <m/>
    <m/>
    <m/>
    <m/>
    <m/>
    <n v="0.9"/>
    <m/>
    <m/>
    <m/>
    <m/>
    <m/>
    <m/>
    <m/>
    <m/>
    <n v="0.9"/>
    <m/>
  </r>
  <r>
    <x v="1"/>
    <x v="25"/>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6.92"/>
    <s v=""/>
    <m/>
    <m/>
    <m/>
    <m/>
    <m/>
    <m/>
    <m/>
    <m/>
    <m/>
    <m/>
    <m/>
    <m/>
    <m/>
    <n v="6.92"/>
    <m/>
    <m/>
    <m/>
    <m/>
    <m/>
    <m/>
    <m/>
    <m/>
    <n v="6.92"/>
    <m/>
  </r>
  <r>
    <x v="1"/>
    <x v="25"/>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7.33"/>
    <s v=""/>
    <m/>
    <m/>
    <m/>
    <m/>
    <m/>
    <m/>
    <m/>
    <m/>
    <m/>
    <m/>
    <m/>
    <m/>
    <m/>
    <n v="7.33"/>
    <m/>
    <m/>
    <m/>
    <m/>
    <m/>
    <m/>
    <m/>
    <m/>
    <n v="7.33"/>
    <m/>
  </r>
  <r>
    <x v="7"/>
    <x v="110"/>
    <s v="Fresh or Not Specified"/>
    <s v="Carbonated Beverages, Aluminum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4.9904030710172742E-2"/>
    <m/>
    <m/>
    <m/>
    <m/>
    <m/>
    <m/>
    <m/>
    <m/>
    <m/>
    <m/>
    <n v="4.4145873320537419"/>
    <m/>
    <m/>
    <n v="3.8387715930902108E-2"/>
    <m/>
    <n v="1.1516314779270634E-2"/>
    <n v="0.23800383877159309"/>
    <n v="4.7984644913627635E-3"/>
    <n v="0.14875239923224567"/>
    <m/>
    <n v="6.7178502879078695E-3"/>
    <m/>
    <n v="3.8387715930902108E-2"/>
    <n v="0.44817658349328221"/>
  </r>
  <r>
    <x v="7"/>
    <x v="110"/>
    <s v="Fresh or Not Specified"/>
    <s v="Carbonated Beverages, PET 0.5 L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7.4856046065259113E-2"/>
    <m/>
    <m/>
    <m/>
    <m/>
    <m/>
    <m/>
    <m/>
    <m/>
    <m/>
    <m/>
    <n v="7.0057581573896348"/>
    <m/>
    <m/>
    <n v="3.8387715930902108E-2"/>
    <m/>
    <n v="3.6468330134357005E-2"/>
    <n v="0.16698656429942416"/>
    <n v="5.7581573896353169E-3"/>
    <n v="9.1170825335892505E-2"/>
    <m/>
    <n v="3.358925143953935E-2"/>
    <m/>
    <n v="3.8387715930902108E-2"/>
    <n v="0.37236084452975043"/>
  </r>
  <r>
    <x v="13"/>
    <x v="243"/>
    <m/>
    <m/>
    <m/>
    <m/>
    <m/>
    <m/>
    <m/>
    <m/>
    <m/>
    <m/>
    <m/>
    <m/>
    <m/>
    <m/>
    <m/>
    <m/>
    <m/>
    <m/>
    <m/>
    <m/>
    <m/>
    <m/>
    <m/>
    <m/>
    <m/>
    <m/>
    <m/>
    <m/>
    <m/>
    <m/>
    <m/>
    <m/>
    <m/>
    <m/>
    <m/>
    <m/>
    <m/>
    <m/>
    <m/>
    <m/>
    <m/>
    <m/>
    <m/>
    <m/>
    <m/>
    <m/>
    <m/>
    <m/>
    <m/>
    <m/>
    <m/>
    <m/>
    <m/>
    <m/>
    <m/>
  </r>
  <r>
    <x v="13"/>
    <x v="243"/>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 applyNumberFormats="0" applyBorderFormats="0" applyFontFormats="0" applyPatternFormats="0" applyAlignmentFormats="0" applyWidthHeightFormats="1" dataCaption="Values" updatedVersion="6" minRefreshableVersion="3" showCalcMbrs="0" useAutoFormatting="1" itemPrintTitles="1" createdVersion="3" indent="0" compact="0" compactData="0" multipleFieldFilters="0">
  <location ref="A3:Q263" firstHeaderRow="1" firstDataRow="2" firstDataCol="2"/>
  <pivotFields count="59">
    <pivotField axis="axisRow" compact="0" outline="0" showAll="0">
      <items count="15">
        <item x="7"/>
        <item x="5"/>
        <item x="0"/>
        <item x="2"/>
        <item x="12"/>
        <item x="4"/>
        <item x="11"/>
        <item x="1"/>
        <item x="6"/>
        <item x="8"/>
        <item x="10"/>
        <item x="9"/>
        <item x="3"/>
        <item x="13"/>
        <item t="default"/>
      </items>
    </pivotField>
    <pivotField axis="axisRow" compact="0" outline="0" showAll="0" sortType="ascending">
      <items count="270">
        <item m="1" x="260"/>
        <item x="82"/>
        <item m="1" x="244"/>
        <item x="66"/>
        <item x="222"/>
        <item x="187"/>
        <item x="139"/>
        <item x="84"/>
        <item x="89"/>
        <item x="20"/>
        <item x="58"/>
        <item m="1" x="246"/>
        <item x="195"/>
        <item m="1" x="268"/>
        <item x="184"/>
        <item x="201"/>
        <item x="77"/>
        <item x="78"/>
        <item x="3"/>
        <item x="25"/>
        <item x="141"/>
        <item x="196"/>
        <item x="212"/>
        <item x="213"/>
        <item x="158"/>
        <item x="79"/>
        <item x="22"/>
        <item x="75"/>
        <item x="7"/>
        <item x="197"/>
        <item x="119"/>
        <item x="113"/>
        <item x="125"/>
        <item x="237"/>
        <item x="110"/>
        <item x="94"/>
        <item x="232"/>
        <item x="116"/>
        <item x="214"/>
        <item x="146"/>
        <item x="95"/>
        <item x="203"/>
        <item x="120"/>
        <item x="42"/>
        <item x="4"/>
        <item x="41"/>
        <item x="164"/>
        <item x="178"/>
        <item x="24"/>
        <item x="208"/>
        <item x="215"/>
        <item x="180"/>
        <item m="1" x="255"/>
        <item x="194"/>
        <item x="114"/>
        <item x="135"/>
        <item x="133"/>
        <item x="134"/>
        <item x="132"/>
        <item x="191"/>
        <item x="216"/>
        <item x="107"/>
        <item x="105"/>
        <item x="106"/>
        <item x="118"/>
        <item x="126"/>
        <item x="192"/>
        <item x="124"/>
        <item x="123"/>
        <item x="224"/>
        <item x="211"/>
        <item x="9"/>
        <item x="188"/>
        <item x="171"/>
        <item x="86"/>
        <item x="143"/>
        <item x="13"/>
        <item x="12"/>
        <item x="185"/>
        <item x="97"/>
        <item x="2"/>
        <item x="60"/>
        <item x="61"/>
        <item x="154"/>
        <item x="153"/>
        <item x="34"/>
        <item x="98"/>
        <item x="96"/>
        <item x="235"/>
        <item x="112"/>
        <item x="102"/>
        <item x="104"/>
        <item x="101"/>
        <item x="111"/>
        <item x="103"/>
        <item m="1" x="257"/>
        <item x="26"/>
        <item x="11"/>
        <item x="14"/>
        <item x="0"/>
        <item x="6"/>
        <item x="29"/>
        <item x="27"/>
        <item x="70"/>
        <item x="69"/>
        <item m="1" x="252"/>
        <item x="71"/>
        <item x="165"/>
        <item x="179"/>
        <item x="28"/>
        <item x="162"/>
        <item x="170"/>
        <item x="87"/>
        <item x="80"/>
        <item x="225"/>
        <item x="175"/>
        <item x="53"/>
        <item x="145"/>
        <item x="182"/>
        <item x="148"/>
        <item x="152"/>
        <item x="151"/>
        <item x="149"/>
        <item x="231"/>
        <item x="52"/>
        <item x="90"/>
        <item x="205"/>
        <item x="198"/>
        <item x="91"/>
        <item x="92"/>
        <item x="173"/>
        <item x="155"/>
        <item x="157"/>
        <item x="207"/>
        <item x="59"/>
        <item x="204"/>
        <item x="57"/>
        <item x="76"/>
        <item m="1" x="265"/>
        <item x="174"/>
        <item x="169"/>
        <item x="159"/>
        <item x="138"/>
        <item x="163"/>
        <item x="226"/>
        <item x="21"/>
        <item x="227"/>
        <item x="36"/>
        <item x="239"/>
        <item x="240"/>
        <item x="176"/>
        <item x="63"/>
        <item x="193"/>
        <item x="140"/>
        <item m="1" x="249"/>
        <item x="73"/>
        <item x="51"/>
        <item m="1" x="253"/>
        <item x="233"/>
        <item x="93"/>
        <item x="136"/>
        <item x="65"/>
        <item x="156"/>
        <item x="46"/>
        <item x="223"/>
        <item x="160"/>
        <item x="189"/>
        <item x="217"/>
        <item x="166"/>
        <item x="137"/>
        <item x="115"/>
        <item x="130"/>
        <item x="50"/>
        <item x="85"/>
        <item x="88"/>
        <item x="221"/>
        <item x="241"/>
        <item x="236"/>
        <item x="43"/>
        <item x="150"/>
        <item x="186"/>
        <item x="181"/>
        <item x="23"/>
        <item x="56"/>
        <item m="1" x="256"/>
        <item x="142"/>
        <item m="1" x="263"/>
        <item x="54"/>
        <item x="44"/>
        <item x="55"/>
        <item m="1" x="250"/>
        <item x="30"/>
        <item x="206"/>
        <item x="234"/>
        <item x="37"/>
        <item x="33"/>
        <item x="45"/>
        <item x="147"/>
        <item m="1" x="259"/>
        <item x="68"/>
        <item x="218"/>
        <item x="122"/>
        <item x="129"/>
        <item x="219"/>
        <item x="220"/>
        <item x="177"/>
        <item x="1"/>
        <item m="1" x="247"/>
        <item x="144"/>
        <item x="10"/>
        <item x="121"/>
        <item x="210"/>
        <item x="47"/>
        <item x="127"/>
        <item x="40"/>
        <item x="100"/>
        <item x="99"/>
        <item x="202"/>
        <item m="1" x="262"/>
        <item x="81"/>
        <item x="168"/>
        <item x="209"/>
        <item x="131"/>
        <item x="49"/>
        <item x="190"/>
        <item x="238"/>
        <item x="109"/>
        <item x="108"/>
        <item x="230"/>
        <item x="38"/>
        <item x="19"/>
        <item x="15"/>
        <item x="18"/>
        <item x="167"/>
        <item x="17"/>
        <item x="16"/>
        <item x="8"/>
        <item x="161"/>
        <item x="72"/>
        <item x="117"/>
        <item x="31"/>
        <item x="172"/>
        <item x="39"/>
        <item x="32"/>
        <item x="35"/>
        <item x="83"/>
        <item m="1" x="251"/>
        <item x="229"/>
        <item x="228"/>
        <item x="199"/>
        <item m="1" x="267"/>
        <item x="128"/>
        <item x="67"/>
        <item m="1" x="264"/>
        <item m="1" x="258"/>
        <item m="1" x="254"/>
        <item m="1" x="266"/>
        <item x="62"/>
        <item m="1" x="248"/>
        <item x="74"/>
        <item x="48"/>
        <item x="64"/>
        <item m="1" x="245"/>
        <item m="1" x="261"/>
        <item x="183"/>
        <item x="5"/>
        <item x="200"/>
        <item x="242"/>
        <item x="24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dataField="1" compact="0" outline="0" showAll="0"/>
    <pivotField compact="0" outline="0" showAll="0"/>
    <pivotField compact="0" outline="0" showAll="0"/>
  </pivotFields>
  <rowFields count="2">
    <field x="0"/>
    <field x="1"/>
  </rowFields>
  <rowItems count="259">
    <i>
      <x/>
      <x v="20"/>
    </i>
    <i r="1">
      <x v="34"/>
    </i>
    <i r="1">
      <x v="61"/>
    </i>
    <i r="1">
      <x v="62"/>
    </i>
    <i r="1">
      <x v="63"/>
    </i>
    <i r="1">
      <x v="114"/>
    </i>
    <i r="1">
      <x v="131"/>
    </i>
    <i r="1">
      <x v="132"/>
    </i>
    <i r="1">
      <x v="140"/>
    </i>
    <i r="1">
      <x v="161"/>
    </i>
    <i r="1">
      <x v="162"/>
    </i>
    <i r="1">
      <x v="214"/>
    </i>
    <i r="1">
      <x v="226"/>
    </i>
    <i r="1">
      <x v="227"/>
    </i>
    <i r="1">
      <x v="247"/>
    </i>
    <i r="1">
      <x v="248"/>
    </i>
    <i t="default">
      <x/>
    </i>
    <i>
      <x v="1"/>
      <x v="10"/>
    </i>
    <i r="1">
      <x v="26"/>
    </i>
    <i r="1">
      <x v="32"/>
    </i>
    <i r="1">
      <x v="42"/>
    </i>
    <i r="1">
      <x v="65"/>
    </i>
    <i r="1">
      <x v="66"/>
    </i>
    <i r="1">
      <x v="67"/>
    </i>
    <i r="1">
      <x v="69"/>
    </i>
    <i r="1">
      <x v="150"/>
    </i>
    <i r="1">
      <x v="152"/>
    </i>
    <i r="1">
      <x v="153"/>
    </i>
    <i r="1">
      <x v="193"/>
    </i>
    <i r="1">
      <x v="196"/>
    </i>
    <i r="1">
      <x v="200"/>
    </i>
    <i r="1">
      <x v="201"/>
    </i>
    <i r="1">
      <x v="202"/>
    </i>
    <i r="1">
      <x v="203"/>
    </i>
    <i r="1">
      <x v="204"/>
    </i>
    <i r="1">
      <x v="251"/>
    </i>
    <i r="1">
      <x v="252"/>
    </i>
    <i t="default">
      <x v="1"/>
    </i>
    <i>
      <x v="2"/>
      <x v="28"/>
    </i>
    <i r="1">
      <x v="43"/>
    </i>
    <i r="1">
      <x v="44"/>
    </i>
    <i r="1">
      <x v="45"/>
    </i>
    <i r="1">
      <x v="71"/>
    </i>
    <i r="1">
      <x v="76"/>
    </i>
    <i r="1">
      <x v="77"/>
    </i>
    <i r="1">
      <x v="96"/>
    </i>
    <i r="1">
      <x v="97"/>
    </i>
    <i r="1">
      <x v="98"/>
    </i>
    <i r="1">
      <x v="99"/>
    </i>
    <i r="1">
      <x v="100"/>
    </i>
    <i r="1">
      <x v="101"/>
    </i>
    <i r="1">
      <x v="102"/>
    </i>
    <i r="1">
      <x v="145"/>
    </i>
    <i r="1">
      <x v="209"/>
    </i>
    <i r="1">
      <x v="265"/>
    </i>
    <i t="default">
      <x v="2"/>
    </i>
    <i>
      <x v="3"/>
      <x v="80"/>
    </i>
    <i t="default">
      <x v="3"/>
    </i>
    <i>
      <x v="4"/>
      <x v="88"/>
    </i>
    <i r="1">
      <x v="89"/>
    </i>
    <i r="1">
      <x v="90"/>
    </i>
    <i r="1">
      <x v="91"/>
    </i>
    <i r="1">
      <x v="92"/>
    </i>
    <i r="1">
      <x v="93"/>
    </i>
    <i r="1">
      <x v="94"/>
    </i>
    <i t="default">
      <x v="4"/>
    </i>
    <i>
      <x v="5"/>
      <x v="3"/>
    </i>
    <i r="1">
      <x v="4"/>
    </i>
    <i r="1">
      <x v="8"/>
    </i>
    <i r="1">
      <x v="9"/>
    </i>
    <i r="1">
      <x v="24"/>
    </i>
    <i r="1">
      <x v="25"/>
    </i>
    <i r="1">
      <x v="46"/>
    </i>
    <i r="1">
      <x v="73"/>
    </i>
    <i r="1">
      <x v="78"/>
    </i>
    <i r="1">
      <x v="103"/>
    </i>
    <i r="1">
      <x v="104"/>
    </i>
    <i r="1">
      <x v="106"/>
    </i>
    <i r="1">
      <x v="110"/>
    </i>
    <i r="1">
      <x v="111"/>
    </i>
    <i r="1">
      <x v="112"/>
    </i>
    <i r="1">
      <x v="113"/>
    </i>
    <i r="1">
      <x v="115"/>
    </i>
    <i r="1">
      <x v="116"/>
    </i>
    <i r="1">
      <x v="118"/>
    </i>
    <i r="1">
      <x v="125"/>
    </i>
    <i r="1">
      <x v="128"/>
    </i>
    <i r="1">
      <x v="130"/>
    </i>
    <i r="1">
      <x v="139"/>
    </i>
    <i r="1">
      <x v="141"/>
    </i>
    <i r="1">
      <x v="142"/>
    </i>
    <i r="1">
      <x v="143"/>
    </i>
    <i r="1">
      <x v="148"/>
    </i>
    <i r="1">
      <x v="149"/>
    </i>
    <i r="1">
      <x v="155"/>
    </i>
    <i r="1">
      <x v="160"/>
    </i>
    <i r="1">
      <x v="164"/>
    </i>
    <i r="1">
      <x v="165"/>
    </i>
    <i r="1">
      <x v="169"/>
    </i>
    <i r="1">
      <x v="173"/>
    </i>
    <i r="1">
      <x v="178"/>
    </i>
    <i r="1">
      <x v="180"/>
    </i>
    <i r="1">
      <x v="181"/>
    </i>
    <i r="1">
      <x v="199"/>
    </i>
    <i r="1">
      <x v="219"/>
    </i>
    <i r="1">
      <x v="220"/>
    </i>
    <i r="1">
      <x v="237"/>
    </i>
    <i r="1">
      <x v="239"/>
    </i>
    <i r="1">
      <x v="249"/>
    </i>
    <i r="1">
      <x v="259"/>
    </i>
    <i r="1">
      <x v="261"/>
    </i>
    <i t="default">
      <x v="5"/>
    </i>
    <i>
      <x v="6"/>
      <x v="1"/>
    </i>
    <i r="1">
      <x v="12"/>
    </i>
    <i r="1">
      <x v="14"/>
    </i>
    <i r="1">
      <x v="15"/>
    </i>
    <i r="1">
      <x v="37"/>
    </i>
    <i r="1">
      <x v="47"/>
    </i>
    <i r="1">
      <x v="49"/>
    </i>
    <i r="1">
      <x v="59"/>
    </i>
    <i r="1">
      <x v="119"/>
    </i>
    <i r="1">
      <x v="120"/>
    </i>
    <i r="1">
      <x v="121"/>
    </i>
    <i r="1">
      <x v="122"/>
    </i>
    <i r="1">
      <x v="133"/>
    </i>
    <i r="1">
      <x v="166"/>
    </i>
    <i r="1">
      <x v="167"/>
    </i>
    <i r="1">
      <x v="170"/>
    </i>
    <i r="1">
      <x v="171"/>
    </i>
    <i r="1">
      <x v="179"/>
    </i>
    <i r="1">
      <x v="205"/>
    </i>
    <i r="1">
      <x v="211"/>
    </i>
    <i r="1">
      <x v="213"/>
    </i>
    <i r="1">
      <x v="224"/>
    </i>
    <i r="1">
      <x v="238"/>
    </i>
    <i r="1">
      <x v="245"/>
    </i>
    <i t="default">
      <x v="6"/>
    </i>
    <i>
      <x v="7"/>
      <x v="18"/>
    </i>
    <i r="1">
      <x v="19"/>
    </i>
    <i r="1">
      <x v="48"/>
    </i>
    <i r="1">
      <x v="109"/>
    </i>
    <i r="1">
      <x v="146"/>
    </i>
    <i r="1">
      <x v="182"/>
    </i>
    <i r="1">
      <x v="191"/>
    </i>
    <i r="1">
      <x v="195"/>
    </i>
    <i r="1">
      <x v="206"/>
    </i>
    <i r="1">
      <x v="208"/>
    </i>
    <i r="1">
      <x v="240"/>
    </i>
    <i r="1">
      <x v="243"/>
    </i>
    <i t="default">
      <x v="7"/>
    </i>
    <i>
      <x v="8"/>
      <x v="85"/>
    </i>
    <i r="1">
      <x v="147"/>
    </i>
    <i r="1">
      <x v="194"/>
    </i>
    <i r="1">
      <x v="210"/>
    </i>
    <i r="1">
      <x v="228"/>
    </i>
    <i r="1">
      <x v="229"/>
    </i>
    <i r="1">
      <x v="242"/>
    </i>
    <i r="1">
      <x v="244"/>
    </i>
    <i t="default">
      <x v="8"/>
    </i>
    <i>
      <x v="9"/>
      <x v="60"/>
    </i>
    <i r="1">
      <x v="68"/>
    </i>
    <i r="1">
      <x v="72"/>
    </i>
    <i r="1">
      <x v="156"/>
    </i>
    <i r="1">
      <x v="163"/>
    </i>
    <i r="1">
      <x v="172"/>
    </i>
    <i r="1">
      <x v="197"/>
    </i>
    <i r="1">
      <x v="212"/>
    </i>
    <i r="1">
      <x v="223"/>
    </i>
    <i r="1">
      <x v="260"/>
    </i>
    <i t="default">
      <x v="9"/>
    </i>
    <i>
      <x v="10"/>
      <x v="30"/>
    </i>
    <i r="1">
      <x v="31"/>
    </i>
    <i r="1">
      <x v="39"/>
    </i>
    <i r="1">
      <x v="51"/>
    </i>
    <i r="1">
      <x v="54"/>
    </i>
    <i r="1">
      <x v="55"/>
    </i>
    <i r="1">
      <x v="56"/>
    </i>
    <i r="1">
      <x v="57"/>
    </i>
    <i r="1">
      <x v="58"/>
    </i>
    <i r="1">
      <x v="64"/>
    </i>
    <i r="1">
      <x v="83"/>
    </i>
    <i r="1">
      <x v="84"/>
    </i>
    <i r="1">
      <x v="108"/>
    </i>
    <i r="1">
      <x v="117"/>
    </i>
    <i r="1">
      <x v="123"/>
    </i>
    <i r="1">
      <x v="126"/>
    </i>
    <i r="1">
      <x v="175"/>
    </i>
    <i r="1">
      <x v="183"/>
    </i>
    <i t="default">
      <x v="10"/>
    </i>
    <i>
      <x v="11"/>
      <x v="22"/>
    </i>
    <i r="1">
      <x v="23"/>
    </i>
    <i r="1">
      <x v="124"/>
    </i>
    <i r="1">
      <x v="144"/>
    </i>
    <i r="1">
      <x v="221"/>
    </i>
    <i r="1">
      <x v="222"/>
    </i>
    <i t="default">
      <x v="11"/>
    </i>
    <i>
      <x v="12"/>
      <x v="5"/>
    </i>
    <i r="1">
      <x v="6"/>
    </i>
    <i r="1">
      <x v="7"/>
    </i>
    <i r="1">
      <x v="16"/>
    </i>
    <i r="1">
      <x v="17"/>
    </i>
    <i r="1">
      <x v="21"/>
    </i>
    <i r="1">
      <x v="27"/>
    </i>
    <i r="1">
      <x v="29"/>
    </i>
    <i r="1">
      <x v="33"/>
    </i>
    <i r="1">
      <x v="35"/>
    </i>
    <i r="1">
      <x v="36"/>
    </i>
    <i r="1">
      <x v="38"/>
    </i>
    <i r="1">
      <x v="40"/>
    </i>
    <i r="1">
      <x v="41"/>
    </i>
    <i r="1">
      <x v="50"/>
    </i>
    <i r="1">
      <x v="53"/>
    </i>
    <i r="1">
      <x v="70"/>
    </i>
    <i r="1">
      <x v="74"/>
    </i>
    <i r="1">
      <x v="75"/>
    </i>
    <i r="1">
      <x v="79"/>
    </i>
    <i r="1">
      <x v="81"/>
    </i>
    <i r="1">
      <x v="82"/>
    </i>
    <i r="1">
      <x v="86"/>
    </i>
    <i r="1">
      <x v="87"/>
    </i>
    <i r="1">
      <x v="107"/>
    </i>
    <i r="1">
      <x v="127"/>
    </i>
    <i r="1">
      <x v="129"/>
    </i>
    <i r="1">
      <x v="134"/>
    </i>
    <i r="1">
      <x v="135"/>
    </i>
    <i r="1">
      <x v="136"/>
    </i>
    <i r="1">
      <x v="137"/>
    </i>
    <i r="1">
      <x v="151"/>
    </i>
    <i r="1">
      <x v="158"/>
    </i>
    <i r="1">
      <x v="159"/>
    </i>
    <i r="1">
      <x v="168"/>
    </i>
    <i r="1">
      <x v="174"/>
    </i>
    <i r="1">
      <x v="176"/>
    </i>
    <i r="1">
      <x v="177"/>
    </i>
    <i r="1">
      <x v="185"/>
    </i>
    <i r="1">
      <x v="187"/>
    </i>
    <i r="1">
      <x v="188"/>
    </i>
    <i r="1">
      <x v="189"/>
    </i>
    <i r="1">
      <x v="192"/>
    </i>
    <i r="1">
      <x v="215"/>
    </i>
    <i r="1">
      <x v="216"/>
    </i>
    <i r="1">
      <x v="217"/>
    </i>
    <i r="1">
      <x v="225"/>
    </i>
    <i r="1">
      <x v="230"/>
    </i>
    <i r="1">
      <x v="231"/>
    </i>
    <i r="1">
      <x v="232"/>
    </i>
    <i r="1">
      <x v="233"/>
    </i>
    <i r="1">
      <x v="234"/>
    </i>
    <i r="1">
      <x v="235"/>
    </i>
    <i r="1">
      <x v="236"/>
    </i>
    <i r="1">
      <x v="241"/>
    </i>
    <i r="1">
      <x v="257"/>
    </i>
    <i r="1">
      <x v="264"/>
    </i>
    <i r="1">
      <x v="266"/>
    </i>
    <i r="1">
      <x v="267"/>
    </i>
    <i t="default">
      <x v="12"/>
    </i>
    <i>
      <x v="13"/>
      <x v="268"/>
    </i>
    <i t="default">
      <x v="13"/>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Count of ACTIVE     GHGE, FARM GATE (kg CO2e/kg)" fld="31" subtotal="countNums" baseField="0" baseItem="0"/>
    <dataField name="Average of ACTIVE     GHGE, FARM GATE (kg CO2e/kg)" fld="31" subtotal="average" baseField="0" baseItem="0"/>
    <dataField name="Min of ACTIVE     GHGE, FARM GATE (kg CO2e/kg)" fld="31" subtotal="min" baseField="0" baseItem="0"/>
    <dataField name="Max of ACTIVE     GHGE, FARM GATE (kg CO2e/kg)" fld="31" subtotal="max" baseField="0" baseItem="0"/>
    <dataField name="StdDev of ACTIVE     GHGE, FARM GATE (kg CO2e/kg)" fld="31" subtotal="stdDev" baseField="0" baseItem="0"/>
    <dataField name="Count of GHGE, processor gate (kg CO2e/kg)" fld="32" subtotal="countNums" baseField="0" baseItem="0"/>
    <dataField name="Average of GHGE, processor gate (kg CO2e/kg)" fld="32" subtotal="average" baseField="0" baseItem="0"/>
    <dataField name="Min of GHGE, processor gate (kg CO2e/kg)" fld="32" subtotal="min" baseField="0" baseItem="0"/>
    <dataField name="Max of GHGE, processor gate (kg CO2e/kg)" fld="32" subtotal="max" baseField="0" baseItem="0"/>
    <dataField name="StdDev of GHGE, processor gate (kg CO2e/kg)" fld="32" subtotal="stdDev" baseField="0" baseItem="0"/>
    <dataField name="Count of GHGE, TOTAL LC (kg CO2e/kg)" fld="56" subtotal="countNums" baseField="0" baseItem="0"/>
    <dataField name="Average of GHGE, TOTAL LC (kg CO2e/kg)" fld="56" subtotal="average" baseField="0" baseItem="0"/>
    <dataField name="Min of GHGE, TOTAL LC (kg CO2e/kg)" fld="56" subtotal="min" baseField="0" baseItem="0"/>
    <dataField name="Max of GHGE, TOTAL LC (kg CO2e/kg)" fld="56" subtotal="max" baseField="0" baseItem="0"/>
    <dataField name="StdDev of GHGE, TOTAL LC (kg CO2e/kg)" fld="56" subtotal="stdDev" baseField="0" baseItem="0"/>
  </dataFields>
  <formats count="43">
    <format dxfId="58">
      <pivotArea outline="0" collapsedLevelsAreSubtotals="1" fieldPosition="0"/>
    </format>
    <format dxfId="57">
      <pivotArea field="-2" type="button" dataOnly="0" labelOnly="1" outline="0" axis="axisCol" fieldPosition="0"/>
    </format>
    <format dxfId="56">
      <pivotArea field="-2" type="button" dataOnly="0" labelOnly="1" outline="0" axis="axisCol" fieldPosition="0"/>
    </format>
    <format dxfId="55">
      <pivotArea field="-2" type="button" dataOnly="0" labelOnly="1" outline="0" axis="axisCol" fieldPosition="0"/>
    </format>
    <format dxfId="54">
      <pivotArea outline="0" collapsedLevelsAreSubtotals="1" fieldPosition="0">
        <references count="1">
          <reference field="0" count="1" selected="0" defaultSubtotal="1">
            <x v="2"/>
          </reference>
        </references>
      </pivotArea>
    </format>
    <format dxfId="53">
      <pivotArea dataOnly="0" labelOnly="1" outline="0" fieldPosition="0">
        <references count="1">
          <reference field="0" count="1" defaultSubtotal="1">
            <x v="2"/>
          </reference>
        </references>
      </pivotArea>
    </format>
    <format dxfId="52">
      <pivotArea outline="0" collapsedLevelsAreSubtotals="1" fieldPosition="0">
        <references count="1">
          <reference field="0" count="1" selected="0" defaultSubtotal="1">
            <x v="1"/>
          </reference>
        </references>
      </pivotArea>
    </format>
    <format dxfId="51">
      <pivotArea dataOnly="0" labelOnly="1" outline="0" fieldPosition="0">
        <references count="1">
          <reference field="0" count="1" defaultSubtotal="1">
            <x v="1"/>
          </reference>
        </references>
      </pivotArea>
    </format>
    <format dxfId="50">
      <pivotArea outline="0" collapsedLevelsAreSubtotals="1" fieldPosition="0">
        <references count="1">
          <reference field="0" count="1" selected="0" defaultSubtotal="1">
            <x v="0"/>
          </reference>
        </references>
      </pivotArea>
    </format>
    <format dxfId="49">
      <pivotArea dataOnly="0" labelOnly="1" outline="0" fieldPosition="0">
        <references count="1">
          <reference field="0" count="1" defaultSubtotal="1">
            <x v="0"/>
          </reference>
        </references>
      </pivotArea>
    </format>
    <format dxfId="48">
      <pivotArea outline="0" collapsedLevelsAreSubtotals="1" fieldPosition="0">
        <references count="1">
          <reference field="0" count="1" selected="0" defaultSubtotal="1">
            <x v="3"/>
          </reference>
        </references>
      </pivotArea>
    </format>
    <format dxfId="47">
      <pivotArea dataOnly="0" labelOnly="1" outline="0" fieldPosition="0">
        <references count="1">
          <reference field="0" count="1" defaultSubtotal="1">
            <x v="3"/>
          </reference>
        </references>
      </pivotArea>
    </format>
    <format dxfId="46">
      <pivotArea outline="0" collapsedLevelsAreSubtotals="1" fieldPosition="0">
        <references count="1">
          <reference field="0" count="1" selected="0" defaultSubtotal="1">
            <x v="4"/>
          </reference>
        </references>
      </pivotArea>
    </format>
    <format dxfId="45">
      <pivotArea dataOnly="0" labelOnly="1" outline="0" fieldPosition="0">
        <references count="1">
          <reference field="0" count="1" defaultSubtotal="1">
            <x v="4"/>
          </reference>
        </references>
      </pivotArea>
    </format>
    <format dxfId="44">
      <pivotArea outline="0" collapsedLevelsAreSubtotals="1" fieldPosition="0">
        <references count="1">
          <reference field="0" count="1" selected="0" defaultSubtotal="1">
            <x v="5"/>
          </reference>
        </references>
      </pivotArea>
    </format>
    <format dxfId="43">
      <pivotArea dataOnly="0" labelOnly="1" outline="0" fieldPosition="0">
        <references count="1">
          <reference field="0" count="1" defaultSubtotal="1">
            <x v="5"/>
          </reference>
        </references>
      </pivotArea>
    </format>
    <format dxfId="42">
      <pivotArea outline="0" collapsedLevelsAreSubtotals="1" fieldPosition="0">
        <references count="1">
          <reference field="0" count="1" selected="0" defaultSubtotal="1">
            <x v="6"/>
          </reference>
        </references>
      </pivotArea>
    </format>
    <format dxfId="41">
      <pivotArea dataOnly="0" labelOnly="1" outline="0" fieldPosition="0">
        <references count="1">
          <reference field="0" count="1" defaultSubtotal="1">
            <x v="6"/>
          </reference>
        </references>
      </pivotArea>
    </format>
    <format dxfId="40">
      <pivotArea outline="0" collapsedLevelsAreSubtotals="1" fieldPosition="0">
        <references count="1">
          <reference field="0" count="1" selected="0" defaultSubtotal="1">
            <x v="7"/>
          </reference>
        </references>
      </pivotArea>
    </format>
    <format dxfId="39">
      <pivotArea dataOnly="0" labelOnly="1" outline="0" fieldPosition="0">
        <references count="1">
          <reference field="0" count="1" defaultSubtotal="1">
            <x v="7"/>
          </reference>
        </references>
      </pivotArea>
    </format>
    <format dxfId="38">
      <pivotArea outline="0" collapsedLevelsAreSubtotals="1" fieldPosition="0">
        <references count="1">
          <reference field="0" count="1" selected="0" defaultSubtotal="1">
            <x v="8"/>
          </reference>
        </references>
      </pivotArea>
    </format>
    <format dxfId="37">
      <pivotArea dataOnly="0" labelOnly="1" outline="0" fieldPosition="0">
        <references count="1">
          <reference field="0" count="1" defaultSubtotal="1">
            <x v="8"/>
          </reference>
        </references>
      </pivotArea>
    </format>
    <format dxfId="36">
      <pivotArea outline="0" collapsedLevelsAreSubtotals="1" fieldPosition="0">
        <references count="1">
          <reference field="0" count="1" selected="0" defaultSubtotal="1">
            <x v="9"/>
          </reference>
        </references>
      </pivotArea>
    </format>
    <format dxfId="35">
      <pivotArea dataOnly="0" labelOnly="1" outline="0" fieldPosition="0">
        <references count="1">
          <reference field="0" count="1" defaultSubtotal="1">
            <x v="9"/>
          </reference>
        </references>
      </pivotArea>
    </format>
    <format dxfId="34">
      <pivotArea outline="0" collapsedLevelsAreSubtotals="1" fieldPosition="0">
        <references count="1">
          <reference field="0" count="1" selected="0" defaultSubtotal="1">
            <x v="10"/>
          </reference>
        </references>
      </pivotArea>
    </format>
    <format dxfId="33">
      <pivotArea dataOnly="0" labelOnly="1" outline="0" fieldPosition="0">
        <references count="1">
          <reference field="0" count="1" defaultSubtotal="1">
            <x v="10"/>
          </reference>
        </references>
      </pivotArea>
    </format>
    <format dxfId="32">
      <pivotArea outline="0" collapsedLevelsAreSubtotals="1" fieldPosition="0">
        <references count="1">
          <reference field="0" count="1" selected="0" defaultSubtotal="1">
            <x v="11"/>
          </reference>
        </references>
      </pivotArea>
    </format>
    <format dxfId="31">
      <pivotArea dataOnly="0" labelOnly="1" outline="0" fieldPosition="0">
        <references count="1">
          <reference field="0" count="1" defaultSubtotal="1">
            <x v="11"/>
          </reference>
        </references>
      </pivotArea>
    </format>
    <format dxfId="30">
      <pivotArea outline="0" collapsedLevelsAreSubtotals="1" fieldPosition="0">
        <references count="1">
          <reference field="0" count="1" selected="0" defaultSubtotal="1">
            <x v="12"/>
          </reference>
        </references>
      </pivotArea>
    </format>
    <format dxfId="29">
      <pivotArea dataOnly="0" labelOnly="1" outline="0" fieldPosition="0">
        <references count="1">
          <reference field="0" count="1" defaultSubtotal="1">
            <x v="12"/>
          </reference>
        </references>
      </pivotArea>
    </format>
    <format dxfId="28">
      <pivotArea type="origin" dataOnly="0" labelOnly="1" outline="0" fieldPosition="0"/>
    </format>
    <format dxfId="27">
      <pivotArea field="0" type="button" dataOnly="0" labelOnly="1" outline="0" axis="axisRow" fieldPosition="0"/>
    </format>
    <format dxfId="26">
      <pivotArea field="1" type="button" dataOnly="0" labelOnly="1" outline="0" axis="axisRow" fieldPosition="1"/>
    </format>
    <format dxfId="25">
      <pivotArea field="-2" type="button" dataOnly="0" labelOnly="1" outline="0" axis="axisCol" fieldPosition="0"/>
    </format>
    <format dxfId="24">
      <pivotArea type="topRight" dataOnly="0" labelOnly="1" outline="0" fieldPosition="0"/>
    </format>
    <format dxfId="23">
      <pivotArea dataOnly="0" labelOnly="1" outline="0" fieldPosition="0">
        <references count="1">
          <reference field="4294967294" count="15">
            <x v="0"/>
            <x v="1"/>
            <x v="2"/>
            <x v="3"/>
            <x v="4"/>
            <x v="5"/>
            <x v="6"/>
            <x v="7"/>
            <x v="8"/>
            <x v="9"/>
            <x v="10"/>
            <x v="11"/>
            <x v="12"/>
            <x v="13"/>
            <x v="14"/>
          </reference>
        </references>
      </pivotArea>
    </format>
    <format dxfId="22">
      <pivotArea field="-2" type="button" dataOnly="0" labelOnly="1" outline="0" axis="axisCol" fieldPosition="0"/>
    </format>
    <format dxfId="21">
      <pivotArea type="topRight" dataOnly="0" labelOnly="1" outline="0" fieldPosition="0"/>
    </format>
    <format dxfId="20">
      <pivotArea dataOnly="0" labelOnly="1" outline="0" fieldPosition="0">
        <references count="1">
          <reference field="4294967294" count="5">
            <x v="0"/>
            <x v="1"/>
            <x v="2"/>
            <x v="3"/>
            <x v="4"/>
          </reference>
        </references>
      </pivotArea>
    </format>
    <format dxfId="19">
      <pivotArea type="topRight" dataOnly="0" labelOnly="1" outline="0" offset="E1:I1" fieldPosition="0"/>
    </format>
    <format dxfId="18">
      <pivotArea dataOnly="0" labelOnly="1" outline="0" fieldPosition="0">
        <references count="1">
          <reference field="4294967294" count="5">
            <x v="5"/>
            <x v="6"/>
            <x v="7"/>
            <x v="8"/>
            <x v="9"/>
          </reference>
        </references>
      </pivotArea>
    </format>
    <format dxfId="17">
      <pivotArea type="topRight" dataOnly="0" labelOnly="1" outline="0" offset="J1:N1" fieldPosition="0"/>
    </format>
    <format dxfId="16">
      <pivotArea dataOnly="0" labelOnly="1" outline="0" fieldPosition="0">
        <references count="1">
          <reference field="4294967294" count="5">
            <x v="10"/>
            <x v="11"/>
            <x v="12"/>
            <x v="13"/>
            <x v="14"/>
          </reference>
        </references>
      </pivotArea>
    </format>
  </formats>
  <pivotTableStyleInfo name="PivotStyleLight16"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 applyNumberFormats="0" applyBorderFormats="0" applyFontFormats="0" applyPatternFormats="0" applyAlignmentFormats="0" applyWidthHeightFormats="1" dataCaption="Values" showError="1" updatedVersion="6" minRefreshableVersion="3" showCalcMbrs="0" useAutoFormatting="1" rowGrandTotals="0" colGrandTotals="0" itemPrintTitles="1" createdVersion="3" indent="0" compact="0" compactData="0" multipleFieldFilters="0">
  <location ref="A3:Q262" firstHeaderRow="1" firstDataRow="2" firstDataCol="2"/>
  <pivotFields count="57">
    <pivotField axis="axisRow" compact="0" outline="0" showAll="0">
      <items count="15">
        <item x="7"/>
        <item x="5"/>
        <item x="0"/>
        <item x="2"/>
        <item x="12"/>
        <item x="4"/>
        <item x="11"/>
        <item x="1"/>
        <item x="6"/>
        <item x="8"/>
        <item x="10"/>
        <item x="9"/>
        <item x="3"/>
        <item x="13"/>
        <item t="default"/>
      </items>
    </pivotField>
    <pivotField axis="axisRow" compact="0" outline="0" showAll="0" sortType="ascending" defaultSubtotal="0">
      <items count="269">
        <item m="1" x="260"/>
        <item x="82"/>
        <item m="1" x="244"/>
        <item x="66"/>
        <item x="222"/>
        <item x="187"/>
        <item x="139"/>
        <item x="84"/>
        <item x="89"/>
        <item x="20"/>
        <item x="58"/>
        <item m="1" x="246"/>
        <item x="195"/>
        <item m="1" x="268"/>
        <item x="184"/>
        <item x="201"/>
        <item x="77"/>
        <item x="78"/>
        <item x="3"/>
        <item x="25"/>
        <item x="141"/>
        <item x="196"/>
        <item x="212"/>
        <item x="213"/>
        <item x="158"/>
        <item x="79"/>
        <item x="22"/>
        <item x="75"/>
        <item x="7"/>
        <item x="197"/>
        <item x="119"/>
        <item x="113"/>
        <item x="125"/>
        <item x="237"/>
        <item x="110"/>
        <item x="94"/>
        <item x="232"/>
        <item x="116"/>
        <item x="214"/>
        <item x="146"/>
        <item x="95"/>
        <item x="203"/>
        <item x="120"/>
        <item x="42"/>
        <item x="4"/>
        <item x="41"/>
        <item x="164"/>
        <item x="178"/>
        <item x="24"/>
        <item x="208"/>
        <item x="215"/>
        <item x="180"/>
        <item m="1" x="255"/>
        <item x="194"/>
        <item x="114"/>
        <item x="135"/>
        <item x="133"/>
        <item x="134"/>
        <item x="132"/>
        <item x="191"/>
        <item x="216"/>
        <item x="107"/>
        <item x="105"/>
        <item x="106"/>
        <item x="118"/>
        <item x="126"/>
        <item x="192"/>
        <item x="124"/>
        <item x="123"/>
        <item x="224"/>
        <item x="211"/>
        <item x="9"/>
        <item x="188"/>
        <item x="171"/>
        <item x="86"/>
        <item x="143"/>
        <item x="13"/>
        <item x="12"/>
        <item x="185"/>
        <item x="97"/>
        <item x="2"/>
        <item x="60"/>
        <item x="61"/>
        <item x="154"/>
        <item x="153"/>
        <item x="34"/>
        <item x="98"/>
        <item x="96"/>
        <item x="235"/>
        <item x="112"/>
        <item x="102"/>
        <item x="104"/>
        <item x="101"/>
        <item x="111"/>
        <item x="103"/>
        <item m="1" x="257"/>
        <item x="26"/>
        <item x="11"/>
        <item x="14"/>
        <item x="0"/>
        <item x="6"/>
        <item x="29"/>
        <item x="27"/>
        <item x="70"/>
        <item x="69"/>
        <item m="1" x="252"/>
        <item x="71"/>
        <item x="165"/>
        <item x="179"/>
        <item x="28"/>
        <item x="162"/>
        <item x="170"/>
        <item x="87"/>
        <item x="80"/>
        <item x="225"/>
        <item x="175"/>
        <item x="53"/>
        <item x="145"/>
        <item x="182"/>
        <item x="148"/>
        <item x="152"/>
        <item x="151"/>
        <item x="149"/>
        <item x="231"/>
        <item x="52"/>
        <item x="90"/>
        <item x="205"/>
        <item x="198"/>
        <item x="91"/>
        <item x="92"/>
        <item x="173"/>
        <item x="155"/>
        <item x="157"/>
        <item x="207"/>
        <item x="59"/>
        <item x="204"/>
        <item x="57"/>
        <item x="76"/>
        <item m="1" x="265"/>
        <item x="174"/>
        <item x="169"/>
        <item x="159"/>
        <item x="138"/>
        <item x="163"/>
        <item x="226"/>
        <item x="21"/>
        <item x="227"/>
        <item x="36"/>
        <item x="239"/>
        <item x="240"/>
        <item x="176"/>
        <item x="63"/>
        <item x="193"/>
        <item x="140"/>
        <item m="1" x="249"/>
        <item x="73"/>
        <item x="51"/>
        <item m="1" x="253"/>
        <item x="233"/>
        <item x="93"/>
        <item x="136"/>
        <item x="65"/>
        <item x="156"/>
        <item x="46"/>
        <item x="223"/>
        <item x="160"/>
        <item x="189"/>
        <item x="217"/>
        <item x="166"/>
        <item x="137"/>
        <item x="115"/>
        <item x="130"/>
        <item x="50"/>
        <item x="85"/>
        <item x="88"/>
        <item x="221"/>
        <item x="241"/>
        <item x="236"/>
        <item x="43"/>
        <item x="150"/>
        <item x="186"/>
        <item x="181"/>
        <item x="23"/>
        <item x="56"/>
        <item m="1" x="256"/>
        <item x="142"/>
        <item m="1" x="263"/>
        <item x="54"/>
        <item x="44"/>
        <item x="55"/>
        <item m="1" x="250"/>
        <item x="30"/>
        <item x="206"/>
        <item x="234"/>
        <item x="37"/>
        <item x="33"/>
        <item x="45"/>
        <item x="147"/>
        <item m="1" x="259"/>
        <item x="68"/>
        <item x="218"/>
        <item x="122"/>
        <item x="129"/>
        <item x="219"/>
        <item x="220"/>
        <item x="177"/>
        <item x="1"/>
        <item m="1" x="247"/>
        <item x="144"/>
        <item x="10"/>
        <item x="121"/>
        <item x="210"/>
        <item x="47"/>
        <item x="127"/>
        <item x="40"/>
        <item x="100"/>
        <item x="99"/>
        <item x="202"/>
        <item m="1" x="262"/>
        <item x="81"/>
        <item x="168"/>
        <item x="209"/>
        <item x="131"/>
        <item x="49"/>
        <item x="190"/>
        <item x="238"/>
        <item x="109"/>
        <item x="108"/>
        <item x="230"/>
        <item x="38"/>
        <item x="19"/>
        <item x="15"/>
        <item x="18"/>
        <item x="167"/>
        <item x="17"/>
        <item x="16"/>
        <item x="8"/>
        <item x="161"/>
        <item x="72"/>
        <item x="117"/>
        <item x="31"/>
        <item x="172"/>
        <item x="39"/>
        <item x="32"/>
        <item x="35"/>
        <item x="83"/>
        <item m="1" x="251"/>
        <item x="229"/>
        <item x="228"/>
        <item x="199"/>
        <item m="1" x="267"/>
        <item x="128"/>
        <item x="67"/>
        <item m="1" x="264"/>
        <item m="1" x="258"/>
        <item m="1" x="254"/>
        <item m="1" x="266"/>
        <item x="62"/>
        <item m="1" x="248"/>
        <item x="74"/>
        <item x="48"/>
        <item x="64"/>
        <item m="1" x="245"/>
        <item m="1" x="261"/>
        <item x="183"/>
        <item x="5"/>
        <item x="200"/>
        <item x="242"/>
        <item x="24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1"/>
  </rowFields>
  <rowItems count="258">
    <i>
      <x/>
      <x v="20"/>
    </i>
    <i r="1">
      <x v="34"/>
    </i>
    <i r="1">
      <x v="61"/>
    </i>
    <i r="1">
      <x v="62"/>
    </i>
    <i r="1">
      <x v="63"/>
    </i>
    <i r="1">
      <x v="114"/>
    </i>
    <i r="1">
      <x v="131"/>
    </i>
    <i r="1">
      <x v="132"/>
    </i>
    <i r="1">
      <x v="140"/>
    </i>
    <i r="1">
      <x v="161"/>
    </i>
    <i r="1">
      <x v="162"/>
    </i>
    <i r="1">
      <x v="214"/>
    </i>
    <i r="1">
      <x v="226"/>
    </i>
    <i r="1">
      <x v="227"/>
    </i>
    <i r="1">
      <x v="247"/>
    </i>
    <i r="1">
      <x v="248"/>
    </i>
    <i t="default">
      <x/>
    </i>
    <i>
      <x v="1"/>
      <x v="10"/>
    </i>
    <i r="1">
      <x v="26"/>
    </i>
    <i r="1">
      <x v="32"/>
    </i>
    <i r="1">
      <x v="42"/>
    </i>
    <i r="1">
      <x v="65"/>
    </i>
    <i r="1">
      <x v="66"/>
    </i>
    <i r="1">
      <x v="67"/>
    </i>
    <i r="1">
      <x v="69"/>
    </i>
    <i r="1">
      <x v="150"/>
    </i>
    <i r="1">
      <x v="152"/>
    </i>
    <i r="1">
      <x v="153"/>
    </i>
    <i r="1">
      <x v="193"/>
    </i>
    <i r="1">
      <x v="196"/>
    </i>
    <i r="1">
      <x v="200"/>
    </i>
    <i r="1">
      <x v="201"/>
    </i>
    <i r="1">
      <x v="202"/>
    </i>
    <i r="1">
      <x v="203"/>
    </i>
    <i r="1">
      <x v="204"/>
    </i>
    <i r="1">
      <x v="251"/>
    </i>
    <i r="1">
      <x v="252"/>
    </i>
    <i t="default">
      <x v="1"/>
    </i>
    <i>
      <x v="2"/>
      <x v="28"/>
    </i>
    <i r="1">
      <x v="43"/>
    </i>
    <i r="1">
      <x v="44"/>
    </i>
    <i r="1">
      <x v="45"/>
    </i>
    <i r="1">
      <x v="71"/>
    </i>
    <i r="1">
      <x v="76"/>
    </i>
    <i r="1">
      <x v="77"/>
    </i>
    <i r="1">
      <x v="96"/>
    </i>
    <i r="1">
      <x v="97"/>
    </i>
    <i r="1">
      <x v="98"/>
    </i>
    <i r="1">
      <x v="99"/>
    </i>
    <i r="1">
      <x v="100"/>
    </i>
    <i r="1">
      <x v="101"/>
    </i>
    <i r="1">
      <x v="102"/>
    </i>
    <i r="1">
      <x v="145"/>
    </i>
    <i r="1">
      <x v="209"/>
    </i>
    <i r="1">
      <x v="265"/>
    </i>
    <i t="default">
      <x v="2"/>
    </i>
    <i>
      <x v="3"/>
      <x v="80"/>
    </i>
    <i t="default">
      <x v="3"/>
    </i>
    <i>
      <x v="4"/>
      <x v="88"/>
    </i>
    <i r="1">
      <x v="89"/>
    </i>
    <i r="1">
      <x v="90"/>
    </i>
    <i r="1">
      <x v="91"/>
    </i>
    <i r="1">
      <x v="92"/>
    </i>
    <i r="1">
      <x v="93"/>
    </i>
    <i r="1">
      <x v="94"/>
    </i>
    <i t="default">
      <x v="4"/>
    </i>
    <i>
      <x v="5"/>
      <x v="3"/>
    </i>
    <i r="1">
      <x v="4"/>
    </i>
    <i r="1">
      <x v="8"/>
    </i>
    <i r="1">
      <x v="9"/>
    </i>
    <i r="1">
      <x v="24"/>
    </i>
    <i r="1">
      <x v="25"/>
    </i>
    <i r="1">
      <x v="46"/>
    </i>
    <i r="1">
      <x v="73"/>
    </i>
    <i r="1">
      <x v="78"/>
    </i>
    <i r="1">
      <x v="103"/>
    </i>
    <i r="1">
      <x v="104"/>
    </i>
    <i r="1">
      <x v="106"/>
    </i>
    <i r="1">
      <x v="110"/>
    </i>
    <i r="1">
      <x v="111"/>
    </i>
    <i r="1">
      <x v="112"/>
    </i>
    <i r="1">
      <x v="113"/>
    </i>
    <i r="1">
      <x v="115"/>
    </i>
    <i r="1">
      <x v="116"/>
    </i>
    <i r="1">
      <x v="118"/>
    </i>
    <i r="1">
      <x v="125"/>
    </i>
    <i r="1">
      <x v="128"/>
    </i>
    <i r="1">
      <x v="130"/>
    </i>
    <i r="1">
      <x v="139"/>
    </i>
    <i r="1">
      <x v="141"/>
    </i>
    <i r="1">
      <x v="142"/>
    </i>
    <i r="1">
      <x v="143"/>
    </i>
    <i r="1">
      <x v="148"/>
    </i>
    <i r="1">
      <x v="149"/>
    </i>
    <i r="1">
      <x v="155"/>
    </i>
    <i r="1">
      <x v="160"/>
    </i>
    <i r="1">
      <x v="164"/>
    </i>
    <i r="1">
      <x v="165"/>
    </i>
    <i r="1">
      <x v="169"/>
    </i>
    <i r="1">
      <x v="173"/>
    </i>
    <i r="1">
      <x v="178"/>
    </i>
    <i r="1">
      <x v="180"/>
    </i>
    <i r="1">
      <x v="181"/>
    </i>
    <i r="1">
      <x v="199"/>
    </i>
    <i r="1">
      <x v="219"/>
    </i>
    <i r="1">
      <x v="220"/>
    </i>
    <i r="1">
      <x v="237"/>
    </i>
    <i r="1">
      <x v="239"/>
    </i>
    <i r="1">
      <x v="249"/>
    </i>
    <i r="1">
      <x v="259"/>
    </i>
    <i r="1">
      <x v="261"/>
    </i>
    <i t="default">
      <x v="5"/>
    </i>
    <i>
      <x v="6"/>
      <x v="1"/>
    </i>
    <i r="1">
      <x v="12"/>
    </i>
    <i r="1">
      <x v="14"/>
    </i>
    <i r="1">
      <x v="15"/>
    </i>
    <i r="1">
      <x v="37"/>
    </i>
    <i r="1">
      <x v="47"/>
    </i>
    <i r="1">
      <x v="49"/>
    </i>
    <i r="1">
      <x v="59"/>
    </i>
    <i r="1">
      <x v="119"/>
    </i>
    <i r="1">
      <x v="120"/>
    </i>
    <i r="1">
      <x v="121"/>
    </i>
    <i r="1">
      <x v="122"/>
    </i>
    <i r="1">
      <x v="133"/>
    </i>
    <i r="1">
      <x v="166"/>
    </i>
    <i r="1">
      <x v="167"/>
    </i>
    <i r="1">
      <x v="170"/>
    </i>
    <i r="1">
      <x v="171"/>
    </i>
    <i r="1">
      <x v="179"/>
    </i>
    <i r="1">
      <x v="205"/>
    </i>
    <i r="1">
      <x v="211"/>
    </i>
    <i r="1">
      <x v="213"/>
    </i>
    <i r="1">
      <x v="224"/>
    </i>
    <i r="1">
      <x v="238"/>
    </i>
    <i r="1">
      <x v="245"/>
    </i>
    <i t="default">
      <x v="6"/>
    </i>
    <i>
      <x v="7"/>
      <x v="18"/>
    </i>
    <i r="1">
      <x v="19"/>
    </i>
    <i r="1">
      <x v="48"/>
    </i>
    <i r="1">
      <x v="109"/>
    </i>
    <i r="1">
      <x v="146"/>
    </i>
    <i r="1">
      <x v="182"/>
    </i>
    <i r="1">
      <x v="191"/>
    </i>
    <i r="1">
      <x v="195"/>
    </i>
    <i r="1">
      <x v="206"/>
    </i>
    <i r="1">
      <x v="208"/>
    </i>
    <i r="1">
      <x v="240"/>
    </i>
    <i r="1">
      <x v="243"/>
    </i>
    <i t="default">
      <x v="7"/>
    </i>
    <i>
      <x v="8"/>
      <x v="85"/>
    </i>
    <i r="1">
      <x v="147"/>
    </i>
    <i r="1">
      <x v="194"/>
    </i>
    <i r="1">
      <x v="210"/>
    </i>
    <i r="1">
      <x v="228"/>
    </i>
    <i r="1">
      <x v="229"/>
    </i>
    <i r="1">
      <x v="242"/>
    </i>
    <i r="1">
      <x v="244"/>
    </i>
    <i t="default">
      <x v="8"/>
    </i>
    <i>
      <x v="9"/>
      <x v="60"/>
    </i>
    <i r="1">
      <x v="68"/>
    </i>
    <i r="1">
      <x v="72"/>
    </i>
    <i r="1">
      <x v="156"/>
    </i>
    <i r="1">
      <x v="163"/>
    </i>
    <i r="1">
      <x v="172"/>
    </i>
    <i r="1">
      <x v="197"/>
    </i>
    <i r="1">
      <x v="212"/>
    </i>
    <i r="1">
      <x v="223"/>
    </i>
    <i r="1">
      <x v="260"/>
    </i>
    <i t="default">
      <x v="9"/>
    </i>
    <i>
      <x v="10"/>
      <x v="30"/>
    </i>
    <i r="1">
      <x v="31"/>
    </i>
    <i r="1">
      <x v="39"/>
    </i>
    <i r="1">
      <x v="51"/>
    </i>
    <i r="1">
      <x v="54"/>
    </i>
    <i r="1">
      <x v="55"/>
    </i>
    <i r="1">
      <x v="56"/>
    </i>
    <i r="1">
      <x v="57"/>
    </i>
    <i r="1">
      <x v="58"/>
    </i>
    <i r="1">
      <x v="64"/>
    </i>
    <i r="1">
      <x v="83"/>
    </i>
    <i r="1">
      <x v="84"/>
    </i>
    <i r="1">
      <x v="108"/>
    </i>
    <i r="1">
      <x v="117"/>
    </i>
    <i r="1">
      <x v="123"/>
    </i>
    <i r="1">
      <x v="126"/>
    </i>
    <i r="1">
      <x v="175"/>
    </i>
    <i r="1">
      <x v="183"/>
    </i>
    <i t="default">
      <x v="10"/>
    </i>
    <i>
      <x v="11"/>
      <x v="22"/>
    </i>
    <i r="1">
      <x v="23"/>
    </i>
    <i r="1">
      <x v="124"/>
    </i>
    <i r="1">
      <x v="144"/>
    </i>
    <i r="1">
      <x v="221"/>
    </i>
    <i r="1">
      <x v="222"/>
    </i>
    <i t="default">
      <x v="11"/>
    </i>
    <i>
      <x v="12"/>
      <x v="5"/>
    </i>
    <i r="1">
      <x v="6"/>
    </i>
    <i r="1">
      <x v="7"/>
    </i>
    <i r="1">
      <x v="16"/>
    </i>
    <i r="1">
      <x v="17"/>
    </i>
    <i r="1">
      <x v="21"/>
    </i>
    <i r="1">
      <x v="27"/>
    </i>
    <i r="1">
      <x v="29"/>
    </i>
    <i r="1">
      <x v="33"/>
    </i>
    <i r="1">
      <x v="35"/>
    </i>
    <i r="1">
      <x v="36"/>
    </i>
    <i r="1">
      <x v="38"/>
    </i>
    <i r="1">
      <x v="40"/>
    </i>
    <i r="1">
      <x v="41"/>
    </i>
    <i r="1">
      <x v="50"/>
    </i>
    <i r="1">
      <x v="53"/>
    </i>
    <i r="1">
      <x v="70"/>
    </i>
    <i r="1">
      <x v="74"/>
    </i>
    <i r="1">
      <x v="75"/>
    </i>
    <i r="1">
      <x v="79"/>
    </i>
    <i r="1">
      <x v="81"/>
    </i>
    <i r="1">
      <x v="82"/>
    </i>
    <i r="1">
      <x v="86"/>
    </i>
    <i r="1">
      <x v="87"/>
    </i>
    <i r="1">
      <x v="107"/>
    </i>
    <i r="1">
      <x v="127"/>
    </i>
    <i r="1">
      <x v="129"/>
    </i>
    <i r="1">
      <x v="134"/>
    </i>
    <i r="1">
      <x v="135"/>
    </i>
    <i r="1">
      <x v="136"/>
    </i>
    <i r="1">
      <x v="137"/>
    </i>
    <i r="1">
      <x v="151"/>
    </i>
    <i r="1">
      <x v="158"/>
    </i>
    <i r="1">
      <x v="159"/>
    </i>
    <i r="1">
      <x v="168"/>
    </i>
    <i r="1">
      <x v="174"/>
    </i>
    <i r="1">
      <x v="176"/>
    </i>
    <i r="1">
      <x v="177"/>
    </i>
    <i r="1">
      <x v="185"/>
    </i>
    <i r="1">
      <x v="187"/>
    </i>
    <i r="1">
      <x v="188"/>
    </i>
    <i r="1">
      <x v="189"/>
    </i>
    <i r="1">
      <x v="192"/>
    </i>
    <i r="1">
      <x v="215"/>
    </i>
    <i r="1">
      <x v="216"/>
    </i>
    <i r="1">
      <x v="217"/>
    </i>
    <i r="1">
      <x v="225"/>
    </i>
    <i r="1">
      <x v="230"/>
    </i>
    <i r="1">
      <x v="231"/>
    </i>
    <i r="1">
      <x v="232"/>
    </i>
    <i r="1">
      <x v="233"/>
    </i>
    <i r="1">
      <x v="234"/>
    </i>
    <i r="1">
      <x v="235"/>
    </i>
    <i r="1">
      <x v="236"/>
    </i>
    <i r="1">
      <x v="241"/>
    </i>
    <i r="1">
      <x v="257"/>
    </i>
    <i r="1">
      <x v="264"/>
    </i>
    <i r="1">
      <x v="266"/>
    </i>
    <i r="1">
      <x v="267"/>
    </i>
    <i t="default">
      <x v="12"/>
    </i>
    <i>
      <x v="13"/>
      <x v="268"/>
    </i>
    <i t="default">
      <x v="13"/>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Count of ACTIVE     CED, FARM GATE (MJ/kg)" fld="29" subtotal="countNums" baseField="0" baseItem="0"/>
    <dataField name="Average of ACTIVE     CED, FARM GATE (MJ/kg)" fld="29" subtotal="average" baseField="0" baseItem="0"/>
    <dataField name="Min of ACTIVE     CED, FARM GATE (MJ/kg)" fld="29" subtotal="min" baseField="0" baseItem="0"/>
    <dataField name="Max of ACTIVE     CED, FARM GATE (MJ/kg)" fld="29" subtotal="max" baseField="0" baseItem="0"/>
    <dataField name="StdDev of ACTIVE     CED, FARM GATE (MJ/kg)" fld="29" subtotal="stdDev" baseField="0" baseItem="0"/>
    <dataField name="Count of CED, processor gate (MJ/kg)" fld="30" subtotal="countNums" baseField="0" baseItem="0"/>
    <dataField name="Average of CED, processor gate (MJ/kg)" fld="30" subtotal="average" baseField="0" baseItem="0"/>
    <dataField name="Min of CED, processor gate (MJ/kg)" fld="30" subtotal="min" baseField="0" baseItem="0"/>
    <dataField name="Max of CED, processor gate (MJ/kg)" fld="30" subtotal="max" baseField="0" baseItem="0"/>
    <dataField name="StdDev of CED, processor gate (MJ/kg)" fld="30" subtotal="stdDev" baseField="0" baseItem="0"/>
    <dataField name="Count of Studies CED, TOTAL LC (MJ/kg)" fld="43" subtotal="countNums" baseField="0" baseItem="0"/>
    <dataField name="Average of CED, TOTAL LC (MJ/kg)" fld="43" subtotal="average" baseField="0" baseItem="0"/>
    <dataField name="Min of CED, TOTAL LC (MJ/kg)" fld="43" subtotal="min" baseField="0" baseItem="0"/>
    <dataField name="Max of CED, TOTAL LC (MJ/kg)" fld="43" subtotal="max" baseField="0" baseItem="0"/>
    <dataField name="StdDev of CED, TOTAL LC (MJ/kg)" fld="43" subtotal="stdDev" baseField="0" baseItem="0"/>
  </dataFields>
  <formats count="16">
    <format dxfId="15">
      <pivotArea outline="0" collapsedLevelsAreSubtotals="1" fieldPosition="0"/>
    </format>
    <format dxfId="14">
      <pivotArea field="-2" type="button" dataOnly="0" labelOnly="1" outline="0" axis="axisCol" fieldPosition="0"/>
    </format>
    <format dxfId="13">
      <pivotArea type="topRight" dataOnly="0" labelOnly="1" outline="0" fieldPosition="0"/>
    </format>
    <format dxfId="12">
      <pivotArea field="-2" type="button" dataOnly="0" labelOnly="1" outline="0" axis="axisCol" fieldPosition="0"/>
    </format>
    <format dxfId="11">
      <pivotArea field="-2" type="button" dataOnly="0" labelOnly="1" outline="0" axis="axisCol" fieldPosition="0"/>
    </format>
    <format dxfId="10">
      <pivotArea field="-2" type="button" dataOnly="0" labelOnly="1" outline="0" axis="axisCol" fieldPosition="0"/>
    </format>
    <format dxfId="9">
      <pivotArea field="0" type="button" dataOnly="0" labelOnly="1" outline="0" axis="axisRow" fieldPosition="0"/>
    </format>
    <format dxfId="8">
      <pivotArea field="1" type="button" dataOnly="0" labelOnly="1" outline="0" axis="axisRow" fieldPosition="1"/>
    </format>
    <format dxfId="7">
      <pivotArea dataOnly="0" labelOnly="1" outline="0" fieldPosition="0">
        <references count="1">
          <reference field="4294967294" count="15">
            <x v="0"/>
            <x v="1"/>
            <x v="2"/>
            <x v="3"/>
            <x v="4"/>
            <x v="5"/>
            <x v="6"/>
            <x v="7"/>
            <x v="8"/>
            <x v="9"/>
            <x v="10"/>
            <x v="11"/>
            <x v="12"/>
            <x v="13"/>
            <x v="14"/>
          </reference>
        </references>
      </pivotArea>
    </format>
    <format dxfId="6">
      <pivotArea field="-2" type="button" dataOnly="0" labelOnly="1" outline="0" axis="axisCol" fieldPosition="0"/>
    </format>
    <format dxfId="5">
      <pivotArea type="topRight" dataOnly="0" labelOnly="1" outline="0" fieldPosition="0"/>
    </format>
    <format dxfId="4">
      <pivotArea dataOnly="0" labelOnly="1" outline="0" fieldPosition="0">
        <references count="1">
          <reference field="4294967294" count="5">
            <x v="0"/>
            <x v="1"/>
            <x v="2"/>
            <x v="3"/>
            <x v="4"/>
          </reference>
        </references>
      </pivotArea>
    </format>
    <format dxfId="3">
      <pivotArea type="topRight" dataOnly="0" labelOnly="1" outline="0" offset="E1:I1" fieldPosition="0"/>
    </format>
    <format dxfId="2">
      <pivotArea dataOnly="0" labelOnly="1" outline="0" fieldPosition="0">
        <references count="1">
          <reference field="4294967294" count="5">
            <x v="5"/>
            <x v="6"/>
            <x v="7"/>
            <x v="8"/>
            <x v="9"/>
          </reference>
        </references>
      </pivotArea>
    </format>
    <format dxfId="1">
      <pivotArea type="topRight" dataOnly="0" labelOnly="1" outline="0" offset="J1:N1" fieldPosition="0"/>
    </format>
    <format dxfId="0">
      <pivotArea dataOnly="0" labelOnly="1" outline="0" fieldPosition="0">
        <references count="1">
          <reference field="4294967294" count="5">
            <x v="10"/>
            <x v="11"/>
            <x v="12"/>
            <x v="13"/>
            <x v="14"/>
          </reference>
        </references>
      </pivotArea>
    </format>
  </formats>
  <pivotTableStyleInfo name="PivotStyleLight16" showRowHeaders="1" showColHeaders="1" showRowStripes="0" showColStripes="1"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fcid.foodrisk.org/" TargetMode="External"/><Relationship Id="rId1" Type="http://schemas.openxmlformats.org/officeDocument/2006/relationships/hyperlink" Target="https://doi.org/10.1088/1748-9326/aab0ac"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S18"/>
  <sheetViews>
    <sheetView workbookViewId="0">
      <selection activeCell="A18" sqref="A18:XFD18"/>
    </sheetView>
  </sheetViews>
  <sheetFormatPr baseColWidth="10" defaultColWidth="8.83203125" defaultRowHeight="16" x14ac:dyDescent="0.2"/>
  <cols>
    <col min="2" max="2" width="15.1640625" customWidth="1"/>
  </cols>
  <sheetData>
    <row r="2" spans="1:19" ht="19" x14ac:dyDescent="0.25">
      <c r="A2" s="215" t="s">
        <v>4435</v>
      </c>
    </row>
    <row r="3" spans="1:19" ht="19" x14ac:dyDescent="0.25">
      <c r="A3" s="215"/>
      <c r="B3" s="28" t="s">
        <v>4419</v>
      </c>
      <c r="S3" s="364" t="s">
        <v>4420</v>
      </c>
    </row>
    <row r="4" spans="1:19" ht="19" x14ac:dyDescent="0.25">
      <c r="A4" s="215"/>
      <c r="B4" s="28" t="s">
        <v>4418</v>
      </c>
    </row>
    <row r="5" spans="1:19" ht="19" x14ac:dyDescent="0.25">
      <c r="A5" s="365" t="s">
        <v>4077</v>
      </c>
    </row>
    <row r="6" spans="1:19" x14ac:dyDescent="0.2">
      <c r="B6" s="28" t="s">
        <v>4080</v>
      </c>
    </row>
    <row r="7" spans="1:19" x14ac:dyDescent="0.2">
      <c r="B7" s="364" t="s">
        <v>4076</v>
      </c>
    </row>
    <row r="8" spans="1:19" x14ac:dyDescent="0.2">
      <c r="A8" s="560" t="s">
        <v>4429</v>
      </c>
      <c r="B8" s="364"/>
    </row>
    <row r="10" spans="1:19" ht="19" x14ac:dyDescent="0.25">
      <c r="A10" s="215" t="s">
        <v>4078</v>
      </c>
    </row>
    <row r="11" spans="1:19" x14ac:dyDescent="0.2">
      <c r="A11" s="28" t="s">
        <v>4417</v>
      </c>
    </row>
    <row r="12" spans="1:19" x14ac:dyDescent="0.2">
      <c r="A12" s="28"/>
    </row>
    <row r="13" spans="1:19" x14ac:dyDescent="0.2">
      <c r="B13" s="28" t="s">
        <v>4079</v>
      </c>
      <c r="C13" s="28" t="s">
        <v>4421</v>
      </c>
    </row>
    <row r="14" spans="1:19" x14ac:dyDescent="0.2">
      <c r="B14" s="28" t="s">
        <v>4089</v>
      </c>
      <c r="C14" s="28" t="s">
        <v>4422</v>
      </c>
    </row>
    <row r="15" spans="1:19" x14ac:dyDescent="0.2">
      <c r="B15" s="28" t="s">
        <v>4081</v>
      </c>
      <c r="C15" s="28" t="s">
        <v>4423</v>
      </c>
    </row>
    <row r="16" spans="1:19" x14ac:dyDescent="0.2">
      <c r="B16" s="28" t="s">
        <v>4082</v>
      </c>
      <c r="C16" s="28" t="s">
        <v>4424</v>
      </c>
    </row>
    <row r="17" spans="2:3" x14ac:dyDescent="0.2">
      <c r="B17" s="28" t="s">
        <v>4083</v>
      </c>
      <c r="C17" s="28" t="s">
        <v>4425</v>
      </c>
    </row>
    <row r="18" spans="2:3" x14ac:dyDescent="0.2">
      <c r="B18" s="28" t="s">
        <v>4427</v>
      </c>
      <c r="C18" s="28" t="s">
        <v>4428</v>
      </c>
    </row>
  </sheetData>
  <hyperlinks>
    <hyperlink ref="B7" r:id="rId1" xr:uid="{00000000-0004-0000-0000-000000000000}"/>
    <hyperlink ref="S3"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1002"/>
  <sheetViews>
    <sheetView tabSelected="1" zoomScale="110" zoomScaleNormal="110" zoomScalePageLayoutView="150" workbookViewId="0">
      <pane xSplit="2" ySplit="3" topLeftCell="C4" activePane="bottomRight" state="frozen"/>
      <selection pane="topRight" activeCell="C1" sqref="C1"/>
      <selection pane="bottomLeft" activeCell="A4" sqref="A4"/>
      <selection pane="bottomRight" activeCell="B1" sqref="B1:B1048576"/>
    </sheetView>
  </sheetViews>
  <sheetFormatPr baseColWidth="10" defaultColWidth="8.83203125" defaultRowHeight="16" x14ac:dyDescent="0.2"/>
  <cols>
    <col min="1" max="1" width="11.83203125" style="6" customWidth="1"/>
    <col min="2" max="2" width="31.33203125" style="6" customWidth="1"/>
    <col min="3" max="3" width="15.5" style="6" customWidth="1"/>
    <col min="4" max="4" width="17" style="6" hidden="1" customWidth="1"/>
    <col min="5" max="5" width="8.83203125" style="6" hidden="1" customWidth="1"/>
    <col min="6" max="6" width="14.1640625" style="8" bestFit="1" customWidth="1"/>
    <col min="7" max="7" width="14.83203125" style="8" bestFit="1" customWidth="1"/>
    <col min="8" max="9" width="10.1640625" style="15" customWidth="1"/>
    <col min="10" max="10" width="8.6640625" style="18" customWidth="1"/>
    <col min="11" max="11" width="13.6640625" style="6" customWidth="1"/>
    <col min="12" max="12" width="11.1640625" style="8" customWidth="1"/>
    <col min="13" max="13" width="10.83203125" style="8" bestFit="1" customWidth="1"/>
    <col min="14" max="14" width="10.5" style="8" bestFit="1" customWidth="1"/>
    <col min="15" max="15" width="10.5" style="8" customWidth="1"/>
    <col min="16" max="16" width="11.1640625" style="8" customWidth="1"/>
    <col min="17" max="17" width="10.83203125" style="8" customWidth="1"/>
    <col min="18" max="19" width="10.5" style="8" customWidth="1"/>
    <col min="20" max="20" width="12.6640625" style="29" hidden="1" customWidth="1"/>
    <col min="21" max="21" width="16.6640625" style="29" hidden="1" customWidth="1"/>
    <col min="22" max="22" width="8.83203125" style="6" customWidth="1"/>
    <col min="23" max="23" width="10.5" style="249" customWidth="1"/>
    <col min="24" max="25" width="8.83203125" style="249"/>
    <col min="26" max="26" width="11.33203125" style="249" customWidth="1"/>
    <col min="27" max="27" width="12.83203125" style="249" customWidth="1"/>
    <col min="28" max="30" width="8.83203125" style="250"/>
    <col min="31" max="31" width="10.5" style="250" customWidth="1"/>
    <col min="32" max="32" width="12.5" style="250" customWidth="1"/>
    <col min="33" max="16384" width="8.83203125" style="6"/>
  </cols>
  <sheetData>
    <row r="1" spans="1:32" ht="19.5" customHeight="1" thickBot="1" x14ac:dyDescent="0.25">
      <c r="A1" s="10"/>
      <c r="B1" s="10"/>
      <c r="C1" s="10"/>
      <c r="D1" s="10"/>
      <c r="E1" s="10"/>
      <c r="F1" s="569" t="s">
        <v>4067</v>
      </c>
      <c r="G1" s="570"/>
      <c r="H1" s="13"/>
      <c r="I1" s="80"/>
      <c r="J1" s="584" t="s">
        <v>4087</v>
      </c>
      <c r="K1" s="577" t="s">
        <v>3266</v>
      </c>
      <c r="L1" s="578" t="s">
        <v>1717</v>
      </c>
      <c r="M1" s="579"/>
      <c r="N1" s="579"/>
      <c r="O1" s="580"/>
      <c r="P1" s="581" t="s">
        <v>1718</v>
      </c>
      <c r="Q1" s="582"/>
      <c r="R1" s="582"/>
      <c r="S1" s="583"/>
      <c r="T1" s="564" t="s">
        <v>4436</v>
      </c>
      <c r="U1" s="88"/>
      <c r="W1" s="568" t="s">
        <v>3366</v>
      </c>
      <c r="X1" s="568"/>
      <c r="Y1" s="568"/>
      <c r="Z1" s="568"/>
      <c r="AA1" s="568"/>
      <c r="AB1" s="568"/>
      <c r="AC1" s="568"/>
      <c r="AD1" s="568"/>
      <c r="AE1" s="568"/>
      <c r="AF1" s="568"/>
    </row>
    <row r="2" spans="1:32" s="12" customFormat="1" ht="31" customHeight="1" thickBot="1" x14ac:dyDescent="0.25">
      <c r="A2" s="11"/>
      <c r="B2" s="11"/>
      <c r="C2" s="11"/>
      <c r="D2" s="11"/>
      <c r="E2" s="11" t="s">
        <v>4063</v>
      </c>
      <c r="F2" s="16" t="s">
        <v>2428</v>
      </c>
      <c r="G2" s="17" t="s">
        <v>2429</v>
      </c>
      <c r="H2" s="14"/>
      <c r="I2" s="82"/>
      <c r="J2" s="585"/>
      <c r="K2" s="577"/>
      <c r="L2" s="156" t="s">
        <v>2865</v>
      </c>
      <c r="M2" s="571"/>
      <c r="N2" s="572"/>
      <c r="O2" s="573"/>
      <c r="P2" s="156" t="s">
        <v>2865</v>
      </c>
      <c r="Q2" s="574"/>
      <c r="R2" s="575"/>
      <c r="S2" s="576"/>
      <c r="T2" s="565" t="s">
        <v>2860</v>
      </c>
      <c r="U2" s="565" t="s">
        <v>2861</v>
      </c>
      <c r="W2" s="566" t="s">
        <v>3350</v>
      </c>
      <c r="X2" s="566"/>
      <c r="Y2" s="566"/>
      <c r="Z2" s="566"/>
      <c r="AA2" s="566"/>
      <c r="AB2" s="567" t="s">
        <v>3352</v>
      </c>
      <c r="AC2" s="567"/>
      <c r="AD2" s="567"/>
      <c r="AE2" s="567"/>
      <c r="AF2" s="567"/>
    </row>
    <row r="3" spans="1:32" s="7" customFormat="1" ht="42" customHeight="1" thickBot="1" x14ac:dyDescent="0.25">
      <c r="A3" s="111" t="s">
        <v>1719</v>
      </c>
      <c r="B3" s="112" t="s">
        <v>1720</v>
      </c>
      <c r="C3" s="360" t="s">
        <v>4064</v>
      </c>
      <c r="D3" s="360" t="s">
        <v>4065</v>
      </c>
      <c r="E3" s="113" t="s">
        <v>1722</v>
      </c>
      <c r="F3" s="115" t="s">
        <v>2357</v>
      </c>
      <c r="G3" s="116" t="s">
        <v>2421</v>
      </c>
      <c r="H3" s="362" t="s">
        <v>4066</v>
      </c>
      <c r="I3" s="81" t="s">
        <v>2767</v>
      </c>
      <c r="J3" s="366" t="s">
        <v>4088</v>
      </c>
      <c r="K3" s="114"/>
      <c r="L3" s="151"/>
      <c r="M3" s="242" t="s">
        <v>3349</v>
      </c>
      <c r="N3" s="117" t="s">
        <v>1723</v>
      </c>
      <c r="O3" s="118" t="s">
        <v>1724</v>
      </c>
      <c r="P3" s="151"/>
      <c r="Q3" s="243" t="s">
        <v>3349</v>
      </c>
      <c r="R3" s="119" t="s">
        <v>1723</v>
      </c>
      <c r="S3" s="120" t="s">
        <v>1724</v>
      </c>
      <c r="T3" s="121"/>
      <c r="U3" s="122"/>
      <c r="W3" s="244" t="s">
        <v>3351</v>
      </c>
      <c r="X3" s="244" t="s">
        <v>320</v>
      </c>
      <c r="Y3" s="251" t="s">
        <v>4086</v>
      </c>
      <c r="Z3" s="252" t="s">
        <v>4085</v>
      </c>
      <c r="AA3" s="251" t="s">
        <v>4084</v>
      </c>
      <c r="AB3" s="245" t="s">
        <v>3351</v>
      </c>
      <c r="AC3" s="245" t="s">
        <v>320</v>
      </c>
      <c r="AD3" s="253" t="s">
        <v>4086</v>
      </c>
      <c r="AE3" s="257" t="s">
        <v>4085</v>
      </c>
      <c r="AF3" s="253" t="s">
        <v>4084</v>
      </c>
    </row>
    <row r="4" spans="1:32" s="21" customFormat="1" ht="17" thickBot="1" x14ac:dyDescent="0.25">
      <c r="A4" s="123">
        <v>101050000</v>
      </c>
      <c r="B4" s="124" t="s">
        <v>1822</v>
      </c>
      <c r="C4" s="125" t="s">
        <v>1823</v>
      </c>
      <c r="D4" s="361"/>
      <c r="E4" s="125">
        <v>659</v>
      </c>
      <c r="F4" s="126">
        <f t="shared" ref="F4:F67" ca="1" si="0">N4*H4+T4</f>
        <v>1.2210000000000003</v>
      </c>
      <c r="G4" s="127">
        <f t="shared" ref="G4:G67" ca="1" si="1">R4*H4+U4</f>
        <v>0.19425000000000001</v>
      </c>
      <c r="H4" s="237">
        <v>1.1100000000000001</v>
      </c>
      <c r="I4" s="128" t="s">
        <v>2736</v>
      </c>
      <c r="J4" s="89">
        <v>1</v>
      </c>
      <c r="K4" s="90"/>
      <c r="L4" s="152" t="str">
        <f>IF(ISERROR(GETPIVOTDATA(IF($J4=1,"Count of ACTIVE     CED, FARM GATE (MJ/kg)","Count of CED, processor gate (MJ/kg)"),'Pivot Table_CED'!$A$3,"SUB TYPE",$B4)),"PROXY",IF(GETPIVOTDATA(IF($J4=1,"Count of ACTIVE     CED, FARM GATE (MJ/kg)","Count of CED, processor gate (MJ/kg)"),'Pivot Table_CED'!$A$3,"SUB TYPE",$B4)=0,"PROXY","DB value"))</f>
        <v>DB value</v>
      </c>
      <c r="M4" s="134">
        <f ca="1">IF($L4="PROXY",DCOUNT('literature entries'!$D:$AI,IF($J4=1,"ACTIVE     CED, FARM GATE (MJ/kg)","CED, processor gate (MJ/kg)"),INDIRECT($K4)),GETPIVOTDATA(IF($J4=1,"Count of ACTIVE     CED, FARM GATE (MJ/kg)","Count of CED, processor gate (MJ/kg)"),'Pivot Table_CED'!$A$3,"SUB TYPE",$B4))</f>
        <v>1</v>
      </c>
      <c r="N4" s="135">
        <f ca="1">IF($L4="PROXY",DAVERAGE('literature entries'!$D:$AI,IF($J4=1,"ACTIVE     CED, FARM GATE (MJ/kg)","CED, processor gate (MJ/kg)"),INDIRECT($K4)),GETPIVOTDATA(IF($J4=1,"Average of ACTIVE     CED, FARM GATE (MJ/kg)","Average of CED, processor gate (MJ/kg)"),'Pivot Table_CED'!$A$3,"SUB TYPE",$B4))</f>
        <v>1.1000000000000001</v>
      </c>
      <c r="O4" s="135">
        <f ca="1">IF($L4="PROXY",DSTDEV('literature entries'!D:AF,IF($J4=1,"ACTIVE     CED, FARM GATE (MJ/kg)","CED, processor gate (MJ/kg)"),INDIRECT($K4)),GETPIVOTDATA(IF($J4=1,"StdDev of ACTIVE     CED, FARM GATE (MJ/kg)","StdDev of CED, processor gate (MJ/kg)"),'Pivot Table_CED'!$A$3,"SUB TYPE",$B4))</f>
        <v>0</v>
      </c>
      <c r="P4" s="152" t="str">
        <f>IF(ISERROR(GETPIVOTDATA(IF($J4=1,"Count of ACTIVE     GHGE, FARM GATE (kg CO2e/kg)","Count of GHGE, processor gate (kg CO2e/kg)"),'Pivot Table_GHG'!$A$3,"SUB TYPE",$B4)),"PROXY",IF(GETPIVOTDATA(IF($J4=1,"Count of ACTIVE     GHGE, FARM GATE (kg CO2e/kg)","Count of GHGE, processor gate (kg CO2e/kg)"),'Pivot Table_GHG'!$A$3,"SUB TYPE",$B4)=0,"PROXY","DB value"))</f>
        <v>DB value</v>
      </c>
      <c r="Q4" s="141">
        <f ca="1">IF($P4="PROXY",DCOUNT('literature entries'!$D:$AI,IF($J4=1,"ACTIVE     GHGE, FARM GATE (kg CO2e/kg)","GHGE, processor gate (kg CO2e/kg)"),INDIRECT($K4)),GETPIVOTDATA(IF($J4=1,"ACTIVE     GHGE, FARM GATE (kg CO2e/kg)","Count of GHGE, processor gate (kg CO2e/kg)"),'Pivot Table_GHG'!$A$3,"SUB TYPE",$B4))</f>
        <v>2</v>
      </c>
      <c r="R4" s="221">
        <f ca="1">IF($P4="PROXY",DAVERAGE('literature entries'!$D:$AI,IF($J4=1,"ACTIVE     GHGE, FARM GATE (kg CO2e/kg)","GHGE, processor gate (kg CO2e/kg)"),INDIRECT($K4)),GETPIVOTDATA(IF($J4=1,"Average of ACTIVE     GHGE, FARM GATE (kg CO2e/kg)","Average of GHGE, processor gate (kg CO2e/kg)"),'Pivot Table_GHG'!$A$3,"SUB TYPE",$B4))</f>
        <v>0.17499999999999999</v>
      </c>
      <c r="S4" s="221">
        <f ca="1">IF($P4="PROXY",DSTDEV('literature entries'!$D:$AI,IF($J4=1,"ACTIVE     GHGE, FARM GATE (kg CO2e/kg)","GHGE, processor gate (kg CO2e/kg)"),INDIRECT($K4)),GETPIVOTDATA(IF($J4=1,"StdDev of ACTIVE     GHGE, FARM GATE (kg CO2e/kg)","StdDev of GHGE, processor gate (kg CO2e/kg)"),'Pivot Table_GHG'!$A$3,"SUB TYPE",$B4))</f>
        <v>9.1923881554251213E-2</v>
      </c>
      <c r="T4" s="238"/>
      <c r="U4" s="240"/>
      <c r="W4" s="248" t="s">
        <v>2455</v>
      </c>
      <c r="X4" s="246">
        <f ca="1">IF($W4="DIRECT",M4,DCOUNT('literature entries'!$D:$AI,IF($J4=1,"ACTIVE     CED, FARM GATE (MJ/kg)","CED, processor gate (MJ/kg)"),INDIRECT($W4)))</f>
        <v>14</v>
      </c>
      <c r="Y4" s="246">
        <f ca="1">IF($W4="DIRECT","",DAVERAGE('literature entries'!$D:$AI,IF($J4=1,"ACTIVE     CED, FARM GATE (MJ/kg)","CED, processor gate (MJ/kg)"),INDIRECT($W4)))</f>
        <v>1.4220714285714284</v>
      </c>
      <c r="Z4" s="246">
        <f ca="1">IF($W4="DIRECT",$O4,DSTDEV('literature entries'!$D:$AI,IF($J4=1,"ACTIVE     CED, FARM GATE (MJ/kg)","CED, processor gate (MJ/kg)"),INDIRECT($W4)))</f>
        <v>0.57442043892896122</v>
      </c>
      <c r="AA4" s="246">
        <f t="shared" ref="AA4:AA10" ca="1" si="2">IF($W4="DIRECT",$O4,$Z4/$Y4*$N4)</f>
        <v>0.44432541863006703</v>
      </c>
      <c r="AB4" s="254" t="s">
        <v>2455</v>
      </c>
      <c r="AC4" s="247">
        <f ca="1">IF($AB4="DIRECT",Q4,DCOUNT('literature entries'!$D:$AI,IF($J4=1,"ACTIVE     GHGE, FARM GATE (kg CO2e/kg)","GHGE, processor gate (kg CO2e/kg)"),INDIRECT($AB4)))</f>
        <v>25</v>
      </c>
      <c r="AD4" s="247">
        <f ca="1">IF($AB4="DIRECT","",DAVERAGE('literature entries'!$D:$AI,IF($J4=1,"ACTIVE     GHGE, FARM GATE (kg CO2e/kg)","GHGE, processor gate (kg CO2e/kg)"),INDIRECT($AB4)))</f>
        <v>0.21340000000000003</v>
      </c>
      <c r="AE4" s="247">
        <f ca="1">IF($AB4="DIRECT",$S4,DSTDEV('literature entries'!$D:$AI,IF($J4=1,"ACTIVE     GHGE, FARM GATE (kg CO2e/kg)","GHGE, processor gate (kg CO2e/kg)"),INDIRECT($AB4)))</f>
        <v>0.17992035274902424</v>
      </c>
      <c r="AF4" s="247">
        <f t="shared" ref="AF4:AF10" ca="1" si="3">IF($AB4="DIRECT",$S4,$AE4/$AD4*$R4)</f>
        <v>0.14754480661236755</v>
      </c>
    </row>
    <row r="5" spans="1:32" s="21" customFormat="1" ht="17" thickBot="1" x14ac:dyDescent="0.25">
      <c r="A5" s="129">
        <v>101052000</v>
      </c>
      <c r="B5" s="130" t="s">
        <v>1826</v>
      </c>
      <c r="C5" s="131" t="s">
        <v>1827</v>
      </c>
      <c r="D5" s="131" t="s">
        <v>1828</v>
      </c>
      <c r="E5" s="131">
        <v>49979</v>
      </c>
      <c r="F5" s="126">
        <f t="shared" ca="1" si="0"/>
        <v>4.5742357</v>
      </c>
      <c r="G5" s="127">
        <f t="shared" ca="1" si="1"/>
        <v>0.39078305999999996</v>
      </c>
      <c r="H5" s="132">
        <v>1</v>
      </c>
      <c r="I5" s="133" t="s">
        <v>2724</v>
      </c>
      <c r="J5" s="91">
        <v>2</v>
      </c>
      <c r="K5" s="90"/>
      <c r="L5" s="152" t="str">
        <f>IF(ISERROR(GETPIVOTDATA(IF($J5=1,"Count of ACTIVE     CED, FARM GATE (MJ/kg)","Count of CED, processor gate (MJ/kg)"),'Pivot Table_CED'!$A$3,"SUB TYPE",$B5)),"PROXY",IF(GETPIVOTDATA(IF($J5=1,"Count of ACTIVE     CED, FARM GATE (MJ/kg)","Count of CED, processor gate (MJ/kg)"),'Pivot Table_CED'!$A$3,"SUB TYPE",$B5)=0,"PROXY","DB value"))</f>
        <v>DB value</v>
      </c>
      <c r="M5" s="134">
        <f ca="1">IF($L5="PROXY",DCOUNT('literature entries'!$D:$AI,IF($J5=1,"ACTIVE     CED, FARM GATE (MJ/kg)","CED, processor gate (MJ/kg)"),INDIRECT($K5)),GETPIVOTDATA(IF($J5=1,"Count of ACTIVE     CED, FARM GATE (MJ/kg)","Count of CED, processor gate (MJ/kg)"),'Pivot Table_CED'!$A$3,"SUB TYPE",$B5))</f>
        <v>4</v>
      </c>
      <c r="N5" s="135">
        <f ca="1">IF($L5="PROXY",DAVERAGE('literature entries'!$D:$AI,IF($J5=1,"ACTIVE     CED, FARM GATE (MJ/kg)","CED, processor gate (MJ/kg)"),INDIRECT($K5)),GETPIVOTDATA(IF($J5=1,"Average of ACTIVE     CED, FARM GATE (MJ/kg)","Average of CED, processor gate (MJ/kg)"),'Pivot Table_CED'!$A$3,"SUB TYPE",$B5))</f>
        <v>4.5742357</v>
      </c>
      <c r="O5" s="135">
        <f ca="1">IF($L5="PROXY",DSTDEV('literature entries'!D:AI,IF($J5=1,"ACTIVE     CED, FARM GATE (MJ/kg)","CED, processor gate (MJ/kg)"),INDIRECT($K5)),GETPIVOTDATA(IF($J5=1,"StdDev of ACTIVE     CED, FARM GATE (MJ/kg)","StdDev of CED, processor gate (MJ/kg)"),'Pivot Table_CED'!$A$3,"SUB TYPE",$B5))</f>
        <v>0.6368808101531177</v>
      </c>
      <c r="P5" s="152" t="str">
        <f>IF(ISERROR(GETPIVOTDATA(IF($J5=1,"Count of ACTIVE     GHGE, FARM GATE (kg CO2e/kg)","Count of GHGE, processor gate (kg CO2e/kg)"),'Pivot Table_GHG'!$A$3,"SUB TYPE",$B5)),"PROXY",IF(GETPIVOTDATA(IF($J5=1,"Count of ACTIVE     GHGE, FARM GATE (kg CO2e/kg)","Count of GHGE, processor gate (kg CO2e/kg)"),'Pivot Table_GHG'!$A$3,"SUB TYPE",$B5)=0,"PROXY","DB value"))</f>
        <v>DB value</v>
      </c>
      <c r="Q5" s="141">
        <f ca="1">IF($P5="PROXY",DCOUNT('literature entries'!$D:$AI,IF($J5=1,"ACTIVE     GHGE, FARM GATE (kg CO2e/kg)","GHGE, processor gate (kg CO2e/kg)"),INDIRECT($K5)),GETPIVOTDATA(IF($J5=1,"ACTIVE     GHGE, FARM GATE (kg CO2e/kg)","Count of GHGE, processor gate (kg CO2e/kg)"),'Pivot Table_GHG'!$A$3,"SUB TYPE",$B5))</f>
        <v>4</v>
      </c>
      <c r="R5" s="221">
        <f ca="1">IF($P5="PROXY",DAVERAGE('literature entries'!$D:$AI,IF($J5=1,"ACTIVE     GHGE, FARM GATE (kg CO2e/kg)","GHGE, processor gate (kg CO2e/kg)"),INDIRECT($K5)),GETPIVOTDATA(IF($J5=1,"Average of ACTIVE     GHGE, FARM GATE (kg CO2e/kg)","Average of GHGE, processor gate (kg CO2e/kg)"),'Pivot Table_GHG'!$A$3,"SUB TYPE",$B5))</f>
        <v>0.39078305999999996</v>
      </c>
      <c r="S5" s="221">
        <f ca="1">IF($P5="PROXY",DSTDEV('literature entries'!$D:$AI,IF($J5=1,"ACTIVE     GHGE, FARM GATE (kg CO2e/kg)","GHGE, processor gate (kg CO2e/kg)"),INDIRECT($K5)),GETPIVOTDATA(IF($J5=1,"StdDev of ACTIVE     GHGE, FARM GATE (kg CO2e/kg)","StdDev of GHGE, processor gate (kg CO2e/kg)"),'Pivot Table_GHG'!$A$3,"SUB TYPE",$B5))</f>
        <v>7.6284474512375716E-2</v>
      </c>
      <c r="T5" s="101"/>
      <c r="U5" s="102"/>
      <c r="W5" s="248" t="s">
        <v>3364</v>
      </c>
      <c r="X5" s="246">
        <f ca="1">IF($W5="DIRECT",M5,DCOUNT('literature entries'!$D:$AI,IF($J5=1,"ACTIVE     CED, FARM GATE (MJ/kg)","CED, processor gate (MJ/kg)"),INDIRECT($W5)))</f>
        <v>14</v>
      </c>
      <c r="Y5" s="246">
        <f ca="1">IF($W5="DIRECT","",DAVERAGE('literature entries'!$D:$AI,IF($J5=1,"ACTIVE     CED, FARM GATE (MJ/kg)","CED, processor gate (MJ/kg)"),INDIRECT($W5)))</f>
        <v>8.8453455837076262</v>
      </c>
      <c r="Z5" s="246">
        <f ca="1">IF($W5="DIRECT",$O5,DSTDEV('literature entries'!$D:$AI,IF($J5=1,"ACTIVE     CED, FARM GATE (MJ/kg)","CED, processor gate (MJ/kg)"),INDIRECT($W5)))</f>
        <v>17.468328408482019</v>
      </c>
      <c r="AA5" s="246">
        <f t="shared" ca="1" si="2"/>
        <v>9.0334798871600306</v>
      </c>
      <c r="AB5" s="254" t="s">
        <v>3364</v>
      </c>
      <c r="AC5" s="247">
        <f ca="1">IF($AB5="DIRECT",Q5,DCOUNT('literature entries'!$D:$AI,IF($J5=1,"ACTIVE     GHGE, FARM GATE (kg CO2e/kg)","GHGE, processor gate (kg CO2e/kg)"),INDIRECT($AB5)))</f>
        <v>13</v>
      </c>
      <c r="AD5" s="247">
        <f ca="1">IF($AB5="DIRECT","",DAVERAGE('literature entries'!$D:$AI,IF($J5=1,"ACTIVE     GHGE, FARM GATE (kg CO2e/kg)","GHGE, processor gate (kg CO2e/kg)"),INDIRECT($AB5)))</f>
        <v>1.0611859137782504</v>
      </c>
      <c r="AE5" s="247">
        <f ca="1">IF($AB5="DIRECT",$S5,DSTDEV('literature entries'!$D:$AI,IF($J5=1,"ACTIVE     GHGE, FARM GATE (kg CO2e/kg)","GHGE, processor gate (kg CO2e/kg)"),INDIRECT($AB5)))</f>
        <v>1.8055997061726943</v>
      </c>
      <c r="AF5" s="247">
        <f t="shared" ca="1" si="3"/>
        <v>0.66491438413562542</v>
      </c>
    </row>
    <row r="6" spans="1:32" s="21" customFormat="1" ht="17" thickBot="1" x14ac:dyDescent="0.25">
      <c r="A6" s="129">
        <v>101053000</v>
      </c>
      <c r="B6" s="130" t="s">
        <v>1829</v>
      </c>
      <c r="C6" s="131" t="s">
        <v>1830</v>
      </c>
      <c r="D6" s="131"/>
      <c r="E6" s="131">
        <v>7656</v>
      </c>
      <c r="F6" s="126">
        <f t="shared" ca="1" si="0"/>
        <v>3.4758499999999999</v>
      </c>
      <c r="G6" s="127">
        <f t="shared" ca="1" si="1"/>
        <v>0.28759249999999997</v>
      </c>
      <c r="H6" s="132">
        <v>1</v>
      </c>
      <c r="I6" s="133" t="s">
        <v>2724</v>
      </c>
      <c r="J6" s="91">
        <v>2</v>
      </c>
      <c r="K6" s="90"/>
      <c r="L6" s="152" t="str">
        <f>IF(ISERROR(GETPIVOTDATA(IF($J6=1,"Count of ACTIVE     CED, FARM GATE (MJ/kg)","Count of CED, processor gate (MJ/kg)"),'Pivot Table_CED'!$A$3,"SUB TYPE",$B6)),"PROXY",IF(GETPIVOTDATA(IF($J6=1,"Count of ACTIVE     CED, FARM GATE (MJ/kg)","Count of CED, processor gate (MJ/kg)"),'Pivot Table_CED'!$A$3,"SUB TYPE",$B6)=0,"PROXY","DB value"))</f>
        <v>DB value</v>
      </c>
      <c r="M6" s="134">
        <f ca="1">IF($L6="PROXY",DCOUNT('literature entries'!$D:$AI,IF($J6=1,"ACTIVE     CED, FARM GATE (MJ/kg)","CED, processor gate (MJ/kg)"),INDIRECT($K6)),GETPIVOTDATA(IF($J6=1,"Count of ACTIVE     CED, FARM GATE (MJ/kg)","Count of CED, processor gate (MJ/kg)"),'Pivot Table_CED'!$A$3,"SUB TYPE",$B6))</f>
        <v>4</v>
      </c>
      <c r="N6" s="135">
        <f ca="1">IF($L6="PROXY",DAVERAGE('literature entries'!$D:$AI,IF($J6=1,"ACTIVE     CED, FARM GATE (MJ/kg)","CED, processor gate (MJ/kg)"),INDIRECT($K6)),GETPIVOTDATA(IF($J6=1,"Average of ACTIVE     CED, FARM GATE (MJ/kg)","Average of CED, processor gate (MJ/kg)"),'Pivot Table_CED'!$A$3,"SUB TYPE",$B6))</f>
        <v>3.4758499999999999</v>
      </c>
      <c r="O6" s="135">
        <f ca="1">IF($L6="PROXY",DSTDEV('literature entries'!D:AI,IF($J6=1,"ACTIVE     CED, FARM GATE (MJ/kg)","CED, processor gate (MJ/kg)"),INDIRECT($K6)),GETPIVOTDATA(IF($J6=1,"StdDev of ACTIVE     CED, FARM GATE (MJ/kg)","StdDev of CED, processor gate (MJ/kg)"),'Pivot Table_CED'!$A$3,"SUB TYPE",$B6))</f>
        <v>0.37754739658308933</v>
      </c>
      <c r="P6" s="152" t="str">
        <f>IF(ISERROR(GETPIVOTDATA(IF($J6=1,"Count of ACTIVE     GHGE, FARM GATE (kg CO2e/kg)","Count of GHGE, processor gate (kg CO2e/kg)"),'Pivot Table_GHG'!$A$3,"SUB TYPE",$B6)),"PROXY",IF(GETPIVOTDATA(IF($J6=1,"Count of ACTIVE     GHGE, FARM GATE (kg CO2e/kg)","Count of GHGE, processor gate (kg CO2e/kg)"),'Pivot Table_GHG'!$A$3,"SUB TYPE",$B6)=0,"PROXY","DB value"))</f>
        <v>DB value</v>
      </c>
      <c r="Q6" s="141">
        <f ca="1">IF($P6="PROXY",DCOUNT('literature entries'!$D:$AI,IF($J6=1,"ACTIVE     GHGE, FARM GATE (kg CO2e/kg)","GHGE, processor gate (kg CO2e/kg)"),INDIRECT($K6)),GETPIVOTDATA(IF($J6=1,"ACTIVE     GHGE, FARM GATE (kg CO2e/kg)","Count of GHGE, processor gate (kg CO2e/kg)"),'Pivot Table_GHG'!$A$3,"SUB TYPE",$B6))</f>
        <v>4</v>
      </c>
      <c r="R6" s="221">
        <f ca="1">IF($P6="PROXY",DAVERAGE('literature entries'!$D:$AI,IF($J6=1,"ACTIVE     GHGE, FARM GATE (kg CO2e/kg)","GHGE, processor gate (kg CO2e/kg)"),INDIRECT($K6)),GETPIVOTDATA(IF($J6=1,"Average of ACTIVE     GHGE, FARM GATE (kg CO2e/kg)","Average of GHGE, processor gate (kg CO2e/kg)"),'Pivot Table_GHG'!$A$3,"SUB TYPE",$B6))</f>
        <v>0.28759249999999997</v>
      </c>
      <c r="S6" s="221">
        <f ca="1">IF($P6="PROXY",DSTDEV('literature entries'!$D:$AI,IF($J6=1,"ACTIVE     GHGE, FARM GATE (kg CO2e/kg)","GHGE, processor gate (kg CO2e/kg)"),INDIRECT($K6)),GETPIVOTDATA(IF($J6=1,"StdDev of ACTIVE     GHGE, FARM GATE (kg CO2e/kg)","StdDev of GHGE, processor gate (kg CO2e/kg)"),'Pivot Table_GHG'!$A$3,"SUB TYPE",$B6))</f>
        <v>4.7032511716187927E-2</v>
      </c>
      <c r="T6" s="101"/>
      <c r="U6" s="102"/>
      <c r="W6" s="248" t="s">
        <v>3364</v>
      </c>
      <c r="X6" s="246">
        <f ca="1">IF($W6="DIRECT",M6,DCOUNT('literature entries'!$D:$AI,IF($J6=1,"ACTIVE     CED, FARM GATE (MJ/kg)","CED, processor gate (MJ/kg)"),INDIRECT($W6)))</f>
        <v>14</v>
      </c>
      <c r="Y6" s="246">
        <f ca="1">IF($W6="DIRECT","",DAVERAGE('literature entries'!$D:$AI,IF($J6=1,"ACTIVE     CED, FARM GATE (MJ/kg)","CED, processor gate (MJ/kg)"),INDIRECT($W6)))</f>
        <v>8.8453455837076262</v>
      </c>
      <c r="Z6" s="246">
        <f ca="1">IF($W6="DIRECT",$O6,DSTDEV('literature entries'!$D:$AI,IF($J6=1,"ACTIVE     CED, FARM GATE (MJ/kg)","CED, processor gate (MJ/kg)"),INDIRECT($W6)))</f>
        <v>17.468328408482019</v>
      </c>
      <c r="AA6" s="246">
        <f t="shared" ca="1" si="2"/>
        <v>6.8643207576262828</v>
      </c>
      <c r="AB6" s="254" t="s">
        <v>3364</v>
      </c>
      <c r="AC6" s="247">
        <f ca="1">IF($AB6="DIRECT",Q6,DCOUNT('literature entries'!$D:$AI,IF($J6=1,"ACTIVE     GHGE, FARM GATE (kg CO2e/kg)","GHGE, processor gate (kg CO2e/kg)"),INDIRECT($AB6)))</f>
        <v>13</v>
      </c>
      <c r="AD6" s="247">
        <f ca="1">IF($AB6="DIRECT","",DAVERAGE('literature entries'!$D:$AI,IF($J6=1,"ACTIVE     GHGE, FARM GATE (kg CO2e/kg)","GHGE, processor gate (kg CO2e/kg)"),INDIRECT($AB6)))</f>
        <v>1.0611859137782504</v>
      </c>
      <c r="AE6" s="247">
        <f ca="1">IF($AB6="DIRECT",$S6,DSTDEV('literature entries'!$D:$AI,IF($J6=1,"ACTIVE     GHGE, FARM GATE (kg CO2e/kg)","GHGE, processor gate (kg CO2e/kg)"),INDIRECT($AB6)))</f>
        <v>1.8055997061726943</v>
      </c>
      <c r="AF6" s="247">
        <f t="shared" ca="1" si="3"/>
        <v>0.48933643648607705</v>
      </c>
    </row>
    <row r="7" spans="1:32" s="21" customFormat="1" ht="17" thickBot="1" x14ac:dyDescent="0.25">
      <c r="A7" s="129">
        <v>101067000</v>
      </c>
      <c r="B7" s="130" t="s">
        <v>1850</v>
      </c>
      <c r="C7" s="131" t="s">
        <v>1851</v>
      </c>
      <c r="D7" s="131"/>
      <c r="E7" s="131">
        <v>2</v>
      </c>
      <c r="F7" s="126">
        <f t="shared" ca="1" si="0"/>
        <v>1.8913549999999999</v>
      </c>
      <c r="G7" s="127">
        <f t="shared" ca="1" si="1"/>
        <v>0.28382200000000007</v>
      </c>
      <c r="H7" s="132">
        <v>1.33</v>
      </c>
      <c r="I7" s="133" t="s">
        <v>2737</v>
      </c>
      <c r="J7" s="91">
        <v>1</v>
      </c>
      <c r="K7" s="90" t="s">
        <v>2455</v>
      </c>
      <c r="L7" s="152" t="str">
        <f>IF(ISERROR(GETPIVOTDATA(IF($J7=1,"Count of ACTIVE     CED, FARM GATE (MJ/kg)","Count of CED, processor gate (MJ/kg)"),'Pivot Table_CED'!$A$3,"SUB TYPE",$B7)),"PROXY",IF(GETPIVOTDATA(IF($J7=1,"Count of ACTIVE     CED, FARM GATE (MJ/kg)","Count of CED, processor gate (MJ/kg)"),'Pivot Table_CED'!$A$3,"SUB TYPE",$B7)=0,"PROXY","DB value"))</f>
        <v>PROXY</v>
      </c>
      <c r="M7" s="134">
        <f ca="1">IF($L7="PROXY",DCOUNT('literature entries'!$D:$AI,IF($J7=1,"ACTIVE     CED, FARM GATE (MJ/kg)","CED, processor gate (MJ/kg)"),INDIRECT($K7)),GETPIVOTDATA(IF($J7=1,"Count of ACTIVE     CED, FARM GATE (MJ/kg)","Count of CED, processor gate (MJ/kg)"),'Pivot Table_CED'!$A$3,"SUB TYPE",$B7))</f>
        <v>14</v>
      </c>
      <c r="N7" s="135">
        <f ca="1">IF($L7="PROXY",DAVERAGE('literature entries'!$D:$AI,IF($J7=1,"ACTIVE     CED, FARM GATE (MJ/kg)","CED, processor gate (MJ/kg)"),INDIRECT($K7)),GETPIVOTDATA(IF($J7=1,"Average of ACTIVE     CED, FARM GATE (MJ/kg)","Average of CED, processor gate (MJ/kg)"),'Pivot Table_CED'!$A$3,"SUB TYPE",$B7))</f>
        <v>1.4220714285714284</v>
      </c>
      <c r="O7" s="135">
        <f ca="1">IF($L7="PROXY",DSTDEV('literature entries'!D:AI,IF($J7=1,"ACTIVE     CED, FARM GATE (MJ/kg)","CED, processor gate (MJ/kg)"),INDIRECT($K7)),GETPIVOTDATA(IF($J7=1,"StdDev of ACTIVE     CED, FARM GATE (MJ/kg)","StdDev of CED, processor gate (MJ/kg)"),'Pivot Table_CED'!$A$3,"SUB TYPE",$B7))</f>
        <v>0.57442043892896122</v>
      </c>
      <c r="P7" s="152" t="str">
        <f>IF(ISERROR(GETPIVOTDATA(IF($J7=1,"Count of ACTIVE     GHGE, FARM GATE (kg CO2e/kg)","Count of GHGE, processor gate (kg CO2e/kg)"),'Pivot Table_GHG'!$A$3,"SUB TYPE",$B7)),"PROXY",IF(GETPIVOTDATA(IF($J7=1,"Count of ACTIVE     GHGE, FARM GATE (kg CO2e/kg)","Count of GHGE, processor gate (kg CO2e/kg)"),'Pivot Table_GHG'!$A$3,"SUB TYPE",$B7)=0,"PROXY","DB value"))</f>
        <v>PROXY</v>
      </c>
      <c r="Q7" s="141">
        <f ca="1">IF($P7="PROXY",DCOUNT('literature entries'!$D:$AI,IF($J7=1,"ACTIVE     GHGE, FARM GATE (kg CO2e/kg)","GHGE, processor gate (kg CO2e/kg)"),INDIRECT($K7)),GETPIVOTDATA(IF($J7=1,"ACTIVE     GHGE, FARM GATE (kg CO2e/kg)","Count of GHGE, processor gate (kg CO2e/kg)"),'Pivot Table_GHG'!$A$3,"SUB TYPE",$B7))</f>
        <v>25</v>
      </c>
      <c r="R7" s="221">
        <f ca="1">IF($P7="PROXY",DAVERAGE('literature entries'!$D:$AI,IF($J7=1,"ACTIVE     GHGE, FARM GATE (kg CO2e/kg)","GHGE, processor gate (kg CO2e/kg)"),INDIRECT($K7)),GETPIVOTDATA(IF($J7=1,"Average of ACTIVE     GHGE, FARM GATE (kg CO2e/kg)","Average of GHGE, processor gate (kg CO2e/kg)"),'Pivot Table_GHG'!$A$3,"SUB TYPE",$B7))</f>
        <v>0.21340000000000003</v>
      </c>
      <c r="S7" s="221">
        <f ca="1">IF($P7="PROXY",DSTDEV('literature entries'!$D:$AI,IF($J7=1,"ACTIVE     GHGE, FARM GATE (kg CO2e/kg)","GHGE, processor gate (kg CO2e/kg)"),INDIRECT($K7)),GETPIVOTDATA(IF($J7=1,"StdDev of ACTIVE     GHGE, FARM GATE (kg CO2e/kg)","StdDev of GHGE, processor gate (kg CO2e/kg)"),'Pivot Table_GHG'!$A$3,"SUB TYPE",$B7))</f>
        <v>0.17992035274902424</v>
      </c>
      <c r="T7" s="101"/>
      <c r="U7" s="102"/>
      <c r="W7" s="248" t="str">
        <f ca="1">IF(L7="PROXY",IF(M7&gt;=5,K7,"need group"),IF(M7&gt;=5,"DIRECT","need group"))</f>
        <v>roots</v>
      </c>
      <c r="X7" s="246">
        <f ca="1">IF($W7="DIRECT",M7,DCOUNT('literature entries'!$D:$AI,IF($J7=1,"ACTIVE     CED, FARM GATE (MJ/kg)","CED, processor gate (MJ/kg)"),INDIRECT($W7)))</f>
        <v>14</v>
      </c>
      <c r="Y7" s="246">
        <f ca="1">IF($W7="DIRECT","",DAVERAGE('literature entries'!$D:$AI,IF($J7=1,"ACTIVE     CED, FARM GATE (MJ/kg)","CED, processor gate (MJ/kg)"),INDIRECT($W7)))</f>
        <v>1.4220714285714284</v>
      </c>
      <c r="Z7" s="246">
        <f ca="1">IF($W7="DIRECT",$O7,DSTDEV('literature entries'!$D:$AI,IF($J7=1,"ACTIVE     CED, FARM GATE (MJ/kg)","CED, processor gate (MJ/kg)"),INDIRECT($W7)))</f>
        <v>0.57442043892896122</v>
      </c>
      <c r="AA7" s="246">
        <f t="shared" ca="1" si="2"/>
        <v>0.57442043892896122</v>
      </c>
      <c r="AB7" s="254" t="str">
        <f ca="1">IF(P7="PROXY",IF(Q7&gt;=5,K7,"need group"),IF(Q7&gt;=5,"DIRECT","need group"))</f>
        <v>roots</v>
      </c>
      <c r="AC7" s="247">
        <f ca="1">IF($AB7="DIRECT",Q7,DCOUNT('literature entries'!$D:$AI,IF($J7=1,"ACTIVE     GHGE, FARM GATE (kg CO2e/kg)","GHGE, processor gate (kg CO2e/kg)"),INDIRECT($AB7)))</f>
        <v>25</v>
      </c>
      <c r="AD7" s="247">
        <f ca="1">IF($AB7="DIRECT","",DAVERAGE('literature entries'!$D:$AI,IF($J7=1,"ACTIVE     GHGE, FARM GATE (kg CO2e/kg)","GHGE, processor gate (kg CO2e/kg)"),INDIRECT($AB7)))</f>
        <v>0.21340000000000003</v>
      </c>
      <c r="AE7" s="247">
        <f ca="1">IF($AB7="DIRECT",$S7,DSTDEV('literature entries'!$D:$AI,IF($J7=1,"ACTIVE     GHGE, FARM GATE (kg CO2e/kg)","GHGE, processor gate (kg CO2e/kg)"),INDIRECT($AB7)))</f>
        <v>0.17992035274902424</v>
      </c>
      <c r="AF7" s="247">
        <f t="shared" ca="1" si="3"/>
        <v>0.17992035274902424</v>
      </c>
    </row>
    <row r="8" spans="1:32" s="21" customFormat="1" thickBot="1" x14ac:dyDescent="0.25">
      <c r="A8" s="129">
        <v>101078000</v>
      </c>
      <c r="B8" s="130" t="s">
        <v>1864</v>
      </c>
      <c r="C8" s="131" t="s">
        <v>1865</v>
      </c>
      <c r="D8" s="131"/>
      <c r="E8" s="131">
        <v>14222</v>
      </c>
      <c r="F8" s="126">
        <f t="shared" ca="1" si="0"/>
        <v>1.3258560000000004</v>
      </c>
      <c r="G8" s="127">
        <f t="shared" ca="1" si="1"/>
        <v>9.1616000000000003E-2</v>
      </c>
      <c r="H8" s="132">
        <v>1.1200000000000001</v>
      </c>
      <c r="I8" s="132" t="s">
        <v>2724</v>
      </c>
      <c r="J8" s="91">
        <v>1</v>
      </c>
      <c r="K8" s="90"/>
      <c r="L8" s="152" t="str">
        <f>IF(ISERROR(GETPIVOTDATA(IF($J8=1,"Count of ACTIVE     CED, FARM GATE (MJ/kg)","Count of CED, processor gate (MJ/kg)"),'Pivot Table_CED'!$A$3,"SUB TYPE",$B8)),"PROXY",IF(GETPIVOTDATA(IF($J8=1,"Count of ACTIVE     CED, FARM GATE (MJ/kg)","Count of CED, processor gate (MJ/kg)"),'Pivot Table_CED'!$A$3,"SUB TYPE",$B8)=0,"PROXY","DB value"))</f>
        <v>DB value</v>
      </c>
      <c r="M8" s="134">
        <f ca="1">IF($L8="PROXY",DCOUNT('literature entries'!$D:$AI,IF($J8=1,"ACTIVE     CED, FARM GATE (MJ/kg)","CED, processor gate (MJ/kg)"),INDIRECT($K8)),GETPIVOTDATA(IF($J8=1,"Count of ACTIVE     CED, FARM GATE (MJ/kg)","Count of CED, processor gate (MJ/kg)"),'Pivot Table_CED'!$A$3,"SUB TYPE",$B8))</f>
        <v>5</v>
      </c>
      <c r="N8" s="135">
        <f ca="1">IF($L8="PROXY",DAVERAGE('literature entries'!$D:$AI,IF($J8=1,"ACTIVE     CED, FARM GATE (MJ/kg)","CED, processor gate (MJ/kg)"),INDIRECT($K8)),GETPIVOTDATA(IF($J8=1,"Average of ACTIVE     CED, FARM GATE (MJ/kg)","Average of CED, processor gate (MJ/kg)"),'Pivot Table_CED'!$A$3,"SUB TYPE",$B8))</f>
        <v>1.1838000000000002</v>
      </c>
      <c r="O8" s="135">
        <f ca="1">IF($L8="PROXY",DSTDEV('literature entries'!D:AI,IF($J8=1,"ACTIVE     CED, FARM GATE (MJ/kg)","CED, processor gate (MJ/kg)"),INDIRECT($K8)),GETPIVOTDATA(IF($J8=1,"StdDev of ACTIVE     CED, FARM GATE (MJ/kg)","StdDev of CED, processor gate (MJ/kg)"),'Pivot Table_CED'!$A$3,"SUB TYPE",$B8))</f>
        <v>0.63805814782040027</v>
      </c>
      <c r="P8" s="152" t="str">
        <f>IF(ISERROR(GETPIVOTDATA(IF($J8=1,"Count of ACTIVE     GHGE, FARM GATE (kg CO2e/kg)","Count of GHGE, processor gate (kg CO2e/kg)"),'Pivot Table_GHG'!$A$3,"SUB TYPE",$B8)),"PROXY",IF(GETPIVOTDATA(IF($J8=1,"Count of ACTIVE     GHGE, FARM GATE (kg CO2e/kg)","Count of GHGE, processor gate (kg CO2e/kg)"),'Pivot Table_GHG'!$A$3,"SUB TYPE",$B8)=0,"PROXY","DB value"))</f>
        <v>DB value</v>
      </c>
      <c r="Q8" s="141">
        <f ca="1">IF($P8="PROXY",DCOUNT('literature entries'!$D:$AI,IF($J8=1,"ACTIVE     GHGE, FARM GATE (kg CO2e/kg)","GHGE, processor gate (kg CO2e/kg)"),INDIRECT($K8)),GETPIVOTDATA(IF($J8=1,"ACTIVE     GHGE, FARM GATE (kg CO2e/kg)","Count of GHGE, processor gate (kg CO2e/kg)"),'Pivot Table_GHG'!$A$3,"SUB TYPE",$B8))</f>
        <v>5</v>
      </c>
      <c r="R8" s="221">
        <f ca="1">IF($P8="PROXY",DAVERAGE('literature entries'!$D:$AI,IF($J8=1,"ACTIVE     GHGE, FARM GATE (kg CO2e/kg)","GHGE, processor gate (kg CO2e/kg)"),INDIRECT($K8)),GETPIVOTDATA(IF($J8=1,"Average of ACTIVE     GHGE, FARM GATE (kg CO2e/kg)","Average of GHGE, processor gate (kg CO2e/kg)"),'Pivot Table_GHG'!$A$3,"SUB TYPE",$B8))</f>
        <v>8.1799999999999998E-2</v>
      </c>
      <c r="S8" s="221">
        <f ca="1">IF($P8="PROXY",DSTDEV('literature entries'!$D:$AI,IF($J8=1,"ACTIVE     GHGE, FARM GATE (kg CO2e/kg)","GHGE, processor gate (kg CO2e/kg)"),INDIRECT($K8)),GETPIVOTDATA(IF($J8=1,"StdDev of ACTIVE     GHGE, FARM GATE (kg CO2e/kg)","StdDev of GHGE, processor gate (kg CO2e/kg)"),'Pivot Table_GHG'!$A$3,"SUB TYPE",$B8))</f>
        <v>5.1982689426385009E-2</v>
      </c>
      <c r="T8" s="101"/>
      <c r="U8" s="102"/>
      <c r="W8" s="248" t="str">
        <f ca="1">IF(L8="PROXY",IF(M8&gt;=5,K8,"need group"),IF(M8&gt;=5,"DIRECT","need group"))</f>
        <v>DIRECT</v>
      </c>
      <c r="X8" s="246">
        <f ca="1">IF($W8="DIRECT",M8,DCOUNT('literature entries'!$D:$AI,IF($J8=1,"ACTIVE     CED, FARM GATE (MJ/kg)","CED, processor gate (MJ/kg)"),INDIRECT($W8)))</f>
        <v>5</v>
      </c>
      <c r="Y8" s="246" t="str">
        <f ca="1">IF($W8="DIRECT","",DAVERAGE('literature entries'!$D:$AI,IF($J8=1,"ACTIVE     CED, FARM GATE (MJ/kg)","CED, processor gate (MJ/kg)"),INDIRECT($W8)))</f>
        <v/>
      </c>
      <c r="Z8" s="246">
        <f ca="1">IF($W8="DIRECT",$O8,DSTDEV('literature entries'!$D:$AI,IF($J8=1,"ACTIVE     CED, FARM GATE (MJ/kg)","CED, processor gate (MJ/kg)"),INDIRECT($W8)))</f>
        <v>0.63805814782040027</v>
      </c>
      <c r="AA8" s="246">
        <f t="shared" ca="1" si="2"/>
        <v>0.63805814782040027</v>
      </c>
      <c r="AB8" s="254" t="str">
        <f ca="1">IF(P8="PROXY",IF(Q8&gt;=5,K8,"need group"),IF(Q8&gt;=5,"DIRECT","need group"))</f>
        <v>DIRECT</v>
      </c>
      <c r="AC8" s="247">
        <f ca="1">IF($AB8="DIRECT",Q8,DCOUNT('literature entries'!$D:$AI,IF($J8=1,"ACTIVE     GHGE, FARM GATE (kg CO2e/kg)","GHGE, processor gate (kg CO2e/kg)"),INDIRECT($AB8)))</f>
        <v>5</v>
      </c>
      <c r="AD8" s="247" t="str">
        <f ca="1">IF($AB8="DIRECT","",DAVERAGE('literature entries'!$D:$AI,IF($J8=1,"ACTIVE     GHGE, FARM GATE (kg CO2e/kg)","GHGE, processor gate (kg CO2e/kg)"),INDIRECT($AB8)))</f>
        <v/>
      </c>
      <c r="AE8" s="247">
        <f ca="1">IF($AB8="DIRECT",$S8,DSTDEV('literature entries'!$D:$AI,IF($J8=1,"ACTIVE     GHGE, FARM GATE (kg CO2e/kg)","GHGE, processor gate (kg CO2e/kg)"),INDIRECT($AB8)))</f>
        <v>5.1982689426385009E-2</v>
      </c>
      <c r="AF8" s="247">
        <f t="shared" ca="1" si="3"/>
        <v>5.1982689426385009E-2</v>
      </c>
    </row>
    <row r="9" spans="1:32" s="21" customFormat="1" ht="17" thickBot="1" x14ac:dyDescent="0.25">
      <c r="A9" s="129">
        <v>101079000</v>
      </c>
      <c r="B9" s="130" t="s">
        <v>1866</v>
      </c>
      <c r="C9" s="131" t="s">
        <v>1742</v>
      </c>
      <c r="D9" s="131"/>
      <c r="E9" s="131">
        <v>630</v>
      </c>
      <c r="F9" s="126">
        <f t="shared" ca="1" si="0"/>
        <v>6.607856</v>
      </c>
      <c r="G9" s="127">
        <f t="shared" ca="1" si="1"/>
        <v>1.0706951260799999</v>
      </c>
      <c r="H9" s="132">
        <v>1.1200000000000001</v>
      </c>
      <c r="I9" s="133" t="s">
        <v>2724</v>
      </c>
      <c r="J9" s="91">
        <v>1</v>
      </c>
      <c r="K9" s="90" t="s">
        <v>874</v>
      </c>
      <c r="L9" s="152" t="str">
        <f>IF(ISERROR(GETPIVOTDATA(IF($J9=1,"Count of ACTIVE     CED, FARM GATE (MJ/kg)","Count of CED, processor gate (MJ/kg)"),'Pivot Table_CED'!$A$3,"SUB TYPE",$B9)),"PROXY",IF(GETPIVOTDATA(IF($J9=1,"Count of ACTIVE     CED, FARM GATE (MJ/kg)","Count of CED, processor gate (MJ/kg)"),'Pivot Table_CED'!$A$3,"SUB TYPE",$B9)=0,"PROXY","DB value"))</f>
        <v>PROXY</v>
      </c>
      <c r="M9" s="134">
        <f ca="1">IF($L9="PROXY",DCOUNT('literature entries'!$D:$AI,IF($J9=1,"ACTIVE     CED, FARM GATE (MJ/kg)","CED, processor gate (MJ/kg)"),INDIRECT($K9)),GETPIVOTDATA(IF($J9=1,"Count of ACTIVE     CED, FARM GATE (MJ/kg)","Count of CED, processor gate (MJ/kg)"),'Pivot Table_CED'!$A$3,"SUB TYPE",$B9))</f>
        <v>5</v>
      </c>
      <c r="N9" s="135">
        <f ca="1">IF($L9="PROXY",DAVERAGE('literature entries'!$D:$AI,IF($J9=1,"ACTIVE     CED, FARM GATE (MJ/kg)","CED, processor gate (MJ/kg)"),INDIRECT($K9)),GETPIVOTDATA(IF($J9=1,"Average of ACTIVE     CED, FARM GATE (MJ/kg)","Average of CED, processor gate (MJ/kg)"),'Pivot Table_CED'!$A$3,"SUB TYPE",$B9))</f>
        <v>1.1838000000000002</v>
      </c>
      <c r="O9" s="135">
        <f ca="1">IF($L9="PROXY",DSTDEV('literature entries'!D:AI,IF($J9=1,"ACTIVE     CED, FARM GATE (MJ/kg)","CED, processor gate (MJ/kg)"),INDIRECT($K9)),GETPIVOTDATA(IF($J9=1,"StdDev of ACTIVE     CED, FARM GATE (MJ/kg)","StdDev of CED, processor gate (MJ/kg)"),'Pivot Table_CED'!$A$3,"SUB TYPE",$B9))</f>
        <v>0.63805814782040027</v>
      </c>
      <c r="P9" s="152" t="str">
        <f>IF(ISERROR(GETPIVOTDATA(IF($J9=1,"Count of ACTIVE     GHGE, FARM GATE (kg CO2e/kg)","Count of GHGE, processor gate (kg CO2e/kg)"),'Pivot Table_GHG'!$A$3,"SUB TYPE",$B9)),"PROXY",IF(GETPIVOTDATA(IF($J9=1,"Count of ACTIVE     GHGE, FARM GATE (kg CO2e/kg)","Count of GHGE, processor gate (kg CO2e/kg)"),'Pivot Table_GHG'!$A$3,"SUB TYPE",$B9)=0,"PROXY","DB value"))</f>
        <v>PROXY</v>
      </c>
      <c r="Q9" s="141">
        <f ca="1">IF($P9="PROXY",DCOUNT('literature entries'!$D:$AI,IF($J9=1,"ACTIVE     GHGE, FARM GATE (kg CO2e/kg)","GHGE, processor gate (kg CO2e/kg)"),INDIRECT($K9)),GETPIVOTDATA(IF($J9=1,"ACTIVE     GHGE, FARM GATE (kg CO2e/kg)","Count of GHGE, processor gate (kg CO2e/kg)"),'Pivot Table_GHG'!$A$3,"SUB TYPE",$B9))</f>
        <v>5</v>
      </c>
      <c r="R9" s="221">
        <f ca="1">IF($P9="PROXY",DAVERAGE('literature entries'!$D:$AI,IF($J9=1,"ACTIVE     GHGE, FARM GATE (kg CO2e/kg)","GHGE, processor gate (kg CO2e/kg)"),INDIRECT($K9)),GETPIVOTDATA(IF($J9=1,"Average of ACTIVE     GHGE, FARM GATE (kg CO2e/kg)","Average of GHGE, processor gate (kg CO2e/kg)"),'Pivot Table_GHG'!$A$3,"SUB TYPE",$B9))</f>
        <v>8.1799999999999998E-2</v>
      </c>
      <c r="S9" s="221">
        <f ca="1">IF($P9="PROXY",DSTDEV('literature entries'!$D:$AI,IF($J9=1,"ACTIVE     GHGE, FARM GATE (kg CO2e/kg)","GHGE, processor gate (kg CO2e/kg)"),INDIRECT($K9)),GETPIVOTDATA(IF($J9=1,"StdDev of ACTIVE     GHGE, FARM GATE (kg CO2e/kg)","StdDev of GHGE, processor gate (kg CO2e/kg)"),'Pivot Table_GHG'!$A$3,"SUB TYPE",$B9))</f>
        <v>5.1982689426385009E-2</v>
      </c>
      <c r="T9" s="99">
        <v>5.282</v>
      </c>
      <c r="U9" s="100">
        <v>0.97907912607999992</v>
      </c>
      <c r="W9" s="248" t="s">
        <v>2455</v>
      </c>
      <c r="X9" s="246">
        <f ca="1">IF($W9="DIRECT",M9,DCOUNT('literature entries'!$D:$AI,IF($J9=1,"ACTIVE     CED, FARM GATE (MJ/kg)","CED, processor gate (MJ/kg)"),INDIRECT($W9)))</f>
        <v>14</v>
      </c>
      <c r="Y9" s="246">
        <f ca="1">IF($W9="DIRECT","",DAVERAGE('literature entries'!$D:$AI,IF($J9=1,"ACTIVE     CED, FARM GATE (MJ/kg)","CED, processor gate (MJ/kg)"),INDIRECT($W9)))</f>
        <v>1.4220714285714284</v>
      </c>
      <c r="Z9" s="246">
        <f ca="1">IF($W9="DIRECT",$O9,DSTDEV('literature entries'!$D:$AI,IF($J9=1,"ACTIVE     CED, FARM GATE (MJ/kg)","CED, processor gate (MJ/kg)"),INDIRECT($W9)))</f>
        <v>0.57442043892896122</v>
      </c>
      <c r="AA9" s="246">
        <f t="shared" ca="1" si="2"/>
        <v>0.47817493688570306</v>
      </c>
      <c r="AB9" s="254" t="s">
        <v>2455</v>
      </c>
      <c r="AC9" s="247">
        <f ca="1">IF($AB9="DIRECT",Q9,DCOUNT('literature entries'!$D:$AI,IF($J9=1,"ACTIVE     GHGE, FARM GATE (kg CO2e/kg)","GHGE, processor gate (kg CO2e/kg)"),INDIRECT($AB9)))</f>
        <v>25</v>
      </c>
      <c r="AD9" s="247">
        <f ca="1">IF($AB9="DIRECT","",DAVERAGE('literature entries'!$D:$AI,IF($J9=1,"ACTIVE     GHGE, FARM GATE (kg CO2e/kg)","GHGE, processor gate (kg CO2e/kg)"),INDIRECT($AB9)))</f>
        <v>0.21340000000000003</v>
      </c>
      <c r="AE9" s="247">
        <f ca="1">IF($AB9="DIRECT",$S9,DSTDEV('literature entries'!$D:$AI,IF($J9=1,"ACTIVE     GHGE, FARM GATE (kg CO2e/kg)","GHGE, processor gate (kg CO2e/kg)"),INDIRECT($AB9)))</f>
        <v>0.17992035274902424</v>
      </c>
      <c r="AF9" s="247">
        <f t="shared" ca="1" si="3"/>
        <v>6.8966658176523796E-2</v>
      </c>
    </row>
    <row r="10" spans="1:32" s="21" customFormat="1" ht="17" thickBot="1" x14ac:dyDescent="0.25">
      <c r="A10" s="129">
        <v>101100000</v>
      </c>
      <c r="B10" s="130" t="s">
        <v>1898</v>
      </c>
      <c r="C10" s="131" t="s">
        <v>1851</v>
      </c>
      <c r="D10" s="131"/>
      <c r="E10" s="131">
        <v>75</v>
      </c>
      <c r="F10" s="126">
        <f t="shared" ca="1" si="0"/>
        <v>0.15440000000000001</v>
      </c>
      <c r="G10" s="127">
        <f t="shared" ca="1" si="1"/>
        <v>5.0446000000000005E-2</v>
      </c>
      <c r="H10" s="133">
        <v>1</v>
      </c>
      <c r="I10" s="133" t="s">
        <v>594</v>
      </c>
      <c r="J10" s="91">
        <v>1</v>
      </c>
      <c r="K10" s="90"/>
      <c r="L10" s="152" t="str">
        <f>IF(ISERROR(GETPIVOTDATA(IF($J10=1,"Count of ACTIVE     CED, FARM GATE (MJ/kg)","Count of CED, processor gate (MJ/kg)"),'Pivot Table_CED'!$A$3,"SUB TYPE",$B10)),"PROXY",IF(GETPIVOTDATA(IF($J10=1,"Count of ACTIVE     CED, FARM GATE (MJ/kg)","Count of CED, processor gate (MJ/kg)"),'Pivot Table_CED'!$A$3,"SUB TYPE",$B10)=0,"PROXY","DB value"))</f>
        <v>DB value</v>
      </c>
      <c r="M10" s="134">
        <f ca="1">IF($L10="PROXY",DCOUNT('literature entries'!$D:$AI,IF($J10=1,"ACTIVE     CED, FARM GATE (MJ/kg)","CED, processor gate (MJ/kg)"),INDIRECT($K10)),GETPIVOTDATA(IF($J10=1,"Count of ACTIVE     CED, FARM GATE (MJ/kg)","Count of CED, processor gate (MJ/kg)"),'Pivot Table_CED'!$A$3,"SUB TYPE",$B10))</f>
        <v>2</v>
      </c>
      <c r="N10" s="135">
        <f ca="1">IF($L10="PROXY",DAVERAGE('literature entries'!$D:$AI,IF($J10=1,"ACTIVE     CED, FARM GATE (MJ/kg)","CED, processor gate (MJ/kg)"),INDIRECT($K10)),GETPIVOTDATA(IF($J10=1,"Average of ACTIVE     CED, FARM GATE (MJ/kg)","Average of CED, processor gate (MJ/kg)"),'Pivot Table_CED'!$A$3,"SUB TYPE",$B10))</f>
        <v>0.15440000000000001</v>
      </c>
      <c r="O10" s="135">
        <f ca="1">IF($L10="PROXY",DSTDEV('literature entries'!D:AI,IF($J10=1,"ACTIVE     CED, FARM GATE (MJ/kg)","CED, processor gate (MJ/kg)"),INDIRECT($K10)),GETPIVOTDATA(IF($J10=1,"StdDev of ACTIVE     CED, FARM GATE (MJ/kg)","StdDev of CED, processor gate (MJ/kg)"),'Pivot Table_CED'!$A$3,"SUB TYPE",$B10))</f>
        <v>1.3576450198781776E-2</v>
      </c>
      <c r="P10" s="152" t="str">
        <f>IF(ISERROR(GETPIVOTDATA(IF($J10=1,"Count of ACTIVE     GHGE, FARM GATE (kg CO2e/kg)","Count of GHGE, processor gate (kg CO2e/kg)"),'Pivot Table_GHG'!$A$3,"SUB TYPE",$B10)),"PROXY",IF(GETPIVOTDATA(IF($J10=1,"Count of ACTIVE     GHGE, FARM GATE (kg CO2e/kg)","Count of GHGE, processor gate (kg CO2e/kg)"),'Pivot Table_GHG'!$A$3,"SUB TYPE",$B10)=0,"PROXY","DB value"))</f>
        <v>DB value</v>
      </c>
      <c r="Q10" s="141">
        <f ca="1">IF($P10="PROXY",DCOUNT('literature entries'!$D:$AI,IF($J10=1,"ACTIVE     GHGE, FARM GATE (kg CO2e/kg)","GHGE, processor gate (kg CO2e/kg)"),INDIRECT($K10)),GETPIVOTDATA(IF($J10=1,"ACTIVE     GHGE, FARM GATE (kg CO2e/kg)","Count of GHGE, processor gate (kg CO2e/kg)"),'Pivot Table_GHG'!$A$3,"SUB TYPE",$B10))</f>
        <v>2</v>
      </c>
      <c r="R10" s="221">
        <f ca="1">IF($P10="PROXY",DAVERAGE('literature entries'!$D:$AI,IF($J10=1,"ACTIVE     GHGE, FARM GATE (kg CO2e/kg)","GHGE, processor gate (kg CO2e/kg)"),INDIRECT($K10)),GETPIVOTDATA(IF($J10=1,"Average of ACTIVE     GHGE, FARM GATE (kg CO2e/kg)","Average of GHGE, processor gate (kg CO2e/kg)"),'Pivot Table_GHG'!$A$3,"SUB TYPE",$B10))</f>
        <v>5.0446000000000005E-2</v>
      </c>
      <c r="S10" s="221">
        <f ca="1">IF($P10="PROXY",DSTDEV('literature entries'!$D:$AI,IF($J10=1,"ACTIVE     GHGE, FARM GATE (kg CO2e/kg)","GHGE, processor gate (kg CO2e/kg)"),INDIRECT($K10)),GETPIVOTDATA(IF($J10=1,"StdDev of ACTIVE     GHGE, FARM GATE (kg CO2e/kg)","StdDev of GHGE, processor gate (kg CO2e/kg)"),'Pivot Table_GHG'!$A$3,"SUB TYPE",$B10))</f>
        <v>9.0240967415026966E-3</v>
      </c>
      <c r="T10" s="101"/>
      <c r="U10" s="102"/>
      <c r="W10" s="248" t="s">
        <v>2455</v>
      </c>
      <c r="X10" s="246">
        <f ca="1">IF($W10="DIRECT",M10,DCOUNT('literature entries'!$D:$AI,IF($J10=1,"ACTIVE     CED, FARM GATE (MJ/kg)","CED, processor gate (MJ/kg)"),INDIRECT($W10)))</f>
        <v>14</v>
      </c>
      <c r="Y10" s="246">
        <f ca="1">IF($W10="DIRECT","",DAVERAGE('literature entries'!$D:$AI,IF($J10=1,"ACTIVE     CED, FARM GATE (MJ/kg)","CED, processor gate (MJ/kg)"),INDIRECT($W10)))</f>
        <v>1.4220714285714284</v>
      </c>
      <c r="Z10" s="246">
        <f ca="1">IF($W10="DIRECT",$O10,DSTDEV('literature entries'!$D:$AI,IF($J10=1,"ACTIVE     CED, FARM GATE (MJ/kg)","CED, processor gate (MJ/kg)"),INDIRECT($W10)))</f>
        <v>0.57442043892896122</v>
      </c>
      <c r="AA10" s="246">
        <f t="shared" ca="1" si="2"/>
        <v>6.2367131487711225E-2</v>
      </c>
      <c r="AB10" s="254" t="s">
        <v>2455</v>
      </c>
      <c r="AC10" s="247">
        <f ca="1">IF($AB10="DIRECT",Q10,DCOUNT('literature entries'!$D:$AI,IF($J10=1,"ACTIVE     GHGE, FARM GATE (kg CO2e/kg)","GHGE, processor gate (kg CO2e/kg)"),INDIRECT($AB10)))</f>
        <v>25</v>
      </c>
      <c r="AD10" s="247">
        <f ca="1">IF($AB10="DIRECT","",DAVERAGE('literature entries'!$D:$AI,IF($J10=1,"ACTIVE     GHGE, FARM GATE (kg CO2e/kg)","GHGE, processor gate (kg CO2e/kg)"),INDIRECT($AB10)))</f>
        <v>0.21340000000000003</v>
      </c>
      <c r="AE10" s="247">
        <f ca="1">IF($AB10="DIRECT",$S10,DSTDEV('literature entries'!$D:$AI,IF($J10=1,"ACTIVE     GHGE, FARM GATE (kg CO2e/kg)","GHGE, processor gate (kg CO2e/kg)"),INDIRECT($AB10)))</f>
        <v>0.17992035274902424</v>
      </c>
      <c r="AF10" s="247">
        <f t="shared" ca="1" si="3"/>
        <v>4.2531687510671393E-2</v>
      </c>
    </row>
    <row r="11" spans="1:32" s="21" customFormat="1" ht="17" thickBot="1" x14ac:dyDescent="0.25">
      <c r="A11" s="129">
        <v>101168000</v>
      </c>
      <c r="B11" s="130" t="s">
        <v>2002</v>
      </c>
      <c r="C11" s="131" t="s">
        <v>2003</v>
      </c>
      <c r="D11" s="131"/>
      <c r="E11" s="131">
        <v>1</v>
      </c>
      <c r="F11" s="126">
        <f t="shared" ca="1" si="0"/>
        <v>0</v>
      </c>
      <c r="G11" s="127">
        <f t="shared" ca="1" si="1"/>
        <v>0.87</v>
      </c>
      <c r="H11" s="132">
        <v>1</v>
      </c>
      <c r="I11" s="133" t="s">
        <v>594</v>
      </c>
      <c r="J11" s="91">
        <v>1</v>
      </c>
      <c r="K11" s="90" t="s">
        <v>2465</v>
      </c>
      <c r="L11" s="152" t="str">
        <f>IF(ISERROR(GETPIVOTDATA(IF($J11=1,"Count of ACTIVE     CED, FARM GATE (MJ/kg)","Count of CED, processor gate (MJ/kg)"),'Pivot Table_CED'!$A$3,"SUB TYPE",$B11)),"PROXY",IF(GETPIVOTDATA(IF($J11=1,"Count of ACTIVE     CED, FARM GATE (MJ/kg)","Count of CED, processor gate (MJ/kg)"),'Pivot Table_CED'!$A$3,"SUB TYPE",$B11)=0,"PROXY","DB value"))</f>
        <v>PROXY</v>
      </c>
      <c r="M11" s="134">
        <f ca="1">IF($L11="PROXY",DCOUNT('literature entries'!$D:$AI,IF($J11=1,"ACTIVE     CED, FARM GATE (MJ/kg)","CED, processor gate (MJ/kg)"),INDIRECT($K11)),GETPIVOTDATA(IF($J11=1,"Count of ACTIVE     CED, FARM GATE (MJ/kg)","Count of CED, processor gate (MJ/kg)"),'Pivot Table_CED'!$A$3,"SUB TYPE",$B11))</f>
        <v>1</v>
      </c>
      <c r="N11" s="135">
        <f ca="1">IF($L11="PROXY",DAVERAGE('literature entries'!$D:$AI,IF($J11=1,"ACTIVE     CED, FARM GATE (MJ/kg)","CED, processor gate (MJ/kg)"),INDIRECT($K11)),GETPIVOTDATA(IF($J11=1,"Average of ACTIVE     CED, FARM GATE (MJ/kg)","Average of CED, processor gate (MJ/kg)"),'Pivot Table_CED'!$A$3,"SUB TYPE",$B11))</f>
        <v>0</v>
      </c>
      <c r="O11" s="135" t="e">
        <f ca="1">IF($L11="PROXY",DSTDEV('literature entries'!D:AI,IF($J11=1,"ACTIVE     CED, FARM GATE (MJ/kg)","CED, processor gate (MJ/kg)"),INDIRECT($K11)),GETPIVOTDATA(IF($J11=1,"StdDev of ACTIVE     CED, FARM GATE (MJ/kg)","StdDev of CED, processor gate (MJ/kg)"),'Pivot Table_CED'!$A$3,"SUB TYPE",$B11))</f>
        <v>#DIV/0!</v>
      </c>
      <c r="P11" s="152" t="str">
        <f>IF(ISERROR(GETPIVOTDATA(IF($J11=1,"Count of ACTIVE     GHGE, FARM GATE (kg CO2e/kg)","Count of GHGE, processor gate (kg CO2e/kg)"),'Pivot Table_GHG'!$A$3,"SUB TYPE",$B11)),"PROXY",IF(GETPIVOTDATA(IF($J11=1,"Count of ACTIVE     GHGE, FARM GATE (kg CO2e/kg)","Count of GHGE, processor gate (kg CO2e/kg)"),'Pivot Table_GHG'!$A$3,"SUB TYPE",$B11)=0,"PROXY","DB value"))</f>
        <v>PROXY</v>
      </c>
      <c r="Q11" s="141">
        <f ca="1">IF($P11="PROXY",DCOUNT('literature entries'!$D:$AI,IF($J11=1,"ACTIVE     GHGE, FARM GATE (kg CO2e/kg)","GHGE, processor gate (kg CO2e/kg)"),INDIRECT($K11)),GETPIVOTDATA(IF($J11=1,"ACTIVE     GHGE, FARM GATE (kg CO2e/kg)","Count of GHGE, processor gate (kg CO2e/kg)"),'Pivot Table_GHG'!$A$3,"SUB TYPE",$B11))</f>
        <v>2</v>
      </c>
      <c r="R11" s="221">
        <f ca="1">IF($P11="PROXY",DAVERAGE('literature entries'!$D:$AI,IF($J11=1,"ACTIVE     GHGE, FARM GATE (kg CO2e/kg)","GHGE, processor gate (kg CO2e/kg)"),INDIRECT($K11)),GETPIVOTDATA(IF($J11=1,"Average of ACTIVE     GHGE, FARM GATE (kg CO2e/kg)","Average of GHGE, processor gate (kg CO2e/kg)"),'Pivot Table_GHG'!$A$3,"SUB TYPE",$B11))</f>
        <v>0.87</v>
      </c>
      <c r="S11" s="221">
        <f ca="1">IF($P11="PROXY",DSTDEV('literature entries'!$D:$AI,IF($J11=1,"ACTIVE     GHGE, FARM GATE (kg CO2e/kg)","GHGE, processor gate (kg CO2e/kg)"),INDIRECT($K11)),GETPIVOTDATA(IF($J11=1,"StdDev of ACTIVE     GHGE, FARM GATE (kg CO2e/kg)","StdDev of GHGE, processor gate (kg CO2e/kg)"),'Pivot Table_GHG'!$A$3,"SUB TYPE",$B11))</f>
        <v>0</v>
      </c>
      <c r="T11" s="101"/>
      <c r="U11" s="102"/>
      <c r="W11" s="256" t="s">
        <v>3367</v>
      </c>
      <c r="X11" s="246"/>
      <c r="Y11" s="246"/>
      <c r="Z11" s="246">
        <v>0</v>
      </c>
      <c r="AA11" s="246">
        <v>0</v>
      </c>
      <c r="AB11" s="254" t="s">
        <v>3367</v>
      </c>
      <c r="AC11" s="247"/>
      <c r="AD11" s="247"/>
      <c r="AE11" s="247">
        <v>0</v>
      </c>
      <c r="AF11" s="247">
        <v>0</v>
      </c>
    </row>
    <row r="12" spans="1:32" s="21" customFormat="1" ht="17" thickBot="1" x14ac:dyDescent="0.25">
      <c r="A12" s="129">
        <v>101190000</v>
      </c>
      <c r="B12" s="130" t="s">
        <v>2037</v>
      </c>
      <c r="C12" s="131" t="s">
        <v>2038</v>
      </c>
      <c r="D12" s="131"/>
      <c r="E12" s="131">
        <v>364</v>
      </c>
      <c r="F12" s="126">
        <f t="shared" ca="1" si="0"/>
        <v>1.4220714285714284</v>
      </c>
      <c r="G12" s="127">
        <f t="shared" ca="1" si="1"/>
        <v>0.21340000000000003</v>
      </c>
      <c r="H12" s="132">
        <v>1</v>
      </c>
      <c r="I12" s="133" t="s">
        <v>594</v>
      </c>
      <c r="J12" s="91">
        <v>1</v>
      </c>
      <c r="K12" s="90" t="s">
        <v>2455</v>
      </c>
      <c r="L12" s="152" t="str">
        <f>IF(ISERROR(GETPIVOTDATA(IF($J12=1,"Count of ACTIVE     CED, FARM GATE (MJ/kg)","Count of CED, processor gate (MJ/kg)"),'Pivot Table_CED'!$A$3,"SUB TYPE",$B12)),"PROXY",IF(GETPIVOTDATA(IF($J12=1,"Count of ACTIVE     CED, FARM GATE (MJ/kg)","Count of CED, processor gate (MJ/kg)"),'Pivot Table_CED'!$A$3,"SUB TYPE",$B12)=0,"PROXY","DB value"))</f>
        <v>PROXY</v>
      </c>
      <c r="M12" s="134">
        <f ca="1">IF($L12="PROXY",DCOUNT('literature entries'!$D:$AI,IF($J12=1,"ACTIVE     CED, FARM GATE (MJ/kg)","CED, processor gate (MJ/kg)"),INDIRECT($K12)),GETPIVOTDATA(IF($J12=1,"Count of ACTIVE     CED, FARM GATE (MJ/kg)","Count of CED, processor gate (MJ/kg)"),'Pivot Table_CED'!$A$3,"SUB TYPE",$B12))</f>
        <v>14</v>
      </c>
      <c r="N12" s="135">
        <f ca="1">IF($L12="PROXY",DAVERAGE('literature entries'!$D:$AI,IF($J12=1,"ACTIVE     CED, FARM GATE (MJ/kg)","CED, processor gate (MJ/kg)"),INDIRECT($K12)),GETPIVOTDATA(IF($J12=1,"Average of ACTIVE     CED, FARM GATE (MJ/kg)","Average of CED, processor gate (MJ/kg)"),'Pivot Table_CED'!$A$3,"SUB TYPE",$B12))</f>
        <v>1.4220714285714284</v>
      </c>
      <c r="O12" s="135">
        <f ca="1">IF($L12="PROXY",DSTDEV('literature entries'!D:AI,IF($J12=1,"ACTIVE     CED, FARM GATE (MJ/kg)","CED, processor gate (MJ/kg)"),INDIRECT($K12)),GETPIVOTDATA(IF($J12=1,"StdDev of ACTIVE     CED, FARM GATE (MJ/kg)","StdDev of CED, processor gate (MJ/kg)"),'Pivot Table_CED'!$A$3,"SUB TYPE",$B12))</f>
        <v>0.57442043892896122</v>
      </c>
      <c r="P12" s="152" t="str">
        <f>IF(ISERROR(GETPIVOTDATA(IF($J12=1,"Count of ACTIVE     GHGE, FARM GATE (kg CO2e/kg)","Count of GHGE, processor gate (kg CO2e/kg)"),'Pivot Table_GHG'!$A$3,"SUB TYPE",$B12)),"PROXY",IF(GETPIVOTDATA(IF($J12=1,"Count of ACTIVE     GHGE, FARM GATE (kg CO2e/kg)","Count of GHGE, processor gate (kg CO2e/kg)"),'Pivot Table_GHG'!$A$3,"SUB TYPE",$B12)=0,"PROXY","DB value"))</f>
        <v>PROXY</v>
      </c>
      <c r="Q12" s="141">
        <f ca="1">IF($P12="PROXY",DCOUNT('literature entries'!$D:$AI,IF($J12=1,"ACTIVE     GHGE, FARM GATE (kg CO2e/kg)","GHGE, processor gate (kg CO2e/kg)"),INDIRECT($K12)),GETPIVOTDATA(IF($J12=1,"ACTIVE     GHGE, FARM GATE (kg CO2e/kg)","Count of GHGE, processor gate (kg CO2e/kg)"),'Pivot Table_GHG'!$A$3,"SUB TYPE",$B12))</f>
        <v>25</v>
      </c>
      <c r="R12" s="221">
        <f ca="1">IF($P12="PROXY",DAVERAGE('literature entries'!$D:$AI,IF($J12=1,"ACTIVE     GHGE, FARM GATE (kg CO2e/kg)","GHGE, processor gate (kg CO2e/kg)"),INDIRECT($K12)),GETPIVOTDATA(IF($J12=1,"Average of ACTIVE     GHGE, FARM GATE (kg CO2e/kg)","Average of GHGE, processor gate (kg CO2e/kg)"),'Pivot Table_GHG'!$A$3,"SUB TYPE",$B12))</f>
        <v>0.21340000000000003</v>
      </c>
      <c r="S12" s="221">
        <f ca="1">IF($P12="PROXY",DSTDEV('literature entries'!$D:$AI,IF($J12=1,"ACTIVE     GHGE, FARM GATE (kg CO2e/kg)","GHGE, processor gate (kg CO2e/kg)"),INDIRECT($K12)),GETPIVOTDATA(IF($J12=1,"StdDev of ACTIVE     GHGE, FARM GATE (kg CO2e/kg)","StdDev of GHGE, processor gate (kg CO2e/kg)"),'Pivot Table_GHG'!$A$3,"SUB TYPE",$B12))</f>
        <v>0.17992035274902424</v>
      </c>
      <c r="T12" s="101"/>
      <c r="U12" s="102"/>
      <c r="W12" s="248" t="str">
        <f t="shared" ref="W12:W17" ca="1" si="4">IF(L12="PROXY",IF(M12&gt;=5,K12,"need group"),IF(M12&gt;=5,"DIRECT","need group"))</f>
        <v>roots</v>
      </c>
      <c r="X12" s="246">
        <f ca="1">IF($W12="DIRECT",M12,DCOUNT('literature entries'!$D:$AI,IF($J12=1,"ACTIVE     CED, FARM GATE (MJ/kg)","CED, processor gate (MJ/kg)"),INDIRECT($W12)))</f>
        <v>14</v>
      </c>
      <c r="Y12" s="246">
        <f ca="1">IF($W12="DIRECT","",DAVERAGE('literature entries'!$D:$AI,IF($J12=1,"ACTIVE     CED, FARM GATE (MJ/kg)","CED, processor gate (MJ/kg)"),INDIRECT($W12)))</f>
        <v>1.4220714285714284</v>
      </c>
      <c r="Z12" s="246">
        <f ca="1">IF($W12="DIRECT",$O12,DSTDEV('literature entries'!$D:$AI,IF($J12=1,"ACTIVE     CED, FARM GATE (MJ/kg)","CED, processor gate (MJ/kg)"),INDIRECT($W12)))</f>
        <v>0.57442043892896122</v>
      </c>
      <c r="AA12" s="246">
        <f t="shared" ref="AA12:AA43" ca="1" si="5">IF($W12="DIRECT",$O12,$Z12/$Y12*$N12)</f>
        <v>0.57442043892896122</v>
      </c>
      <c r="AB12" s="254" t="str">
        <f ca="1">IF(P12="PROXY",IF(Q12&gt;=5,K12,"need group"),IF(Q12&gt;=5,"DIRECT","need group"))</f>
        <v>roots</v>
      </c>
      <c r="AC12" s="247">
        <f ca="1">IF($AB12="DIRECT",Q12,DCOUNT('literature entries'!$D:$AI,IF($J12=1,"ACTIVE     GHGE, FARM GATE (kg CO2e/kg)","GHGE, processor gate (kg CO2e/kg)"),INDIRECT($AB12)))</f>
        <v>25</v>
      </c>
      <c r="AD12" s="247">
        <f ca="1">IF($AB12="DIRECT","",DAVERAGE('literature entries'!$D:$AI,IF($J12=1,"ACTIVE     GHGE, FARM GATE (kg CO2e/kg)","GHGE, processor gate (kg CO2e/kg)"),INDIRECT($AB12)))</f>
        <v>0.21340000000000003</v>
      </c>
      <c r="AE12" s="247">
        <f ca="1">IF($AB12="DIRECT",$S12,DSTDEV('literature entries'!$D:$AI,IF($J12=1,"ACTIVE     GHGE, FARM GATE (kg CO2e/kg)","GHGE, processor gate (kg CO2e/kg)"),INDIRECT($AB12)))</f>
        <v>0.17992035274902424</v>
      </c>
      <c r="AF12" s="247">
        <f t="shared" ref="AF12:AF43" ca="1" si="6">IF($AB12="DIRECT",$S12,$AE12/$AD12*$R12)</f>
        <v>0.17992035274902424</v>
      </c>
    </row>
    <row r="13" spans="1:32" s="21" customFormat="1" ht="17" thickBot="1" x14ac:dyDescent="0.25">
      <c r="A13" s="129">
        <v>101251000</v>
      </c>
      <c r="B13" s="130" t="s">
        <v>2122</v>
      </c>
      <c r="C13" s="131" t="s">
        <v>2123</v>
      </c>
      <c r="D13" s="131"/>
      <c r="E13" s="131">
        <v>54</v>
      </c>
      <c r="F13" s="126">
        <f t="shared" ca="1" si="0"/>
        <v>1.6211614285714282</v>
      </c>
      <c r="G13" s="127">
        <f t="shared" ca="1" si="1"/>
        <v>0.24327600000000002</v>
      </c>
      <c r="H13" s="132">
        <v>1.1399999999999999</v>
      </c>
      <c r="I13" s="133" t="s">
        <v>2724</v>
      </c>
      <c r="J13" s="91">
        <v>1</v>
      </c>
      <c r="K13" s="90" t="s">
        <v>2455</v>
      </c>
      <c r="L13" s="152" t="str">
        <f>IF(ISERROR(GETPIVOTDATA(IF($J13=1,"Count of ACTIVE     CED, FARM GATE (MJ/kg)","Count of CED, processor gate (MJ/kg)"),'Pivot Table_CED'!$A$3,"SUB TYPE",$B13)),"PROXY",IF(GETPIVOTDATA(IF($J13=1,"Count of ACTIVE     CED, FARM GATE (MJ/kg)","Count of CED, processor gate (MJ/kg)"),'Pivot Table_CED'!$A$3,"SUB TYPE",$B13)=0,"PROXY","DB value"))</f>
        <v>PROXY</v>
      </c>
      <c r="M13" s="134">
        <f ca="1">IF($L13="PROXY",DCOUNT('literature entries'!$D:$AI,IF($J13=1,"ACTIVE     CED, FARM GATE (MJ/kg)","CED, processor gate (MJ/kg)"),INDIRECT($K13)),GETPIVOTDATA(IF($J13=1,"Count of ACTIVE     CED, FARM GATE (MJ/kg)","Count of CED, processor gate (MJ/kg)"),'Pivot Table_CED'!$A$3,"SUB TYPE",$B13))</f>
        <v>14</v>
      </c>
      <c r="N13" s="135">
        <f ca="1">IF($L13="PROXY",DAVERAGE('literature entries'!$D:$AI,IF($J13=1,"ACTIVE     CED, FARM GATE (MJ/kg)","CED, processor gate (MJ/kg)"),INDIRECT($K13)),GETPIVOTDATA(IF($J13=1,"Average of ACTIVE     CED, FARM GATE (MJ/kg)","Average of CED, processor gate (MJ/kg)"),'Pivot Table_CED'!$A$3,"SUB TYPE",$B13))</f>
        <v>1.4220714285714284</v>
      </c>
      <c r="O13" s="135">
        <f ca="1">IF($L13="PROXY",DSTDEV('literature entries'!D:AI,IF($J13=1,"ACTIVE     CED, FARM GATE (MJ/kg)","CED, processor gate (MJ/kg)"),INDIRECT($K13)),GETPIVOTDATA(IF($J13=1,"StdDev of ACTIVE     CED, FARM GATE (MJ/kg)","StdDev of CED, processor gate (MJ/kg)"),'Pivot Table_CED'!$A$3,"SUB TYPE",$B13))</f>
        <v>0.57442043892896122</v>
      </c>
      <c r="P13" s="152" t="str">
        <f>IF(ISERROR(GETPIVOTDATA(IF($J13=1,"Count of ACTIVE     GHGE, FARM GATE (kg CO2e/kg)","Count of GHGE, processor gate (kg CO2e/kg)"),'Pivot Table_GHG'!$A$3,"SUB TYPE",$B13)),"PROXY",IF(GETPIVOTDATA(IF($J13=1,"Count of ACTIVE     GHGE, FARM GATE (kg CO2e/kg)","Count of GHGE, processor gate (kg CO2e/kg)"),'Pivot Table_GHG'!$A$3,"SUB TYPE",$B13)=0,"PROXY","DB value"))</f>
        <v>PROXY</v>
      </c>
      <c r="Q13" s="141">
        <f ca="1">IF($P13="PROXY",DCOUNT('literature entries'!$D:$AI,IF($J13=1,"ACTIVE     GHGE, FARM GATE (kg CO2e/kg)","GHGE, processor gate (kg CO2e/kg)"),INDIRECT($K13)),GETPIVOTDATA(IF($J13=1,"ACTIVE     GHGE, FARM GATE (kg CO2e/kg)","Count of GHGE, processor gate (kg CO2e/kg)"),'Pivot Table_GHG'!$A$3,"SUB TYPE",$B13))</f>
        <v>25</v>
      </c>
      <c r="R13" s="221">
        <f ca="1">IF($P13="PROXY",DAVERAGE('literature entries'!$D:$AI,IF($J13=1,"ACTIVE     GHGE, FARM GATE (kg CO2e/kg)","GHGE, processor gate (kg CO2e/kg)"),INDIRECT($K13)),GETPIVOTDATA(IF($J13=1,"Average of ACTIVE     GHGE, FARM GATE (kg CO2e/kg)","Average of GHGE, processor gate (kg CO2e/kg)"),'Pivot Table_GHG'!$A$3,"SUB TYPE",$B13))</f>
        <v>0.21340000000000003</v>
      </c>
      <c r="S13" s="221">
        <f ca="1">IF($P13="PROXY",DSTDEV('literature entries'!$D:$AI,IF($J13=1,"ACTIVE     GHGE, FARM GATE (kg CO2e/kg)","GHGE, processor gate (kg CO2e/kg)"),INDIRECT($K13)),GETPIVOTDATA(IF($J13=1,"StdDev of ACTIVE     GHGE, FARM GATE (kg CO2e/kg)","StdDev of GHGE, processor gate (kg CO2e/kg)"),'Pivot Table_GHG'!$A$3,"SUB TYPE",$B13))</f>
        <v>0.17992035274902424</v>
      </c>
      <c r="T13" s="101"/>
      <c r="U13" s="102"/>
      <c r="W13" s="248" t="str">
        <f t="shared" ca="1" si="4"/>
        <v>roots</v>
      </c>
      <c r="X13" s="246">
        <f ca="1">IF($W13="DIRECT",M13,DCOUNT('literature entries'!$D:$AI,IF($J13=1,"ACTIVE     CED, FARM GATE (MJ/kg)","CED, processor gate (MJ/kg)"),INDIRECT($W13)))</f>
        <v>14</v>
      </c>
      <c r="Y13" s="246">
        <f ca="1">IF($W13="DIRECT","",DAVERAGE('literature entries'!$D:$AI,IF($J13=1,"ACTIVE     CED, FARM GATE (MJ/kg)","CED, processor gate (MJ/kg)"),INDIRECT($W13)))</f>
        <v>1.4220714285714284</v>
      </c>
      <c r="Z13" s="246">
        <f ca="1">IF($W13="DIRECT",$O13,DSTDEV('literature entries'!$D:$AI,IF($J13=1,"ACTIVE     CED, FARM GATE (MJ/kg)","CED, processor gate (MJ/kg)"),INDIRECT($W13)))</f>
        <v>0.57442043892896122</v>
      </c>
      <c r="AA13" s="246">
        <f t="shared" ca="1" si="5"/>
        <v>0.57442043892896122</v>
      </c>
      <c r="AB13" s="254" t="str">
        <f ca="1">IF(P13="PROXY",IF(Q13&gt;=5,K13,"need group"),IF(Q13&gt;=5,"DIRECT","need group"))</f>
        <v>roots</v>
      </c>
      <c r="AC13" s="247">
        <f ca="1">IF($AB13="DIRECT",Q13,DCOUNT('literature entries'!$D:$AI,IF($J13=1,"ACTIVE     GHGE, FARM GATE (kg CO2e/kg)","GHGE, processor gate (kg CO2e/kg)"),INDIRECT($AB13)))</f>
        <v>25</v>
      </c>
      <c r="AD13" s="247">
        <f ca="1">IF($AB13="DIRECT","",DAVERAGE('literature entries'!$D:$AI,IF($J13=1,"ACTIVE     GHGE, FARM GATE (kg CO2e/kg)","GHGE, processor gate (kg CO2e/kg)"),INDIRECT($AB13)))</f>
        <v>0.21340000000000003</v>
      </c>
      <c r="AE13" s="247">
        <f ca="1">IF($AB13="DIRECT",$S13,DSTDEV('literature entries'!$D:$AI,IF($J13=1,"ACTIVE     GHGE, FARM GATE (kg CO2e/kg)","GHGE, processor gate (kg CO2e/kg)"),INDIRECT($AB13)))</f>
        <v>0.17992035274902424</v>
      </c>
      <c r="AF13" s="247">
        <f t="shared" ca="1" si="6"/>
        <v>0.17992035274902424</v>
      </c>
    </row>
    <row r="14" spans="1:32" s="21" customFormat="1" thickBot="1" x14ac:dyDescent="0.25">
      <c r="A14" s="129">
        <v>101314000</v>
      </c>
      <c r="B14" s="130" t="s">
        <v>2227</v>
      </c>
      <c r="C14" s="131" t="s">
        <v>1851</v>
      </c>
      <c r="D14" s="131"/>
      <c r="E14" s="131">
        <v>503</v>
      </c>
      <c r="F14" s="126">
        <f t="shared" ca="1" si="0"/>
        <v>1.5784992857142857</v>
      </c>
      <c r="G14" s="127">
        <f t="shared" ca="1" si="1"/>
        <v>0.23687400000000006</v>
      </c>
      <c r="H14" s="132">
        <v>1.1100000000000001</v>
      </c>
      <c r="I14" s="132" t="s">
        <v>2724</v>
      </c>
      <c r="J14" s="91">
        <v>1</v>
      </c>
      <c r="K14" s="90" t="s">
        <v>2455</v>
      </c>
      <c r="L14" s="152" t="str">
        <f>IF(ISERROR(GETPIVOTDATA(IF($J14=1,"Count of ACTIVE     CED, FARM GATE (MJ/kg)","Count of CED, processor gate (MJ/kg)"),'Pivot Table_CED'!$A$3,"SUB TYPE",$B14)),"PROXY",IF(GETPIVOTDATA(IF($J14=1,"Count of ACTIVE     CED, FARM GATE (MJ/kg)","Count of CED, processor gate (MJ/kg)"),'Pivot Table_CED'!$A$3,"SUB TYPE",$B14)=0,"PROXY","DB value"))</f>
        <v>PROXY</v>
      </c>
      <c r="M14" s="134">
        <f ca="1">IF($L14="PROXY",DCOUNT('literature entries'!$D:$AI,IF($J14=1,"ACTIVE     CED, FARM GATE (MJ/kg)","CED, processor gate (MJ/kg)"),INDIRECT($K14)),GETPIVOTDATA(IF($J14=1,"Count of ACTIVE     CED, FARM GATE (MJ/kg)","Count of CED, processor gate (MJ/kg)"),'Pivot Table_CED'!$A$3,"SUB TYPE",$B14))</f>
        <v>14</v>
      </c>
      <c r="N14" s="135">
        <f ca="1">IF($L14="PROXY",DAVERAGE('literature entries'!$D:$AI,IF($J14=1,"ACTIVE     CED, FARM GATE (MJ/kg)","CED, processor gate (MJ/kg)"),INDIRECT($K14)),GETPIVOTDATA(IF($J14=1,"Average of ACTIVE     CED, FARM GATE (MJ/kg)","Average of CED, processor gate (MJ/kg)"),'Pivot Table_CED'!$A$3,"SUB TYPE",$B14))</f>
        <v>1.4220714285714284</v>
      </c>
      <c r="O14" s="135">
        <f ca="1">IF($L14="PROXY",DSTDEV('literature entries'!D:AI,IF($J14=1,"ACTIVE     CED, FARM GATE (MJ/kg)","CED, processor gate (MJ/kg)"),INDIRECT($K14)),GETPIVOTDATA(IF($J14=1,"StdDev of ACTIVE     CED, FARM GATE (MJ/kg)","StdDev of CED, processor gate (MJ/kg)"),'Pivot Table_CED'!$A$3,"SUB TYPE",$B14))</f>
        <v>0.57442043892896122</v>
      </c>
      <c r="P14" s="152" t="str">
        <f>IF(ISERROR(GETPIVOTDATA(IF($J14=1,"Count of ACTIVE     GHGE, FARM GATE (kg CO2e/kg)","Count of GHGE, processor gate (kg CO2e/kg)"),'Pivot Table_GHG'!$A$3,"SUB TYPE",$B14)),"PROXY",IF(GETPIVOTDATA(IF($J14=1,"Count of ACTIVE     GHGE, FARM GATE (kg CO2e/kg)","Count of GHGE, processor gate (kg CO2e/kg)"),'Pivot Table_GHG'!$A$3,"SUB TYPE",$B14)=0,"PROXY","DB value"))</f>
        <v>PROXY</v>
      </c>
      <c r="Q14" s="141">
        <f ca="1">IF($P14="PROXY",DCOUNT('literature entries'!$D:$AI,IF($J14=1,"ACTIVE     GHGE, FARM GATE (kg CO2e/kg)","GHGE, processor gate (kg CO2e/kg)"),INDIRECT($K14)),GETPIVOTDATA(IF($J14=1,"ACTIVE     GHGE, FARM GATE (kg CO2e/kg)","Count of GHGE, processor gate (kg CO2e/kg)"),'Pivot Table_GHG'!$A$3,"SUB TYPE",$B14))</f>
        <v>25</v>
      </c>
      <c r="R14" s="221">
        <f ca="1">IF($P14="PROXY",DAVERAGE('literature entries'!$D:$AI,IF($J14=1,"ACTIVE     GHGE, FARM GATE (kg CO2e/kg)","GHGE, processor gate (kg CO2e/kg)"),INDIRECT($K14)),GETPIVOTDATA(IF($J14=1,"Average of ACTIVE     GHGE, FARM GATE (kg CO2e/kg)","Average of GHGE, processor gate (kg CO2e/kg)"),'Pivot Table_GHG'!$A$3,"SUB TYPE",$B14))</f>
        <v>0.21340000000000003</v>
      </c>
      <c r="S14" s="221">
        <f ca="1">IF($P14="PROXY",DSTDEV('literature entries'!$D:$AI,IF($J14=1,"ACTIVE     GHGE, FARM GATE (kg CO2e/kg)","GHGE, processor gate (kg CO2e/kg)"),INDIRECT($K14)),GETPIVOTDATA(IF($J14=1,"StdDev of ACTIVE     GHGE, FARM GATE (kg CO2e/kg)","StdDev of GHGE, processor gate (kg CO2e/kg)"),'Pivot Table_GHG'!$A$3,"SUB TYPE",$B14))</f>
        <v>0.17992035274902424</v>
      </c>
      <c r="T14" s="101"/>
      <c r="U14" s="102"/>
      <c r="W14" s="248" t="str">
        <f t="shared" ca="1" si="4"/>
        <v>roots</v>
      </c>
      <c r="X14" s="246">
        <f ca="1">IF($W14="DIRECT",M14,DCOUNT('literature entries'!$D:$AI,IF($J14=1,"ACTIVE     CED, FARM GATE (MJ/kg)","CED, processor gate (MJ/kg)"),INDIRECT($W14)))</f>
        <v>14</v>
      </c>
      <c r="Y14" s="246">
        <f ca="1">IF($W14="DIRECT","",DAVERAGE('literature entries'!$D:$AI,IF($J14=1,"ACTIVE     CED, FARM GATE (MJ/kg)","CED, processor gate (MJ/kg)"),INDIRECT($W14)))</f>
        <v>1.4220714285714284</v>
      </c>
      <c r="Z14" s="246">
        <f ca="1">IF($W14="DIRECT",$O14,DSTDEV('literature entries'!$D:$AI,IF($J14=1,"ACTIVE     CED, FARM GATE (MJ/kg)","CED, processor gate (MJ/kg)"),INDIRECT($W14)))</f>
        <v>0.57442043892896122</v>
      </c>
      <c r="AA14" s="246">
        <f t="shared" ca="1" si="5"/>
        <v>0.57442043892896122</v>
      </c>
      <c r="AB14" s="254" t="str">
        <f ca="1">IF(P14="PROXY",IF(Q14&gt;=5,K14,"need group"),IF(Q14&gt;=5,"DIRECT","need group"))</f>
        <v>roots</v>
      </c>
      <c r="AC14" s="247">
        <f ca="1">IF($AB14="DIRECT",Q14,DCOUNT('literature entries'!$D:$AI,IF($J14=1,"ACTIVE     GHGE, FARM GATE (kg CO2e/kg)","GHGE, processor gate (kg CO2e/kg)"),INDIRECT($AB14)))</f>
        <v>25</v>
      </c>
      <c r="AD14" s="247">
        <f ca="1">IF($AB14="DIRECT","",DAVERAGE('literature entries'!$D:$AI,IF($J14=1,"ACTIVE     GHGE, FARM GATE (kg CO2e/kg)","GHGE, processor gate (kg CO2e/kg)"),INDIRECT($AB14)))</f>
        <v>0.21340000000000003</v>
      </c>
      <c r="AE14" s="247">
        <f ca="1">IF($AB14="DIRECT",$S14,DSTDEV('literature entries'!$D:$AI,IF($J14=1,"ACTIVE     GHGE, FARM GATE (kg CO2e/kg)","GHGE, processor gate (kg CO2e/kg)"),INDIRECT($AB14)))</f>
        <v>0.17992035274902424</v>
      </c>
      <c r="AF14" s="247">
        <f t="shared" ca="1" si="6"/>
        <v>0.17992035274902424</v>
      </c>
    </row>
    <row r="15" spans="1:32" s="21" customFormat="1" ht="17" thickBot="1" x14ac:dyDescent="0.25">
      <c r="A15" s="129">
        <v>101316000</v>
      </c>
      <c r="B15" s="130" t="s">
        <v>2226</v>
      </c>
      <c r="C15" s="131" t="s">
        <v>1851</v>
      </c>
      <c r="D15" s="131"/>
      <c r="E15" s="131">
        <v>7</v>
      </c>
      <c r="F15" s="126">
        <f t="shared" ca="1" si="0"/>
        <v>1.8060307142857142</v>
      </c>
      <c r="G15" s="127">
        <f t="shared" ca="1" si="1"/>
        <v>0.27101800000000004</v>
      </c>
      <c r="H15" s="132">
        <v>1.27</v>
      </c>
      <c r="I15" s="133" t="s">
        <v>2724</v>
      </c>
      <c r="J15" s="91">
        <v>1</v>
      </c>
      <c r="K15" s="90" t="s">
        <v>2455</v>
      </c>
      <c r="L15" s="152" t="str">
        <f>IF(ISERROR(GETPIVOTDATA(IF($J15=1,"Count of ACTIVE     CED, FARM GATE (MJ/kg)","Count of CED, processor gate (MJ/kg)"),'Pivot Table_CED'!$A$3,"SUB TYPE",$B15)),"PROXY",IF(GETPIVOTDATA(IF($J15=1,"Count of ACTIVE     CED, FARM GATE (MJ/kg)","Count of CED, processor gate (MJ/kg)"),'Pivot Table_CED'!$A$3,"SUB TYPE",$B15)=0,"PROXY","DB value"))</f>
        <v>PROXY</v>
      </c>
      <c r="M15" s="134">
        <f ca="1">IF($L15="PROXY",DCOUNT('literature entries'!$D:$AI,IF($J15=1,"ACTIVE     CED, FARM GATE (MJ/kg)","CED, processor gate (MJ/kg)"),INDIRECT($K15)),GETPIVOTDATA(IF($J15=1,"Count of ACTIVE     CED, FARM GATE (MJ/kg)","Count of CED, processor gate (MJ/kg)"),'Pivot Table_CED'!$A$3,"SUB TYPE",$B15))</f>
        <v>14</v>
      </c>
      <c r="N15" s="135">
        <f ca="1">IF($L15="PROXY",DAVERAGE('literature entries'!$D:$AI,IF($J15=1,"ACTIVE     CED, FARM GATE (MJ/kg)","CED, processor gate (MJ/kg)"),INDIRECT($K15)),GETPIVOTDATA(IF($J15=1,"Average of ACTIVE     CED, FARM GATE (MJ/kg)","Average of CED, processor gate (MJ/kg)"),'Pivot Table_CED'!$A$3,"SUB TYPE",$B15))</f>
        <v>1.4220714285714284</v>
      </c>
      <c r="O15" s="135">
        <f ca="1">IF($L15="PROXY",DSTDEV('literature entries'!D:AI,IF($J15=1,"ACTIVE     CED, FARM GATE (MJ/kg)","CED, processor gate (MJ/kg)"),INDIRECT($K15)),GETPIVOTDATA(IF($J15=1,"StdDev of ACTIVE     CED, FARM GATE (MJ/kg)","StdDev of CED, processor gate (MJ/kg)"),'Pivot Table_CED'!$A$3,"SUB TYPE",$B15))</f>
        <v>0.57442043892896122</v>
      </c>
      <c r="P15" s="152" t="str">
        <f>IF(ISERROR(GETPIVOTDATA(IF($J15=1,"Count of ACTIVE     GHGE, FARM GATE (kg CO2e/kg)","Count of GHGE, processor gate (kg CO2e/kg)"),'Pivot Table_GHG'!$A$3,"SUB TYPE",$B15)),"PROXY",IF(GETPIVOTDATA(IF($J15=1,"Count of ACTIVE     GHGE, FARM GATE (kg CO2e/kg)","Count of GHGE, processor gate (kg CO2e/kg)"),'Pivot Table_GHG'!$A$3,"SUB TYPE",$B15)=0,"PROXY","DB value"))</f>
        <v>PROXY</v>
      </c>
      <c r="Q15" s="141">
        <f ca="1">IF($P15="PROXY",DCOUNT('literature entries'!$D:$AI,IF($J15=1,"ACTIVE     GHGE, FARM GATE (kg CO2e/kg)","GHGE, processor gate (kg CO2e/kg)"),INDIRECT($K15)),GETPIVOTDATA(IF($J15=1,"ACTIVE     GHGE, FARM GATE (kg CO2e/kg)","Count of GHGE, processor gate (kg CO2e/kg)"),'Pivot Table_GHG'!$A$3,"SUB TYPE",$B15))</f>
        <v>25</v>
      </c>
      <c r="R15" s="221">
        <f ca="1">IF($P15="PROXY",DAVERAGE('literature entries'!$D:$AI,IF($J15=1,"ACTIVE     GHGE, FARM GATE (kg CO2e/kg)","GHGE, processor gate (kg CO2e/kg)"),INDIRECT($K15)),GETPIVOTDATA(IF($J15=1,"Average of ACTIVE     GHGE, FARM GATE (kg CO2e/kg)","Average of GHGE, processor gate (kg CO2e/kg)"),'Pivot Table_GHG'!$A$3,"SUB TYPE",$B15))</f>
        <v>0.21340000000000003</v>
      </c>
      <c r="S15" s="221">
        <f ca="1">IF($P15="PROXY",DSTDEV('literature entries'!$D:$AI,IF($J15=1,"ACTIVE     GHGE, FARM GATE (kg CO2e/kg)","GHGE, processor gate (kg CO2e/kg)"),INDIRECT($K15)),GETPIVOTDATA(IF($J15=1,"StdDev of ACTIVE     GHGE, FARM GATE (kg CO2e/kg)","StdDev of GHGE, processor gate (kg CO2e/kg)"),'Pivot Table_GHG'!$A$3,"SUB TYPE",$B15))</f>
        <v>0.17992035274902424</v>
      </c>
      <c r="T15" s="101"/>
      <c r="U15" s="102"/>
      <c r="W15" s="248" t="str">
        <f t="shared" ca="1" si="4"/>
        <v>roots</v>
      </c>
      <c r="X15" s="246">
        <f ca="1">IF($W15="DIRECT",M15,DCOUNT('literature entries'!$D:$AI,IF($J15=1,"ACTIVE     CED, FARM GATE (MJ/kg)","CED, processor gate (MJ/kg)"),INDIRECT($W15)))</f>
        <v>14</v>
      </c>
      <c r="Y15" s="246">
        <f ca="1">IF($W15="DIRECT","",DAVERAGE('literature entries'!$D:$AI,IF($J15=1,"ACTIVE     CED, FARM GATE (MJ/kg)","CED, processor gate (MJ/kg)"),INDIRECT($W15)))</f>
        <v>1.4220714285714284</v>
      </c>
      <c r="Z15" s="246">
        <f ca="1">IF($W15="DIRECT",$O15,DSTDEV('literature entries'!$D:$AI,IF($J15=1,"ACTIVE     CED, FARM GATE (MJ/kg)","CED, processor gate (MJ/kg)"),INDIRECT($W15)))</f>
        <v>0.57442043892896122</v>
      </c>
      <c r="AA15" s="246">
        <f t="shared" ca="1" si="5"/>
        <v>0.57442043892896122</v>
      </c>
      <c r="AB15" s="254" t="str">
        <f ca="1">IF(P15="PROXY",IF(Q15&gt;=5,K15,"need group"),IF(Q15&gt;=5,"DIRECT","need group"))</f>
        <v>roots</v>
      </c>
      <c r="AC15" s="247">
        <f ca="1">IF($AB15="DIRECT",Q15,DCOUNT('literature entries'!$D:$AI,IF($J15=1,"ACTIVE     GHGE, FARM GATE (kg CO2e/kg)","GHGE, processor gate (kg CO2e/kg)"),INDIRECT($AB15)))</f>
        <v>25</v>
      </c>
      <c r="AD15" s="247">
        <f ca="1">IF($AB15="DIRECT","",DAVERAGE('literature entries'!$D:$AI,IF($J15=1,"ACTIVE     GHGE, FARM GATE (kg CO2e/kg)","GHGE, processor gate (kg CO2e/kg)"),INDIRECT($AB15)))</f>
        <v>0.21340000000000003</v>
      </c>
      <c r="AE15" s="247">
        <f ca="1">IF($AB15="DIRECT",$S15,DSTDEV('literature entries'!$D:$AI,IF($J15=1,"ACTIVE     GHGE, FARM GATE (kg CO2e/kg)","GHGE, processor gate (kg CO2e/kg)"),INDIRECT($AB15)))</f>
        <v>0.17992035274902424</v>
      </c>
      <c r="AF15" s="247">
        <f t="shared" ca="1" si="6"/>
        <v>0.17992035274902424</v>
      </c>
    </row>
    <row r="16" spans="1:32" s="21" customFormat="1" ht="17" thickBot="1" x14ac:dyDescent="0.25">
      <c r="A16" s="129">
        <v>101327000</v>
      </c>
      <c r="B16" s="130" t="s">
        <v>2240</v>
      </c>
      <c r="C16" s="131" t="s">
        <v>2241</v>
      </c>
      <c r="D16" s="131"/>
      <c r="E16" s="131">
        <v>265</v>
      </c>
      <c r="F16" s="126">
        <f t="shared" ca="1" si="0"/>
        <v>1.6780442857142854</v>
      </c>
      <c r="G16" s="127">
        <f t="shared" ca="1" si="1"/>
        <v>0.25181200000000004</v>
      </c>
      <c r="H16" s="132">
        <v>1.18</v>
      </c>
      <c r="I16" s="133" t="s">
        <v>2724</v>
      </c>
      <c r="J16" s="91">
        <v>1</v>
      </c>
      <c r="K16" s="90" t="s">
        <v>2455</v>
      </c>
      <c r="L16" s="152" t="str">
        <f>IF(ISERROR(GETPIVOTDATA(IF($J16=1,"Count of ACTIVE     CED, FARM GATE (MJ/kg)","Count of CED, processor gate (MJ/kg)"),'Pivot Table_CED'!$A$3,"SUB TYPE",$B16)),"PROXY",IF(GETPIVOTDATA(IF($J16=1,"Count of ACTIVE     CED, FARM GATE (MJ/kg)","Count of CED, processor gate (MJ/kg)"),'Pivot Table_CED'!$A$3,"SUB TYPE",$B16)=0,"PROXY","DB value"))</f>
        <v>PROXY</v>
      </c>
      <c r="M16" s="134">
        <f ca="1">IF($L16="PROXY",DCOUNT('literature entries'!$D:$AI,IF($J16=1,"ACTIVE     CED, FARM GATE (MJ/kg)","CED, processor gate (MJ/kg)"),INDIRECT($K16)),GETPIVOTDATA(IF($J16=1,"Count of ACTIVE     CED, FARM GATE (MJ/kg)","Count of CED, processor gate (MJ/kg)"),'Pivot Table_CED'!$A$3,"SUB TYPE",$B16))</f>
        <v>14</v>
      </c>
      <c r="N16" s="135">
        <f ca="1">IF($L16="PROXY",DAVERAGE('literature entries'!$D:$AI,IF($J16=1,"ACTIVE     CED, FARM GATE (MJ/kg)","CED, processor gate (MJ/kg)"),INDIRECT($K16)),GETPIVOTDATA(IF($J16=1,"Average of ACTIVE     CED, FARM GATE (MJ/kg)","Average of CED, processor gate (MJ/kg)"),'Pivot Table_CED'!$A$3,"SUB TYPE",$B16))</f>
        <v>1.4220714285714284</v>
      </c>
      <c r="O16" s="135">
        <f ca="1">IF($L16="PROXY",DSTDEV('literature entries'!D:AI,IF($J16=1,"ACTIVE     CED, FARM GATE (MJ/kg)","CED, processor gate (MJ/kg)"),INDIRECT($K16)),GETPIVOTDATA(IF($J16=1,"StdDev of ACTIVE     CED, FARM GATE (MJ/kg)","StdDev of CED, processor gate (MJ/kg)"),'Pivot Table_CED'!$A$3,"SUB TYPE",$B16))</f>
        <v>0.57442043892896122</v>
      </c>
      <c r="P16" s="152" t="str">
        <f>IF(ISERROR(GETPIVOTDATA(IF($J16=1,"Count of ACTIVE     GHGE, FARM GATE (kg CO2e/kg)","Count of GHGE, processor gate (kg CO2e/kg)"),'Pivot Table_GHG'!$A$3,"SUB TYPE",$B16)),"PROXY",IF(GETPIVOTDATA(IF($J16=1,"Count of ACTIVE     GHGE, FARM GATE (kg CO2e/kg)","Count of GHGE, processor gate (kg CO2e/kg)"),'Pivot Table_GHG'!$A$3,"SUB TYPE",$B16)=0,"PROXY","DB value"))</f>
        <v>PROXY</v>
      </c>
      <c r="Q16" s="141">
        <f ca="1">IF($P16="PROXY",DCOUNT('literature entries'!$D:$AI,IF($J16=1,"ACTIVE     GHGE, FARM GATE (kg CO2e/kg)","GHGE, processor gate (kg CO2e/kg)"),INDIRECT($K16)),GETPIVOTDATA(IF($J16=1,"ACTIVE     GHGE, FARM GATE (kg CO2e/kg)","Count of GHGE, processor gate (kg CO2e/kg)"),'Pivot Table_GHG'!$A$3,"SUB TYPE",$B16))</f>
        <v>25</v>
      </c>
      <c r="R16" s="221">
        <f ca="1">IF($P16="PROXY",DAVERAGE('literature entries'!$D:$AI,IF($J16=1,"ACTIVE     GHGE, FARM GATE (kg CO2e/kg)","GHGE, processor gate (kg CO2e/kg)"),INDIRECT($K16)),GETPIVOTDATA(IF($J16=1,"Average of ACTIVE     GHGE, FARM GATE (kg CO2e/kg)","Average of GHGE, processor gate (kg CO2e/kg)"),'Pivot Table_GHG'!$A$3,"SUB TYPE",$B16))</f>
        <v>0.21340000000000003</v>
      </c>
      <c r="S16" s="221">
        <f ca="1">IF($P16="PROXY",DSTDEV('literature entries'!$D:$AI,IF($J16=1,"ACTIVE     GHGE, FARM GATE (kg CO2e/kg)","GHGE, processor gate (kg CO2e/kg)"),INDIRECT($K16)),GETPIVOTDATA(IF($J16=1,"StdDev of ACTIVE     GHGE, FARM GATE (kg CO2e/kg)","StdDev of GHGE, processor gate (kg CO2e/kg)"),'Pivot Table_GHG'!$A$3,"SUB TYPE",$B16))</f>
        <v>0.17992035274902424</v>
      </c>
      <c r="T16" s="101"/>
      <c r="U16" s="102"/>
      <c r="W16" s="248" t="str">
        <f t="shared" ca="1" si="4"/>
        <v>roots</v>
      </c>
      <c r="X16" s="246">
        <f ca="1">IF($W16="DIRECT",M16,DCOUNT('literature entries'!$D:$AI,IF($J16=1,"ACTIVE     CED, FARM GATE (MJ/kg)","CED, processor gate (MJ/kg)"),INDIRECT($W16)))</f>
        <v>14</v>
      </c>
      <c r="Y16" s="246">
        <f ca="1">IF($W16="DIRECT","",DAVERAGE('literature entries'!$D:$AI,IF($J16=1,"ACTIVE     CED, FARM GATE (MJ/kg)","CED, processor gate (MJ/kg)"),INDIRECT($W16)))</f>
        <v>1.4220714285714284</v>
      </c>
      <c r="Z16" s="246">
        <f ca="1">IF($W16="DIRECT",$O16,DSTDEV('literature entries'!$D:$AI,IF($J16=1,"ACTIVE     CED, FARM GATE (MJ/kg)","CED, processor gate (MJ/kg)"),INDIRECT($W16)))</f>
        <v>0.57442043892896122</v>
      </c>
      <c r="AA16" s="246">
        <f t="shared" ca="1" si="5"/>
        <v>0.57442043892896122</v>
      </c>
      <c r="AB16" s="254" t="str">
        <f ca="1">IF(P16="PROXY",IF(Q16&gt;=5,K16,"need group"),IF(Q16&gt;=5,"DIRECT","need group"))</f>
        <v>roots</v>
      </c>
      <c r="AC16" s="247">
        <f ca="1">IF($AB16="DIRECT",Q16,DCOUNT('literature entries'!$D:$AI,IF($J16=1,"ACTIVE     GHGE, FARM GATE (kg CO2e/kg)","GHGE, processor gate (kg CO2e/kg)"),INDIRECT($AB16)))</f>
        <v>25</v>
      </c>
      <c r="AD16" s="247">
        <f ca="1">IF($AB16="DIRECT","",DAVERAGE('literature entries'!$D:$AI,IF($J16=1,"ACTIVE     GHGE, FARM GATE (kg CO2e/kg)","GHGE, processor gate (kg CO2e/kg)"),INDIRECT($AB16)))</f>
        <v>0.21340000000000003</v>
      </c>
      <c r="AE16" s="247">
        <f ca="1">IF($AB16="DIRECT",$S16,DSTDEV('literature entries'!$D:$AI,IF($J16=1,"ACTIVE     GHGE, FARM GATE (kg CO2e/kg)","GHGE, processor gate (kg CO2e/kg)"),INDIRECT($AB16)))</f>
        <v>0.17992035274902424</v>
      </c>
      <c r="AF16" s="247">
        <f t="shared" ca="1" si="6"/>
        <v>0.17992035274902424</v>
      </c>
    </row>
    <row r="17" spans="1:32" s="21" customFormat="1" ht="17" thickBot="1" x14ac:dyDescent="0.25">
      <c r="A17" s="129">
        <v>101388000</v>
      </c>
      <c r="B17" s="130" t="s">
        <v>2332</v>
      </c>
      <c r="C17" s="131" t="s">
        <v>1851</v>
      </c>
      <c r="D17" s="131"/>
      <c r="E17" s="131">
        <v>59</v>
      </c>
      <c r="F17" s="126">
        <f t="shared" ca="1" si="0"/>
        <v>1.7491478571428569</v>
      </c>
      <c r="G17" s="127">
        <f t="shared" ca="1" si="1"/>
        <v>0.49815000000000004</v>
      </c>
      <c r="H17" s="132">
        <v>1.23</v>
      </c>
      <c r="I17" s="133" t="s">
        <v>2724</v>
      </c>
      <c r="J17" s="91">
        <v>1</v>
      </c>
      <c r="K17" s="90" t="s">
        <v>2455</v>
      </c>
      <c r="L17" s="152" t="str">
        <f>IF(ISERROR(GETPIVOTDATA(IF($J17=1,"Count of ACTIVE     CED, FARM GATE (MJ/kg)","Count of CED, processor gate (MJ/kg)"),'Pivot Table_CED'!$A$3,"SUB TYPE",$B17)),"PROXY",IF(GETPIVOTDATA(IF($J17=1,"Count of ACTIVE     CED, FARM GATE (MJ/kg)","Count of CED, processor gate (MJ/kg)"),'Pivot Table_CED'!$A$3,"SUB TYPE",$B17)=0,"PROXY","DB value"))</f>
        <v>PROXY</v>
      </c>
      <c r="M17" s="134">
        <f ca="1">IF($L17="PROXY",DCOUNT('literature entries'!$D:$AI,IF($J17=1,"ACTIVE     CED, FARM GATE (MJ/kg)","CED, processor gate (MJ/kg)"),INDIRECT($K17)),GETPIVOTDATA(IF($J17=1,"Count of ACTIVE     CED, FARM GATE (MJ/kg)","Count of CED, processor gate (MJ/kg)"),'Pivot Table_CED'!$A$3,"SUB TYPE",$B17))</f>
        <v>14</v>
      </c>
      <c r="N17" s="135">
        <f ca="1">IF($L17="PROXY",DAVERAGE('literature entries'!$D:$AI,IF($J17=1,"ACTIVE     CED, FARM GATE (MJ/kg)","CED, processor gate (MJ/kg)"),INDIRECT($K17)),GETPIVOTDATA(IF($J17=1,"Average of ACTIVE     CED, FARM GATE (MJ/kg)","Average of CED, processor gate (MJ/kg)"),'Pivot Table_CED'!$A$3,"SUB TYPE",$B17))</f>
        <v>1.4220714285714284</v>
      </c>
      <c r="O17" s="135">
        <f ca="1">IF($L17="PROXY",DSTDEV('literature entries'!D:AI,IF($J17=1,"ACTIVE     CED, FARM GATE (MJ/kg)","CED, processor gate (MJ/kg)"),INDIRECT($K17)),GETPIVOTDATA(IF($J17=1,"StdDev of ACTIVE     CED, FARM GATE (MJ/kg)","StdDev of CED, processor gate (MJ/kg)"),'Pivot Table_CED'!$A$3,"SUB TYPE",$B17))</f>
        <v>0.57442043892896122</v>
      </c>
      <c r="P17" s="152" t="str">
        <f>IF(ISERROR(GETPIVOTDATA(IF($J17=1,"Count of ACTIVE     GHGE, FARM GATE (kg CO2e/kg)","Count of GHGE, processor gate (kg CO2e/kg)"),'Pivot Table_GHG'!$A$3,"SUB TYPE",$B17)),"PROXY",IF(GETPIVOTDATA(IF($J17=1,"Count of ACTIVE     GHGE, FARM GATE (kg CO2e/kg)","Count of GHGE, processor gate (kg CO2e/kg)"),'Pivot Table_GHG'!$A$3,"SUB TYPE",$B17)=0,"PROXY","DB value"))</f>
        <v>DB value</v>
      </c>
      <c r="Q17" s="141">
        <f ca="1">IF($P17="PROXY",DCOUNT('literature entries'!$D:$AI,IF($J17=1,"ACTIVE     GHGE, FARM GATE (kg CO2e/kg)","GHGE, processor gate (kg CO2e/kg)"),INDIRECT($K17)),GETPIVOTDATA(IF($J17=1,"ACTIVE     GHGE, FARM GATE (kg CO2e/kg)","Count of GHGE, processor gate (kg CO2e/kg)"),'Pivot Table_GHG'!$A$3,"SUB TYPE",$B17))</f>
        <v>2</v>
      </c>
      <c r="R17" s="221">
        <f ca="1">IF($P17="PROXY",DAVERAGE('literature entries'!$D:$AI,IF($J17=1,"ACTIVE     GHGE, FARM GATE (kg CO2e/kg)","GHGE, processor gate (kg CO2e/kg)"),INDIRECT($K17)),GETPIVOTDATA(IF($J17=1,"Average of ACTIVE     GHGE, FARM GATE (kg CO2e/kg)","Average of GHGE, processor gate (kg CO2e/kg)"),'Pivot Table_GHG'!$A$3,"SUB TYPE",$B17))</f>
        <v>0.40500000000000003</v>
      </c>
      <c r="S17" s="221">
        <f ca="1">IF($P17="PROXY",DSTDEV('literature entries'!$D:$AI,IF($J17=1,"ACTIVE     GHGE, FARM GATE (kg CO2e/kg)","GHGE, processor gate (kg CO2e/kg)"),INDIRECT($K17)),GETPIVOTDATA(IF($J17=1,"StdDev of ACTIVE     GHGE, FARM GATE (kg CO2e/kg)","StdDev of GHGE, processor gate (kg CO2e/kg)"),'Pivot Table_GHG'!$A$3,"SUB TYPE",$B17))</f>
        <v>7.7781745930519869E-2</v>
      </c>
      <c r="T17" s="101"/>
      <c r="U17" s="102"/>
      <c r="W17" s="248" t="str">
        <f t="shared" ca="1" si="4"/>
        <v>roots</v>
      </c>
      <c r="X17" s="246">
        <f ca="1">IF($W17="DIRECT",M17,DCOUNT('literature entries'!$D:$AI,IF($J17=1,"ACTIVE     CED, FARM GATE (MJ/kg)","CED, processor gate (MJ/kg)"),INDIRECT($W17)))</f>
        <v>14</v>
      </c>
      <c r="Y17" s="246">
        <f ca="1">IF($W17="DIRECT","",DAVERAGE('literature entries'!$D:$AI,IF($J17=1,"ACTIVE     CED, FARM GATE (MJ/kg)","CED, processor gate (MJ/kg)"),INDIRECT($W17)))</f>
        <v>1.4220714285714284</v>
      </c>
      <c r="Z17" s="246">
        <f ca="1">IF($W17="DIRECT",$O17,DSTDEV('literature entries'!$D:$AI,IF($J17=1,"ACTIVE     CED, FARM GATE (MJ/kg)","CED, processor gate (MJ/kg)"),INDIRECT($W17)))</f>
        <v>0.57442043892896122</v>
      </c>
      <c r="AA17" s="246">
        <f t="shared" ca="1" si="5"/>
        <v>0.57442043892896122</v>
      </c>
      <c r="AB17" s="254" t="s">
        <v>2455</v>
      </c>
      <c r="AC17" s="247">
        <f ca="1">IF($AB17="DIRECT",Q17,DCOUNT('literature entries'!$D:$AI,IF($J17=1,"ACTIVE     GHGE, FARM GATE (kg CO2e/kg)","GHGE, processor gate (kg CO2e/kg)"),INDIRECT($AB17)))</f>
        <v>25</v>
      </c>
      <c r="AD17" s="247">
        <f ca="1">IF($AB17="DIRECT","",DAVERAGE('literature entries'!$D:$AI,IF($J17=1,"ACTIVE     GHGE, FARM GATE (kg CO2e/kg)","GHGE, processor gate (kg CO2e/kg)"),INDIRECT($AB17)))</f>
        <v>0.21340000000000003</v>
      </c>
      <c r="AE17" s="247">
        <f ca="1">IF($AB17="DIRECT",$S17,DSTDEV('literature entries'!$D:$AI,IF($J17=1,"ACTIVE     GHGE, FARM GATE (kg CO2e/kg)","GHGE, processor gate (kg CO2e/kg)"),INDIRECT($AB17)))</f>
        <v>0.17992035274902424</v>
      </c>
      <c r="AF17" s="247">
        <f t="shared" ca="1" si="6"/>
        <v>0.34146083816005063</v>
      </c>
    </row>
    <row r="18" spans="1:32" s="21" customFormat="1" ht="17" thickBot="1" x14ac:dyDescent="0.25">
      <c r="A18" s="129">
        <v>103015000</v>
      </c>
      <c r="B18" s="130" t="s">
        <v>1753</v>
      </c>
      <c r="C18" s="131" t="s">
        <v>1754</v>
      </c>
      <c r="D18" s="131"/>
      <c r="E18" s="131">
        <v>987</v>
      </c>
      <c r="F18" s="126">
        <f t="shared" ca="1" si="0"/>
        <v>0.625</v>
      </c>
      <c r="G18" s="127">
        <f t="shared" ca="1" si="1"/>
        <v>7.8799999999999995E-2</v>
      </c>
      <c r="H18" s="133">
        <v>1</v>
      </c>
      <c r="I18" s="133" t="s">
        <v>594</v>
      </c>
      <c r="J18" s="91">
        <v>1</v>
      </c>
      <c r="K18" s="90" t="s">
        <v>2744</v>
      </c>
      <c r="L18" s="152" t="str">
        <f>IF(ISERROR(GETPIVOTDATA(IF($J18=1,"Count of ACTIVE     CED, FARM GATE (MJ/kg)","Count of CED, processor gate (MJ/kg)"),'Pivot Table_CED'!$A$3,"SUB TYPE",$B18)),"PROXY",IF(GETPIVOTDATA(IF($J18=1,"Count of ACTIVE     CED, FARM GATE (MJ/kg)","Count of CED, processor gate (MJ/kg)"),'Pivot Table_CED'!$A$3,"SUB TYPE",$B18)=0,"PROXY","DB value"))</f>
        <v>PROXY</v>
      </c>
      <c r="M18" s="134">
        <f ca="1">IF($L18="PROXY",DCOUNT('literature entries'!$D:$AI,IF($J18=1,"ACTIVE     CED, FARM GATE (MJ/kg)","CED, processor gate (MJ/kg)"),INDIRECT($K18)),GETPIVOTDATA(IF($J18=1,"Count of ACTIVE     CED, FARM GATE (MJ/kg)","Count of CED, processor gate (MJ/kg)"),'Pivot Table_CED'!$A$3,"SUB TYPE",$B18))</f>
        <v>1</v>
      </c>
      <c r="N18" s="135">
        <f ca="1">IF($L18="PROXY",DAVERAGE('literature entries'!$D:$AI,IF($J18=1,"ACTIVE     CED, FARM GATE (MJ/kg)","CED, processor gate (MJ/kg)"),INDIRECT($K18)),GETPIVOTDATA(IF($J18=1,"Average of ACTIVE     CED, FARM GATE (MJ/kg)","Average of CED, processor gate (MJ/kg)"),'Pivot Table_CED'!$A$3,"SUB TYPE",$B18))</f>
        <v>0.625</v>
      </c>
      <c r="O18" s="135" t="e">
        <f ca="1">IF($L18="PROXY",DSTDEV('literature entries'!D:AI,IF($J18=1,"ACTIVE     CED, FARM GATE (MJ/kg)","CED, processor gate (MJ/kg)"),INDIRECT($K18)),GETPIVOTDATA(IF($J18=1,"StdDev of ACTIVE     CED, FARM GATE (MJ/kg)","StdDev of CED, processor gate (MJ/kg)"),'Pivot Table_CED'!$A$3,"SUB TYPE",$B18))</f>
        <v>#DIV/0!</v>
      </c>
      <c r="P18" s="152" t="str">
        <f>IF(ISERROR(GETPIVOTDATA(IF($J18=1,"Count of ACTIVE     GHGE, FARM GATE (kg CO2e/kg)","Count of GHGE, processor gate (kg CO2e/kg)"),'Pivot Table_GHG'!$A$3,"SUB TYPE",$B18)),"PROXY",IF(GETPIVOTDATA(IF($J18=1,"Count of ACTIVE     GHGE, FARM GATE (kg CO2e/kg)","Count of GHGE, processor gate (kg CO2e/kg)"),'Pivot Table_GHG'!$A$3,"SUB TYPE",$B18)=0,"PROXY","DB value"))</f>
        <v>PROXY</v>
      </c>
      <c r="Q18" s="141">
        <f ca="1">IF($P18="PROXY",DCOUNT('literature entries'!$D:$AI,IF($J18=1,"ACTIVE     GHGE, FARM GATE (kg CO2e/kg)","GHGE, processor gate (kg CO2e/kg)"),INDIRECT($K18)),GETPIVOTDATA(IF($J18=1,"ACTIVE     GHGE, FARM GATE (kg CO2e/kg)","Count of GHGE, processor gate (kg CO2e/kg)"),'Pivot Table_GHG'!$A$3,"SUB TYPE",$B18))</f>
        <v>1</v>
      </c>
      <c r="R18" s="221">
        <f ca="1">IF($P18="PROXY",DAVERAGE('literature entries'!$D:$AI,IF($J18=1,"ACTIVE     GHGE, FARM GATE (kg CO2e/kg)","GHGE, processor gate (kg CO2e/kg)"),INDIRECT($K18)),GETPIVOTDATA(IF($J18=1,"Average of ACTIVE     GHGE, FARM GATE (kg CO2e/kg)","Average of GHGE, processor gate (kg CO2e/kg)"),'Pivot Table_GHG'!$A$3,"SUB TYPE",$B18))</f>
        <v>7.8799999999999995E-2</v>
      </c>
      <c r="S18" s="221" t="e">
        <f ca="1">IF($P18="PROXY",DSTDEV('literature entries'!$D:$AI,IF($J18=1,"ACTIVE     GHGE, FARM GATE (kg CO2e/kg)","GHGE, processor gate (kg CO2e/kg)"),INDIRECT($K18)),GETPIVOTDATA(IF($J18=1,"StdDev of ACTIVE     GHGE, FARM GATE (kg CO2e/kg)","StdDev of GHGE, processor gate (kg CO2e/kg)"),'Pivot Table_GHG'!$A$3,"SUB TYPE",$B18))</f>
        <v>#DIV/0!</v>
      </c>
      <c r="T18" s="101"/>
      <c r="U18" s="102"/>
      <c r="W18" s="258" t="s">
        <v>3358</v>
      </c>
      <c r="X18" s="246">
        <f ca="1">IF($W18="DIRECT",M18,DCOUNT('literature entries'!$D:$AI,"CED, processor gate (MJ/kg)",INDIRECT($W18)))</f>
        <v>9</v>
      </c>
      <c r="Y18" s="246">
        <f ca="1">IF($W18="DIRECT","",DAVERAGE('literature entries'!$D:$AI,"CED, processor gate (MJ/kg)",INDIRECT($W18)))</f>
        <v>3.7933851999999999</v>
      </c>
      <c r="Z18" s="246">
        <f ca="1">IF($W18="DIRECT",$O18,DSTDEV('literature entries'!$D:$AI,"CED, processor gate (MJ/kg)",INDIRECT($W18)))</f>
        <v>1.2312612173276687</v>
      </c>
      <c r="AA18" s="246">
        <f t="shared" ca="1" si="5"/>
        <v>0.20286320008571579</v>
      </c>
      <c r="AB18" s="258" t="s">
        <v>3358</v>
      </c>
      <c r="AC18" s="247">
        <f ca="1">IF($AB18="DIRECT",Q18,DCOUNT('literature entries'!$D:$AI,"GHGE, processor gate (kg CO2e/kg)",INDIRECT($AB18)))</f>
        <v>9</v>
      </c>
      <c r="AD18" s="247">
        <f ca="1">IF($AB18="DIRECT","",DAVERAGE('literature entries'!$D:$AI,"GHGE, processor gate (kg CO2e/kg)",INDIRECT($AB18)))</f>
        <v>0.43042331</v>
      </c>
      <c r="AE18" s="247">
        <f ca="1">IF($AB18="DIRECT",$S18,DSTDEV('literature entries'!$D:$AI,"GHGE, processor gate (kg CO2e/kg)",INDIRECT($AB18)))</f>
        <v>7.2682317360146784E-2</v>
      </c>
      <c r="AF18" s="247">
        <f t="shared" ca="1" si="6"/>
        <v>1.3306357892140104E-2</v>
      </c>
    </row>
    <row r="19" spans="1:32" s="21" customFormat="1" thickBot="1" x14ac:dyDescent="0.25">
      <c r="A19" s="129">
        <v>103017000</v>
      </c>
      <c r="B19" s="130" t="s">
        <v>1757</v>
      </c>
      <c r="C19" s="131" t="s">
        <v>1758</v>
      </c>
      <c r="D19" s="131"/>
      <c r="E19" s="131">
        <v>1</v>
      </c>
      <c r="F19" s="126">
        <f t="shared" ca="1" si="0"/>
        <v>4.0281250000000002</v>
      </c>
      <c r="G19" s="127">
        <f t="shared" ca="1" si="1"/>
        <v>0.54352941176470593</v>
      </c>
      <c r="H19" s="132">
        <v>2.5</v>
      </c>
      <c r="I19" s="132" t="s">
        <v>2724</v>
      </c>
      <c r="J19" s="91">
        <v>1</v>
      </c>
      <c r="K19" s="90" t="s">
        <v>857</v>
      </c>
      <c r="L19" s="152" t="str">
        <f>IF(ISERROR(GETPIVOTDATA(IF($J19=1,"Count of ACTIVE     CED, FARM GATE (MJ/kg)","Count of CED, processor gate (MJ/kg)"),'Pivot Table_CED'!$A$3,"SUB TYPE",$B19)),"PROXY",IF(GETPIVOTDATA(IF($J19=1,"Count of ACTIVE     CED, FARM GATE (MJ/kg)","Count of CED, processor gate (MJ/kg)"),'Pivot Table_CED'!$A$3,"SUB TYPE",$B19)=0,"PROXY","DB value"))</f>
        <v>PROXY</v>
      </c>
      <c r="M19" s="134">
        <f ca="1">IF($L19="PROXY",DCOUNT('literature entries'!$D:$AI,IF($J19=1,"ACTIVE     CED, FARM GATE (MJ/kg)","CED, processor gate (MJ/kg)"),INDIRECT($K19)),GETPIVOTDATA(IF($J19=1,"Count of ACTIVE     CED, FARM GATE (MJ/kg)","Count of CED, processor gate (MJ/kg)"),'Pivot Table_CED'!$A$3,"SUB TYPE",$B19))</f>
        <v>8</v>
      </c>
      <c r="N19" s="135">
        <f ca="1">IF($L19="PROXY",DAVERAGE('literature entries'!$D:$AI,IF($J19=1,"ACTIVE     CED, FARM GATE (MJ/kg)","CED, processor gate (MJ/kg)"),INDIRECT($K19)),GETPIVOTDATA(IF($J19=1,"Average of ACTIVE     CED, FARM GATE (MJ/kg)","Average of CED, processor gate (MJ/kg)"),'Pivot Table_CED'!$A$3,"SUB TYPE",$B19))</f>
        <v>1.6112500000000001</v>
      </c>
      <c r="O19" s="135">
        <f ca="1">IF($L19="PROXY",DSTDEV('literature entries'!D:AI,IF($J19=1,"ACTIVE     CED, FARM GATE (MJ/kg)","CED, processor gate (MJ/kg)"),INDIRECT($K19)),GETPIVOTDATA(IF($J19=1,"StdDev of ACTIVE     CED, FARM GATE (MJ/kg)","StdDev of CED, processor gate (MJ/kg)"),'Pivot Table_CED'!$A$3,"SUB TYPE",$B19))</f>
        <v>0.53279418433119463</v>
      </c>
      <c r="P19" s="152" t="str">
        <f>IF(ISERROR(GETPIVOTDATA(IF($J19=1,"Count of ACTIVE     GHGE, FARM GATE (kg CO2e/kg)","Count of GHGE, processor gate (kg CO2e/kg)"),'Pivot Table_GHG'!$A$3,"SUB TYPE",$B19)),"PROXY",IF(GETPIVOTDATA(IF($J19=1,"Count of ACTIVE     GHGE, FARM GATE (kg CO2e/kg)","Count of GHGE, processor gate (kg CO2e/kg)"),'Pivot Table_GHG'!$A$3,"SUB TYPE",$B19)=0,"PROXY","DB value"))</f>
        <v>PROXY</v>
      </c>
      <c r="Q19" s="141">
        <f ca="1">IF($P19="PROXY",DCOUNT('literature entries'!$D:$AI,IF($J19=1,"ACTIVE     GHGE, FARM GATE (kg CO2e/kg)","GHGE, processor gate (kg CO2e/kg)"),INDIRECT($K19)),GETPIVOTDATA(IF($J19=1,"ACTIVE     GHGE, FARM GATE (kg CO2e/kg)","Count of GHGE, processor gate (kg CO2e/kg)"),'Pivot Table_GHG'!$A$3,"SUB TYPE",$B19))</f>
        <v>17</v>
      </c>
      <c r="R19" s="221">
        <f ca="1">IF($P19="PROXY",DAVERAGE('literature entries'!$D:$AI,IF($J19=1,"ACTIVE     GHGE, FARM GATE (kg CO2e/kg)","GHGE, processor gate (kg CO2e/kg)"),INDIRECT($K19)),GETPIVOTDATA(IF($J19=1,"Average of ACTIVE     GHGE, FARM GATE (kg CO2e/kg)","Average of GHGE, processor gate (kg CO2e/kg)"),'Pivot Table_GHG'!$A$3,"SUB TYPE",$B19))</f>
        <v>0.21741176470588239</v>
      </c>
      <c r="S19" s="221">
        <f ca="1">IF($P19="PROXY",DSTDEV('literature entries'!$D:$AI,IF($J19=1,"ACTIVE     GHGE, FARM GATE (kg CO2e/kg)","GHGE, processor gate (kg CO2e/kg)"),INDIRECT($K19)),GETPIVOTDATA(IF($J19=1,"StdDev of ACTIVE     GHGE, FARM GATE (kg CO2e/kg)","StdDev of GHGE, processor gate (kg CO2e/kg)"),'Pivot Table_GHG'!$A$3,"SUB TYPE",$B19))</f>
        <v>0.11818473824035466</v>
      </c>
      <c r="T19" s="101"/>
      <c r="U19" s="102"/>
      <c r="W19" s="248" t="s">
        <v>2455</v>
      </c>
      <c r="X19" s="246">
        <f ca="1">IF($W19="DIRECT",M19,DCOUNT('literature entries'!$D:$AI,IF($J19=1,"ACTIVE     CED, FARM GATE (MJ/kg)","CED, processor gate (MJ/kg)"),INDIRECT($W19)))</f>
        <v>14</v>
      </c>
      <c r="Y19" s="246">
        <f ca="1">IF($W19="DIRECT","",DAVERAGE('literature entries'!$D:$AI,IF($J19=1,"ACTIVE     CED, FARM GATE (MJ/kg)","CED, processor gate (MJ/kg)"),INDIRECT($W19)))</f>
        <v>1.4220714285714284</v>
      </c>
      <c r="Z19" s="246">
        <f ca="1">IF($W19="DIRECT",$O19,DSTDEV('literature entries'!$D:$AI,IF($J19=1,"ACTIVE     CED, FARM GATE (MJ/kg)","CED, processor gate (MJ/kg)"),INDIRECT($W19)))</f>
        <v>0.57442043892896122</v>
      </c>
      <c r="AA19" s="246">
        <f t="shared" ca="1" si="5"/>
        <v>0.65083575524335946</v>
      </c>
      <c r="AB19" s="254" t="s">
        <v>2455</v>
      </c>
      <c r="AC19" s="247">
        <f ca="1">IF($AB19="DIRECT",Q19,DCOUNT('literature entries'!$D:$AI,IF($J19=1,"ACTIVE     GHGE, FARM GATE (kg CO2e/kg)","GHGE, processor gate (kg CO2e/kg)"),INDIRECT($AB19)))</f>
        <v>25</v>
      </c>
      <c r="AD19" s="247">
        <f ca="1">IF($AB19="DIRECT","",DAVERAGE('literature entries'!$D:$AI,IF($J19=1,"ACTIVE     GHGE, FARM GATE (kg CO2e/kg)","GHGE, processor gate (kg CO2e/kg)"),INDIRECT($AB19)))</f>
        <v>0.21340000000000003</v>
      </c>
      <c r="AE19" s="247">
        <f ca="1">IF($AB19="DIRECT",$S19,DSTDEV('literature entries'!$D:$AI,IF($J19=1,"ACTIVE     GHGE, FARM GATE (kg CO2e/kg)","GHGE, processor gate (kg CO2e/kg)"),INDIRECT($AB19)))</f>
        <v>0.17992035274902424</v>
      </c>
      <c r="AF19" s="247">
        <f t="shared" ca="1" si="6"/>
        <v>0.18330272445018841</v>
      </c>
    </row>
    <row r="20" spans="1:32" s="21" customFormat="1" ht="17" thickBot="1" x14ac:dyDescent="0.25">
      <c r="A20" s="137">
        <v>103082000</v>
      </c>
      <c r="B20" s="130" t="s">
        <v>1868</v>
      </c>
      <c r="C20" s="138" t="s">
        <v>1869</v>
      </c>
      <c r="D20" s="131" t="s">
        <v>1870</v>
      </c>
      <c r="E20" s="131">
        <v>26995</v>
      </c>
      <c r="F20" s="126">
        <f t="shared" ca="1" si="0"/>
        <v>0.625</v>
      </c>
      <c r="G20" s="127">
        <f t="shared" ca="1" si="1"/>
        <v>7.8799999999999995E-2</v>
      </c>
      <c r="H20" s="132">
        <v>1</v>
      </c>
      <c r="I20" s="133" t="s">
        <v>594</v>
      </c>
      <c r="J20" s="91">
        <v>1</v>
      </c>
      <c r="K20" s="90"/>
      <c r="L20" s="152" t="str">
        <f>IF(ISERROR(GETPIVOTDATA(IF($J20=1,"Count of ACTIVE     CED, FARM GATE (MJ/kg)","Count of CED, processor gate (MJ/kg)"),'Pivot Table_CED'!$A$3,"SUB TYPE",$B20)),"PROXY",IF(GETPIVOTDATA(IF($J20=1,"Count of ACTIVE     CED, FARM GATE (MJ/kg)","Count of CED, processor gate (MJ/kg)"),'Pivot Table_CED'!$A$3,"SUB TYPE",$B20)=0,"PROXY","DB value"))</f>
        <v>DB value</v>
      </c>
      <c r="M20" s="134">
        <f ca="1">IF($L20="PROXY",DCOUNT('literature entries'!$D:$AI,IF($J20=1,"ACTIVE     CED, FARM GATE (MJ/kg)","CED, processor gate (MJ/kg)"),INDIRECT($K20)),GETPIVOTDATA(IF($J20=1,"Count of ACTIVE     CED, FARM GATE (MJ/kg)","Count of CED, processor gate (MJ/kg)"),'Pivot Table_CED'!$A$3,"SUB TYPE",$B20))</f>
        <v>1</v>
      </c>
      <c r="N20" s="135">
        <f ca="1">IF($L20="PROXY",DAVERAGE('literature entries'!$D:$AI,IF($J20=1,"ACTIVE     CED, FARM GATE (MJ/kg)","CED, processor gate (MJ/kg)"),INDIRECT($K20)),GETPIVOTDATA(IF($J20=1,"Average of ACTIVE     CED, FARM GATE (MJ/kg)","Average of CED, processor gate (MJ/kg)"),'Pivot Table_CED'!$A$3,"SUB TYPE",$B20))</f>
        <v>0.625</v>
      </c>
      <c r="O20" s="135">
        <f ca="1">IF($L20="PROXY",DSTDEV('literature entries'!D:AI,IF($J20=1,"ACTIVE     CED, FARM GATE (MJ/kg)","CED, processor gate (MJ/kg)"),INDIRECT($K20)),GETPIVOTDATA(IF($J20=1,"StdDev of ACTIVE     CED, FARM GATE (MJ/kg)","StdDev of CED, processor gate (MJ/kg)"),'Pivot Table_CED'!$A$3,"SUB TYPE",$B20))</f>
        <v>0</v>
      </c>
      <c r="P20" s="152" t="str">
        <f>IF(ISERROR(GETPIVOTDATA(IF($J20=1,"Count of ACTIVE     GHGE, FARM GATE (kg CO2e/kg)","Count of GHGE, processor gate (kg CO2e/kg)"),'Pivot Table_GHG'!$A$3,"SUB TYPE",$B20)),"PROXY",IF(GETPIVOTDATA(IF($J20=1,"Count of ACTIVE     GHGE, FARM GATE (kg CO2e/kg)","Count of GHGE, processor gate (kg CO2e/kg)"),'Pivot Table_GHG'!$A$3,"SUB TYPE",$B20)=0,"PROXY","DB value"))</f>
        <v>DB value</v>
      </c>
      <c r="Q20" s="141">
        <f ca="1">IF($P20="PROXY",DCOUNT('literature entries'!$D:$AI,IF($J20=1,"ACTIVE     GHGE, FARM GATE (kg CO2e/kg)","GHGE, processor gate (kg CO2e/kg)"),INDIRECT($K20)),GETPIVOTDATA(IF($J20=1,"ACTIVE     GHGE, FARM GATE (kg CO2e/kg)","Count of GHGE, processor gate (kg CO2e/kg)"),'Pivot Table_GHG'!$A$3,"SUB TYPE",$B20))</f>
        <v>1</v>
      </c>
      <c r="R20" s="221">
        <f ca="1">IF($P20="PROXY",DAVERAGE('literature entries'!$D:$AI,IF($J20=1,"ACTIVE     GHGE, FARM GATE (kg CO2e/kg)","GHGE, processor gate (kg CO2e/kg)"),INDIRECT($K20)),GETPIVOTDATA(IF($J20=1,"Average of ACTIVE     GHGE, FARM GATE (kg CO2e/kg)","Average of GHGE, processor gate (kg CO2e/kg)"),'Pivot Table_GHG'!$A$3,"SUB TYPE",$B20))</f>
        <v>7.8799999999999995E-2</v>
      </c>
      <c r="S20" s="221" t="e">
        <f ca="1">IF($P20="PROXY",DSTDEV('literature entries'!$D:$AI,IF($J20=1,"ACTIVE     GHGE, FARM GATE (kg CO2e/kg)","GHGE, processor gate (kg CO2e/kg)"),INDIRECT($K20)),GETPIVOTDATA(IF($J20=1,"StdDev of ACTIVE     GHGE, FARM GATE (kg CO2e/kg)","StdDev of GHGE, processor gate (kg CO2e/kg)"),'Pivot Table_GHG'!$A$3,"SUB TYPE",$B20))</f>
        <v>#DIV/0!</v>
      </c>
      <c r="T20" s="101"/>
      <c r="U20" s="102"/>
      <c r="W20" s="248" t="s">
        <v>2455</v>
      </c>
      <c r="X20" s="246">
        <f ca="1">IF($W20="DIRECT",M20,DCOUNT('literature entries'!$D:$AI,IF($J20=1,"ACTIVE     CED, FARM GATE (MJ/kg)","CED, processor gate (MJ/kg)"),INDIRECT($W20)))</f>
        <v>14</v>
      </c>
      <c r="Y20" s="246">
        <f ca="1">IF($W20="DIRECT","",DAVERAGE('literature entries'!$D:$AI,IF($J20=1,"ACTIVE     CED, FARM GATE (MJ/kg)","CED, processor gate (MJ/kg)"),INDIRECT($W20)))</f>
        <v>1.4220714285714284</v>
      </c>
      <c r="Z20" s="246">
        <f ca="1">IF($W20="DIRECT",$O20,DSTDEV('literature entries'!$D:$AI,IF($J20=1,"ACTIVE     CED, FARM GATE (MJ/kg)","CED, processor gate (MJ/kg)"),INDIRECT($W20)))</f>
        <v>0.57442043892896122</v>
      </c>
      <c r="AA20" s="246">
        <f t="shared" ca="1" si="5"/>
        <v>0.25245762422162898</v>
      </c>
      <c r="AB20" s="254" t="s">
        <v>2455</v>
      </c>
      <c r="AC20" s="247">
        <f ca="1">IF($AB20="DIRECT",Q20,DCOUNT('literature entries'!$D:$AI,IF($J20=1,"ACTIVE     GHGE, FARM GATE (kg CO2e/kg)","GHGE, processor gate (kg CO2e/kg)"),INDIRECT($AB20)))</f>
        <v>25</v>
      </c>
      <c r="AD20" s="247">
        <f ca="1">IF($AB20="DIRECT","",DAVERAGE('literature entries'!$D:$AI,IF($J20=1,"ACTIVE     GHGE, FARM GATE (kg CO2e/kg)","GHGE, processor gate (kg CO2e/kg)"),INDIRECT($AB20)))</f>
        <v>0.21340000000000003</v>
      </c>
      <c r="AE20" s="247">
        <f ca="1">IF($AB20="DIRECT",$S20,DSTDEV('literature entries'!$D:$AI,IF($J20=1,"ACTIVE     GHGE, FARM GATE (kg CO2e/kg)","GHGE, processor gate (kg CO2e/kg)"),INDIRECT($AB20)))</f>
        <v>0.17992035274902424</v>
      </c>
      <c r="AF20" s="247">
        <f t="shared" ca="1" si="6"/>
        <v>6.6437318634597495E-2</v>
      </c>
    </row>
    <row r="21" spans="1:32" s="21" customFormat="1" ht="17" thickBot="1" x14ac:dyDescent="0.25">
      <c r="A21" s="129">
        <v>103139000</v>
      </c>
      <c r="B21" s="130" t="s">
        <v>1957</v>
      </c>
      <c r="C21" s="131" t="s">
        <v>1958</v>
      </c>
      <c r="D21" s="131" t="s">
        <v>1959</v>
      </c>
      <c r="E21" s="131">
        <v>68</v>
      </c>
      <c r="F21" s="228">
        <f t="shared" ca="1" si="0"/>
        <v>1.4220714285714284</v>
      </c>
      <c r="G21" s="229">
        <f t="shared" ca="1" si="1"/>
        <v>0.21340000000000003</v>
      </c>
      <c r="H21" s="132">
        <v>1</v>
      </c>
      <c r="I21" s="133" t="s">
        <v>594</v>
      </c>
      <c r="J21" s="91">
        <v>1</v>
      </c>
      <c r="K21" s="90" t="s">
        <v>2455</v>
      </c>
      <c r="L21" s="152" t="str">
        <f>IF(ISERROR(GETPIVOTDATA(IF($J21=1,"Count of ACTIVE     CED, FARM GATE (MJ/kg)","Count of CED, processor gate (MJ/kg)"),'Pivot Table_CED'!$A$3,"SUB TYPE",$B21)),"PROXY",IF(GETPIVOTDATA(IF($J21=1,"Count of ACTIVE     CED, FARM GATE (MJ/kg)","Count of CED, processor gate (MJ/kg)"),'Pivot Table_CED'!$A$3,"SUB TYPE",$B21)=0,"PROXY","DB value"))</f>
        <v>PROXY</v>
      </c>
      <c r="M21" s="134">
        <f ca="1">IF($L21="PROXY",DCOUNT('literature entries'!$D:$AI,IF($J21=1,"ACTIVE     CED, FARM GATE (MJ/kg)","CED, processor gate (MJ/kg)"),INDIRECT($K21)),GETPIVOTDATA(IF($J21=1,"Count of ACTIVE     CED, FARM GATE (MJ/kg)","Count of CED, processor gate (MJ/kg)"),'Pivot Table_CED'!$A$3,"SUB TYPE",$B21))</f>
        <v>14</v>
      </c>
      <c r="N21" s="135">
        <f ca="1">IF($L21="PROXY",DAVERAGE('literature entries'!$D:$AI,IF($J21=1,"ACTIVE     CED, FARM GATE (MJ/kg)","CED, processor gate (MJ/kg)"),INDIRECT($K21)),GETPIVOTDATA(IF($J21=1,"Average of ACTIVE     CED, FARM GATE (MJ/kg)","Average of CED, processor gate (MJ/kg)"),'Pivot Table_CED'!$A$3,"SUB TYPE",$B21))</f>
        <v>1.4220714285714284</v>
      </c>
      <c r="O21" s="135">
        <f ca="1">IF($L21="PROXY",DSTDEV('literature entries'!D:AI,IF($J21=1,"ACTIVE     CED, FARM GATE (MJ/kg)","CED, processor gate (MJ/kg)"),INDIRECT($K21)),GETPIVOTDATA(IF($J21=1,"StdDev of ACTIVE     CED, FARM GATE (MJ/kg)","StdDev of CED, processor gate (MJ/kg)"),'Pivot Table_CED'!$A$3,"SUB TYPE",$B21))</f>
        <v>0.57442043892896122</v>
      </c>
      <c r="P21" s="152" t="str">
        <f>IF(ISERROR(GETPIVOTDATA(IF($J21=1,"Count of ACTIVE     GHGE, FARM GATE (kg CO2e/kg)","Count of GHGE, processor gate (kg CO2e/kg)"),'Pivot Table_GHG'!$A$3,"SUB TYPE",$B21)),"PROXY",IF(GETPIVOTDATA(IF($J21=1,"Count of ACTIVE     GHGE, FARM GATE (kg CO2e/kg)","Count of GHGE, processor gate (kg CO2e/kg)"),'Pivot Table_GHG'!$A$3,"SUB TYPE",$B21)=0,"PROXY","DB value"))</f>
        <v>PROXY</v>
      </c>
      <c r="Q21" s="141">
        <f ca="1">IF($P21="PROXY",DCOUNT('literature entries'!$D:$AI,IF($J21=1,"ACTIVE     GHGE, FARM GATE (kg CO2e/kg)","GHGE, processor gate (kg CO2e/kg)"),INDIRECT($K21)),GETPIVOTDATA(IF($J21=1,"ACTIVE     GHGE, FARM GATE (kg CO2e/kg)","Count of GHGE, processor gate (kg CO2e/kg)"),'Pivot Table_GHG'!$A$3,"SUB TYPE",$B21))</f>
        <v>25</v>
      </c>
      <c r="R21" s="221">
        <f ca="1">IF($P21="PROXY",DAVERAGE('literature entries'!$D:$AI,IF($J21=1,"ACTIVE     GHGE, FARM GATE (kg CO2e/kg)","GHGE, processor gate (kg CO2e/kg)"),INDIRECT($K21)),GETPIVOTDATA(IF($J21=1,"Average of ACTIVE     GHGE, FARM GATE (kg CO2e/kg)","Average of GHGE, processor gate (kg CO2e/kg)"),'Pivot Table_GHG'!$A$3,"SUB TYPE",$B21))</f>
        <v>0.21340000000000003</v>
      </c>
      <c r="S21" s="221">
        <f ca="1">IF($P21="PROXY",DSTDEV('literature entries'!$D:$AI,IF($J21=1,"ACTIVE     GHGE, FARM GATE (kg CO2e/kg)","GHGE, processor gate (kg CO2e/kg)"),INDIRECT($K21)),GETPIVOTDATA(IF($J21=1,"StdDev of ACTIVE     GHGE, FARM GATE (kg CO2e/kg)","StdDev of GHGE, processor gate (kg CO2e/kg)"),'Pivot Table_GHG'!$A$3,"SUB TYPE",$B21))</f>
        <v>0.17992035274902424</v>
      </c>
      <c r="T21" s="101"/>
      <c r="U21" s="102"/>
      <c r="W21" s="248" t="str">
        <f ca="1">IF(L21="PROXY",IF(M21&gt;=5,K21,"need group"),IF(M21&gt;=5,"DIRECT","need group"))</f>
        <v>roots</v>
      </c>
      <c r="X21" s="246">
        <f ca="1">IF($W21="DIRECT",M21,DCOUNT('literature entries'!$D:$AI,IF($J21=1,"ACTIVE     CED, FARM GATE (MJ/kg)","CED, processor gate (MJ/kg)"),INDIRECT($W21)))</f>
        <v>14</v>
      </c>
      <c r="Y21" s="246">
        <f ca="1">IF($W21="DIRECT","",DAVERAGE('literature entries'!$D:$AI,IF($J21=1,"ACTIVE     CED, FARM GATE (MJ/kg)","CED, processor gate (MJ/kg)"),INDIRECT($W21)))</f>
        <v>1.4220714285714284</v>
      </c>
      <c r="Z21" s="246">
        <f ca="1">IF($W21="DIRECT",$O21,DSTDEV('literature entries'!$D:$AI,IF($J21=1,"ACTIVE     CED, FARM GATE (MJ/kg)","CED, processor gate (MJ/kg)"),INDIRECT($W21)))</f>
        <v>0.57442043892896122</v>
      </c>
      <c r="AA21" s="246">
        <f t="shared" ca="1" si="5"/>
        <v>0.57442043892896122</v>
      </c>
      <c r="AB21" s="254" t="str">
        <f ca="1">IF(P21="PROXY",IF(Q21&gt;=5,K21,"need group"),IF(Q21&gt;=5,"DIRECT","need group"))</f>
        <v>roots</v>
      </c>
      <c r="AC21" s="247">
        <f ca="1">IF($AB21="DIRECT",Q21,DCOUNT('literature entries'!$D:$AI,IF($J21=1,"ACTIVE     GHGE, FARM GATE (kg CO2e/kg)","GHGE, processor gate (kg CO2e/kg)"),INDIRECT($AB21)))</f>
        <v>25</v>
      </c>
      <c r="AD21" s="247">
        <f ca="1">IF($AB21="DIRECT","",DAVERAGE('literature entries'!$D:$AI,IF($J21=1,"ACTIVE     GHGE, FARM GATE (kg CO2e/kg)","GHGE, processor gate (kg CO2e/kg)"),INDIRECT($AB21)))</f>
        <v>0.21340000000000003</v>
      </c>
      <c r="AE21" s="247">
        <f ca="1">IF($AB21="DIRECT",$S21,DSTDEV('literature entries'!$D:$AI,IF($J21=1,"ACTIVE     GHGE, FARM GATE (kg CO2e/kg)","GHGE, processor gate (kg CO2e/kg)"),INDIRECT($AB21)))</f>
        <v>0.17992035274902424</v>
      </c>
      <c r="AF21" s="247">
        <f t="shared" ca="1" si="6"/>
        <v>0.17992035274902424</v>
      </c>
    </row>
    <row r="22" spans="1:32" s="21" customFormat="1" ht="17" thickBot="1" x14ac:dyDescent="0.25">
      <c r="A22" s="129">
        <v>103166000</v>
      </c>
      <c r="B22" s="130" t="s">
        <v>1998</v>
      </c>
      <c r="C22" s="131" t="s">
        <v>1999</v>
      </c>
      <c r="D22" s="131"/>
      <c r="E22" s="131">
        <v>4399</v>
      </c>
      <c r="F22" s="126">
        <f t="shared" ca="1" si="0"/>
        <v>1.5358371428571429</v>
      </c>
      <c r="G22" s="127">
        <f t="shared" ca="1" si="1"/>
        <v>0.95040000000000002</v>
      </c>
      <c r="H22" s="132">
        <v>1.08</v>
      </c>
      <c r="I22" s="133" t="s">
        <v>2737</v>
      </c>
      <c r="J22" s="91">
        <v>1</v>
      </c>
      <c r="K22" s="90" t="s">
        <v>2455</v>
      </c>
      <c r="L22" s="152" t="str">
        <f>IF(ISERROR(GETPIVOTDATA(IF($J22=1,"Count of ACTIVE     CED, FARM GATE (MJ/kg)","Count of CED, processor gate (MJ/kg)"),'Pivot Table_CED'!$A$3,"SUB TYPE",$B22)),"PROXY",IF(GETPIVOTDATA(IF($J22=1,"Count of ACTIVE     CED, FARM GATE (MJ/kg)","Count of CED, processor gate (MJ/kg)"),'Pivot Table_CED'!$A$3,"SUB TYPE",$B22)=0,"PROXY","DB value"))</f>
        <v>PROXY</v>
      </c>
      <c r="M22" s="134">
        <f ca="1">IF($L22="PROXY",DCOUNT('literature entries'!$D:$AI,IF($J22=1,"ACTIVE     CED, FARM GATE (MJ/kg)","CED, processor gate (MJ/kg)"),INDIRECT($K22)),GETPIVOTDATA(IF($J22=1,"Count of ACTIVE     CED, FARM GATE (MJ/kg)","Count of CED, processor gate (MJ/kg)"),'Pivot Table_CED'!$A$3,"SUB TYPE",$B22))</f>
        <v>14</v>
      </c>
      <c r="N22" s="135">
        <f ca="1">IF($L22="PROXY",DAVERAGE('literature entries'!$D:$AI,IF($J22=1,"ACTIVE     CED, FARM GATE (MJ/kg)","CED, processor gate (MJ/kg)"),INDIRECT($K22)),GETPIVOTDATA(IF($J22=1,"Average of ACTIVE     CED, FARM GATE (MJ/kg)","Average of CED, processor gate (MJ/kg)"),'Pivot Table_CED'!$A$3,"SUB TYPE",$B22))</f>
        <v>1.4220714285714284</v>
      </c>
      <c r="O22" s="135">
        <f ca="1">IF($L22="PROXY",DSTDEV('literature entries'!D:AI,IF($J22=1,"ACTIVE     CED, FARM GATE (MJ/kg)","CED, processor gate (MJ/kg)"),INDIRECT($K22)),GETPIVOTDATA(IF($J22=1,"StdDev of ACTIVE     CED, FARM GATE (MJ/kg)","StdDev of CED, processor gate (MJ/kg)"),'Pivot Table_CED'!$A$3,"SUB TYPE",$B22))</f>
        <v>0.57442043892896122</v>
      </c>
      <c r="P22" s="152" t="str">
        <f>IF(ISERROR(GETPIVOTDATA(IF($J22=1,"Count of ACTIVE     GHGE, FARM GATE (kg CO2e/kg)","Count of GHGE, processor gate (kg CO2e/kg)"),'Pivot Table_GHG'!$A$3,"SUB TYPE",$B22)),"PROXY",IF(GETPIVOTDATA(IF($J22=1,"Count of ACTIVE     GHGE, FARM GATE (kg CO2e/kg)","Count of GHGE, processor gate (kg CO2e/kg)"),'Pivot Table_GHG'!$A$3,"SUB TYPE",$B22)=0,"PROXY","DB value"))</f>
        <v>DB value</v>
      </c>
      <c r="Q22" s="141">
        <f ca="1">IF($P22="PROXY",DCOUNT('literature entries'!$D:$AI,IF($J22=1,"ACTIVE     GHGE, FARM GATE (kg CO2e/kg)","GHGE, processor gate (kg CO2e/kg)"),INDIRECT($K22)),GETPIVOTDATA(IF($J22=1,"ACTIVE     GHGE, FARM GATE (kg CO2e/kg)","Count of GHGE, processor gate (kg CO2e/kg)"),'Pivot Table_GHG'!$A$3,"SUB TYPE",$B22))</f>
        <v>1</v>
      </c>
      <c r="R22" s="221">
        <f ca="1">IF($P22="PROXY",DAVERAGE('literature entries'!$D:$AI,IF($J22=1,"ACTIVE     GHGE, FARM GATE (kg CO2e/kg)","GHGE, processor gate (kg CO2e/kg)"),INDIRECT($K22)),GETPIVOTDATA(IF($J22=1,"Average of ACTIVE     GHGE, FARM GATE (kg CO2e/kg)","Average of GHGE, processor gate (kg CO2e/kg)"),'Pivot Table_GHG'!$A$3,"SUB TYPE",$B22))</f>
        <v>0.88</v>
      </c>
      <c r="S22" s="221" t="e">
        <f ca="1">IF($P22="PROXY",DSTDEV('literature entries'!$D:$AI,IF($J22=1,"ACTIVE     GHGE, FARM GATE (kg CO2e/kg)","GHGE, processor gate (kg CO2e/kg)"),INDIRECT($K22)),GETPIVOTDATA(IF($J22=1,"StdDev of ACTIVE     GHGE, FARM GATE (kg CO2e/kg)","StdDev of GHGE, processor gate (kg CO2e/kg)"),'Pivot Table_GHG'!$A$3,"SUB TYPE",$B22))</f>
        <v>#DIV/0!</v>
      </c>
      <c r="T22" s="101"/>
      <c r="U22" s="102"/>
      <c r="W22" s="248" t="str">
        <f ca="1">IF(L22="PROXY",IF(M22&gt;=5,K22,"need group"),IF(M22&gt;=5,"DIRECT","need group"))</f>
        <v>roots</v>
      </c>
      <c r="X22" s="246">
        <f ca="1">IF($W22="DIRECT",M22,DCOUNT('literature entries'!$D:$AI,IF($J22=1,"ACTIVE     CED, FARM GATE (MJ/kg)","CED, processor gate (MJ/kg)"),INDIRECT($W22)))</f>
        <v>14</v>
      </c>
      <c r="Y22" s="246">
        <f ca="1">IF($W22="DIRECT","",DAVERAGE('literature entries'!$D:$AI,IF($J22=1,"ACTIVE     CED, FARM GATE (MJ/kg)","CED, processor gate (MJ/kg)"),INDIRECT($W22)))</f>
        <v>1.4220714285714284</v>
      </c>
      <c r="Z22" s="246">
        <f ca="1">IF($W22="DIRECT",$O22,DSTDEV('literature entries'!$D:$AI,IF($J22=1,"ACTIVE     CED, FARM GATE (MJ/kg)","CED, processor gate (MJ/kg)"),INDIRECT($W22)))</f>
        <v>0.57442043892896122</v>
      </c>
      <c r="AA22" s="246">
        <f t="shared" ca="1" si="5"/>
        <v>0.57442043892896122</v>
      </c>
      <c r="AB22" s="254" t="s">
        <v>2455</v>
      </c>
      <c r="AC22" s="247">
        <f ca="1">IF($AB22="DIRECT",Q22,DCOUNT('literature entries'!$D:$AI,IF($J22=1,"ACTIVE     GHGE, FARM GATE (kg CO2e/kg)","GHGE, processor gate (kg CO2e/kg)"),INDIRECT($AB22)))</f>
        <v>25</v>
      </c>
      <c r="AD22" s="247">
        <f ca="1">IF($AB22="DIRECT","",DAVERAGE('literature entries'!$D:$AI,IF($J22=1,"ACTIVE     GHGE, FARM GATE (kg CO2e/kg)","GHGE, processor gate (kg CO2e/kg)"),INDIRECT($AB22)))</f>
        <v>0.21340000000000003</v>
      </c>
      <c r="AE22" s="247">
        <f ca="1">IF($AB22="DIRECT",$S22,DSTDEV('literature entries'!$D:$AI,IF($J22=1,"ACTIVE     GHGE, FARM GATE (kg CO2e/kg)","GHGE, processor gate (kg CO2e/kg)"),INDIRECT($AB22)))</f>
        <v>0.17992035274902424</v>
      </c>
      <c r="AF22" s="247">
        <f t="shared" ca="1" si="6"/>
        <v>0.74193959896504824</v>
      </c>
    </row>
    <row r="23" spans="1:32" s="21" customFormat="1" ht="17" thickBot="1" x14ac:dyDescent="0.25">
      <c r="A23" s="129">
        <v>103167000</v>
      </c>
      <c r="B23" s="130" t="s">
        <v>2000</v>
      </c>
      <c r="C23" s="131" t="s">
        <v>2001</v>
      </c>
      <c r="D23" s="131"/>
      <c r="E23" s="131">
        <v>19546</v>
      </c>
      <c r="F23" s="126">
        <f t="shared" ca="1" si="0"/>
        <v>6.5130871428571426</v>
      </c>
      <c r="G23" s="127">
        <f t="shared" ca="1" si="1"/>
        <v>0.97737200000000013</v>
      </c>
      <c r="H23" s="132">
        <v>4.58</v>
      </c>
      <c r="I23" s="133" t="s">
        <v>2737</v>
      </c>
      <c r="J23" s="103">
        <v>1</v>
      </c>
      <c r="K23" s="90" t="s">
        <v>2455</v>
      </c>
      <c r="L23" s="152" t="str">
        <f>IF(ISERROR(GETPIVOTDATA(IF($J23=1,"Count of ACTIVE     CED, FARM GATE (MJ/kg)","Count of CED, processor gate (MJ/kg)"),'Pivot Table_CED'!$A$3,"SUB TYPE",$B23)),"PROXY",IF(GETPIVOTDATA(IF($J23=1,"Count of ACTIVE     CED, FARM GATE (MJ/kg)","Count of CED, processor gate (MJ/kg)"),'Pivot Table_CED'!$A$3,"SUB TYPE",$B23)=0,"PROXY","DB value"))</f>
        <v>PROXY</v>
      </c>
      <c r="M23" s="134">
        <f ca="1">IF($L23="PROXY",DCOUNT('literature entries'!$D:$AI,IF($J23=1,"ACTIVE     CED, FARM GATE (MJ/kg)","CED, processor gate (MJ/kg)"),INDIRECT($K23)),GETPIVOTDATA(IF($J23=1,"Count of ACTIVE     CED, FARM GATE (MJ/kg)","Count of CED, processor gate (MJ/kg)"),'Pivot Table_CED'!$A$3,"SUB TYPE",$B23))</f>
        <v>14</v>
      </c>
      <c r="N23" s="135">
        <f ca="1">IF($L23="PROXY",DAVERAGE('literature entries'!$D:$AI,IF($J23=1,"ACTIVE     CED, FARM GATE (MJ/kg)","CED, processor gate (MJ/kg)"),INDIRECT($K23)),GETPIVOTDATA(IF($J23=1,"Average of ACTIVE     CED, FARM GATE (MJ/kg)","Average of CED, processor gate (MJ/kg)"),'Pivot Table_CED'!$A$3,"SUB TYPE",$B23))</f>
        <v>1.4220714285714284</v>
      </c>
      <c r="O23" s="135">
        <f ca="1">IF($L23="PROXY",DSTDEV('literature entries'!D:AI,IF($J23=1,"ACTIVE     CED, FARM GATE (MJ/kg)","CED, processor gate (MJ/kg)"),INDIRECT($K23)),GETPIVOTDATA(IF($J23=1,"StdDev of ACTIVE     CED, FARM GATE (MJ/kg)","StdDev of CED, processor gate (MJ/kg)"),'Pivot Table_CED'!$A$3,"SUB TYPE",$B23))</f>
        <v>0.57442043892896122</v>
      </c>
      <c r="P23" s="152" t="str">
        <f>IF(ISERROR(GETPIVOTDATA(IF($J23=1,"Count of ACTIVE     GHGE, FARM GATE (kg CO2e/kg)","Count of GHGE, processor gate (kg CO2e/kg)"),'Pivot Table_GHG'!$A$3,"SUB TYPE",$B23)),"PROXY",IF(GETPIVOTDATA(IF($J23=1,"Count of ACTIVE     GHGE, FARM GATE (kg CO2e/kg)","Count of GHGE, processor gate (kg CO2e/kg)"),'Pivot Table_GHG'!$A$3,"SUB TYPE",$B23)=0,"PROXY","DB value"))</f>
        <v>PROXY</v>
      </c>
      <c r="Q23" s="141">
        <f ca="1">IF($P23="PROXY",DCOUNT('literature entries'!$D:$AI,IF($J23=1,"ACTIVE     GHGE, FARM GATE (kg CO2e/kg)","GHGE, processor gate (kg CO2e/kg)"),INDIRECT($K23)),GETPIVOTDATA(IF($J23=1,"ACTIVE     GHGE, FARM GATE (kg CO2e/kg)","Count of GHGE, processor gate (kg CO2e/kg)"),'Pivot Table_GHG'!$A$3,"SUB TYPE",$B23))</f>
        <v>25</v>
      </c>
      <c r="R23" s="221">
        <f ca="1">IF($P23="PROXY",DAVERAGE('literature entries'!$D:$AI,IF($J23=1,"ACTIVE     GHGE, FARM GATE (kg CO2e/kg)","GHGE, processor gate (kg CO2e/kg)"),INDIRECT($K23)),GETPIVOTDATA(IF($J23=1,"Average of ACTIVE     GHGE, FARM GATE (kg CO2e/kg)","Average of GHGE, processor gate (kg CO2e/kg)"),'Pivot Table_GHG'!$A$3,"SUB TYPE",$B23))</f>
        <v>0.21340000000000003</v>
      </c>
      <c r="S23" s="221">
        <f ca="1">IF($P23="PROXY",DSTDEV('literature entries'!$D:$AI,IF($J23=1,"ACTIVE     GHGE, FARM GATE (kg CO2e/kg)","GHGE, processor gate (kg CO2e/kg)"),INDIRECT($K23)),GETPIVOTDATA(IF($J23=1,"StdDev of ACTIVE     GHGE, FARM GATE (kg CO2e/kg)","StdDev of GHGE, processor gate (kg CO2e/kg)"),'Pivot Table_GHG'!$A$3,"SUB TYPE",$B23))</f>
        <v>0.17992035274902424</v>
      </c>
      <c r="T23" s="101"/>
      <c r="U23" s="102"/>
      <c r="W23" s="248" t="str">
        <f ca="1">IF(L23="PROXY",IF(M23&gt;=5,K23,"need group"),IF(M23&gt;=5,"DIRECT","need group"))</f>
        <v>roots</v>
      </c>
      <c r="X23" s="246">
        <f ca="1">IF($W23="DIRECT",M23,DCOUNT('literature entries'!$D:$AI,IF($J23=1,"ACTIVE     CED, FARM GATE (MJ/kg)","CED, processor gate (MJ/kg)"),INDIRECT($W23)))</f>
        <v>14</v>
      </c>
      <c r="Y23" s="246">
        <f ca="1">IF($W23="DIRECT","",DAVERAGE('literature entries'!$D:$AI,IF($J23=1,"ACTIVE     CED, FARM GATE (MJ/kg)","CED, processor gate (MJ/kg)"),INDIRECT($W23)))</f>
        <v>1.4220714285714284</v>
      </c>
      <c r="Z23" s="246">
        <f ca="1">IF($W23="DIRECT",$O23,DSTDEV('literature entries'!$D:$AI,IF($J23=1,"ACTIVE     CED, FARM GATE (MJ/kg)","CED, processor gate (MJ/kg)"),INDIRECT($W23)))</f>
        <v>0.57442043892896122</v>
      </c>
      <c r="AA23" s="246">
        <f t="shared" ca="1" si="5"/>
        <v>0.57442043892896122</v>
      </c>
      <c r="AB23" s="254" t="str">
        <f ca="1">IF(P23="PROXY",IF(Q23&gt;=5,K23,"need group"),IF(Q23&gt;=5,"DIRECT","need group"))</f>
        <v>roots</v>
      </c>
      <c r="AC23" s="247">
        <f ca="1">IF($AB23="DIRECT",Q23,DCOUNT('literature entries'!$D:$AI,IF($J23=1,"ACTIVE     GHGE, FARM GATE (kg CO2e/kg)","GHGE, processor gate (kg CO2e/kg)"),INDIRECT($AB23)))</f>
        <v>25</v>
      </c>
      <c r="AD23" s="247">
        <f ca="1">IF($AB23="DIRECT","",DAVERAGE('literature entries'!$D:$AI,IF($J23=1,"ACTIVE     GHGE, FARM GATE (kg CO2e/kg)","GHGE, processor gate (kg CO2e/kg)"),INDIRECT($AB23)))</f>
        <v>0.21340000000000003</v>
      </c>
      <c r="AE23" s="247">
        <f ca="1">IF($AB23="DIRECT",$S23,DSTDEV('literature entries'!$D:$AI,IF($J23=1,"ACTIVE     GHGE, FARM GATE (kg CO2e/kg)","GHGE, processor gate (kg CO2e/kg)"),INDIRECT($AB23)))</f>
        <v>0.17992035274902424</v>
      </c>
      <c r="AF23" s="247">
        <f t="shared" ca="1" si="6"/>
        <v>0.17992035274902424</v>
      </c>
    </row>
    <row r="24" spans="1:32" s="21" customFormat="1" ht="14" customHeight="1" thickBot="1" x14ac:dyDescent="0.25">
      <c r="A24" s="129">
        <v>103296000</v>
      </c>
      <c r="B24" s="130" t="s">
        <v>2198</v>
      </c>
      <c r="C24" s="142" t="s">
        <v>2199</v>
      </c>
      <c r="D24" s="131"/>
      <c r="E24" s="131">
        <v>5284</v>
      </c>
      <c r="F24" s="126">
        <f t="shared" ca="1" si="0"/>
        <v>19.75</v>
      </c>
      <c r="G24" s="127">
        <f t="shared" ca="1" si="1"/>
        <v>1.5449999999999999</v>
      </c>
      <c r="H24" s="132">
        <v>1</v>
      </c>
      <c r="I24" s="133" t="s">
        <v>628</v>
      </c>
      <c r="J24" s="91">
        <v>2</v>
      </c>
      <c r="K24" s="219"/>
      <c r="L24" s="152" t="str">
        <f>IF(ISERROR(GETPIVOTDATA(IF($J24=1,"Count of ACTIVE     CED, FARM GATE (MJ/kg)","Count of CED, processor gate (MJ/kg)"),'Pivot Table_CED'!$A$3,"SUB TYPE",$B24)),"PROXY",IF(GETPIVOTDATA(IF($J24=1,"Count of ACTIVE     CED, FARM GATE (MJ/kg)","Count of CED, processor gate (MJ/kg)"),'Pivot Table_CED'!$A$3,"SUB TYPE",$B24)=0,"PROXY","DB value"))</f>
        <v>DB value</v>
      </c>
      <c r="M24" s="134">
        <f ca="1">IF($L24="PROXY",DCOUNT('literature entries'!$D:$AI,IF($J24=1,"ACTIVE     CED, FARM GATE (MJ/kg)","CED, processor gate (MJ/kg)"),INDIRECT($K24)),GETPIVOTDATA(IF($J24=1,"Count of ACTIVE     CED, FARM GATE (MJ/kg)","Count of CED, processor gate (MJ/kg)"),'Pivot Table_CED'!$A$3,"SUB TYPE",$B24))</f>
        <v>1</v>
      </c>
      <c r="N24" s="135">
        <f ca="1">IF($L24="PROXY",DAVERAGE('literature entries'!$D:$AI,IF($J24=1,"ACTIVE     CED, FARM GATE (MJ/kg)","CED, processor gate (MJ/kg)"),INDIRECT($K24)),GETPIVOTDATA(IF($J24=1,"Average of ACTIVE     CED, FARM GATE (MJ/kg)","Average of CED, processor gate (MJ/kg)"),'Pivot Table_CED'!$A$3,"SUB TYPE",$B24))</f>
        <v>19.75</v>
      </c>
      <c r="O24" s="135">
        <f ca="1">IF($L24="PROXY",DSTDEV('literature entries'!D:AI,IF($J24=1,"ACTIVE     CED, FARM GATE (MJ/kg)","CED, processor gate (MJ/kg)"),INDIRECT($K24)),GETPIVOTDATA(IF($J24=1,"StdDev of ACTIVE     CED, FARM GATE (MJ/kg)","StdDev of CED, processor gate (MJ/kg)"),'Pivot Table_CED'!$A$3,"SUB TYPE",$B24))</f>
        <v>0</v>
      </c>
      <c r="P24" s="152" t="str">
        <f>IF(ISERROR(GETPIVOTDATA(IF($J24=1,"Count of ACTIVE     GHGE, FARM GATE (kg CO2e/kg)","Count of GHGE, processor gate (kg CO2e/kg)"),'Pivot Table_GHG'!$A$3,"SUB TYPE",$B24)),"PROXY",IF(GETPIVOTDATA(IF($J24=1,"Count of ACTIVE     GHGE, FARM GATE (kg CO2e/kg)","Count of GHGE, processor gate (kg CO2e/kg)"),'Pivot Table_GHG'!$A$3,"SUB TYPE",$B24)=0,"PROXY","DB value"))</f>
        <v>DB value</v>
      </c>
      <c r="Q24" s="141">
        <f ca="1">IF($P24="PROXY",DCOUNT('literature entries'!$D:$AI,IF($J24=1,"ACTIVE     GHGE, FARM GATE (kg CO2e/kg)","GHGE, processor gate (kg CO2e/kg)"),INDIRECT($K24)),GETPIVOTDATA(IF($J24=1,"ACTIVE     GHGE, FARM GATE (kg CO2e/kg)","Count of GHGE, processor gate (kg CO2e/kg)"),'Pivot Table_GHG'!$A$3,"SUB TYPE",$B24))</f>
        <v>3</v>
      </c>
      <c r="R24" s="221">
        <f ca="1">IF($P24="PROXY",DAVERAGE('literature entries'!$D:$AI,IF($J24=1,"ACTIVE     GHGE, FARM GATE (kg CO2e/kg)","GHGE, processor gate (kg CO2e/kg)"),INDIRECT($K24)),GETPIVOTDATA(IF($J24=1,"Average of ACTIVE     GHGE, FARM GATE (kg CO2e/kg)","Average of GHGE, processor gate (kg CO2e/kg)"),'Pivot Table_GHG'!$A$3,"SUB TYPE",$B24))</f>
        <v>1.5449999999999999</v>
      </c>
      <c r="S24" s="221">
        <f ca="1">IF($P24="PROXY",DSTDEV('literature entries'!$D:$AI,IF($J24=1,"ACTIVE     GHGE, FARM GATE (kg CO2e/kg)","GHGE, processor gate (kg CO2e/kg)"),INDIRECT($K24)),GETPIVOTDATA(IF($J24=1,"StdDev of ACTIVE     GHGE, FARM GATE (kg CO2e/kg)","StdDev of GHGE, processor gate (kg CO2e/kg)"),'Pivot Table_GHG'!$A$3,"SUB TYPE",$B24))</f>
        <v>0.54883968515405301</v>
      </c>
      <c r="T24" s="101"/>
      <c r="U24" s="102"/>
      <c r="W24" s="258" t="s">
        <v>2455</v>
      </c>
      <c r="X24" s="246">
        <f ca="1">IF($W24="DIRECT",M24,DCOUNT('literature entries'!$D:$AI,"ACTIVE     CED, FARM GATE (MJ/kg)",INDIRECT($W24)))</f>
        <v>14</v>
      </c>
      <c r="Y24" s="246">
        <f ca="1">IF($W24="DIRECT","",DAVERAGE('literature entries'!$D:$AI,"ACTIVE     CED, FARM GATE (MJ/kg)",INDIRECT($W24)))</f>
        <v>1.4220714285714284</v>
      </c>
      <c r="Z24" s="246">
        <f ca="1">IF($W24="DIRECT",$O24,DSTDEV('literature entries'!$D:$AI,"ACTIVE     CED, FARM GATE (MJ/kg)",INDIRECT($W24)))</f>
        <v>0.57442043892896122</v>
      </c>
      <c r="AA24" s="246">
        <f t="shared" ca="1" si="5"/>
        <v>7.9776609254034749</v>
      </c>
      <c r="AB24" s="258" t="s">
        <v>857</v>
      </c>
      <c r="AC24" s="247">
        <f ca="1">IF($AB24="DIRECT",Q24,DCOUNT('literature entries'!$D:$AI,"ACTIVE     GHGE, FARM GATE (kg CO2e/kg)",INDIRECT($AB24)))</f>
        <v>17</v>
      </c>
      <c r="AD24" s="247">
        <f ca="1">IF($AB24="DIRECT","",DAVERAGE('literature entries'!$D:$AI,"ACTIVE     GHGE, FARM GATE (kg CO2e/kg)",INDIRECT($AB24)))</f>
        <v>0.21741176470588239</v>
      </c>
      <c r="AE24" s="247">
        <f ca="1">IF($AB24="DIRECT",$S24,DSTDEV('literature entries'!$D:$AI,"ACTIVE     GHGE, FARM GATE (kg CO2e/kg)",INDIRECT($AB24)))</f>
        <v>0.11818473824035466</v>
      </c>
      <c r="AF24" s="247">
        <f t="shared" ca="1" si="6"/>
        <v>0.83985988903758513</v>
      </c>
    </row>
    <row r="25" spans="1:32" s="21" customFormat="1" ht="17" thickBot="1" x14ac:dyDescent="0.25">
      <c r="A25" s="129">
        <v>103297000</v>
      </c>
      <c r="B25" s="130" t="s">
        <v>2200</v>
      </c>
      <c r="C25" s="131" t="s">
        <v>2201</v>
      </c>
      <c r="D25" s="131"/>
      <c r="E25" s="131">
        <v>2131</v>
      </c>
      <c r="F25" s="126">
        <f t="shared" ca="1" si="0"/>
        <v>9.699724999999999</v>
      </c>
      <c r="G25" s="127">
        <f t="shared" ca="1" si="1"/>
        <v>1.3088188235294118</v>
      </c>
      <c r="H25" s="132">
        <v>6.02</v>
      </c>
      <c r="I25" s="133" t="s">
        <v>2724</v>
      </c>
      <c r="J25" s="91">
        <v>1</v>
      </c>
      <c r="K25" s="90" t="s">
        <v>857</v>
      </c>
      <c r="L25" s="152" t="str">
        <f>IF(ISERROR(GETPIVOTDATA(IF($J25=1,"Count of ACTIVE     CED, FARM GATE (MJ/kg)","Count of CED, processor gate (MJ/kg)"),'Pivot Table_CED'!$A$3,"SUB TYPE",$B25)),"PROXY",IF(GETPIVOTDATA(IF($J25=1,"Count of ACTIVE     CED, FARM GATE (MJ/kg)","Count of CED, processor gate (MJ/kg)"),'Pivot Table_CED'!$A$3,"SUB TYPE",$B25)=0,"PROXY","DB value"))</f>
        <v>PROXY</v>
      </c>
      <c r="M25" s="134">
        <f ca="1">IF($L25="PROXY",DCOUNT('literature entries'!$D:$AI,IF($J25=1,"ACTIVE     CED, FARM GATE (MJ/kg)","CED, processor gate (MJ/kg)"),INDIRECT($K25)),GETPIVOTDATA(IF($J25=1,"Count of ACTIVE     CED, FARM GATE (MJ/kg)","Count of CED, processor gate (MJ/kg)"),'Pivot Table_CED'!$A$3,"SUB TYPE",$B25))</f>
        <v>8</v>
      </c>
      <c r="N25" s="135">
        <f ca="1">IF($L25="PROXY",DAVERAGE('literature entries'!$D:$AI,IF($J25=1,"ACTIVE     CED, FARM GATE (MJ/kg)","CED, processor gate (MJ/kg)"),INDIRECT($K25)),GETPIVOTDATA(IF($J25=1,"Average of ACTIVE     CED, FARM GATE (MJ/kg)","Average of CED, processor gate (MJ/kg)"),'Pivot Table_CED'!$A$3,"SUB TYPE",$B25))</f>
        <v>1.6112500000000001</v>
      </c>
      <c r="O25" s="135">
        <f ca="1">IF($L25="PROXY",DSTDEV('literature entries'!D:AI,IF($J25=1,"ACTIVE     CED, FARM GATE (MJ/kg)","CED, processor gate (MJ/kg)"),INDIRECT($K25)),GETPIVOTDATA(IF($J25=1,"StdDev of ACTIVE     CED, FARM GATE (MJ/kg)","StdDev of CED, processor gate (MJ/kg)"),'Pivot Table_CED'!$A$3,"SUB TYPE",$B25))</f>
        <v>0.53279418433119463</v>
      </c>
      <c r="P25" s="152" t="str">
        <f>IF(ISERROR(GETPIVOTDATA(IF($J25=1,"Count of ACTIVE     GHGE, FARM GATE (kg CO2e/kg)","Count of GHGE, processor gate (kg CO2e/kg)"),'Pivot Table_GHG'!$A$3,"SUB TYPE",$B25)),"PROXY",IF(GETPIVOTDATA(IF($J25=1,"Count of ACTIVE     GHGE, FARM GATE (kg CO2e/kg)","Count of GHGE, processor gate (kg CO2e/kg)"),'Pivot Table_GHG'!$A$3,"SUB TYPE",$B25)=0,"PROXY","DB value"))</f>
        <v>PROXY</v>
      </c>
      <c r="Q25" s="141">
        <f ca="1">IF($P25="PROXY",DCOUNT('literature entries'!$D:$AI,IF($J25=1,"ACTIVE     GHGE, FARM GATE (kg CO2e/kg)","GHGE, processor gate (kg CO2e/kg)"),INDIRECT($K25)),GETPIVOTDATA(IF($J25=1,"ACTIVE     GHGE, FARM GATE (kg CO2e/kg)","Count of GHGE, processor gate (kg CO2e/kg)"),'Pivot Table_GHG'!$A$3,"SUB TYPE",$B25))</f>
        <v>17</v>
      </c>
      <c r="R25" s="221">
        <f ca="1">IF($P25="PROXY",DAVERAGE('literature entries'!$D:$AI,IF($J25=1,"ACTIVE     GHGE, FARM GATE (kg CO2e/kg)","GHGE, processor gate (kg CO2e/kg)"),INDIRECT($K25)),GETPIVOTDATA(IF($J25=1,"Average of ACTIVE     GHGE, FARM GATE (kg CO2e/kg)","Average of GHGE, processor gate (kg CO2e/kg)"),'Pivot Table_GHG'!$A$3,"SUB TYPE",$B25))</f>
        <v>0.21741176470588239</v>
      </c>
      <c r="S25" s="221">
        <f ca="1">IF($P25="PROXY",DSTDEV('literature entries'!$D:$AI,IF($J25=1,"ACTIVE     GHGE, FARM GATE (kg CO2e/kg)","GHGE, processor gate (kg CO2e/kg)"),INDIRECT($K25)),GETPIVOTDATA(IF($J25=1,"StdDev of ACTIVE     GHGE, FARM GATE (kg CO2e/kg)","StdDev of GHGE, processor gate (kg CO2e/kg)"),'Pivot Table_GHG'!$A$3,"SUB TYPE",$B25))</f>
        <v>0.11818473824035466</v>
      </c>
      <c r="T25" s="101"/>
      <c r="U25" s="102"/>
      <c r="W25" s="248" t="s">
        <v>2455</v>
      </c>
      <c r="X25" s="246">
        <f ca="1">IF($W25="DIRECT",M25,DCOUNT('literature entries'!$D:$AI,IF($J25=1,"ACTIVE     CED, FARM GATE (MJ/kg)","CED, processor gate (MJ/kg)"),INDIRECT($W25)))</f>
        <v>14</v>
      </c>
      <c r="Y25" s="246">
        <f ca="1">IF($W25="DIRECT","",DAVERAGE('literature entries'!$D:$AI,IF($J25=1,"ACTIVE     CED, FARM GATE (MJ/kg)","CED, processor gate (MJ/kg)"),INDIRECT($W25)))</f>
        <v>1.4220714285714284</v>
      </c>
      <c r="Z25" s="246">
        <f ca="1">IF($W25="DIRECT",$O25,DSTDEV('literature entries'!$D:$AI,IF($J25=1,"ACTIVE     CED, FARM GATE (MJ/kg)","CED, processor gate (MJ/kg)"),INDIRECT($W25)))</f>
        <v>0.57442043892896122</v>
      </c>
      <c r="AA25" s="246">
        <f t="shared" ca="1" si="5"/>
        <v>0.65083575524335946</v>
      </c>
      <c r="AB25" s="254" t="str">
        <f ca="1">IF(P25="PROXY",IF(Q25&gt;=5,K25,"need group"),IF(Q25&gt;=5,"DIRECT","need group"))</f>
        <v>potato</v>
      </c>
      <c r="AC25" s="247">
        <f ca="1">IF($AB25="DIRECT",Q25,DCOUNT('literature entries'!$D:$AI,IF($J25=1,"ACTIVE     GHGE, FARM GATE (kg CO2e/kg)","GHGE, processor gate (kg CO2e/kg)"),INDIRECT($AB25)))</f>
        <v>17</v>
      </c>
      <c r="AD25" s="247">
        <f ca="1">IF($AB25="DIRECT","",DAVERAGE('literature entries'!$D:$AI,IF($J25=1,"ACTIVE     GHGE, FARM GATE (kg CO2e/kg)","GHGE, processor gate (kg CO2e/kg)"),INDIRECT($AB25)))</f>
        <v>0.21741176470588239</v>
      </c>
      <c r="AE25" s="247">
        <f ca="1">IF($AB25="DIRECT",$S25,DSTDEV('literature entries'!$D:$AI,IF($J25=1,"ACTIVE     GHGE, FARM GATE (kg CO2e/kg)","GHGE, processor gate (kg CO2e/kg)"),INDIRECT($AB25)))</f>
        <v>0.11818473824035466</v>
      </c>
      <c r="AF25" s="247">
        <f t="shared" ca="1" si="6"/>
        <v>0.11818473824035466</v>
      </c>
    </row>
    <row r="26" spans="1:32" s="21" customFormat="1" ht="17" thickBot="1" x14ac:dyDescent="0.25">
      <c r="A26" s="129">
        <v>103298000</v>
      </c>
      <c r="B26" s="130" t="s">
        <v>2202</v>
      </c>
      <c r="C26" s="131" t="s">
        <v>2203</v>
      </c>
      <c r="D26" s="131"/>
      <c r="E26" s="131">
        <v>27032</v>
      </c>
      <c r="F26" s="126">
        <f t="shared" ca="1" si="0"/>
        <v>6.6309645499999998</v>
      </c>
      <c r="G26" s="127">
        <f t="shared" ca="1" si="1"/>
        <v>0.95251464499999994</v>
      </c>
      <c r="H26" s="132">
        <v>1</v>
      </c>
      <c r="I26" s="133" t="s">
        <v>628</v>
      </c>
      <c r="J26" s="91">
        <v>2</v>
      </c>
      <c r="K26" s="90"/>
      <c r="L26" s="152" t="str">
        <f>IF(ISERROR(GETPIVOTDATA(IF($J26=1,"Count of ACTIVE     CED, FARM GATE (MJ/kg)","Count of CED, processor gate (MJ/kg)"),'Pivot Table_CED'!$A$3,"SUB TYPE",$B26)),"PROXY",IF(GETPIVOTDATA(IF($J26=1,"Count of ACTIVE     CED, FARM GATE (MJ/kg)","Count of CED, processor gate (MJ/kg)"),'Pivot Table_CED'!$A$3,"SUB TYPE",$B26)=0,"PROXY","DB value"))</f>
        <v>DB value</v>
      </c>
      <c r="M26" s="134">
        <f ca="1">IF($L26="PROXY",DCOUNT('literature entries'!$D:$AI,IF($J26=1,"ACTIVE     CED, FARM GATE (MJ/kg)","CED, processor gate (MJ/kg)"),INDIRECT($K26)),GETPIVOTDATA(IF($J26=1,"Count of ACTIVE     CED, FARM GATE (MJ/kg)","Count of CED, processor gate (MJ/kg)"),'Pivot Table_CED'!$A$3,"SUB TYPE",$B26))</f>
        <v>2</v>
      </c>
      <c r="N26" s="135">
        <f ca="1">IF($L26="PROXY",DAVERAGE('literature entries'!$D:$AI,IF($J26=1,"ACTIVE     CED, FARM GATE (MJ/kg)","CED, processor gate (MJ/kg)"),INDIRECT($K26)),GETPIVOTDATA(IF($J26=1,"Average of ACTIVE     CED, FARM GATE (MJ/kg)","Average of CED, processor gate (MJ/kg)"),'Pivot Table_CED'!$A$3,"SUB TYPE",$B26))</f>
        <v>6.6309645499999998</v>
      </c>
      <c r="O26" s="135">
        <f ca="1">IF($L26="PROXY",DSTDEV('literature entries'!D:AI,IF($J26=1,"ACTIVE     CED, FARM GATE (MJ/kg)","CED, processor gate (MJ/kg)"),INDIRECT($K26)),GETPIVOTDATA(IF($J26=1,"StdDev of ACTIVE     CED, FARM GATE (MJ/kg)","StdDev of CED, processor gate (MJ/kg)"),'Pivot Table_CED'!$A$3,"SUB TYPE",$B26))</f>
        <v>0.21616487646111129</v>
      </c>
      <c r="P26" s="152" t="str">
        <f>IF(ISERROR(GETPIVOTDATA(IF($J26=1,"Count of ACTIVE     GHGE, FARM GATE (kg CO2e/kg)","Count of GHGE, processor gate (kg CO2e/kg)"),'Pivot Table_GHG'!$A$3,"SUB TYPE",$B26)),"PROXY",IF(GETPIVOTDATA(IF($J26=1,"Count of ACTIVE     GHGE, FARM GATE (kg CO2e/kg)","Count of GHGE, processor gate (kg CO2e/kg)"),'Pivot Table_GHG'!$A$3,"SUB TYPE",$B26)=0,"PROXY","DB value"))</f>
        <v>DB value</v>
      </c>
      <c r="Q26" s="141">
        <f ca="1">IF($P26="PROXY",DCOUNT('literature entries'!$D:$AI,IF($J26=1,"ACTIVE     GHGE, FARM GATE (kg CO2e/kg)","GHGE, processor gate (kg CO2e/kg)"),INDIRECT($K26)),GETPIVOTDATA(IF($J26=1,"ACTIVE     GHGE, FARM GATE (kg CO2e/kg)","Count of GHGE, processor gate (kg CO2e/kg)"),'Pivot Table_GHG'!$A$3,"SUB TYPE",$B26))</f>
        <v>2</v>
      </c>
      <c r="R26" s="221">
        <f ca="1">IF($P26="PROXY",DAVERAGE('literature entries'!$D:$AI,IF($J26=1,"ACTIVE     GHGE, FARM GATE (kg CO2e/kg)","GHGE, processor gate (kg CO2e/kg)"),INDIRECT($K26)),GETPIVOTDATA(IF($J26=1,"Average of ACTIVE     GHGE, FARM GATE (kg CO2e/kg)","Average of GHGE, processor gate (kg CO2e/kg)"),'Pivot Table_GHG'!$A$3,"SUB TYPE",$B26))</f>
        <v>0.95251464499999994</v>
      </c>
      <c r="S26" s="221">
        <f ca="1">IF($P26="PROXY",DSTDEV('literature entries'!$D:$AI,IF($J26=1,"ACTIVE     GHGE, FARM GATE (kg CO2e/kg)","GHGE, processor gate (kg CO2e/kg)"),INDIRECT($K26)),GETPIVOTDATA(IF($J26=1,"StdDev of ACTIVE     GHGE, FARM GATE (kg CO2e/kg)","StdDev of GHGE, processor gate (kg CO2e/kg)"),'Pivot Table_GHG'!$A$3,"SUB TYPE",$B26))</f>
        <v>2.771251177526626E-2</v>
      </c>
      <c r="T26" s="101"/>
      <c r="U26" s="102"/>
      <c r="W26" s="258" t="s">
        <v>2455</v>
      </c>
      <c r="X26" s="246">
        <f ca="1">IF($W26="DIRECT",M26,DCOUNT('literature entries'!$D:$AI,"ACTIVE     CED, FARM GATE (MJ/kg)",INDIRECT($W26)))</f>
        <v>14</v>
      </c>
      <c r="Y26" s="246">
        <f ca="1">IF($W26="DIRECT","",DAVERAGE('literature entries'!$D:$AI,"ACTIVE     CED, FARM GATE (MJ/kg)",INDIRECT($W26)))</f>
        <v>1.4220714285714284</v>
      </c>
      <c r="Z26" s="246">
        <f ca="1">IF($W26="DIRECT",$O26,DSTDEV('literature entries'!$D:$AI,"ACTIVE     CED, FARM GATE (MJ/kg)",INDIRECT($W26)))</f>
        <v>0.57442043892896122</v>
      </c>
      <c r="AA26" s="246">
        <f t="shared" ca="1" si="5"/>
        <v>2.6784600905453488</v>
      </c>
      <c r="AB26" s="258" t="s">
        <v>857</v>
      </c>
      <c r="AC26" s="247">
        <f ca="1">IF($AB26="DIRECT",Q26,DCOUNT('literature entries'!$D:$AI,"ACTIVE     GHGE, FARM GATE (kg CO2e/kg)",INDIRECT($AB26)))</f>
        <v>17</v>
      </c>
      <c r="AD26" s="247">
        <f ca="1">IF($AB26="DIRECT","",DAVERAGE('literature entries'!$D:$AI,"ACTIVE     GHGE, FARM GATE (kg CO2e/kg)",INDIRECT($AB26)))</f>
        <v>0.21741176470588239</v>
      </c>
      <c r="AE26" s="247">
        <f ca="1">IF($AB26="DIRECT",$S26,DSTDEV('literature entries'!$D:$AI,"ACTIVE     GHGE, FARM GATE (kg CO2e/kg)",INDIRECT($AB26)))</f>
        <v>0.11818473824035466</v>
      </c>
      <c r="AF26" s="247">
        <f t="shared" ca="1" si="6"/>
        <v>0.51778565958341416</v>
      </c>
    </row>
    <row r="27" spans="1:32" s="21" customFormat="1" ht="17" thickBot="1" x14ac:dyDescent="0.25">
      <c r="A27" s="129">
        <v>103299000</v>
      </c>
      <c r="B27" s="130" t="s">
        <v>2206</v>
      </c>
      <c r="C27" s="131" t="s">
        <v>2207</v>
      </c>
      <c r="D27" s="131"/>
      <c r="E27" s="131">
        <v>2630</v>
      </c>
      <c r="F27" s="126">
        <f t="shared" ca="1" si="0"/>
        <v>1.6112500000000001</v>
      </c>
      <c r="G27" s="127">
        <f t="shared" ca="1" si="1"/>
        <v>0.21741176470588239</v>
      </c>
      <c r="H27" s="132">
        <v>1</v>
      </c>
      <c r="I27" s="133" t="s">
        <v>628</v>
      </c>
      <c r="J27" s="91">
        <v>1</v>
      </c>
      <c r="K27" s="90"/>
      <c r="L27" s="152" t="str">
        <f>IF(ISERROR(GETPIVOTDATA(IF($J27=1,"Count of ACTIVE     CED, FARM GATE (MJ/kg)","Count of CED, processor gate (MJ/kg)"),'Pivot Table_CED'!$A$3,"SUB TYPE",$B27)),"PROXY",IF(GETPIVOTDATA(IF($J27=1,"Count of ACTIVE     CED, FARM GATE (MJ/kg)","Count of CED, processor gate (MJ/kg)"),'Pivot Table_CED'!$A$3,"SUB TYPE",$B27)=0,"PROXY","DB value"))</f>
        <v>DB value</v>
      </c>
      <c r="M27" s="134">
        <f ca="1">IF($L27="PROXY",DCOUNT('literature entries'!$D:$AI,IF($J27=1,"ACTIVE     CED, FARM GATE (MJ/kg)","CED, processor gate (MJ/kg)"),INDIRECT($K27)),GETPIVOTDATA(IF($J27=1,"Count of ACTIVE     CED, FARM GATE (MJ/kg)","Count of CED, processor gate (MJ/kg)"),'Pivot Table_CED'!$A$3,"SUB TYPE",$B27))</f>
        <v>8</v>
      </c>
      <c r="N27" s="135">
        <f ca="1">IF($L27="PROXY",DAVERAGE('literature entries'!$D:$AI,IF($J27=1,"ACTIVE     CED, FARM GATE (MJ/kg)","CED, processor gate (MJ/kg)"),INDIRECT($K27)),GETPIVOTDATA(IF($J27=1,"Average of ACTIVE     CED, FARM GATE (MJ/kg)","Average of CED, processor gate (MJ/kg)"),'Pivot Table_CED'!$A$3,"SUB TYPE",$B27))</f>
        <v>1.6112500000000001</v>
      </c>
      <c r="O27" s="135">
        <f ca="1">IF($L27="PROXY",DSTDEV('literature entries'!D:AI,IF($J27=1,"ACTIVE     CED, FARM GATE (MJ/kg)","CED, processor gate (MJ/kg)"),INDIRECT($K27)),GETPIVOTDATA(IF($J27=1,"StdDev of ACTIVE     CED, FARM GATE (MJ/kg)","StdDev of CED, processor gate (MJ/kg)"),'Pivot Table_CED'!$A$3,"SUB TYPE",$B27))</f>
        <v>0.53279418433119463</v>
      </c>
      <c r="P27" s="152" t="str">
        <f>IF(ISERROR(GETPIVOTDATA(IF($J27=1,"Count of ACTIVE     GHGE, FARM GATE (kg CO2e/kg)","Count of GHGE, processor gate (kg CO2e/kg)"),'Pivot Table_GHG'!$A$3,"SUB TYPE",$B27)),"PROXY",IF(GETPIVOTDATA(IF($J27=1,"Count of ACTIVE     GHGE, FARM GATE (kg CO2e/kg)","Count of GHGE, processor gate (kg CO2e/kg)"),'Pivot Table_GHG'!$A$3,"SUB TYPE",$B27)=0,"PROXY","DB value"))</f>
        <v>DB value</v>
      </c>
      <c r="Q27" s="141">
        <f ca="1">IF($P27="PROXY",DCOUNT('literature entries'!$D:$AI,IF($J27=1,"ACTIVE     GHGE, FARM GATE (kg CO2e/kg)","GHGE, processor gate (kg CO2e/kg)"),INDIRECT($K27)),GETPIVOTDATA(IF($J27=1,"ACTIVE     GHGE, FARM GATE (kg CO2e/kg)","Count of GHGE, processor gate (kg CO2e/kg)"),'Pivot Table_GHG'!$A$3,"SUB TYPE",$B27))</f>
        <v>17</v>
      </c>
      <c r="R27" s="221">
        <f ca="1">IF($P27="PROXY",DAVERAGE('literature entries'!$D:$AI,IF($J27=1,"ACTIVE     GHGE, FARM GATE (kg CO2e/kg)","GHGE, processor gate (kg CO2e/kg)"),INDIRECT($K27)),GETPIVOTDATA(IF($J27=1,"Average of ACTIVE     GHGE, FARM GATE (kg CO2e/kg)","Average of GHGE, processor gate (kg CO2e/kg)"),'Pivot Table_GHG'!$A$3,"SUB TYPE",$B27))</f>
        <v>0.21741176470588239</v>
      </c>
      <c r="S27" s="221">
        <f ca="1">IF($P27="PROXY",DSTDEV('literature entries'!$D:$AI,IF($J27=1,"ACTIVE     GHGE, FARM GATE (kg CO2e/kg)","GHGE, processor gate (kg CO2e/kg)"),INDIRECT($K27)),GETPIVOTDATA(IF($J27=1,"StdDev of ACTIVE     GHGE, FARM GATE (kg CO2e/kg)","StdDev of GHGE, processor gate (kg CO2e/kg)"),'Pivot Table_GHG'!$A$3,"SUB TYPE",$B27))</f>
        <v>0.11818473824035466</v>
      </c>
      <c r="T27" s="101"/>
      <c r="U27" s="102"/>
      <c r="W27" s="248" t="str">
        <f ca="1">IF(L27="PROXY",IF(M27&gt;=5,K27,"need group"),IF(M27&gt;=5,"DIRECT","need group"))</f>
        <v>DIRECT</v>
      </c>
      <c r="X27" s="246">
        <f ca="1">IF($W27="DIRECT",M27,DCOUNT('literature entries'!$D:$AI,IF($J27=1,"ACTIVE     CED, FARM GATE (MJ/kg)","CED, processor gate (MJ/kg)"),INDIRECT($W27)))</f>
        <v>8</v>
      </c>
      <c r="Y27" s="246" t="str">
        <f ca="1">IF($W27="DIRECT","",DAVERAGE('literature entries'!$D:$AI,IF($J27=1,"ACTIVE     CED, FARM GATE (MJ/kg)","CED, processor gate (MJ/kg)"),INDIRECT($W27)))</f>
        <v/>
      </c>
      <c r="Z27" s="246">
        <f ca="1">IF($W27="DIRECT",$O27,DSTDEV('literature entries'!$D:$AI,IF($J27=1,"ACTIVE     CED, FARM GATE (MJ/kg)","CED, processor gate (MJ/kg)"),INDIRECT($W27)))</f>
        <v>0.53279418433119463</v>
      </c>
      <c r="AA27" s="246">
        <f t="shared" ca="1" si="5"/>
        <v>0.53279418433119463</v>
      </c>
      <c r="AB27" s="254" t="str">
        <f ca="1">IF(P27="PROXY",IF(Q27&gt;=5,K27,"need group"),IF(Q27&gt;=5,"DIRECT","need group"))</f>
        <v>DIRECT</v>
      </c>
      <c r="AC27" s="247">
        <f ca="1">IF($AB27="DIRECT",Q27,DCOUNT('literature entries'!$D:$AI,IF($J27=1,"ACTIVE     GHGE, FARM GATE (kg CO2e/kg)","GHGE, processor gate (kg CO2e/kg)"),INDIRECT($AB27)))</f>
        <v>17</v>
      </c>
      <c r="AD27" s="247" t="str">
        <f ca="1">IF($AB27="DIRECT","",DAVERAGE('literature entries'!$D:$AI,IF($J27=1,"ACTIVE     GHGE, FARM GATE (kg CO2e/kg)","GHGE, processor gate (kg CO2e/kg)"),INDIRECT($AB27)))</f>
        <v/>
      </c>
      <c r="AE27" s="247">
        <f ca="1">IF($AB27="DIRECT",$S27,DSTDEV('literature entries'!$D:$AI,IF($J27=1,"ACTIVE     GHGE, FARM GATE (kg CO2e/kg)","GHGE, processor gate (kg CO2e/kg)"),INDIRECT($AB27)))</f>
        <v>0.11818473824035466</v>
      </c>
      <c r="AF27" s="247">
        <f t="shared" ca="1" si="6"/>
        <v>0.11818473824035466</v>
      </c>
    </row>
    <row r="28" spans="1:32" s="21" customFormat="1" ht="17" thickBot="1" x14ac:dyDescent="0.25">
      <c r="A28" s="129">
        <v>103300000</v>
      </c>
      <c r="B28" s="130" t="s">
        <v>2204</v>
      </c>
      <c r="C28" s="131" t="s">
        <v>2205</v>
      </c>
      <c r="D28" s="131"/>
      <c r="E28" s="131">
        <v>15758</v>
      </c>
      <c r="F28" s="126">
        <f t="shared" ca="1" si="0"/>
        <v>2.1429625000000003</v>
      </c>
      <c r="G28" s="127">
        <f t="shared" ca="1" si="1"/>
        <v>0.21612499999999998</v>
      </c>
      <c r="H28" s="132">
        <v>1.33</v>
      </c>
      <c r="I28" s="133" t="s">
        <v>2724</v>
      </c>
      <c r="J28" s="91">
        <v>1</v>
      </c>
      <c r="K28" s="90" t="s">
        <v>857</v>
      </c>
      <c r="L28" s="152" t="str">
        <f>IF(ISERROR(GETPIVOTDATA(IF($J28=1,"Count of ACTIVE     CED, FARM GATE (MJ/kg)","Count of CED, processor gate (MJ/kg)"),'Pivot Table_CED'!$A$3,"SUB TYPE",$B28)),"PROXY",IF(GETPIVOTDATA(IF($J28=1,"Count of ACTIVE     CED, FARM GATE (MJ/kg)","Count of CED, processor gate (MJ/kg)"),'Pivot Table_CED'!$A$3,"SUB TYPE",$B28)=0,"PROXY","DB value"))</f>
        <v>PROXY</v>
      </c>
      <c r="M28" s="134">
        <f ca="1">IF($L28="PROXY",DCOUNT('literature entries'!$D:$AI,IF($J28=1,"ACTIVE     CED, FARM GATE (MJ/kg)","CED, processor gate (MJ/kg)"),INDIRECT($K28)),GETPIVOTDATA(IF($J28=1,"Count of ACTIVE     CED, FARM GATE (MJ/kg)","Count of CED, processor gate (MJ/kg)"),'Pivot Table_CED'!$A$3,"SUB TYPE",$B28))</f>
        <v>8</v>
      </c>
      <c r="N28" s="135">
        <f ca="1">IF($L28="PROXY",DAVERAGE('literature entries'!$D:$AI,IF($J28=1,"ACTIVE     CED, FARM GATE (MJ/kg)","CED, processor gate (MJ/kg)"),INDIRECT($K28)),GETPIVOTDATA(IF($J28=1,"Average of ACTIVE     CED, FARM GATE (MJ/kg)","Average of CED, processor gate (MJ/kg)"),'Pivot Table_CED'!$A$3,"SUB TYPE",$B28))</f>
        <v>1.6112500000000001</v>
      </c>
      <c r="O28" s="135">
        <f ca="1">IF($L28="PROXY",DSTDEV('literature entries'!D:AI,IF($J28=1,"ACTIVE     CED, FARM GATE (MJ/kg)","CED, processor gate (MJ/kg)"),INDIRECT($K28)),GETPIVOTDATA(IF($J28=1,"StdDev of ACTIVE     CED, FARM GATE (MJ/kg)","StdDev of CED, processor gate (MJ/kg)"),'Pivot Table_CED'!$A$3,"SUB TYPE",$B28))</f>
        <v>0.53279418433119463</v>
      </c>
      <c r="P28" s="152" t="str">
        <f>IF(ISERROR(GETPIVOTDATA(IF($J28=1,"Count of ACTIVE     GHGE, FARM GATE (kg CO2e/kg)","Count of GHGE, processor gate (kg CO2e/kg)"),'Pivot Table_GHG'!$A$3,"SUB TYPE",$B28)),"PROXY",IF(GETPIVOTDATA(IF($J28=1,"Count of ACTIVE     GHGE, FARM GATE (kg CO2e/kg)","Count of GHGE, processor gate (kg CO2e/kg)"),'Pivot Table_GHG'!$A$3,"SUB TYPE",$B28)=0,"PROXY","DB value"))</f>
        <v>DB value</v>
      </c>
      <c r="Q28" s="141">
        <f ca="1">IF($P28="PROXY",DCOUNT('literature entries'!$D:$AI,IF($J28=1,"ACTIVE     GHGE, FARM GATE (kg CO2e/kg)","GHGE, processor gate (kg CO2e/kg)"),INDIRECT($K28)),GETPIVOTDATA(IF($J28=1,"ACTIVE     GHGE, FARM GATE (kg CO2e/kg)","Count of GHGE, processor gate (kg CO2e/kg)"),'Pivot Table_GHG'!$A$3,"SUB TYPE",$B28))</f>
        <v>2</v>
      </c>
      <c r="R28" s="221">
        <f ca="1">IF($P28="PROXY",DAVERAGE('literature entries'!$D:$AI,IF($J28=1,"ACTIVE     GHGE, FARM GATE (kg CO2e/kg)","GHGE, processor gate (kg CO2e/kg)"),INDIRECT($K28)),GETPIVOTDATA(IF($J28=1,"Average of ACTIVE     GHGE, FARM GATE (kg CO2e/kg)","Average of GHGE, processor gate (kg CO2e/kg)"),'Pivot Table_GHG'!$A$3,"SUB TYPE",$B28))</f>
        <v>0.16249999999999998</v>
      </c>
      <c r="S28" s="221">
        <f ca="1">IF($P28="PROXY",DSTDEV('literature entries'!$D:$AI,IF($J28=1,"ACTIVE     GHGE, FARM GATE (kg CO2e/kg)","GHGE, processor gate (kg CO2e/kg)"),INDIRECT($K28)),GETPIVOTDATA(IF($J28=1,"StdDev of ACTIVE     GHGE, FARM GATE (kg CO2e/kg)","StdDev of GHGE, processor gate (kg CO2e/kg)"),'Pivot Table_GHG'!$A$3,"SUB TYPE",$B28))</f>
        <v>1.6263455967291045E-2</v>
      </c>
      <c r="T28" s="101"/>
      <c r="U28" s="102"/>
      <c r="W28" s="248" t="str">
        <f ca="1">IF(L28="PROXY",IF(M28&gt;=5,K28,"need group"),IF(M28&gt;=5,"DIRECT","need group"))</f>
        <v>potato</v>
      </c>
      <c r="X28" s="246">
        <f ca="1">IF($W28="DIRECT",M28,DCOUNT('literature entries'!$D:$AI,IF($J28=1,"ACTIVE     CED, FARM GATE (MJ/kg)","CED, processor gate (MJ/kg)"),INDIRECT($W28)))</f>
        <v>8</v>
      </c>
      <c r="Y28" s="246">
        <f ca="1">IF($W28="DIRECT","",DAVERAGE('literature entries'!$D:$AI,IF($J28=1,"ACTIVE     CED, FARM GATE (MJ/kg)","CED, processor gate (MJ/kg)"),INDIRECT($W28)))</f>
        <v>1.6112500000000001</v>
      </c>
      <c r="Z28" s="246">
        <f ca="1">IF($W28="DIRECT",$O28,DSTDEV('literature entries'!$D:$AI,IF($J28=1,"ACTIVE     CED, FARM GATE (MJ/kg)","CED, processor gate (MJ/kg)"),INDIRECT($W28)))</f>
        <v>0.53279418433119463</v>
      </c>
      <c r="AA28" s="246">
        <f t="shared" ca="1" si="5"/>
        <v>0.53279418433119463</v>
      </c>
      <c r="AB28" s="254" t="s">
        <v>857</v>
      </c>
      <c r="AC28" s="247">
        <f ca="1">IF($AB28="DIRECT",Q28,DCOUNT('literature entries'!$D:$AI,IF($J28=1,"ACTIVE     GHGE, FARM GATE (kg CO2e/kg)","GHGE, processor gate (kg CO2e/kg)"),INDIRECT($AB28)))</f>
        <v>17</v>
      </c>
      <c r="AD28" s="247">
        <f ca="1">IF($AB28="DIRECT","",DAVERAGE('literature entries'!$D:$AI,IF($J28=1,"ACTIVE     GHGE, FARM GATE (kg CO2e/kg)","GHGE, processor gate (kg CO2e/kg)"),INDIRECT($AB28)))</f>
        <v>0.21741176470588239</v>
      </c>
      <c r="AE28" s="247">
        <f ca="1">IF($AB28="DIRECT",$S28,DSTDEV('literature entries'!$D:$AI,IF($J28=1,"ACTIVE     GHGE, FARM GATE (kg CO2e/kg)","GHGE, processor gate (kg CO2e/kg)"),INDIRECT($AB28)))</f>
        <v>0.11818473824035466</v>
      </c>
      <c r="AF28" s="247">
        <f t="shared" ca="1" si="6"/>
        <v>8.8334777973208781E-2</v>
      </c>
    </row>
    <row r="29" spans="1:32" s="21" customFormat="1" thickBot="1" x14ac:dyDescent="0.25">
      <c r="A29" s="129">
        <v>103366000</v>
      </c>
      <c r="B29" s="130" t="s">
        <v>2292</v>
      </c>
      <c r="C29" s="131" t="s">
        <v>2293</v>
      </c>
      <c r="D29" s="131"/>
      <c r="E29" s="131">
        <v>825</v>
      </c>
      <c r="F29" s="126">
        <f t="shared" ca="1" si="0"/>
        <v>2.2396374999999997</v>
      </c>
      <c r="G29" s="127">
        <f t="shared" ca="1" si="1"/>
        <v>0.30220235294117648</v>
      </c>
      <c r="H29" s="132">
        <v>1.39</v>
      </c>
      <c r="I29" s="132" t="s">
        <v>2724</v>
      </c>
      <c r="J29" s="91">
        <v>1</v>
      </c>
      <c r="K29" s="90" t="s">
        <v>857</v>
      </c>
      <c r="L29" s="152" t="str">
        <f>IF(ISERROR(GETPIVOTDATA(IF($J29=1,"Count of ACTIVE     CED, FARM GATE (MJ/kg)","Count of CED, processor gate (MJ/kg)"),'Pivot Table_CED'!$A$3,"SUB TYPE",$B29)),"PROXY",IF(GETPIVOTDATA(IF($J29=1,"Count of ACTIVE     CED, FARM GATE (MJ/kg)","Count of CED, processor gate (MJ/kg)"),'Pivot Table_CED'!$A$3,"SUB TYPE",$B29)=0,"PROXY","DB value"))</f>
        <v>PROXY</v>
      </c>
      <c r="M29" s="134">
        <f ca="1">IF($L29="PROXY",DCOUNT('literature entries'!$D:$AI,IF($J29=1,"ACTIVE     CED, FARM GATE (MJ/kg)","CED, processor gate (MJ/kg)"),INDIRECT($K29)),GETPIVOTDATA(IF($J29=1,"Count of ACTIVE     CED, FARM GATE (MJ/kg)","Count of CED, processor gate (MJ/kg)"),'Pivot Table_CED'!$A$3,"SUB TYPE",$B29))</f>
        <v>8</v>
      </c>
      <c r="N29" s="135">
        <f ca="1">IF($L29="PROXY",DAVERAGE('literature entries'!$D:$AI,IF($J29=1,"ACTIVE     CED, FARM GATE (MJ/kg)","CED, processor gate (MJ/kg)"),INDIRECT($K29)),GETPIVOTDATA(IF($J29=1,"Average of ACTIVE     CED, FARM GATE (MJ/kg)","Average of CED, processor gate (MJ/kg)"),'Pivot Table_CED'!$A$3,"SUB TYPE",$B29))</f>
        <v>1.6112500000000001</v>
      </c>
      <c r="O29" s="135">
        <f ca="1">IF($L29="PROXY",DSTDEV('literature entries'!D:AI,IF($J29=1,"ACTIVE     CED, FARM GATE (MJ/kg)","CED, processor gate (MJ/kg)"),INDIRECT($K29)),GETPIVOTDATA(IF($J29=1,"StdDev of ACTIVE     CED, FARM GATE (MJ/kg)","StdDev of CED, processor gate (MJ/kg)"),'Pivot Table_CED'!$A$3,"SUB TYPE",$B29))</f>
        <v>0.53279418433119463</v>
      </c>
      <c r="P29" s="152" t="str">
        <f>IF(ISERROR(GETPIVOTDATA(IF($J29=1,"Count of ACTIVE     GHGE, FARM GATE (kg CO2e/kg)","Count of GHGE, processor gate (kg CO2e/kg)"),'Pivot Table_GHG'!$A$3,"SUB TYPE",$B29)),"PROXY",IF(GETPIVOTDATA(IF($J29=1,"Count of ACTIVE     GHGE, FARM GATE (kg CO2e/kg)","Count of GHGE, processor gate (kg CO2e/kg)"),'Pivot Table_GHG'!$A$3,"SUB TYPE",$B29)=0,"PROXY","DB value"))</f>
        <v>PROXY</v>
      </c>
      <c r="Q29" s="141">
        <f ca="1">IF($P29="PROXY",DCOUNT('literature entries'!$D:$AI,IF($J29=1,"ACTIVE     GHGE, FARM GATE (kg CO2e/kg)","GHGE, processor gate (kg CO2e/kg)"),INDIRECT($K29)),GETPIVOTDATA(IF($J29=1,"ACTIVE     GHGE, FARM GATE (kg CO2e/kg)","Count of GHGE, processor gate (kg CO2e/kg)"),'Pivot Table_GHG'!$A$3,"SUB TYPE",$B29))</f>
        <v>17</v>
      </c>
      <c r="R29" s="221">
        <f ca="1">IF($P29="PROXY",DAVERAGE('literature entries'!$D:$AI,IF($J29=1,"ACTIVE     GHGE, FARM GATE (kg CO2e/kg)","GHGE, processor gate (kg CO2e/kg)"),INDIRECT($K29)),GETPIVOTDATA(IF($J29=1,"Average of ACTIVE     GHGE, FARM GATE (kg CO2e/kg)","Average of GHGE, processor gate (kg CO2e/kg)"),'Pivot Table_GHG'!$A$3,"SUB TYPE",$B29))</f>
        <v>0.21741176470588239</v>
      </c>
      <c r="S29" s="221">
        <f ca="1">IF($P29="PROXY",DSTDEV('literature entries'!$D:$AI,IF($J29=1,"ACTIVE     GHGE, FARM GATE (kg CO2e/kg)","GHGE, processor gate (kg CO2e/kg)"),INDIRECT($K29)),GETPIVOTDATA(IF($J29=1,"StdDev of ACTIVE     GHGE, FARM GATE (kg CO2e/kg)","StdDev of GHGE, processor gate (kg CO2e/kg)"),'Pivot Table_GHG'!$A$3,"SUB TYPE",$B29))</f>
        <v>0.11818473824035466</v>
      </c>
      <c r="T29" s="101"/>
      <c r="U29" s="102"/>
      <c r="W29" s="248" t="str">
        <f ca="1">IF(L29="PROXY",IF(M29&gt;=5,K29,"need group"),IF(M29&gt;=5,"DIRECT","need group"))</f>
        <v>potato</v>
      </c>
      <c r="X29" s="246">
        <f ca="1">IF($W29="DIRECT",M29,DCOUNT('literature entries'!$D:$AI,IF($J29=1,"ACTIVE     CED, FARM GATE (MJ/kg)","CED, processor gate (MJ/kg)"),INDIRECT($W29)))</f>
        <v>8</v>
      </c>
      <c r="Y29" s="246">
        <f ca="1">IF($W29="DIRECT","",DAVERAGE('literature entries'!$D:$AI,IF($J29=1,"ACTIVE     CED, FARM GATE (MJ/kg)","CED, processor gate (MJ/kg)"),INDIRECT($W29)))</f>
        <v>1.6112500000000001</v>
      </c>
      <c r="Z29" s="246">
        <f ca="1">IF($W29="DIRECT",$O29,DSTDEV('literature entries'!$D:$AI,IF($J29=1,"ACTIVE     CED, FARM GATE (MJ/kg)","CED, processor gate (MJ/kg)"),INDIRECT($W29)))</f>
        <v>0.53279418433119463</v>
      </c>
      <c r="AA29" s="246">
        <f t="shared" ca="1" si="5"/>
        <v>0.53279418433119463</v>
      </c>
      <c r="AB29" s="254" t="str">
        <f ca="1">IF(P29="PROXY",IF(Q29&gt;=5,K29,"need group"),IF(Q29&gt;=5,"DIRECT","need group"))</f>
        <v>potato</v>
      </c>
      <c r="AC29" s="247">
        <f ca="1">IF($AB29="DIRECT",Q29,DCOUNT('literature entries'!$D:$AI,IF($J29=1,"ACTIVE     GHGE, FARM GATE (kg CO2e/kg)","GHGE, processor gate (kg CO2e/kg)"),INDIRECT($AB29)))</f>
        <v>17</v>
      </c>
      <c r="AD29" s="247">
        <f ca="1">IF($AB29="DIRECT","",DAVERAGE('literature entries'!$D:$AI,IF($J29=1,"ACTIVE     GHGE, FARM GATE (kg CO2e/kg)","GHGE, processor gate (kg CO2e/kg)"),INDIRECT($AB29)))</f>
        <v>0.21741176470588239</v>
      </c>
      <c r="AE29" s="247">
        <f ca="1">IF($AB29="DIRECT",$S29,DSTDEV('literature entries'!$D:$AI,IF($J29=1,"ACTIVE     GHGE, FARM GATE (kg CO2e/kg)","GHGE, processor gate (kg CO2e/kg)"),INDIRECT($AB29)))</f>
        <v>0.11818473824035466</v>
      </c>
      <c r="AF29" s="247">
        <f t="shared" ca="1" si="6"/>
        <v>0.11818473824035466</v>
      </c>
    </row>
    <row r="30" spans="1:32" s="21" customFormat="1" ht="17" thickBot="1" x14ac:dyDescent="0.25">
      <c r="A30" s="129">
        <v>103371000</v>
      </c>
      <c r="B30" s="130" t="s">
        <v>2302</v>
      </c>
      <c r="C30" s="131" t="s">
        <v>2303</v>
      </c>
      <c r="D30" s="131" t="s">
        <v>2304</v>
      </c>
      <c r="E30" s="131">
        <v>8</v>
      </c>
      <c r="F30" s="126">
        <f t="shared" ca="1" si="0"/>
        <v>1.4220714285714284</v>
      </c>
      <c r="G30" s="127">
        <f t="shared" ca="1" si="1"/>
        <v>0.21340000000000003</v>
      </c>
      <c r="H30" s="132">
        <v>1</v>
      </c>
      <c r="I30" s="133" t="s">
        <v>594</v>
      </c>
      <c r="J30" s="91">
        <v>1</v>
      </c>
      <c r="K30" s="90" t="s">
        <v>2455</v>
      </c>
      <c r="L30" s="152" t="str">
        <f>IF(ISERROR(GETPIVOTDATA(IF($J30=1,"Count of ACTIVE     CED, FARM GATE (MJ/kg)","Count of CED, processor gate (MJ/kg)"),'Pivot Table_CED'!$A$3,"SUB TYPE",$B30)),"PROXY",IF(GETPIVOTDATA(IF($J30=1,"Count of ACTIVE     CED, FARM GATE (MJ/kg)","Count of CED, processor gate (MJ/kg)"),'Pivot Table_CED'!$A$3,"SUB TYPE",$B30)=0,"PROXY","DB value"))</f>
        <v>PROXY</v>
      </c>
      <c r="M30" s="134">
        <f ca="1">IF($L30="PROXY",DCOUNT('literature entries'!$D:$AI,IF($J30=1,"ACTIVE     CED, FARM GATE (MJ/kg)","CED, processor gate (MJ/kg)"),INDIRECT($K30)),GETPIVOTDATA(IF($J30=1,"Count of ACTIVE     CED, FARM GATE (MJ/kg)","Count of CED, processor gate (MJ/kg)"),'Pivot Table_CED'!$A$3,"SUB TYPE",$B30))</f>
        <v>14</v>
      </c>
      <c r="N30" s="135">
        <f ca="1">IF($L30="PROXY",DAVERAGE('literature entries'!$D:$AI,IF($J30=1,"ACTIVE     CED, FARM GATE (MJ/kg)","CED, processor gate (MJ/kg)"),INDIRECT($K30)),GETPIVOTDATA(IF($J30=1,"Average of ACTIVE     CED, FARM GATE (MJ/kg)","Average of CED, processor gate (MJ/kg)"),'Pivot Table_CED'!$A$3,"SUB TYPE",$B30))</f>
        <v>1.4220714285714284</v>
      </c>
      <c r="O30" s="135">
        <f ca="1">IF($L30="PROXY",DSTDEV('literature entries'!D:AI,IF($J30=1,"ACTIVE     CED, FARM GATE (MJ/kg)","CED, processor gate (MJ/kg)"),INDIRECT($K30)),GETPIVOTDATA(IF($J30=1,"StdDev of ACTIVE     CED, FARM GATE (MJ/kg)","StdDev of CED, processor gate (MJ/kg)"),'Pivot Table_CED'!$A$3,"SUB TYPE",$B30))</f>
        <v>0.57442043892896122</v>
      </c>
      <c r="P30" s="152" t="str">
        <f>IF(ISERROR(GETPIVOTDATA(IF($J30=1,"Count of ACTIVE     GHGE, FARM GATE (kg CO2e/kg)","Count of GHGE, processor gate (kg CO2e/kg)"),'Pivot Table_GHG'!$A$3,"SUB TYPE",$B30)),"PROXY",IF(GETPIVOTDATA(IF($J30=1,"Count of ACTIVE     GHGE, FARM GATE (kg CO2e/kg)","Count of GHGE, processor gate (kg CO2e/kg)"),'Pivot Table_GHG'!$A$3,"SUB TYPE",$B30)=0,"PROXY","DB value"))</f>
        <v>PROXY</v>
      </c>
      <c r="Q30" s="141">
        <f ca="1">IF($P30="PROXY",DCOUNT('literature entries'!$D:$AI,IF($J30=1,"ACTIVE     GHGE, FARM GATE (kg CO2e/kg)","GHGE, processor gate (kg CO2e/kg)"),INDIRECT($K30)),GETPIVOTDATA(IF($J30=1,"ACTIVE     GHGE, FARM GATE (kg CO2e/kg)","Count of GHGE, processor gate (kg CO2e/kg)"),'Pivot Table_GHG'!$A$3,"SUB TYPE",$B30))</f>
        <v>25</v>
      </c>
      <c r="R30" s="221">
        <f ca="1">IF($P30="PROXY",DAVERAGE('literature entries'!$D:$AI,IF($J30=1,"ACTIVE     GHGE, FARM GATE (kg CO2e/kg)","GHGE, processor gate (kg CO2e/kg)"),INDIRECT($K30)),GETPIVOTDATA(IF($J30=1,"Average of ACTIVE     GHGE, FARM GATE (kg CO2e/kg)","Average of GHGE, processor gate (kg CO2e/kg)"),'Pivot Table_GHG'!$A$3,"SUB TYPE",$B30))</f>
        <v>0.21340000000000003</v>
      </c>
      <c r="S30" s="221">
        <f ca="1">IF($P30="PROXY",DSTDEV('literature entries'!$D:$AI,IF($J30=1,"ACTIVE     GHGE, FARM GATE (kg CO2e/kg)","GHGE, processor gate (kg CO2e/kg)"),INDIRECT($K30)),GETPIVOTDATA(IF($J30=1,"StdDev of ACTIVE     GHGE, FARM GATE (kg CO2e/kg)","StdDev of GHGE, processor gate (kg CO2e/kg)"),'Pivot Table_GHG'!$A$3,"SUB TYPE",$B30))</f>
        <v>0.17992035274902424</v>
      </c>
      <c r="T30" s="101"/>
      <c r="U30" s="102"/>
      <c r="W30" s="248" t="str">
        <f ca="1">IF(L30="PROXY",IF(M30&gt;=5,K30,"need group"),IF(M30&gt;=5,"DIRECT","need group"))</f>
        <v>roots</v>
      </c>
      <c r="X30" s="246">
        <f ca="1">IF($W30="DIRECT",M30,DCOUNT('literature entries'!$D:$AI,IF($J30=1,"ACTIVE     CED, FARM GATE (MJ/kg)","CED, processor gate (MJ/kg)"),INDIRECT($W30)))</f>
        <v>14</v>
      </c>
      <c r="Y30" s="246">
        <f ca="1">IF($W30="DIRECT","",DAVERAGE('literature entries'!$D:$AI,IF($J30=1,"ACTIVE     CED, FARM GATE (MJ/kg)","CED, processor gate (MJ/kg)"),INDIRECT($W30)))</f>
        <v>1.4220714285714284</v>
      </c>
      <c r="Z30" s="246">
        <f ca="1">IF($W30="DIRECT",$O30,DSTDEV('literature entries'!$D:$AI,IF($J30=1,"ACTIVE     CED, FARM GATE (MJ/kg)","CED, processor gate (MJ/kg)"),INDIRECT($W30)))</f>
        <v>0.57442043892896122</v>
      </c>
      <c r="AA30" s="246">
        <f t="shared" ca="1" si="5"/>
        <v>0.57442043892896122</v>
      </c>
      <c r="AB30" s="254" t="str">
        <f ca="1">IF(P30="PROXY",IF(Q30&gt;=5,K30,"need group"),IF(Q30&gt;=5,"DIRECT","need group"))</f>
        <v>roots</v>
      </c>
      <c r="AC30" s="247">
        <f ca="1">IF($AB30="DIRECT",Q30,DCOUNT('literature entries'!$D:$AI,IF($J30=1,"ACTIVE     GHGE, FARM GATE (kg CO2e/kg)","GHGE, processor gate (kg CO2e/kg)"),INDIRECT($AB30)))</f>
        <v>25</v>
      </c>
      <c r="AD30" s="247">
        <f ca="1">IF($AB30="DIRECT","",DAVERAGE('literature entries'!$D:$AI,IF($J30=1,"ACTIVE     GHGE, FARM GATE (kg CO2e/kg)","GHGE, processor gate (kg CO2e/kg)"),INDIRECT($AB30)))</f>
        <v>0.21340000000000003</v>
      </c>
      <c r="AE30" s="247">
        <f ca="1">IF($AB30="DIRECT",$S30,DSTDEV('literature entries'!$D:$AI,IF($J30=1,"ACTIVE     GHGE, FARM GATE (kg CO2e/kg)","GHGE, processor gate (kg CO2e/kg)"),INDIRECT($AB30)))</f>
        <v>0.17992035274902424</v>
      </c>
      <c r="AF30" s="247">
        <f t="shared" ca="1" si="6"/>
        <v>0.17992035274902424</v>
      </c>
    </row>
    <row r="31" spans="1:32" s="21" customFormat="1" ht="17" thickBot="1" x14ac:dyDescent="0.25">
      <c r="A31" s="129">
        <v>103387000</v>
      </c>
      <c r="B31" s="130" t="s">
        <v>2330</v>
      </c>
      <c r="C31" s="131" t="s">
        <v>1851</v>
      </c>
      <c r="D31" s="131"/>
      <c r="E31" s="131">
        <v>7304</v>
      </c>
      <c r="F31" s="126">
        <f t="shared" ca="1" si="0"/>
        <v>1.4220714285714284</v>
      </c>
      <c r="G31" s="127">
        <f t="shared" ca="1" si="1"/>
        <v>0.21340000000000003</v>
      </c>
      <c r="H31" s="132">
        <v>1</v>
      </c>
      <c r="I31" s="133" t="s">
        <v>594</v>
      </c>
      <c r="J31" s="91">
        <v>1</v>
      </c>
      <c r="K31" s="90" t="s">
        <v>2455</v>
      </c>
      <c r="L31" s="152" t="str">
        <f>IF(ISERROR(GETPIVOTDATA(IF($J31=1,"Count of ACTIVE     CED, FARM GATE (MJ/kg)","Count of CED, processor gate (MJ/kg)"),'Pivot Table_CED'!$A$3,"SUB TYPE",$B31)),"PROXY",IF(GETPIVOTDATA(IF($J31=1,"Count of ACTIVE     CED, FARM GATE (MJ/kg)","Count of CED, processor gate (MJ/kg)"),'Pivot Table_CED'!$A$3,"SUB TYPE",$B31)=0,"PROXY","DB value"))</f>
        <v>PROXY</v>
      </c>
      <c r="M31" s="134">
        <f ca="1">IF($L31="PROXY",DCOUNT('literature entries'!$D:$AI,IF($J31=1,"ACTIVE     CED, FARM GATE (MJ/kg)","CED, processor gate (MJ/kg)"),INDIRECT($K31)),GETPIVOTDATA(IF($J31=1,"Count of ACTIVE     CED, FARM GATE (MJ/kg)","Count of CED, processor gate (MJ/kg)"),'Pivot Table_CED'!$A$3,"SUB TYPE",$B31))</f>
        <v>14</v>
      </c>
      <c r="N31" s="135">
        <f ca="1">IF($L31="PROXY",DAVERAGE('literature entries'!$D:$AI,IF($J31=1,"ACTIVE     CED, FARM GATE (MJ/kg)","CED, processor gate (MJ/kg)"),INDIRECT($K31)),GETPIVOTDATA(IF($J31=1,"Average of ACTIVE     CED, FARM GATE (MJ/kg)","Average of CED, processor gate (MJ/kg)"),'Pivot Table_CED'!$A$3,"SUB TYPE",$B31))</f>
        <v>1.4220714285714284</v>
      </c>
      <c r="O31" s="135">
        <f ca="1">IF($L31="PROXY",DSTDEV('literature entries'!D:AI,IF($J31=1,"ACTIVE     CED, FARM GATE (MJ/kg)","CED, processor gate (MJ/kg)"),INDIRECT($K31)),GETPIVOTDATA(IF($J31=1,"StdDev of ACTIVE     CED, FARM GATE (MJ/kg)","StdDev of CED, processor gate (MJ/kg)"),'Pivot Table_CED'!$A$3,"SUB TYPE",$B31))</f>
        <v>0.57442043892896122</v>
      </c>
      <c r="P31" s="152" t="str">
        <f>IF(ISERROR(GETPIVOTDATA(IF($J31=1,"Count of ACTIVE     GHGE, FARM GATE (kg CO2e/kg)","Count of GHGE, processor gate (kg CO2e/kg)"),'Pivot Table_GHG'!$A$3,"SUB TYPE",$B31)),"PROXY",IF(GETPIVOTDATA(IF($J31=1,"Count of ACTIVE     GHGE, FARM GATE (kg CO2e/kg)","Count of GHGE, processor gate (kg CO2e/kg)"),'Pivot Table_GHG'!$A$3,"SUB TYPE",$B31)=0,"PROXY","DB value"))</f>
        <v>PROXY</v>
      </c>
      <c r="Q31" s="141">
        <f ca="1">IF($P31="PROXY",DCOUNT('literature entries'!$D:$AI,IF($J31=1,"ACTIVE     GHGE, FARM GATE (kg CO2e/kg)","GHGE, processor gate (kg CO2e/kg)"),INDIRECT($K31)),GETPIVOTDATA(IF($J31=1,"ACTIVE     GHGE, FARM GATE (kg CO2e/kg)","Count of GHGE, processor gate (kg CO2e/kg)"),'Pivot Table_GHG'!$A$3,"SUB TYPE",$B31))</f>
        <v>25</v>
      </c>
      <c r="R31" s="221">
        <f ca="1">IF($P31="PROXY",DAVERAGE('literature entries'!$D:$AI,IF($J31=1,"ACTIVE     GHGE, FARM GATE (kg CO2e/kg)","GHGE, processor gate (kg CO2e/kg)"),INDIRECT($K31)),GETPIVOTDATA(IF($J31=1,"Average of ACTIVE     GHGE, FARM GATE (kg CO2e/kg)","Average of GHGE, processor gate (kg CO2e/kg)"),'Pivot Table_GHG'!$A$3,"SUB TYPE",$B31))</f>
        <v>0.21340000000000003</v>
      </c>
      <c r="S31" s="221">
        <f ca="1">IF($P31="PROXY",DSTDEV('literature entries'!$D:$AI,IF($J31=1,"ACTIVE     GHGE, FARM GATE (kg CO2e/kg)","GHGE, processor gate (kg CO2e/kg)"),INDIRECT($K31)),GETPIVOTDATA(IF($J31=1,"StdDev of ACTIVE     GHGE, FARM GATE (kg CO2e/kg)","StdDev of GHGE, processor gate (kg CO2e/kg)"),'Pivot Table_GHG'!$A$3,"SUB TYPE",$B31))</f>
        <v>0.17992035274902424</v>
      </c>
      <c r="T31" s="101"/>
      <c r="U31" s="102"/>
      <c r="W31" s="248" t="str">
        <f ca="1">IF(L31="PROXY",IF(M31&gt;=5,K31,"need group"),IF(M31&gt;=5,"DIRECT","need group"))</f>
        <v>roots</v>
      </c>
      <c r="X31" s="246">
        <f ca="1">IF($W31="DIRECT",M31,DCOUNT('literature entries'!$D:$AI,IF($J31=1,"ACTIVE     CED, FARM GATE (MJ/kg)","CED, processor gate (MJ/kg)"),INDIRECT($W31)))</f>
        <v>14</v>
      </c>
      <c r="Y31" s="246">
        <f ca="1">IF($W31="DIRECT","",DAVERAGE('literature entries'!$D:$AI,IF($J31=1,"ACTIVE     CED, FARM GATE (MJ/kg)","CED, processor gate (MJ/kg)"),INDIRECT($W31)))</f>
        <v>1.4220714285714284</v>
      </c>
      <c r="Z31" s="246">
        <f ca="1">IF($W31="DIRECT",$O31,DSTDEV('literature entries'!$D:$AI,IF($J31=1,"ACTIVE     CED, FARM GATE (MJ/kg)","CED, processor gate (MJ/kg)"),INDIRECT($W31)))</f>
        <v>0.57442043892896122</v>
      </c>
      <c r="AA31" s="246">
        <f t="shared" ca="1" si="5"/>
        <v>0.57442043892896122</v>
      </c>
      <c r="AB31" s="254" t="str">
        <f ca="1">IF(P31="PROXY",IF(Q31&gt;=5,K31,"need group"),IF(Q31&gt;=5,"DIRECT","need group"))</f>
        <v>roots</v>
      </c>
      <c r="AC31" s="247">
        <f ca="1">IF($AB31="DIRECT",Q31,DCOUNT('literature entries'!$D:$AI,IF($J31=1,"ACTIVE     GHGE, FARM GATE (kg CO2e/kg)","GHGE, processor gate (kg CO2e/kg)"),INDIRECT($AB31)))</f>
        <v>25</v>
      </c>
      <c r="AD31" s="247">
        <f ca="1">IF($AB31="DIRECT","",DAVERAGE('literature entries'!$D:$AI,IF($J31=1,"ACTIVE     GHGE, FARM GATE (kg CO2e/kg)","GHGE, processor gate (kg CO2e/kg)"),INDIRECT($AB31)))</f>
        <v>0.21340000000000003</v>
      </c>
      <c r="AE31" s="247">
        <f ca="1">IF($AB31="DIRECT",$S31,DSTDEV('literature entries'!$D:$AI,IF($J31=1,"ACTIVE     GHGE, FARM GATE (kg CO2e/kg)","GHGE, processor gate (kg CO2e/kg)"),INDIRECT($AB31)))</f>
        <v>0.17992035274902424</v>
      </c>
      <c r="AF31" s="247">
        <f t="shared" ca="1" si="6"/>
        <v>0.17992035274902424</v>
      </c>
    </row>
    <row r="32" spans="1:32" s="21" customFormat="1" ht="17" thickBot="1" x14ac:dyDescent="0.25">
      <c r="A32" s="129">
        <v>103406000</v>
      </c>
      <c r="B32" s="130" t="s">
        <v>2356</v>
      </c>
      <c r="C32" s="131" t="s">
        <v>1851</v>
      </c>
      <c r="D32" s="131"/>
      <c r="E32" s="131">
        <v>24</v>
      </c>
      <c r="F32" s="126">
        <f t="shared" ca="1" si="0"/>
        <v>1.8690499999999999</v>
      </c>
      <c r="G32" s="127">
        <f t="shared" ca="1" si="1"/>
        <v>1.0207999999999999</v>
      </c>
      <c r="H32" s="132">
        <v>1.1599999999999999</v>
      </c>
      <c r="I32" s="133" t="s">
        <v>2724</v>
      </c>
      <c r="J32" s="91">
        <v>1</v>
      </c>
      <c r="K32" s="90" t="s">
        <v>857</v>
      </c>
      <c r="L32" s="152" t="str">
        <f>IF(ISERROR(GETPIVOTDATA(IF($J32=1,"Count of ACTIVE     CED, FARM GATE (MJ/kg)","Count of CED, processor gate (MJ/kg)"),'Pivot Table_CED'!$A$3,"SUB TYPE",$B32)),"PROXY",IF(GETPIVOTDATA(IF($J32=1,"Count of ACTIVE     CED, FARM GATE (MJ/kg)","Count of CED, processor gate (MJ/kg)"),'Pivot Table_CED'!$A$3,"SUB TYPE",$B32)=0,"PROXY","DB value"))</f>
        <v>PROXY</v>
      </c>
      <c r="M32" s="134">
        <f ca="1">IF($L32="PROXY",DCOUNT('literature entries'!$D:$AI,IF($J32=1,"ACTIVE     CED, FARM GATE (MJ/kg)","CED, processor gate (MJ/kg)"),INDIRECT($K32)),GETPIVOTDATA(IF($J32=1,"Count of ACTIVE     CED, FARM GATE (MJ/kg)","Count of CED, processor gate (MJ/kg)"),'Pivot Table_CED'!$A$3,"SUB TYPE",$B32))</f>
        <v>8</v>
      </c>
      <c r="N32" s="135">
        <f ca="1">IF($L32="PROXY",DAVERAGE('literature entries'!$D:$AI,IF($J32=1,"ACTIVE     CED, FARM GATE (MJ/kg)","CED, processor gate (MJ/kg)"),INDIRECT($K32)),GETPIVOTDATA(IF($J32=1,"Average of ACTIVE     CED, FARM GATE (MJ/kg)","Average of CED, processor gate (MJ/kg)"),'Pivot Table_CED'!$A$3,"SUB TYPE",$B32))</f>
        <v>1.6112500000000001</v>
      </c>
      <c r="O32" s="135">
        <f ca="1">IF($L32="PROXY",DSTDEV('literature entries'!D:AI,IF($J32=1,"ACTIVE     CED, FARM GATE (MJ/kg)","CED, processor gate (MJ/kg)"),INDIRECT($K32)),GETPIVOTDATA(IF($J32=1,"StdDev of ACTIVE     CED, FARM GATE (MJ/kg)","StdDev of CED, processor gate (MJ/kg)"),'Pivot Table_CED'!$A$3,"SUB TYPE",$B32))</f>
        <v>0.53279418433119463</v>
      </c>
      <c r="P32" s="152" t="str">
        <f>IF(ISERROR(GETPIVOTDATA(IF($J32=1,"Count of ACTIVE     GHGE, FARM GATE (kg CO2e/kg)","Count of GHGE, processor gate (kg CO2e/kg)"),'Pivot Table_GHG'!$A$3,"SUB TYPE",$B32)),"PROXY",IF(GETPIVOTDATA(IF($J32=1,"Count of ACTIVE     GHGE, FARM GATE (kg CO2e/kg)","Count of GHGE, processor gate (kg CO2e/kg)"),'Pivot Table_GHG'!$A$3,"SUB TYPE",$B32)=0,"PROXY","DB value"))</f>
        <v>DB value</v>
      </c>
      <c r="Q32" s="141">
        <f ca="1">IF($P32="PROXY",DCOUNT('literature entries'!$D:$AI,IF($J32=1,"ACTIVE     GHGE, FARM GATE (kg CO2e/kg)","GHGE, processor gate (kg CO2e/kg)"),INDIRECT($K32)),GETPIVOTDATA(IF($J32=1,"ACTIVE     GHGE, FARM GATE (kg CO2e/kg)","Count of GHGE, processor gate (kg CO2e/kg)"),'Pivot Table_GHG'!$A$3,"SUB TYPE",$B32))</f>
        <v>1</v>
      </c>
      <c r="R32" s="221">
        <f ca="1">IF($P32="PROXY",DAVERAGE('literature entries'!$D:$AI,IF($J32=1,"ACTIVE     GHGE, FARM GATE (kg CO2e/kg)","GHGE, processor gate (kg CO2e/kg)"),INDIRECT($K32)),GETPIVOTDATA(IF($J32=1,"Average of ACTIVE     GHGE, FARM GATE (kg CO2e/kg)","Average of GHGE, processor gate (kg CO2e/kg)"),'Pivot Table_GHG'!$A$3,"SUB TYPE",$B32))</f>
        <v>0.88</v>
      </c>
      <c r="S32" s="221" t="e">
        <f ca="1">IF($P32="PROXY",DSTDEV('literature entries'!$D:$AI,IF($J32=1,"ACTIVE     GHGE, FARM GATE (kg CO2e/kg)","GHGE, processor gate (kg CO2e/kg)"),INDIRECT($K32)),GETPIVOTDATA(IF($J32=1,"StdDev of ACTIVE     GHGE, FARM GATE (kg CO2e/kg)","StdDev of GHGE, processor gate (kg CO2e/kg)"),'Pivot Table_GHG'!$A$3,"SUB TYPE",$B32))</f>
        <v>#DIV/0!</v>
      </c>
      <c r="T32" s="101"/>
      <c r="U32" s="102"/>
      <c r="W32" s="248" t="s">
        <v>2455</v>
      </c>
      <c r="X32" s="246">
        <f ca="1">IF($W32="DIRECT",M32,DCOUNT('literature entries'!$D:$AI,IF($J32=1,"ACTIVE     CED, FARM GATE (MJ/kg)","CED, processor gate (MJ/kg)"),INDIRECT($W32)))</f>
        <v>14</v>
      </c>
      <c r="Y32" s="246">
        <f ca="1">IF($W32="DIRECT","",DAVERAGE('literature entries'!$D:$AI,IF($J32=1,"ACTIVE     CED, FARM GATE (MJ/kg)","CED, processor gate (MJ/kg)"),INDIRECT($W32)))</f>
        <v>1.4220714285714284</v>
      </c>
      <c r="Z32" s="246">
        <f ca="1">IF($W32="DIRECT",$O32,DSTDEV('literature entries'!$D:$AI,IF($J32=1,"ACTIVE     CED, FARM GATE (MJ/kg)","CED, processor gate (MJ/kg)"),INDIRECT($W32)))</f>
        <v>0.57442043892896122</v>
      </c>
      <c r="AA32" s="246">
        <f t="shared" ca="1" si="5"/>
        <v>0.65083575524335946</v>
      </c>
      <c r="AB32" s="254" t="s">
        <v>2455</v>
      </c>
      <c r="AC32" s="247">
        <f ca="1">IF($AB32="DIRECT",Q32,DCOUNT('literature entries'!$D:$AI,IF($J32=1,"ACTIVE     GHGE, FARM GATE (kg CO2e/kg)","GHGE, processor gate (kg CO2e/kg)"),INDIRECT($AB32)))</f>
        <v>25</v>
      </c>
      <c r="AD32" s="247">
        <f ca="1">IF($AB32="DIRECT","",DAVERAGE('literature entries'!$D:$AI,IF($J32=1,"ACTIVE     GHGE, FARM GATE (kg CO2e/kg)","GHGE, processor gate (kg CO2e/kg)"),INDIRECT($AB32)))</f>
        <v>0.21340000000000003</v>
      </c>
      <c r="AE32" s="247">
        <f ca="1">IF($AB32="DIRECT",$S32,DSTDEV('literature entries'!$D:$AI,IF($J32=1,"ACTIVE     GHGE, FARM GATE (kg CO2e/kg)","GHGE, processor gate (kg CO2e/kg)"),INDIRECT($AB32)))</f>
        <v>0.17992035274902424</v>
      </c>
      <c r="AF32" s="247">
        <f t="shared" ca="1" si="6"/>
        <v>0.74193959896504824</v>
      </c>
    </row>
    <row r="33" spans="1:32" s="21" customFormat="1" ht="17" thickBot="1" x14ac:dyDescent="0.25">
      <c r="A33" s="129">
        <v>103407000</v>
      </c>
      <c r="B33" s="130" t="s">
        <v>2354</v>
      </c>
      <c r="C33" s="131" t="s">
        <v>1851</v>
      </c>
      <c r="D33" s="131" t="s">
        <v>2355</v>
      </c>
      <c r="E33" s="131">
        <v>62</v>
      </c>
      <c r="F33" s="126">
        <f t="shared" ca="1" si="0"/>
        <v>1.7562625000000003</v>
      </c>
      <c r="G33" s="127">
        <f t="shared" ca="1" si="1"/>
        <v>0.23697882352941183</v>
      </c>
      <c r="H33" s="132">
        <v>1.0900000000000001</v>
      </c>
      <c r="I33" s="133" t="s">
        <v>2724</v>
      </c>
      <c r="J33" s="91">
        <v>1</v>
      </c>
      <c r="K33" s="90" t="s">
        <v>857</v>
      </c>
      <c r="L33" s="152" t="str">
        <f>IF(ISERROR(GETPIVOTDATA(IF($J33=1,"Count of ACTIVE     CED, FARM GATE (MJ/kg)","Count of CED, processor gate (MJ/kg)"),'Pivot Table_CED'!$A$3,"SUB TYPE",$B33)),"PROXY",IF(GETPIVOTDATA(IF($J33=1,"Count of ACTIVE     CED, FARM GATE (MJ/kg)","Count of CED, processor gate (MJ/kg)"),'Pivot Table_CED'!$A$3,"SUB TYPE",$B33)=0,"PROXY","DB value"))</f>
        <v>PROXY</v>
      </c>
      <c r="M33" s="134">
        <f ca="1">IF($L33="PROXY",DCOUNT('literature entries'!$D:$AI,IF($J33=1,"ACTIVE     CED, FARM GATE (MJ/kg)","CED, processor gate (MJ/kg)"),INDIRECT($K33)),GETPIVOTDATA(IF($J33=1,"Count of ACTIVE     CED, FARM GATE (MJ/kg)","Count of CED, processor gate (MJ/kg)"),'Pivot Table_CED'!$A$3,"SUB TYPE",$B33))</f>
        <v>8</v>
      </c>
      <c r="N33" s="135">
        <f ca="1">IF($L33="PROXY",DAVERAGE('literature entries'!$D:$AI,IF($J33=1,"ACTIVE     CED, FARM GATE (MJ/kg)","CED, processor gate (MJ/kg)"),INDIRECT($K33)),GETPIVOTDATA(IF($J33=1,"Average of ACTIVE     CED, FARM GATE (MJ/kg)","Average of CED, processor gate (MJ/kg)"),'Pivot Table_CED'!$A$3,"SUB TYPE",$B33))</f>
        <v>1.6112500000000001</v>
      </c>
      <c r="O33" s="135">
        <f ca="1">IF($L33="PROXY",DSTDEV('literature entries'!D:AI,IF($J33=1,"ACTIVE     CED, FARM GATE (MJ/kg)","CED, processor gate (MJ/kg)"),INDIRECT($K33)),GETPIVOTDATA(IF($J33=1,"StdDev of ACTIVE     CED, FARM GATE (MJ/kg)","StdDev of CED, processor gate (MJ/kg)"),'Pivot Table_CED'!$A$3,"SUB TYPE",$B33))</f>
        <v>0.53279418433119463</v>
      </c>
      <c r="P33" s="152" t="str">
        <f>IF(ISERROR(GETPIVOTDATA(IF($J33=1,"Count of ACTIVE     GHGE, FARM GATE (kg CO2e/kg)","Count of GHGE, processor gate (kg CO2e/kg)"),'Pivot Table_GHG'!$A$3,"SUB TYPE",$B33)),"PROXY",IF(GETPIVOTDATA(IF($J33=1,"Count of ACTIVE     GHGE, FARM GATE (kg CO2e/kg)","Count of GHGE, processor gate (kg CO2e/kg)"),'Pivot Table_GHG'!$A$3,"SUB TYPE",$B33)=0,"PROXY","DB value"))</f>
        <v>PROXY</v>
      </c>
      <c r="Q33" s="141">
        <f ca="1">IF($P33="PROXY",DCOUNT('literature entries'!$D:$AI,IF($J33=1,"ACTIVE     GHGE, FARM GATE (kg CO2e/kg)","GHGE, processor gate (kg CO2e/kg)"),INDIRECT($K33)),GETPIVOTDATA(IF($J33=1,"ACTIVE     GHGE, FARM GATE (kg CO2e/kg)","Count of GHGE, processor gate (kg CO2e/kg)"),'Pivot Table_GHG'!$A$3,"SUB TYPE",$B33))</f>
        <v>17</v>
      </c>
      <c r="R33" s="221">
        <f ca="1">IF($P33="PROXY",DAVERAGE('literature entries'!$D:$AI,IF($J33=1,"ACTIVE     GHGE, FARM GATE (kg CO2e/kg)","GHGE, processor gate (kg CO2e/kg)"),INDIRECT($K33)),GETPIVOTDATA(IF($J33=1,"Average of ACTIVE     GHGE, FARM GATE (kg CO2e/kg)","Average of GHGE, processor gate (kg CO2e/kg)"),'Pivot Table_GHG'!$A$3,"SUB TYPE",$B33))</f>
        <v>0.21741176470588239</v>
      </c>
      <c r="S33" s="221">
        <f ca="1">IF($P33="PROXY",DSTDEV('literature entries'!$D:$AI,IF($J33=1,"ACTIVE     GHGE, FARM GATE (kg CO2e/kg)","GHGE, processor gate (kg CO2e/kg)"),INDIRECT($K33)),GETPIVOTDATA(IF($J33=1,"StdDev of ACTIVE     GHGE, FARM GATE (kg CO2e/kg)","StdDev of GHGE, processor gate (kg CO2e/kg)"),'Pivot Table_GHG'!$A$3,"SUB TYPE",$B33))</f>
        <v>0.11818473824035466</v>
      </c>
      <c r="T33" s="101"/>
      <c r="U33" s="102"/>
      <c r="W33" s="248" t="s">
        <v>2455</v>
      </c>
      <c r="X33" s="246">
        <f ca="1">IF($W33="DIRECT",M33,DCOUNT('literature entries'!$D:$AI,IF($J33=1,"ACTIVE     CED, FARM GATE (MJ/kg)","CED, processor gate (MJ/kg)"),INDIRECT($W33)))</f>
        <v>14</v>
      </c>
      <c r="Y33" s="246">
        <f ca="1">IF($W33="DIRECT","",DAVERAGE('literature entries'!$D:$AI,IF($J33=1,"ACTIVE     CED, FARM GATE (MJ/kg)","CED, processor gate (MJ/kg)"),INDIRECT($W33)))</f>
        <v>1.4220714285714284</v>
      </c>
      <c r="Z33" s="246">
        <f ca="1">IF($W33="DIRECT",$O33,DSTDEV('literature entries'!$D:$AI,IF($J33=1,"ACTIVE     CED, FARM GATE (MJ/kg)","CED, processor gate (MJ/kg)"),INDIRECT($W33)))</f>
        <v>0.57442043892896122</v>
      </c>
      <c r="AA33" s="246">
        <f t="shared" ca="1" si="5"/>
        <v>0.65083575524335946</v>
      </c>
      <c r="AB33" s="254" t="str">
        <f ca="1">IF(P33="PROXY",IF(Q33&gt;=5,K33,"need group"),IF(Q33&gt;=5,"DIRECT","need group"))</f>
        <v>potato</v>
      </c>
      <c r="AC33" s="247">
        <f ca="1">IF($AB33="DIRECT",Q33,DCOUNT('literature entries'!$D:$AI,IF($J33=1,"ACTIVE     GHGE, FARM GATE (kg CO2e/kg)","GHGE, processor gate (kg CO2e/kg)"),INDIRECT($AB33)))</f>
        <v>17</v>
      </c>
      <c r="AD33" s="247">
        <f ca="1">IF($AB33="DIRECT","",DAVERAGE('literature entries'!$D:$AI,IF($J33=1,"ACTIVE     GHGE, FARM GATE (kg CO2e/kg)","GHGE, processor gate (kg CO2e/kg)"),INDIRECT($AB33)))</f>
        <v>0.21741176470588239</v>
      </c>
      <c r="AE33" s="247">
        <f ca="1">IF($AB33="DIRECT",$S33,DSTDEV('literature entries'!$D:$AI,IF($J33=1,"ACTIVE     GHGE, FARM GATE (kg CO2e/kg)","GHGE, processor gate (kg CO2e/kg)"),INDIRECT($AB33)))</f>
        <v>0.11818473824035466</v>
      </c>
      <c r="AF33" s="247">
        <f t="shared" ca="1" si="6"/>
        <v>0.11818473824035466</v>
      </c>
    </row>
    <row r="34" spans="1:32" s="21" customFormat="1" ht="17" thickBot="1" x14ac:dyDescent="0.25">
      <c r="A34" s="129">
        <v>200051000</v>
      </c>
      <c r="B34" s="130" t="s">
        <v>1824</v>
      </c>
      <c r="C34" s="131" t="s">
        <v>1760</v>
      </c>
      <c r="D34" s="142" t="s">
        <v>1825</v>
      </c>
      <c r="E34" s="131">
        <v>15</v>
      </c>
      <c r="F34" s="126">
        <f t="shared" ca="1" si="0"/>
        <v>4.5926521713000001</v>
      </c>
      <c r="G34" s="127">
        <f t="shared" ca="1" si="1"/>
        <v>0.33225933704090904</v>
      </c>
      <c r="H34" s="132">
        <v>1.79</v>
      </c>
      <c r="I34" s="133" t="s">
        <v>2724</v>
      </c>
      <c r="J34" s="91">
        <v>1</v>
      </c>
      <c r="K34" s="90" t="s">
        <v>2457</v>
      </c>
      <c r="L34" s="152" t="str">
        <f>IF(ISERROR(GETPIVOTDATA(IF($J34=1,"Count of ACTIVE     CED, FARM GATE (MJ/kg)","Count of CED, processor gate (MJ/kg)"),'Pivot Table_CED'!$A$3,"SUB TYPE",$B34)),"PROXY",IF(GETPIVOTDATA(IF($J34=1,"Count of ACTIVE     CED, FARM GATE (MJ/kg)","Count of CED, processor gate (MJ/kg)"),'Pivot Table_CED'!$A$3,"SUB TYPE",$B34)=0,"PROXY","DB value"))</f>
        <v>PROXY</v>
      </c>
      <c r="M34" s="134">
        <f ca="1">IF($L34="PROXY",DCOUNT('literature entries'!$D:$AI,IF($J34=1,"ACTIVE     CED, FARM GATE (MJ/kg)","CED, processor gate (MJ/kg)"),INDIRECT($K34)),GETPIVOTDATA(IF($J34=1,"Count of ACTIVE     CED, FARM GATE (MJ/kg)","Count of CED, processor gate (MJ/kg)"),'Pivot Table_CED'!$A$3,"SUB TYPE",$B34))</f>
        <v>10</v>
      </c>
      <c r="N34" s="135">
        <f ca="1">IF($L34="PROXY",DAVERAGE('literature entries'!$D:$AI,IF($J34=1,"ACTIVE     CED, FARM GATE (MJ/kg)","CED, processor gate (MJ/kg)"),INDIRECT($K34)),GETPIVOTDATA(IF($J34=1,"Average of ACTIVE     CED, FARM GATE (MJ/kg)","Average of CED, processor gate (MJ/kg)"),'Pivot Table_CED'!$A$3,"SUB TYPE",$B34))</f>
        <v>2.5657274700000001</v>
      </c>
      <c r="O34" s="135">
        <f ca="1">IF($L34="PROXY",DSTDEV('literature entries'!D:AI,IF($J34=1,"ACTIVE     CED, FARM GATE (MJ/kg)","CED, processor gate (MJ/kg)"),INDIRECT($K34)),GETPIVOTDATA(IF($J34=1,"StdDev of ACTIVE     CED, FARM GATE (MJ/kg)","StdDev of CED, processor gate (MJ/kg)"),'Pivot Table_CED'!$A$3,"SUB TYPE",$B34))</f>
        <v>1.5197673074222315</v>
      </c>
      <c r="P34" s="152" t="str">
        <f>IF(ISERROR(GETPIVOTDATA(IF($J34=1,"Count of ACTIVE     GHGE, FARM GATE (kg CO2e/kg)","Count of GHGE, processor gate (kg CO2e/kg)"),'Pivot Table_GHG'!$A$3,"SUB TYPE",$B34)),"PROXY",IF(GETPIVOTDATA(IF($J34=1,"Count of ACTIVE     GHGE, FARM GATE (kg CO2e/kg)","Count of GHGE, processor gate (kg CO2e/kg)"),'Pivot Table_GHG'!$A$3,"SUB TYPE",$B34)=0,"PROXY","DB value"))</f>
        <v>PROXY</v>
      </c>
      <c r="Q34" s="141">
        <f ca="1">IF($P34="PROXY",DCOUNT('literature entries'!$D:$AI,IF($J34=1,"ACTIVE     GHGE, FARM GATE (kg CO2e/kg)","GHGE, processor gate (kg CO2e/kg)"),INDIRECT($K34)),GETPIVOTDATA(IF($J34=1,"ACTIVE     GHGE, FARM GATE (kg CO2e/kg)","Count of GHGE, processor gate (kg CO2e/kg)"),'Pivot Table_GHG'!$A$3,"SUB TYPE",$B34))</f>
        <v>22</v>
      </c>
      <c r="R34" s="221">
        <f ca="1">IF($P34="PROXY",DAVERAGE('literature entries'!$D:$AI,IF($J34=1,"ACTIVE     GHGE, FARM GATE (kg CO2e/kg)","GHGE, processor gate (kg CO2e/kg)"),INDIRECT($K34)),GETPIVOTDATA(IF($J34=1,"Average of ACTIVE     GHGE, FARM GATE (kg CO2e/kg)","Average of GHGE, processor gate (kg CO2e/kg)"),'Pivot Table_GHG'!$A$3,"SUB TYPE",$B34))</f>
        <v>0.18561974136363635</v>
      </c>
      <c r="S34" s="221">
        <f ca="1">IF($P34="PROXY",DSTDEV('literature entries'!$D:$AI,IF($J34=1,"ACTIVE     GHGE, FARM GATE (kg CO2e/kg)","GHGE, processor gate (kg CO2e/kg)"),INDIRECT($K34)),GETPIVOTDATA(IF($J34=1,"StdDev of ACTIVE     GHGE, FARM GATE (kg CO2e/kg)","StdDev of GHGE, processor gate (kg CO2e/kg)"),'Pivot Table_GHG'!$A$3,"SUB TYPE",$B34))</f>
        <v>9.7833632177637575E-2</v>
      </c>
      <c r="T34" s="101"/>
      <c r="U34" s="102"/>
      <c r="W34" s="248" t="str">
        <f ca="1">IF(L34="PROXY",IF(M34&gt;=5,K34,"need group"),IF(M34&gt;=5,"DIRECT","need group"))</f>
        <v>greens</v>
      </c>
      <c r="X34" s="246">
        <f ca="1">IF($W34="DIRECT",M34,DCOUNT('literature entries'!$D:$AI,IF($J34=1,"ACTIVE     CED, FARM GATE (MJ/kg)","CED, processor gate (MJ/kg)"),INDIRECT($W34)))</f>
        <v>10</v>
      </c>
      <c r="Y34" s="246">
        <f ca="1">IF($W34="DIRECT","",DAVERAGE('literature entries'!$D:$AI,IF($J34=1,"ACTIVE     CED, FARM GATE (MJ/kg)","CED, processor gate (MJ/kg)"),INDIRECT($W34)))</f>
        <v>2.5657274700000001</v>
      </c>
      <c r="Z34" s="246">
        <f ca="1">IF($W34="DIRECT",$O34,DSTDEV('literature entries'!$D:$AI,IF($J34=1,"ACTIVE     CED, FARM GATE (MJ/kg)","CED, processor gate (MJ/kg)"),INDIRECT($W34)))</f>
        <v>1.5197673074222315</v>
      </c>
      <c r="AA34" s="246">
        <f t="shared" ca="1" si="5"/>
        <v>1.5197673074222315</v>
      </c>
      <c r="AB34" s="254" t="str">
        <f ca="1">IF(P34="PROXY",IF(Q34&gt;=5,K34,"need group"),IF(Q34&gt;=5,"DIRECT","need group"))</f>
        <v>greens</v>
      </c>
      <c r="AC34" s="247">
        <f ca="1">IF($AB34="DIRECT",Q34,DCOUNT('literature entries'!$D:$AI,IF($J34=1,"ACTIVE     GHGE, FARM GATE (kg CO2e/kg)","GHGE, processor gate (kg CO2e/kg)"),INDIRECT($AB34)))</f>
        <v>22</v>
      </c>
      <c r="AD34" s="247">
        <f ca="1">IF($AB34="DIRECT","",DAVERAGE('literature entries'!$D:$AI,IF($J34=1,"ACTIVE     GHGE, FARM GATE (kg CO2e/kg)","GHGE, processor gate (kg CO2e/kg)"),INDIRECT($AB34)))</f>
        <v>0.18561974136363635</v>
      </c>
      <c r="AE34" s="247">
        <f ca="1">IF($AB34="DIRECT",$S34,DSTDEV('literature entries'!$D:$AI,IF($J34=1,"ACTIVE     GHGE, FARM GATE (kg CO2e/kg)","GHGE, processor gate (kg CO2e/kg)"),INDIRECT($AB34)))</f>
        <v>9.7833632177637575E-2</v>
      </c>
      <c r="AF34" s="247">
        <f t="shared" ca="1" si="6"/>
        <v>9.7833632177637575E-2</v>
      </c>
    </row>
    <row r="35" spans="1:32" s="21" customFormat="1" ht="17" thickBot="1" x14ac:dyDescent="0.25">
      <c r="A35" s="129">
        <v>200101000</v>
      </c>
      <c r="B35" s="130" t="s">
        <v>1899</v>
      </c>
      <c r="C35" s="131" t="s">
        <v>1760</v>
      </c>
      <c r="D35" s="131"/>
      <c r="E35" s="131">
        <v>1557</v>
      </c>
      <c r="F35" s="126">
        <f t="shared" ca="1" si="0"/>
        <v>1.2147600000000001</v>
      </c>
      <c r="G35" s="127">
        <f t="shared" ca="1" si="1"/>
        <v>6.379399999999999E-2</v>
      </c>
      <c r="H35" s="132">
        <v>1.1459999999999999</v>
      </c>
      <c r="I35" s="133" t="s">
        <v>2724</v>
      </c>
      <c r="J35" s="91">
        <v>1</v>
      </c>
      <c r="K35" s="90" t="s">
        <v>659</v>
      </c>
      <c r="L35" s="152" t="str">
        <f>IF(ISERROR(GETPIVOTDATA(IF($J35=1,"Count of ACTIVE     CED, FARM GATE (MJ/kg)","Count of CED, processor gate (MJ/kg)"),'Pivot Table_CED'!$A$3,"SUB TYPE",$B35)),"PROXY",IF(GETPIVOTDATA(IF($J35=1,"Count of ACTIVE     CED, FARM GATE (MJ/kg)","Count of CED, processor gate (MJ/kg)"),'Pivot Table_CED'!$A$3,"SUB TYPE",$B35)=0,"PROXY","DB value"))</f>
        <v>PROXY</v>
      </c>
      <c r="M35" s="134">
        <f ca="1">IF($L35="PROXY",DCOUNT('literature entries'!$D:$AI,IF($J35=1,"ACTIVE     CED, FARM GATE (MJ/kg)","CED, processor gate (MJ/kg)"),INDIRECT($K35)),GETPIVOTDATA(IF($J35=1,"Count of ACTIVE     CED, FARM GATE (MJ/kg)","Count of CED, processor gate (MJ/kg)"),'Pivot Table_CED'!$A$3,"SUB TYPE",$B35))</f>
        <v>3</v>
      </c>
      <c r="N35" s="135">
        <f ca="1">IF($L35="PROXY",DAVERAGE('literature entries'!$D:$AI,IF($J35=1,"ACTIVE     CED, FARM GATE (MJ/kg)","CED, processor gate (MJ/kg)"),INDIRECT($K35)),GETPIVOTDATA(IF($J35=1,"Average of ACTIVE     CED, FARM GATE (MJ/kg)","Average of CED, processor gate (MJ/kg)"),'Pivot Table_CED'!$A$3,"SUB TYPE",$B35))</f>
        <v>1.06</v>
      </c>
      <c r="O35" s="135">
        <f ca="1">IF($L35="PROXY",DSTDEV('literature entries'!D:AI,IF($J35=1,"ACTIVE     CED, FARM GATE (MJ/kg)","CED, processor gate (MJ/kg)"),INDIRECT($K35)),GETPIVOTDATA(IF($J35=1,"StdDev of ACTIVE     CED, FARM GATE (MJ/kg)","StdDev of CED, processor gate (MJ/kg)"),'Pivot Table_CED'!$A$3,"SUB TYPE",$B35))</f>
        <v>0.28583211855912843</v>
      </c>
      <c r="P35" s="152" t="str">
        <f>IF(ISERROR(GETPIVOTDATA(IF($J35=1,"Count of ACTIVE     GHGE, FARM GATE (kg CO2e/kg)","Count of GHGE, processor gate (kg CO2e/kg)"),'Pivot Table_GHG'!$A$3,"SUB TYPE",$B35)),"PROXY",IF(GETPIVOTDATA(IF($J35=1,"Count of ACTIVE     GHGE, FARM GATE (kg CO2e/kg)","Count of GHGE, processor gate (kg CO2e/kg)"),'Pivot Table_GHG'!$A$3,"SUB TYPE",$B35)=0,"PROXY","DB value"))</f>
        <v>PROXY</v>
      </c>
      <c r="Q35" s="141">
        <f ca="1">IF($P35="PROXY",DCOUNT('literature entries'!$D:$AI,IF($J35=1,"ACTIVE     GHGE, FARM GATE (kg CO2e/kg)","GHGE, processor gate (kg CO2e/kg)"),INDIRECT($K35)),GETPIVOTDATA(IF($J35=1,"ACTIVE     GHGE, FARM GATE (kg CO2e/kg)","Count of GHGE, processor gate (kg CO2e/kg)"),'Pivot Table_GHG'!$A$3,"SUB TYPE",$B35))</f>
        <v>3</v>
      </c>
      <c r="R35" s="221">
        <f ca="1">IF($P35="PROXY",DAVERAGE('literature entries'!$D:$AI,IF($J35=1,"ACTIVE     GHGE, FARM GATE (kg CO2e/kg)","GHGE, processor gate (kg CO2e/kg)"),INDIRECT($K35)),GETPIVOTDATA(IF($J35=1,"Average of ACTIVE     GHGE, FARM GATE (kg CO2e/kg)","Average of GHGE, processor gate (kg CO2e/kg)"),'Pivot Table_GHG'!$A$3,"SUB TYPE",$B35))</f>
        <v>5.5666666666666663E-2</v>
      </c>
      <c r="S35" s="221">
        <f ca="1">IF($P35="PROXY",DSTDEV('literature entries'!$D:$AI,IF($J35=1,"ACTIVE     GHGE, FARM GATE (kg CO2e/kg)","GHGE, processor gate (kg CO2e/kg)"),INDIRECT($K35)),GETPIVOTDATA(IF($J35=1,"StdDev of ACTIVE     GHGE, FARM GATE (kg CO2e/kg)","StdDev of GHGE, processor gate (kg CO2e/kg)"),'Pivot Table_GHG'!$A$3,"SUB TYPE",$B35))</f>
        <v>3.7287173844813334E-3</v>
      </c>
      <c r="T35" s="101"/>
      <c r="U35" s="102"/>
      <c r="W35" s="248" t="s">
        <v>2457</v>
      </c>
      <c r="X35" s="246">
        <f ca="1">IF($W35="DIRECT",M35,DCOUNT('literature entries'!$D:$AI,IF($J35=1,"ACTIVE     CED, FARM GATE (MJ/kg)","CED, processor gate (MJ/kg)"),INDIRECT($W35)))</f>
        <v>10</v>
      </c>
      <c r="Y35" s="246">
        <f ca="1">IF($W35="DIRECT","",DAVERAGE('literature entries'!$D:$AI,IF($J35=1,"ACTIVE     CED, FARM GATE (MJ/kg)","CED, processor gate (MJ/kg)"),INDIRECT($W35)))</f>
        <v>2.5657274700000001</v>
      </c>
      <c r="Z35" s="246">
        <f ca="1">IF($W35="DIRECT",$O35,DSTDEV('literature entries'!$D:$AI,IF($J35=1,"ACTIVE     CED, FARM GATE (MJ/kg)","CED, processor gate (MJ/kg)"),INDIRECT($W35)))</f>
        <v>1.5197673074222315</v>
      </c>
      <c r="AA35" s="246">
        <f t="shared" ca="1" si="5"/>
        <v>0.62787391283906135</v>
      </c>
      <c r="AB35" s="254" t="s">
        <v>2457</v>
      </c>
      <c r="AC35" s="247">
        <f ca="1">IF($AB35="DIRECT",Q35,DCOUNT('literature entries'!$D:$AI,IF($J35=1,"ACTIVE     GHGE, FARM GATE (kg CO2e/kg)","GHGE, processor gate (kg CO2e/kg)"),INDIRECT($AB35)))</f>
        <v>22</v>
      </c>
      <c r="AD35" s="247">
        <f ca="1">IF($AB35="DIRECT","",DAVERAGE('literature entries'!$D:$AI,IF($J35=1,"ACTIVE     GHGE, FARM GATE (kg CO2e/kg)","GHGE, processor gate (kg CO2e/kg)"),INDIRECT($AB35)))</f>
        <v>0.18561974136363635</v>
      </c>
      <c r="AE35" s="247">
        <f ca="1">IF($AB35="DIRECT",$S35,DSTDEV('literature entries'!$D:$AI,IF($J35=1,"ACTIVE     GHGE, FARM GATE (kg CO2e/kg)","GHGE, processor gate (kg CO2e/kg)"),INDIRECT($AB35)))</f>
        <v>9.7833632177637575E-2</v>
      </c>
      <c r="AF35" s="247">
        <f t="shared" ca="1" si="6"/>
        <v>2.9339940629228418E-2</v>
      </c>
    </row>
    <row r="36" spans="1:32" s="21" customFormat="1" ht="17" thickBot="1" x14ac:dyDescent="0.25">
      <c r="A36" s="129">
        <v>200140000</v>
      </c>
      <c r="B36" s="130" t="s">
        <v>1960</v>
      </c>
      <c r="C36" s="131" t="s">
        <v>1961</v>
      </c>
      <c r="D36" s="131" t="s">
        <v>1959</v>
      </c>
      <c r="E36" s="131">
        <v>3</v>
      </c>
      <c r="F36" s="228">
        <f t="shared" ca="1" si="0"/>
        <v>2.5657274700000001</v>
      </c>
      <c r="G36" s="229">
        <f t="shared" ca="1" si="1"/>
        <v>0.18561974136363635</v>
      </c>
      <c r="H36" s="132">
        <v>1</v>
      </c>
      <c r="I36" s="133" t="s">
        <v>594</v>
      </c>
      <c r="J36" s="91">
        <v>1</v>
      </c>
      <c r="K36" s="90" t="s">
        <v>2457</v>
      </c>
      <c r="L36" s="152" t="str">
        <f>IF(ISERROR(GETPIVOTDATA(IF($J36=1,"Count of ACTIVE     CED, FARM GATE (MJ/kg)","Count of CED, processor gate (MJ/kg)"),'Pivot Table_CED'!$A$3,"SUB TYPE",$B36)),"PROXY",IF(GETPIVOTDATA(IF($J36=1,"Count of ACTIVE     CED, FARM GATE (MJ/kg)","Count of CED, processor gate (MJ/kg)"),'Pivot Table_CED'!$A$3,"SUB TYPE",$B36)=0,"PROXY","DB value"))</f>
        <v>PROXY</v>
      </c>
      <c r="M36" s="134">
        <f ca="1">IF($L36="PROXY",DCOUNT('literature entries'!$D:$AI,IF($J36=1,"ACTIVE     CED, FARM GATE (MJ/kg)","CED, processor gate (MJ/kg)"),INDIRECT($K36)),GETPIVOTDATA(IF($J36=1,"Count of ACTIVE     CED, FARM GATE (MJ/kg)","Count of CED, processor gate (MJ/kg)"),'Pivot Table_CED'!$A$3,"SUB TYPE",$B36))</f>
        <v>10</v>
      </c>
      <c r="N36" s="135">
        <f ca="1">IF($L36="PROXY",DAVERAGE('literature entries'!$D:$AI,IF($J36=1,"ACTIVE     CED, FARM GATE (MJ/kg)","CED, processor gate (MJ/kg)"),INDIRECT($K36)),GETPIVOTDATA(IF($J36=1,"Average of ACTIVE     CED, FARM GATE (MJ/kg)","Average of CED, processor gate (MJ/kg)"),'Pivot Table_CED'!$A$3,"SUB TYPE",$B36))</f>
        <v>2.5657274700000001</v>
      </c>
      <c r="O36" s="135">
        <f ca="1">IF($L36="PROXY",DSTDEV('literature entries'!D:AI,IF($J36=1,"ACTIVE     CED, FARM GATE (MJ/kg)","CED, processor gate (MJ/kg)"),INDIRECT($K36)),GETPIVOTDATA(IF($J36=1,"StdDev of ACTIVE     CED, FARM GATE (MJ/kg)","StdDev of CED, processor gate (MJ/kg)"),'Pivot Table_CED'!$A$3,"SUB TYPE",$B36))</f>
        <v>1.5197673074222315</v>
      </c>
      <c r="P36" s="152" t="str">
        <f>IF(ISERROR(GETPIVOTDATA(IF($J36=1,"Count of ACTIVE     GHGE, FARM GATE (kg CO2e/kg)","Count of GHGE, processor gate (kg CO2e/kg)"),'Pivot Table_GHG'!$A$3,"SUB TYPE",$B36)),"PROXY",IF(GETPIVOTDATA(IF($J36=1,"Count of ACTIVE     GHGE, FARM GATE (kg CO2e/kg)","Count of GHGE, processor gate (kg CO2e/kg)"),'Pivot Table_GHG'!$A$3,"SUB TYPE",$B36)=0,"PROXY","DB value"))</f>
        <v>PROXY</v>
      </c>
      <c r="Q36" s="141">
        <f ca="1">IF($P36="PROXY",DCOUNT('literature entries'!$D:$AI,IF($J36=1,"ACTIVE     GHGE, FARM GATE (kg CO2e/kg)","GHGE, processor gate (kg CO2e/kg)"),INDIRECT($K36)),GETPIVOTDATA(IF($J36=1,"ACTIVE     GHGE, FARM GATE (kg CO2e/kg)","Count of GHGE, processor gate (kg CO2e/kg)"),'Pivot Table_GHG'!$A$3,"SUB TYPE",$B36))</f>
        <v>22</v>
      </c>
      <c r="R36" s="221">
        <f ca="1">IF($P36="PROXY",DAVERAGE('literature entries'!$D:$AI,IF($J36=1,"ACTIVE     GHGE, FARM GATE (kg CO2e/kg)","GHGE, processor gate (kg CO2e/kg)"),INDIRECT($K36)),GETPIVOTDATA(IF($J36=1,"Average of ACTIVE     GHGE, FARM GATE (kg CO2e/kg)","Average of GHGE, processor gate (kg CO2e/kg)"),'Pivot Table_GHG'!$A$3,"SUB TYPE",$B36))</f>
        <v>0.18561974136363635</v>
      </c>
      <c r="S36" s="221">
        <f ca="1">IF($P36="PROXY",DSTDEV('literature entries'!$D:$AI,IF($J36=1,"ACTIVE     GHGE, FARM GATE (kg CO2e/kg)","GHGE, processor gate (kg CO2e/kg)"),INDIRECT($K36)),GETPIVOTDATA(IF($J36=1,"StdDev of ACTIVE     GHGE, FARM GATE (kg CO2e/kg)","StdDev of GHGE, processor gate (kg CO2e/kg)"),'Pivot Table_GHG'!$A$3,"SUB TYPE",$B36))</f>
        <v>9.7833632177637575E-2</v>
      </c>
      <c r="T36" s="101"/>
      <c r="U36" s="102"/>
      <c r="W36" s="248" t="str">
        <f ca="1">IF(L36="PROXY",IF(M36&gt;=5,K36,"need group"),IF(M36&gt;=5,"DIRECT","need group"))</f>
        <v>greens</v>
      </c>
      <c r="X36" s="246">
        <f ca="1">IF($W36="DIRECT",M36,DCOUNT('literature entries'!$D:$AI,IF($J36=1,"ACTIVE     CED, FARM GATE (MJ/kg)","CED, processor gate (MJ/kg)"),INDIRECT($W36)))</f>
        <v>10</v>
      </c>
      <c r="Y36" s="246">
        <f ca="1">IF($W36="DIRECT","",DAVERAGE('literature entries'!$D:$AI,IF($J36=1,"ACTIVE     CED, FARM GATE (MJ/kg)","CED, processor gate (MJ/kg)"),INDIRECT($W36)))</f>
        <v>2.5657274700000001</v>
      </c>
      <c r="Z36" s="246">
        <f ca="1">IF($W36="DIRECT",$O36,DSTDEV('literature entries'!$D:$AI,IF($J36=1,"ACTIVE     CED, FARM GATE (MJ/kg)","CED, processor gate (MJ/kg)"),INDIRECT($W36)))</f>
        <v>1.5197673074222315</v>
      </c>
      <c r="AA36" s="246">
        <f t="shared" ca="1" si="5"/>
        <v>1.5197673074222315</v>
      </c>
      <c r="AB36" s="254" t="str">
        <f ca="1">IF(P36="PROXY",IF(Q36&gt;=5,K36,"need group"),IF(Q36&gt;=5,"DIRECT","need group"))</f>
        <v>greens</v>
      </c>
      <c r="AC36" s="247">
        <f ca="1">IF($AB36="DIRECT",Q36,DCOUNT('literature entries'!$D:$AI,IF($J36=1,"ACTIVE     GHGE, FARM GATE (kg CO2e/kg)","GHGE, processor gate (kg CO2e/kg)"),INDIRECT($AB36)))</f>
        <v>22</v>
      </c>
      <c r="AD36" s="247">
        <f ca="1">IF($AB36="DIRECT","",DAVERAGE('literature entries'!$D:$AI,IF($J36=1,"ACTIVE     GHGE, FARM GATE (kg CO2e/kg)","GHGE, processor gate (kg CO2e/kg)"),INDIRECT($AB36)))</f>
        <v>0.18561974136363635</v>
      </c>
      <c r="AE36" s="247">
        <f ca="1">IF($AB36="DIRECT",$S36,DSTDEV('literature entries'!$D:$AI,IF($J36=1,"ACTIVE     GHGE, FARM GATE (kg CO2e/kg)","GHGE, processor gate (kg CO2e/kg)"),INDIRECT($AB36)))</f>
        <v>9.7833632177637575E-2</v>
      </c>
      <c r="AF36" s="247">
        <f t="shared" ca="1" si="6"/>
        <v>9.7833632177637575E-2</v>
      </c>
    </row>
    <row r="37" spans="1:32" s="21" customFormat="1" thickBot="1" x14ac:dyDescent="0.25">
      <c r="A37" s="129">
        <v>301165000</v>
      </c>
      <c r="B37" s="130" t="s">
        <v>1995</v>
      </c>
      <c r="C37" s="131" t="s">
        <v>1996</v>
      </c>
      <c r="D37" s="131" t="s">
        <v>1997</v>
      </c>
      <c r="E37" s="131">
        <v>33951</v>
      </c>
      <c r="F37" s="126">
        <f t="shared" ca="1" si="0"/>
        <v>2.9321299364728568</v>
      </c>
      <c r="G37" s="127">
        <f t="shared" ca="1" si="1"/>
        <v>0.74251666666666671</v>
      </c>
      <c r="H37" s="132">
        <v>1.1499999999999999</v>
      </c>
      <c r="I37" s="132" t="s">
        <v>2724</v>
      </c>
      <c r="J37" s="91">
        <v>1</v>
      </c>
      <c r="K37" s="90" t="s">
        <v>3271</v>
      </c>
      <c r="L37" s="152" t="str">
        <f>IF(ISERROR(GETPIVOTDATA(IF($J37=1,"Count of ACTIVE     CED, FARM GATE (MJ/kg)","Count of CED, processor gate (MJ/kg)"),'Pivot Table_CED'!$A$3,"SUB TYPE",$B37)),"PROXY",IF(GETPIVOTDATA(IF($J37=1,"Count of ACTIVE     CED, FARM GATE (MJ/kg)","Count of CED, processor gate (MJ/kg)"),'Pivot Table_CED'!$A$3,"SUB TYPE",$B37)=0,"PROXY","DB value"))</f>
        <v>PROXY</v>
      </c>
      <c r="M37" s="134">
        <f ca="1">IF($L37="PROXY",DCOUNT('literature entries'!$D:$AI,IF($J37=1,"ACTIVE     CED, FARM GATE (MJ/kg)","CED, processor gate (MJ/kg)"),INDIRECT($K37)),GETPIVOTDATA(IF($J37=1,"Count of ACTIVE     CED, FARM GATE (MJ/kg)","Count of CED, processor gate (MJ/kg)"),'Pivot Table_CED'!$A$3,"SUB TYPE",$B37))</f>
        <v>7</v>
      </c>
      <c r="N37" s="135">
        <f ca="1">IF($L37="PROXY",DAVERAGE('literature entries'!$D:$AI,IF($J37=1,"ACTIVE     CED, FARM GATE (MJ/kg)","CED, processor gate (MJ/kg)"),INDIRECT($K37)),GETPIVOTDATA(IF($J37=1,"Average of ACTIVE     CED, FARM GATE (MJ/kg)","Average of CED, processor gate (MJ/kg)"),'Pivot Table_CED'!$A$3,"SUB TYPE",$B37))</f>
        <v>2.5496782056285712</v>
      </c>
      <c r="O37" s="135">
        <f ca="1">IF($L37="PROXY",DSTDEV('literature entries'!D:AI,IF($J37=1,"ACTIVE     CED, FARM GATE (MJ/kg)","CED, processor gate (MJ/kg)"),INDIRECT($K37)),GETPIVOTDATA(IF($J37=1,"StdDev of ACTIVE     CED, FARM GATE (MJ/kg)","StdDev of CED, processor gate (MJ/kg)"),'Pivot Table_CED'!$A$3,"SUB TYPE",$B37))</f>
        <v>1.6075250593394621</v>
      </c>
      <c r="P37" s="152" t="str">
        <f>IF(ISERROR(GETPIVOTDATA(IF($J37=1,"Count of ACTIVE     GHGE, FARM GATE (kg CO2e/kg)","Count of GHGE, processor gate (kg CO2e/kg)"),'Pivot Table_GHG'!$A$3,"SUB TYPE",$B37)),"PROXY",IF(GETPIVOTDATA(IF($J37=1,"Count of ACTIVE     GHGE, FARM GATE (kg CO2e/kg)","Count of GHGE, processor gate (kg CO2e/kg)"),'Pivot Table_GHG'!$A$3,"SUB TYPE",$B37)=0,"PROXY","DB value"))</f>
        <v>DB value</v>
      </c>
      <c r="Q37" s="141">
        <f ca="1">IF($P37="PROXY",DCOUNT('literature entries'!$D:$AI,IF($J37=1,"ACTIVE     GHGE, FARM GATE (kg CO2e/kg)","GHGE, processor gate (kg CO2e/kg)"),INDIRECT($K37)),GETPIVOTDATA(IF($J37=1,"ACTIVE     GHGE, FARM GATE (kg CO2e/kg)","Count of GHGE, processor gate (kg CO2e/kg)"),'Pivot Table_GHG'!$A$3,"SUB TYPE",$B37))</f>
        <v>3</v>
      </c>
      <c r="R37" s="221">
        <f ca="1">IF($P37="PROXY",DAVERAGE('literature entries'!$D:$AI,IF($J37=1,"ACTIVE     GHGE, FARM GATE (kg CO2e/kg)","GHGE, processor gate (kg CO2e/kg)"),INDIRECT($K37)),GETPIVOTDATA(IF($J37=1,"Average of ACTIVE     GHGE, FARM GATE (kg CO2e/kg)","Average of GHGE, processor gate (kg CO2e/kg)"),'Pivot Table_GHG'!$A$3,"SUB TYPE",$B37))</f>
        <v>0.64566666666666672</v>
      </c>
      <c r="S37" s="221">
        <f ca="1">IF($P37="PROXY",DSTDEV('literature entries'!$D:$AI,IF($J37=1,"ACTIVE     GHGE, FARM GATE (kg CO2e/kg)","GHGE, processor gate (kg CO2e/kg)"),INDIRECT($K37)),GETPIVOTDATA(IF($J37=1,"StdDev of ACTIVE     GHGE, FARM GATE (kg CO2e/kg)","StdDev of GHGE, processor gate (kg CO2e/kg)"),'Pivot Table_GHG'!$A$3,"SUB TYPE",$B37))</f>
        <v>6.562265868839369E-2</v>
      </c>
      <c r="T37" s="101"/>
      <c r="U37" s="102"/>
      <c r="W37" s="248" t="str">
        <f ca="1">IF(L37="PROXY",IF(M37&gt;=5,K37,"need group"),IF(M37&gt;=5,"DIRECT","need group"))</f>
        <v>onion_bulb</v>
      </c>
      <c r="X37" s="246">
        <f ca="1">IF($W37="DIRECT",M37,DCOUNT('literature entries'!$D:$AI,IF($J37=1,"ACTIVE     CED, FARM GATE (MJ/kg)","CED, processor gate (MJ/kg)"),INDIRECT($W37)))</f>
        <v>7</v>
      </c>
      <c r="Y37" s="246">
        <f ca="1">IF($W37="DIRECT","",DAVERAGE('literature entries'!$D:$AI,IF($J37=1,"ACTIVE     CED, FARM GATE (MJ/kg)","CED, processor gate (MJ/kg)"),INDIRECT($W37)))</f>
        <v>2.5496782056285712</v>
      </c>
      <c r="Z37" s="246">
        <f ca="1">IF($W37="DIRECT",$O37,DSTDEV('literature entries'!$D:$AI,IF($J37=1,"ACTIVE     CED, FARM GATE (MJ/kg)","CED, processor gate (MJ/kg)"),INDIRECT($W37)))</f>
        <v>1.6075250593394621</v>
      </c>
      <c r="AA37" s="246">
        <f t="shared" ca="1" si="5"/>
        <v>1.6075250593394619</v>
      </c>
      <c r="AB37" s="254" t="s">
        <v>3271</v>
      </c>
      <c r="AC37" s="247">
        <f ca="1">IF($AB37="DIRECT",Q37,DCOUNT('literature entries'!$D:$AI,IF($J37=1,"ACTIVE     GHGE, FARM GATE (kg CO2e/kg)","GHGE, processor gate (kg CO2e/kg)"),INDIRECT($AB37)))</f>
        <v>7</v>
      </c>
      <c r="AD37" s="247">
        <f ca="1">IF($AB37="DIRECT","",DAVERAGE('literature entries'!$D:$AI,IF($J37=1,"ACTIVE     GHGE, FARM GATE (kg CO2e/kg)","GHGE, processor gate (kg CO2e/kg)"),INDIRECT($AB37)))</f>
        <v>0.24193688857142856</v>
      </c>
      <c r="AE37" s="247">
        <f ca="1">IF($AB37="DIRECT",$S37,DSTDEV('literature entries'!$D:$AI,IF($J37=1,"ACTIVE     GHGE, FARM GATE (kg CO2e/kg)","GHGE, processor gate (kg CO2e/kg)"),INDIRECT($AB37)))</f>
        <v>0.15546099980427586</v>
      </c>
      <c r="AF37" s="247">
        <f t="shared" ca="1" si="6"/>
        <v>0.41488499803807094</v>
      </c>
    </row>
    <row r="38" spans="1:32" s="21" customFormat="1" thickBot="1" x14ac:dyDescent="0.25">
      <c r="A38" s="129">
        <v>301237000</v>
      </c>
      <c r="B38" s="130" t="s">
        <v>2101</v>
      </c>
      <c r="C38" s="131" t="s">
        <v>2102</v>
      </c>
      <c r="D38" s="131" t="s">
        <v>2103</v>
      </c>
      <c r="E38" s="131">
        <v>33634</v>
      </c>
      <c r="F38" s="126">
        <f t="shared" ca="1" si="0"/>
        <v>2.8301428082477145</v>
      </c>
      <c r="G38" s="127">
        <f t="shared" ca="1" si="1"/>
        <v>0.26854994631428575</v>
      </c>
      <c r="H38" s="132">
        <v>1.1100000000000001</v>
      </c>
      <c r="I38" s="132" t="s">
        <v>2724</v>
      </c>
      <c r="J38" s="91">
        <v>1</v>
      </c>
      <c r="K38" s="90"/>
      <c r="L38" s="152" t="str">
        <f>IF(ISERROR(GETPIVOTDATA(IF($J38=1,"Count of ACTIVE     CED, FARM GATE (MJ/kg)","Count of CED, processor gate (MJ/kg)"),'Pivot Table_CED'!$A$3,"SUB TYPE",$B38)),"PROXY",IF(GETPIVOTDATA(IF($J38=1,"Count of ACTIVE     CED, FARM GATE (MJ/kg)","Count of CED, processor gate (MJ/kg)"),'Pivot Table_CED'!$A$3,"SUB TYPE",$B38)=0,"PROXY","DB value"))</f>
        <v>DB value</v>
      </c>
      <c r="M38" s="134">
        <f ca="1">IF($L38="PROXY",DCOUNT('literature entries'!$D:$AI,IF($J38=1,"ACTIVE     CED, FARM GATE (MJ/kg)","CED, processor gate (MJ/kg)"),INDIRECT($K38)),GETPIVOTDATA(IF($J38=1,"Count of ACTIVE     CED, FARM GATE (MJ/kg)","Count of CED, processor gate (MJ/kg)"),'Pivot Table_CED'!$A$3,"SUB TYPE",$B38))</f>
        <v>7</v>
      </c>
      <c r="N38" s="135">
        <f ca="1">IF($L38="PROXY",DAVERAGE('literature entries'!$D:$AI,IF($J38=1,"ACTIVE     CED, FARM GATE (MJ/kg)","CED, processor gate (MJ/kg)"),INDIRECT($K38)),GETPIVOTDATA(IF($J38=1,"Average of ACTIVE     CED, FARM GATE (MJ/kg)","Average of CED, processor gate (MJ/kg)"),'Pivot Table_CED'!$A$3,"SUB TYPE",$B38))</f>
        <v>2.5496782056285712</v>
      </c>
      <c r="O38" s="135">
        <f ca="1">IF($L38="PROXY",DSTDEV('literature entries'!D:AI,IF($J38=1,"ACTIVE     CED, FARM GATE (MJ/kg)","CED, processor gate (MJ/kg)"),INDIRECT($K38)),GETPIVOTDATA(IF($J38=1,"StdDev of ACTIVE     CED, FARM GATE (MJ/kg)","StdDev of CED, processor gate (MJ/kg)"),'Pivot Table_CED'!$A$3,"SUB TYPE",$B38))</f>
        <v>1.6075250593394621</v>
      </c>
      <c r="P38" s="152" t="str">
        <f>IF(ISERROR(GETPIVOTDATA(IF($J38=1,"Count of ACTIVE     GHGE, FARM GATE (kg CO2e/kg)","Count of GHGE, processor gate (kg CO2e/kg)"),'Pivot Table_GHG'!$A$3,"SUB TYPE",$B38)),"PROXY",IF(GETPIVOTDATA(IF($J38=1,"Count of ACTIVE     GHGE, FARM GATE (kg CO2e/kg)","Count of GHGE, processor gate (kg CO2e/kg)"),'Pivot Table_GHG'!$A$3,"SUB TYPE",$B38)=0,"PROXY","DB value"))</f>
        <v>DB value</v>
      </c>
      <c r="Q38" s="141">
        <f ca="1">IF($P38="PROXY",DCOUNT('literature entries'!$D:$AI,IF($J38=1,"ACTIVE     GHGE, FARM GATE (kg CO2e/kg)","GHGE, processor gate (kg CO2e/kg)"),INDIRECT($K38)),GETPIVOTDATA(IF($J38=1,"ACTIVE     GHGE, FARM GATE (kg CO2e/kg)","Count of GHGE, processor gate (kg CO2e/kg)"),'Pivot Table_GHG'!$A$3,"SUB TYPE",$B38))</f>
        <v>7</v>
      </c>
      <c r="R38" s="221">
        <f ca="1">IF($P38="PROXY",DAVERAGE('literature entries'!$D:$AI,IF($J38=1,"ACTIVE     GHGE, FARM GATE (kg CO2e/kg)","GHGE, processor gate (kg CO2e/kg)"),INDIRECT($K38)),GETPIVOTDATA(IF($J38=1,"Average of ACTIVE     GHGE, FARM GATE (kg CO2e/kg)","Average of GHGE, processor gate (kg CO2e/kg)"),'Pivot Table_GHG'!$A$3,"SUB TYPE",$B38))</f>
        <v>0.24193688857142856</v>
      </c>
      <c r="S38" s="221">
        <f ca="1">IF($P38="PROXY",DSTDEV('literature entries'!$D:$AI,IF($J38=1,"ACTIVE     GHGE, FARM GATE (kg CO2e/kg)","GHGE, processor gate (kg CO2e/kg)"),INDIRECT($K38)),GETPIVOTDATA(IF($J38=1,"StdDev of ACTIVE     GHGE, FARM GATE (kg CO2e/kg)","StdDev of GHGE, processor gate (kg CO2e/kg)"),'Pivot Table_GHG'!$A$3,"SUB TYPE",$B38))</f>
        <v>0.15546099980427586</v>
      </c>
      <c r="T38" s="101"/>
      <c r="U38" s="102"/>
      <c r="W38" s="248" t="str">
        <f ca="1">IF(L38="PROXY",IF(M38&gt;=5,K38,"need group"),IF(M38&gt;=5,"DIRECT","need group"))</f>
        <v>DIRECT</v>
      </c>
      <c r="X38" s="246">
        <f ca="1">IF($W38="DIRECT",M38,DCOUNT('literature entries'!$D:$AI,IF($J38=1,"ACTIVE     CED, FARM GATE (MJ/kg)","CED, processor gate (MJ/kg)"),INDIRECT($W38)))</f>
        <v>7</v>
      </c>
      <c r="Y38" s="246" t="str">
        <f ca="1">IF($W38="DIRECT","",DAVERAGE('literature entries'!$D:$AI,IF($J38=1,"ACTIVE     CED, FARM GATE (MJ/kg)","CED, processor gate (MJ/kg)"),INDIRECT($W38)))</f>
        <v/>
      </c>
      <c r="Z38" s="246">
        <f ca="1">IF($W38="DIRECT",$O38,DSTDEV('literature entries'!$D:$AI,IF($J38=1,"ACTIVE     CED, FARM GATE (MJ/kg)","CED, processor gate (MJ/kg)"),INDIRECT($W38)))</f>
        <v>1.6075250593394621</v>
      </c>
      <c r="AA38" s="246">
        <f t="shared" ca="1" si="5"/>
        <v>1.6075250593394621</v>
      </c>
      <c r="AB38" s="254" t="str">
        <f ca="1">IF(P38="PROXY",IF(Q38&gt;=5,K38,"need group"),IF(Q38&gt;=5,"DIRECT","need group"))</f>
        <v>DIRECT</v>
      </c>
      <c r="AC38" s="247">
        <f ca="1">IF($AB38="DIRECT",Q38,DCOUNT('literature entries'!$D:$AI,IF($J38=1,"ACTIVE     GHGE, FARM GATE (kg CO2e/kg)","GHGE, processor gate (kg CO2e/kg)"),INDIRECT($AB38)))</f>
        <v>7</v>
      </c>
      <c r="AD38" s="247" t="str">
        <f ca="1">IF($AB38="DIRECT","",DAVERAGE('literature entries'!$D:$AI,IF($J38=1,"ACTIVE     GHGE, FARM GATE (kg CO2e/kg)","GHGE, processor gate (kg CO2e/kg)"),INDIRECT($AB38)))</f>
        <v/>
      </c>
      <c r="AE38" s="247">
        <f ca="1">IF($AB38="DIRECT",$S38,DSTDEV('literature entries'!$D:$AI,IF($J38=1,"ACTIVE     GHGE, FARM GATE (kg CO2e/kg)","GHGE, processor gate (kg CO2e/kg)"),INDIRECT($AB38)))</f>
        <v>0.15546099980427586</v>
      </c>
      <c r="AF38" s="247">
        <f t="shared" ca="1" si="6"/>
        <v>0.15546099980427586</v>
      </c>
    </row>
    <row r="39" spans="1:32" s="21" customFormat="1" ht="17" thickBot="1" x14ac:dyDescent="0.25">
      <c r="A39" s="129">
        <v>301238000</v>
      </c>
      <c r="B39" s="130" t="s">
        <v>2104</v>
      </c>
      <c r="C39" s="131" t="s">
        <v>2105</v>
      </c>
      <c r="D39" s="131" t="s">
        <v>2103</v>
      </c>
      <c r="E39" s="131">
        <v>30475</v>
      </c>
      <c r="F39" s="126">
        <f t="shared" ca="1" si="0"/>
        <v>22.151604250501027</v>
      </c>
      <c r="G39" s="127">
        <f t="shared" ca="1" si="1"/>
        <v>2.1019476879085714</v>
      </c>
      <c r="H39" s="136">
        <v>8.6880000000000006</v>
      </c>
      <c r="I39" s="133" t="s">
        <v>2737</v>
      </c>
      <c r="J39" s="103">
        <v>1</v>
      </c>
      <c r="K39" s="90" t="s">
        <v>3271</v>
      </c>
      <c r="L39" s="152" t="str">
        <f>IF(ISERROR(GETPIVOTDATA(IF($J39=1,"Count of ACTIVE     CED, FARM GATE (MJ/kg)","Count of CED, processor gate (MJ/kg)"),'Pivot Table_CED'!$A$3,"SUB TYPE",$B39)),"PROXY",IF(GETPIVOTDATA(IF($J39=1,"Count of ACTIVE     CED, FARM GATE (MJ/kg)","Count of CED, processor gate (MJ/kg)"),'Pivot Table_CED'!$A$3,"SUB TYPE",$B39)=0,"PROXY","DB value"))</f>
        <v>PROXY</v>
      </c>
      <c r="M39" s="134">
        <f ca="1">IF($L39="PROXY",DCOUNT('literature entries'!$D:$AI,IF($J39=1,"ACTIVE     CED, FARM GATE (MJ/kg)","CED, processor gate (MJ/kg)"),INDIRECT($K39)),GETPIVOTDATA(IF($J39=1,"Count of ACTIVE     CED, FARM GATE (MJ/kg)","Count of CED, processor gate (MJ/kg)"),'Pivot Table_CED'!$A$3,"SUB TYPE",$B39))</f>
        <v>7</v>
      </c>
      <c r="N39" s="135">
        <f ca="1">IF($L39="PROXY",DAVERAGE('literature entries'!$D:$AI,IF($J39=1,"ACTIVE     CED, FARM GATE (MJ/kg)","CED, processor gate (MJ/kg)"),INDIRECT($K39)),GETPIVOTDATA(IF($J39=1,"Average of ACTIVE     CED, FARM GATE (MJ/kg)","Average of CED, processor gate (MJ/kg)"),'Pivot Table_CED'!$A$3,"SUB TYPE",$B39))</f>
        <v>2.5496782056285712</v>
      </c>
      <c r="O39" s="135">
        <f ca="1">IF($L39="PROXY",DSTDEV('literature entries'!D:AI,IF($J39=1,"ACTIVE     CED, FARM GATE (MJ/kg)","CED, processor gate (MJ/kg)"),INDIRECT($K39)),GETPIVOTDATA(IF($J39=1,"StdDev of ACTIVE     CED, FARM GATE (MJ/kg)","StdDev of CED, processor gate (MJ/kg)"),'Pivot Table_CED'!$A$3,"SUB TYPE",$B39))</f>
        <v>1.6075250593394621</v>
      </c>
      <c r="P39" s="152" t="str">
        <f>IF(ISERROR(GETPIVOTDATA(IF($J39=1,"Count of ACTIVE     GHGE, FARM GATE (kg CO2e/kg)","Count of GHGE, processor gate (kg CO2e/kg)"),'Pivot Table_GHG'!$A$3,"SUB TYPE",$B39)),"PROXY",IF(GETPIVOTDATA(IF($J39=1,"Count of ACTIVE     GHGE, FARM GATE (kg CO2e/kg)","Count of GHGE, processor gate (kg CO2e/kg)"),'Pivot Table_GHG'!$A$3,"SUB TYPE",$B39)=0,"PROXY","DB value"))</f>
        <v>PROXY</v>
      </c>
      <c r="Q39" s="141">
        <f ca="1">IF($P39="PROXY",DCOUNT('literature entries'!$D:$AI,IF($J39=1,"ACTIVE     GHGE, FARM GATE (kg CO2e/kg)","GHGE, processor gate (kg CO2e/kg)"),INDIRECT($K39)),GETPIVOTDATA(IF($J39=1,"ACTIVE     GHGE, FARM GATE (kg CO2e/kg)","Count of GHGE, processor gate (kg CO2e/kg)"),'Pivot Table_GHG'!$A$3,"SUB TYPE",$B39))</f>
        <v>7</v>
      </c>
      <c r="R39" s="221">
        <f ca="1">IF($P39="PROXY",DAVERAGE('literature entries'!$D:$AI,IF($J39=1,"ACTIVE     GHGE, FARM GATE (kg CO2e/kg)","GHGE, processor gate (kg CO2e/kg)"),INDIRECT($K39)),GETPIVOTDATA(IF($J39=1,"Average of ACTIVE     GHGE, FARM GATE (kg CO2e/kg)","Average of GHGE, processor gate (kg CO2e/kg)"),'Pivot Table_GHG'!$A$3,"SUB TYPE",$B39))</f>
        <v>0.24193688857142856</v>
      </c>
      <c r="S39" s="221">
        <f ca="1">IF($P39="PROXY",DSTDEV('literature entries'!$D:$AI,IF($J39=1,"ACTIVE     GHGE, FARM GATE (kg CO2e/kg)","GHGE, processor gate (kg CO2e/kg)"),INDIRECT($K39)),GETPIVOTDATA(IF($J39=1,"StdDev of ACTIVE     GHGE, FARM GATE (kg CO2e/kg)","StdDev of GHGE, processor gate (kg CO2e/kg)"),'Pivot Table_GHG'!$A$3,"SUB TYPE",$B39))</f>
        <v>0.15546099980427586</v>
      </c>
      <c r="T39" s="101"/>
      <c r="U39" s="102"/>
      <c r="W39" s="248" t="str">
        <f ca="1">IF(L39="PROXY",IF(M39&gt;=5,K39,"need group"),IF(M39&gt;=5,"DIRECT","need group"))</f>
        <v>onion_bulb</v>
      </c>
      <c r="X39" s="246">
        <f ca="1">IF($W39="DIRECT",M39,DCOUNT('literature entries'!$D:$AI,IF($J39=1,"ACTIVE     CED, FARM GATE (MJ/kg)","CED, processor gate (MJ/kg)"),INDIRECT($W39)))</f>
        <v>7</v>
      </c>
      <c r="Y39" s="246">
        <f ca="1">IF($W39="DIRECT","",DAVERAGE('literature entries'!$D:$AI,IF($J39=1,"ACTIVE     CED, FARM GATE (MJ/kg)","CED, processor gate (MJ/kg)"),INDIRECT($W39)))</f>
        <v>2.5496782056285712</v>
      </c>
      <c r="Z39" s="246">
        <f ca="1">IF($W39="DIRECT",$O39,DSTDEV('literature entries'!$D:$AI,IF($J39=1,"ACTIVE     CED, FARM GATE (MJ/kg)","CED, processor gate (MJ/kg)"),INDIRECT($W39)))</f>
        <v>1.6075250593394621</v>
      </c>
      <c r="AA39" s="246">
        <f t="shared" ca="1" si="5"/>
        <v>1.6075250593394619</v>
      </c>
      <c r="AB39" s="254" t="str">
        <f ca="1">IF(P39="PROXY",IF(Q39&gt;=5,K39,"need group"),IF(Q39&gt;=5,"DIRECT","need group"))</f>
        <v>onion_bulb</v>
      </c>
      <c r="AC39" s="247">
        <f ca="1">IF($AB39="DIRECT",Q39,DCOUNT('literature entries'!$D:$AI,IF($J39=1,"ACTIVE     GHGE, FARM GATE (kg CO2e/kg)","GHGE, processor gate (kg CO2e/kg)"),INDIRECT($AB39)))</f>
        <v>7</v>
      </c>
      <c r="AD39" s="247">
        <f ca="1">IF($AB39="DIRECT","",DAVERAGE('literature entries'!$D:$AI,IF($J39=1,"ACTIVE     GHGE, FARM GATE (kg CO2e/kg)","GHGE, processor gate (kg CO2e/kg)"),INDIRECT($AB39)))</f>
        <v>0.24193688857142856</v>
      </c>
      <c r="AE39" s="247">
        <f ca="1">IF($AB39="DIRECT",$S39,DSTDEV('literature entries'!$D:$AI,IF($J39=1,"ACTIVE     GHGE, FARM GATE (kg CO2e/kg)","GHGE, processor gate (kg CO2e/kg)"),INDIRECT($AB39)))</f>
        <v>0.15546099980427586</v>
      </c>
      <c r="AF39" s="247">
        <f t="shared" ca="1" si="6"/>
        <v>0.15546099980427586</v>
      </c>
    </row>
    <row r="40" spans="1:32" s="21" customFormat="1" ht="17" thickBot="1" x14ac:dyDescent="0.25">
      <c r="A40" s="129">
        <v>301338000</v>
      </c>
      <c r="B40" s="130" t="s">
        <v>2254</v>
      </c>
      <c r="C40" s="131" t="s">
        <v>2255</v>
      </c>
      <c r="D40" s="131"/>
      <c r="E40" s="131">
        <v>6</v>
      </c>
      <c r="F40" s="126">
        <f t="shared" ca="1" si="0"/>
        <v>2.8964344415940566</v>
      </c>
      <c r="G40" s="127">
        <f t="shared" ca="1" si="1"/>
        <v>0.27484030541714283</v>
      </c>
      <c r="H40" s="132">
        <v>1.1359999999999999</v>
      </c>
      <c r="I40" s="133" t="s">
        <v>2737</v>
      </c>
      <c r="J40" s="91">
        <v>1</v>
      </c>
      <c r="K40" s="90" t="s">
        <v>3271</v>
      </c>
      <c r="L40" s="152" t="str">
        <f>IF(ISERROR(GETPIVOTDATA(IF($J40=1,"Count of ACTIVE     CED, FARM GATE (MJ/kg)","Count of CED, processor gate (MJ/kg)"),'Pivot Table_CED'!$A$3,"SUB TYPE",$B40)),"PROXY",IF(GETPIVOTDATA(IF($J40=1,"Count of ACTIVE     CED, FARM GATE (MJ/kg)","Count of CED, processor gate (MJ/kg)"),'Pivot Table_CED'!$A$3,"SUB TYPE",$B40)=0,"PROXY","DB value"))</f>
        <v>PROXY</v>
      </c>
      <c r="M40" s="134">
        <f ca="1">IF($L40="PROXY",DCOUNT('literature entries'!$D:$AI,IF($J40=1,"ACTIVE     CED, FARM GATE (MJ/kg)","CED, processor gate (MJ/kg)"),INDIRECT($K40)),GETPIVOTDATA(IF($J40=1,"Count of ACTIVE     CED, FARM GATE (MJ/kg)","Count of CED, processor gate (MJ/kg)"),'Pivot Table_CED'!$A$3,"SUB TYPE",$B40))</f>
        <v>7</v>
      </c>
      <c r="N40" s="135">
        <f ca="1">IF($L40="PROXY",DAVERAGE('literature entries'!$D:$AI,IF($J40=1,"ACTIVE     CED, FARM GATE (MJ/kg)","CED, processor gate (MJ/kg)"),INDIRECT($K40)),GETPIVOTDATA(IF($J40=1,"Average of ACTIVE     CED, FARM GATE (MJ/kg)","Average of CED, processor gate (MJ/kg)"),'Pivot Table_CED'!$A$3,"SUB TYPE",$B40))</f>
        <v>2.5496782056285712</v>
      </c>
      <c r="O40" s="135">
        <f ca="1">IF($L40="PROXY",DSTDEV('literature entries'!D:AI,IF($J40=1,"ACTIVE     CED, FARM GATE (MJ/kg)","CED, processor gate (MJ/kg)"),INDIRECT($K40)),GETPIVOTDATA(IF($J40=1,"StdDev of ACTIVE     CED, FARM GATE (MJ/kg)","StdDev of CED, processor gate (MJ/kg)"),'Pivot Table_CED'!$A$3,"SUB TYPE",$B40))</f>
        <v>1.6075250593394621</v>
      </c>
      <c r="P40" s="152" t="str">
        <f>IF(ISERROR(GETPIVOTDATA(IF($J40=1,"Count of ACTIVE     GHGE, FARM GATE (kg CO2e/kg)","Count of GHGE, processor gate (kg CO2e/kg)"),'Pivot Table_GHG'!$A$3,"SUB TYPE",$B40)),"PROXY",IF(GETPIVOTDATA(IF($J40=1,"Count of ACTIVE     GHGE, FARM GATE (kg CO2e/kg)","Count of GHGE, processor gate (kg CO2e/kg)"),'Pivot Table_GHG'!$A$3,"SUB TYPE",$B40)=0,"PROXY","DB value"))</f>
        <v>PROXY</v>
      </c>
      <c r="Q40" s="141">
        <f ca="1">IF($P40="PROXY",DCOUNT('literature entries'!$D:$AI,IF($J40=1,"ACTIVE     GHGE, FARM GATE (kg CO2e/kg)","GHGE, processor gate (kg CO2e/kg)"),INDIRECT($K40)),GETPIVOTDATA(IF($J40=1,"ACTIVE     GHGE, FARM GATE (kg CO2e/kg)","Count of GHGE, processor gate (kg CO2e/kg)"),'Pivot Table_GHG'!$A$3,"SUB TYPE",$B40))</f>
        <v>7</v>
      </c>
      <c r="R40" s="221">
        <f ca="1">IF($P40="PROXY",DAVERAGE('literature entries'!$D:$AI,IF($J40=1,"ACTIVE     GHGE, FARM GATE (kg CO2e/kg)","GHGE, processor gate (kg CO2e/kg)"),INDIRECT($K40)),GETPIVOTDATA(IF($J40=1,"Average of ACTIVE     GHGE, FARM GATE (kg CO2e/kg)","Average of GHGE, processor gate (kg CO2e/kg)"),'Pivot Table_GHG'!$A$3,"SUB TYPE",$B40))</f>
        <v>0.24193688857142856</v>
      </c>
      <c r="S40" s="221">
        <f ca="1">IF($P40="PROXY",DSTDEV('literature entries'!$D:$AI,IF($J40=1,"ACTIVE     GHGE, FARM GATE (kg CO2e/kg)","GHGE, processor gate (kg CO2e/kg)"),INDIRECT($K40)),GETPIVOTDATA(IF($J40=1,"StdDev of ACTIVE     GHGE, FARM GATE (kg CO2e/kg)","StdDev of GHGE, processor gate (kg CO2e/kg)"),'Pivot Table_GHG'!$A$3,"SUB TYPE",$B40))</f>
        <v>0.15546099980427586</v>
      </c>
      <c r="T40" s="101"/>
      <c r="U40" s="102"/>
      <c r="W40" s="248" t="str">
        <f ca="1">IF(L40="PROXY",IF(M40&gt;=5,K40,"need group"),IF(M40&gt;=5,"DIRECT","need group"))</f>
        <v>onion_bulb</v>
      </c>
      <c r="X40" s="246">
        <f ca="1">IF($W40="DIRECT",M40,DCOUNT('literature entries'!$D:$AI,IF($J40=1,"ACTIVE     CED, FARM GATE (MJ/kg)","CED, processor gate (MJ/kg)"),INDIRECT($W40)))</f>
        <v>7</v>
      </c>
      <c r="Y40" s="246">
        <f ca="1">IF($W40="DIRECT","",DAVERAGE('literature entries'!$D:$AI,IF($J40=1,"ACTIVE     CED, FARM GATE (MJ/kg)","CED, processor gate (MJ/kg)"),INDIRECT($W40)))</f>
        <v>2.5496782056285712</v>
      </c>
      <c r="Z40" s="246">
        <f ca="1">IF($W40="DIRECT",$O40,DSTDEV('literature entries'!$D:$AI,IF($J40=1,"ACTIVE     CED, FARM GATE (MJ/kg)","CED, processor gate (MJ/kg)"),INDIRECT($W40)))</f>
        <v>1.6075250593394621</v>
      </c>
      <c r="AA40" s="246">
        <f t="shared" ca="1" si="5"/>
        <v>1.6075250593394619</v>
      </c>
      <c r="AB40" s="254" t="str">
        <f ca="1">IF(P40="PROXY",IF(Q40&gt;=5,K40,"need group"),IF(Q40&gt;=5,"DIRECT","need group"))</f>
        <v>onion_bulb</v>
      </c>
      <c r="AC40" s="247">
        <f ca="1">IF($AB40="DIRECT",Q40,DCOUNT('literature entries'!$D:$AI,IF($J40=1,"ACTIVE     GHGE, FARM GATE (kg CO2e/kg)","GHGE, processor gate (kg CO2e/kg)"),INDIRECT($AB40)))</f>
        <v>7</v>
      </c>
      <c r="AD40" s="247">
        <f ca="1">IF($AB40="DIRECT","",DAVERAGE('literature entries'!$D:$AI,IF($J40=1,"ACTIVE     GHGE, FARM GATE (kg CO2e/kg)","GHGE, processor gate (kg CO2e/kg)"),INDIRECT($AB40)))</f>
        <v>0.24193688857142856</v>
      </c>
      <c r="AE40" s="247">
        <f ca="1">IF($AB40="DIRECT",$S40,DSTDEV('literature entries'!$D:$AI,IF($J40=1,"ACTIVE     GHGE, FARM GATE (kg CO2e/kg)","GHGE, processor gate (kg CO2e/kg)"),INDIRECT($AB40)))</f>
        <v>0.15546099980427586</v>
      </c>
      <c r="AF40" s="247">
        <f t="shared" ca="1" si="6"/>
        <v>0.15546099980427586</v>
      </c>
    </row>
    <row r="41" spans="1:32" s="21" customFormat="1" thickBot="1" x14ac:dyDescent="0.25">
      <c r="A41" s="129">
        <v>302103000</v>
      </c>
      <c r="B41" s="130" t="s">
        <v>1903</v>
      </c>
      <c r="C41" s="131" t="s">
        <v>1904</v>
      </c>
      <c r="D41" s="131" t="s">
        <v>1905</v>
      </c>
      <c r="E41" s="131">
        <v>1638</v>
      </c>
      <c r="F41" s="126">
        <f t="shared" ca="1" si="0"/>
        <v>1.5507451766666669</v>
      </c>
      <c r="G41" s="127">
        <f t="shared" ca="1" si="1"/>
        <v>0.22093143666666668</v>
      </c>
      <c r="H41" s="132">
        <v>1</v>
      </c>
      <c r="I41" s="132" t="s">
        <v>2724</v>
      </c>
      <c r="J41" s="91">
        <v>1</v>
      </c>
      <c r="K41" s="90" t="s">
        <v>893</v>
      </c>
      <c r="L41" s="152" t="str">
        <f>IF(ISERROR(GETPIVOTDATA(IF($J41=1,"Count of ACTIVE     CED, FARM GATE (MJ/kg)","Count of CED, processor gate (MJ/kg)"),'Pivot Table_CED'!$A$3,"SUB TYPE",$B41)),"PROXY",IF(GETPIVOTDATA(IF($J41=1,"Count of ACTIVE     CED, FARM GATE (MJ/kg)","Count of CED, processor gate (MJ/kg)"),'Pivot Table_CED'!$A$3,"SUB TYPE",$B41)=0,"PROXY","DB value"))</f>
        <v>PROXY</v>
      </c>
      <c r="M41" s="134">
        <f ca="1">IF($L41="PROXY",DCOUNT('literature entries'!$D:$AI,IF($J41=1,"ACTIVE     CED, FARM GATE (MJ/kg)","CED, processor gate (MJ/kg)"),INDIRECT($K41)),GETPIVOTDATA(IF($J41=1,"Count of ACTIVE     CED, FARM GATE (MJ/kg)","Count of CED, processor gate (MJ/kg)"),'Pivot Table_CED'!$A$3,"SUB TYPE",$B41))</f>
        <v>3</v>
      </c>
      <c r="N41" s="135">
        <f ca="1">IF($L41="PROXY",DAVERAGE('literature entries'!$D:$AI,IF($J41=1,"ACTIVE     CED, FARM GATE (MJ/kg)","CED, processor gate (MJ/kg)"),INDIRECT($K41)),GETPIVOTDATA(IF($J41=1,"Average of ACTIVE     CED, FARM GATE (MJ/kg)","Average of CED, processor gate (MJ/kg)"),'Pivot Table_CED'!$A$3,"SUB TYPE",$B41))</f>
        <v>1.5507451766666669</v>
      </c>
      <c r="O41" s="135">
        <f ca="1">IF($L41="PROXY",DSTDEV('literature entries'!D:AI,IF($J41=1,"ACTIVE     CED, FARM GATE (MJ/kg)","CED, processor gate (MJ/kg)"),INDIRECT($K41)),GETPIVOTDATA(IF($J41=1,"StdDev of ACTIVE     CED, FARM GATE (MJ/kg)","StdDev of CED, processor gate (MJ/kg)"),'Pivot Table_CED'!$A$3,"SUB TYPE",$B41))</f>
        <v>1.545573713255328</v>
      </c>
      <c r="P41" s="152" t="str">
        <f>IF(ISERROR(GETPIVOTDATA(IF($J41=1,"Count of ACTIVE     GHGE, FARM GATE (kg CO2e/kg)","Count of GHGE, processor gate (kg CO2e/kg)"),'Pivot Table_GHG'!$A$3,"SUB TYPE",$B41)),"PROXY",IF(GETPIVOTDATA(IF($J41=1,"Count of ACTIVE     GHGE, FARM GATE (kg CO2e/kg)","Count of GHGE, processor gate (kg CO2e/kg)"),'Pivot Table_GHG'!$A$3,"SUB TYPE",$B41)=0,"PROXY","DB value"))</f>
        <v>PROXY</v>
      </c>
      <c r="Q41" s="141">
        <f ca="1">IF($P41="PROXY",DCOUNT('literature entries'!$D:$AI,IF($J41=1,"ACTIVE     GHGE, FARM GATE (kg CO2e/kg)","GHGE, processor gate (kg CO2e/kg)"),INDIRECT($K41)),GETPIVOTDATA(IF($J41=1,"ACTIVE     GHGE, FARM GATE (kg CO2e/kg)","Count of GHGE, processor gate (kg CO2e/kg)"),'Pivot Table_GHG'!$A$3,"SUB TYPE",$B41))</f>
        <v>3</v>
      </c>
      <c r="R41" s="221">
        <f ca="1">IF($P41="PROXY",DAVERAGE('literature entries'!$D:$AI,IF($J41=1,"ACTIVE     GHGE, FARM GATE (kg CO2e/kg)","GHGE, processor gate (kg CO2e/kg)"),INDIRECT($K41)),GETPIVOTDATA(IF($J41=1,"Average of ACTIVE     GHGE, FARM GATE (kg CO2e/kg)","Average of GHGE, processor gate (kg CO2e/kg)"),'Pivot Table_GHG'!$A$3,"SUB TYPE",$B41))</f>
        <v>0.22093143666666668</v>
      </c>
      <c r="S41" s="221">
        <f ca="1">IF($P41="PROXY",DSTDEV('literature entries'!$D:$AI,IF($J41=1,"ACTIVE     GHGE, FARM GATE (kg CO2e/kg)","GHGE, processor gate (kg CO2e/kg)"),INDIRECT($K41)),GETPIVOTDATA(IF($J41=1,"StdDev of ACTIVE     GHGE, FARM GATE (kg CO2e/kg)","StdDev of GHGE, processor gate (kg CO2e/kg)"),'Pivot Table_GHG'!$A$3,"SUB TYPE",$B41))</f>
        <v>8.3542949461742316E-2</v>
      </c>
      <c r="T41" s="101"/>
      <c r="U41" s="102"/>
      <c r="W41" s="248" t="s">
        <v>2457</v>
      </c>
      <c r="X41" s="246">
        <f ca="1">IF($W41="DIRECT",M41,DCOUNT('literature entries'!$D:$AI,IF($J41=1,"ACTIVE     CED, FARM GATE (MJ/kg)","CED, processor gate (MJ/kg)"),INDIRECT($W41)))</f>
        <v>10</v>
      </c>
      <c r="Y41" s="246">
        <f ca="1">IF($W41="DIRECT","",DAVERAGE('literature entries'!$D:$AI,IF($J41=1,"ACTIVE     CED, FARM GATE (MJ/kg)","CED, processor gate (MJ/kg)"),INDIRECT($W41)))</f>
        <v>2.5657274700000001</v>
      </c>
      <c r="Z41" s="246">
        <f ca="1">IF($W41="DIRECT",$O41,DSTDEV('literature entries'!$D:$AI,IF($J41=1,"ACTIVE     CED, FARM GATE (MJ/kg)","CED, processor gate (MJ/kg)"),INDIRECT($W41)))</f>
        <v>1.5197673074222315</v>
      </c>
      <c r="AA41" s="246">
        <f t="shared" ca="1" si="5"/>
        <v>0.91855890744339763</v>
      </c>
      <c r="AB41" s="254" t="s">
        <v>2457</v>
      </c>
      <c r="AC41" s="247">
        <f ca="1">IF($AB41="DIRECT",Q41,DCOUNT('literature entries'!$D:$AI,IF($J41=1,"ACTIVE     GHGE, FARM GATE (kg CO2e/kg)","GHGE, processor gate (kg CO2e/kg)"),INDIRECT($AB41)))</f>
        <v>22</v>
      </c>
      <c r="AD41" s="247">
        <f ca="1">IF($AB41="DIRECT","",DAVERAGE('literature entries'!$D:$AI,IF($J41=1,"ACTIVE     GHGE, FARM GATE (kg CO2e/kg)","GHGE, processor gate (kg CO2e/kg)"),INDIRECT($AB41)))</f>
        <v>0.18561974136363635</v>
      </c>
      <c r="AE41" s="247">
        <f ca="1">IF($AB41="DIRECT",$S41,DSTDEV('literature entries'!$D:$AI,IF($J41=1,"ACTIVE     GHGE, FARM GATE (kg CO2e/kg)","GHGE, processor gate (kg CO2e/kg)"),INDIRECT($AB41)))</f>
        <v>9.7833632177637575E-2</v>
      </c>
      <c r="AF41" s="247">
        <f t="shared" ca="1" si="6"/>
        <v>0.11644518386102046</v>
      </c>
    </row>
    <row r="42" spans="1:32" s="21" customFormat="1" thickBot="1" x14ac:dyDescent="0.25">
      <c r="A42" s="129">
        <v>302198000</v>
      </c>
      <c r="B42" s="130" t="s">
        <v>868</v>
      </c>
      <c r="C42" s="131" t="s">
        <v>2047</v>
      </c>
      <c r="D42" s="131" t="s">
        <v>2048</v>
      </c>
      <c r="E42" s="131">
        <v>67</v>
      </c>
      <c r="F42" s="126">
        <f t="shared" ca="1" si="0"/>
        <v>2.5496782056285712</v>
      </c>
      <c r="G42" s="127">
        <f t="shared" ca="1" si="1"/>
        <v>6.9000000000000006E-2</v>
      </c>
      <c r="H42" s="132">
        <v>1</v>
      </c>
      <c r="I42" s="132" t="s">
        <v>628</v>
      </c>
      <c r="J42" s="91">
        <v>1</v>
      </c>
      <c r="K42" s="90" t="s">
        <v>3271</v>
      </c>
      <c r="L42" s="152" t="str">
        <f>IF(ISERROR(GETPIVOTDATA(IF($J42=1,"Count of ACTIVE     CED, FARM GATE (MJ/kg)","Count of CED, processor gate (MJ/kg)"),'Pivot Table_CED'!$A$3,"SUB TYPE",$B42)),"PROXY",IF(GETPIVOTDATA(IF($J42=1,"Count of ACTIVE     CED, FARM GATE (MJ/kg)","Count of CED, processor gate (MJ/kg)"),'Pivot Table_CED'!$A$3,"SUB TYPE",$B42)=0,"PROXY","DB value"))</f>
        <v>PROXY</v>
      </c>
      <c r="M42" s="134">
        <f ca="1">IF($L42="PROXY",DCOUNT('literature entries'!$D:$AI,IF($J42=1,"ACTIVE     CED, FARM GATE (MJ/kg)","CED, processor gate (MJ/kg)"),INDIRECT($K42)),GETPIVOTDATA(IF($J42=1,"Count of ACTIVE     CED, FARM GATE (MJ/kg)","Count of CED, processor gate (MJ/kg)"),'Pivot Table_CED'!$A$3,"SUB TYPE",$B42))</f>
        <v>7</v>
      </c>
      <c r="N42" s="135">
        <f ca="1">IF($L42="PROXY",DAVERAGE('literature entries'!$D:$AI,IF($J42=1,"ACTIVE     CED, FARM GATE (MJ/kg)","CED, processor gate (MJ/kg)"),INDIRECT($K42)),GETPIVOTDATA(IF($J42=1,"Average of ACTIVE     CED, FARM GATE (MJ/kg)","Average of CED, processor gate (MJ/kg)"),'Pivot Table_CED'!$A$3,"SUB TYPE",$B42))</f>
        <v>2.5496782056285712</v>
      </c>
      <c r="O42" s="135">
        <f ca="1">IF($L42="PROXY",DSTDEV('literature entries'!D:AI,IF($J42=1,"ACTIVE     CED, FARM GATE (MJ/kg)","CED, processor gate (MJ/kg)"),INDIRECT($K42)),GETPIVOTDATA(IF($J42=1,"StdDev of ACTIVE     CED, FARM GATE (MJ/kg)","StdDev of CED, processor gate (MJ/kg)"),'Pivot Table_CED'!$A$3,"SUB TYPE",$B42))</f>
        <v>1.6075250593394621</v>
      </c>
      <c r="P42" s="152" t="str">
        <f>IF(ISERROR(GETPIVOTDATA(IF($J42=1,"Count of ACTIVE     GHGE, FARM GATE (kg CO2e/kg)","Count of GHGE, processor gate (kg CO2e/kg)"),'Pivot Table_GHG'!$A$3,"SUB TYPE",$B42)),"PROXY",IF(GETPIVOTDATA(IF($J42=1,"Count of ACTIVE     GHGE, FARM GATE (kg CO2e/kg)","Count of GHGE, processor gate (kg CO2e/kg)"),'Pivot Table_GHG'!$A$3,"SUB TYPE",$B42)=0,"PROXY","DB value"))</f>
        <v>DB value</v>
      </c>
      <c r="Q42" s="141">
        <f ca="1">IF($P42="PROXY",DCOUNT('literature entries'!$D:$AI,IF($J42=1,"ACTIVE     GHGE, FARM GATE (kg CO2e/kg)","GHGE, processor gate (kg CO2e/kg)"),INDIRECT($K42)),GETPIVOTDATA(IF($J42=1,"ACTIVE     GHGE, FARM GATE (kg CO2e/kg)","Count of GHGE, processor gate (kg CO2e/kg)"),'Pivot Table_GHG'!$A$3,"SUB TYPE",$B42))</f>
        <v>2</v>
      </c>
      <c r="R42" s="221">
        <f ca="1">IF($P42="PROXY",DAVERAGE('literature entries'!$D:$AI,IF($J42=1,"ACTIVE     GHGE, FARM GATE (kg CO2e/kg)","GHGE, processor gate (kg CO2e/kg)"),INDIRECT($K42)),GETPIVOTDATA(IF($J42=1,"Average of ACTIVE     GHGE, FARM GATE (kg CO2e/kg)","Average of GHGE, processor gate (kg CO2e/kg)"),'Pivot Table_GHG'!$A$3,"SUB TYPE",$B42))</f>
        <v>6.9000000000000006E-2</v>
      </c>
      <c r="S42" s="221">
        <f ca="1">IF($P42="PROXY",DSTDEV('literature entries'!$D:$AI,IF($J42=1,"ACTIVE     GHGE, FARM GATE (kg CO2e/kg)","GHGE, processor gate (kg CO2e/kg)"),INDIRECT($K42)),GETPIVOTDATA(IF($J42=1,"StdDev of ACTIVE     GHGE, FARM GATE (kg CO2e/kg)","StdDev of GHGE, processor gate (kg CO2e/kg)"),'Pivot Table_GHG'!$A$3,"SUB TYPE",$B42))</f>
        <v>3.5355339059327369E-2</v>
      </c>
      <c r="T42" s="101"/>
      <c r="U42" s="102"/>
      <c r="W42" s="248" t="str">
        <f ca="1">IF(L42="PROXY",IF(M42&gt;=5,K42,"need group"),IF(M42&gt;=5,"DIRECT","need group"))</f>
        <v>onion_bulb</v>
      </c>
      <c r="X42" s="246">
        <f ca="1">IF($W42="DIRECT",M42,DCOUNT('literature entries'!$D:$AI,IF($J42=1,"ACTIVE     CED, FARM GATE (MJ/kg)","CED, processor gate (MJ/kg)"),INDIRECT($W42)))</f>
        <v>7</v>
      </c>
      <c r="Y42" s="246">
        <f ca="1">IF($W42="DIRECT","",DAVERAGE('literature entries'!$D:$AI,IF($J42=1,"ACTIVE     CED, FARM GATE (MJ/kg)","CED, processor gate (MJ/kg)"),INDIRECT($W42)))</f>
        <v>2.5496782056285712</v>
      </c>
      <c r="Z42" s="246">
        <f ca="1">IF($W42="DIRECT",$O42,DSTDEV('literature entries'!$D:$AI,IF($J42=1,"ACTIVE     CED, FARM GATE (MJ/kg)","CED, processor gate (MJ/kg)"),INDIRECT($W42)))</f>
        <v>1.6075250593394621</v>
      </c>
      <c r="AA42" s="246">
        <f t="shared" ca="1" si="5"/>
        <v>1.6075250593394619</v>
      </c>
      <c r="AB42" s="254" t="s">
        <v>3271</v>
      </c>
      <c r="AC42" s="247">
        <f ca="1">IF($AB42="DIRECT",Q42,DCOUNT('literature entries'!$D:$AI,IF($J42=1,"ACTIVE     GHGE, FARM GATE (kg CO2e/kg)","GHGE, processor gate (kg CO2e/kg)"),INDIRECT($AB42)))</f>
        <v>7</v>
      </c>
      <c r="AD42" s="247">
        <f ca="1">IF($AB42="DIRECT","",DAVERAGE('literature entries'!$D:$AI,IF($J42=1,"ACTIVE     GHGE, FARM GATE (kg CO2e/kg)","GHGE, processor gate (kg CO2e/kg)"),INDIRECT($AB42)))</f>
        <v>0.24193688857142856</v>
      </c>
      <c r="AE42" s="247">
        <f ca="1">IF($AB42="DIRECT",$S42,DSTDEV('literature entries'!$D:$AI,IF($J42=1,"ACTIVE     GHGE, FARM GATE (kg CO2e/kg)","GHGE, processor gate (kg CO2e/kg)"),INDIRECT($AB42)))</f>
        <v>0.15546099980427586</v>
      </c>
      <c r="AF42" s="247">
        <f t="shared" ca="1" si="6"/>
        <v>4.4337219718059206E-2</v>
      </c>
    </row>
    <row r="43" spans="1:32" s="21" customFormat="1" thickBot="1" x14ac:dyDescent="0.25">
      <c r="A43" s="129">
        <v>302239000</v>
      </c>
      <c r="B43" s="130" t="s">
        <v>2106</v>
      </c>
      <c r="C43" s="131" t="s">
        <v>2107</v>
      </c>
      <c r="D43" s="131" t="s">
        <v>2108</v>
      </c>
      <c r="E43" s="131">
        <v>2507</v>
      </c>
      <c r="F43" s="126">
        <f t="shared" ca="1" si="0"/>
        <v>1.2311520000000002</v>
      </c>
      <c r="G43" s="127">
        <f t="shared" ca="1" si="1"/>
        <v>8.5071999999999995E-2</v>
      </c>
      <c r="H43" s="132">
        <v>1.04</v>
      </c>
      <c r="I43" s="132" t="s">
        <v>2724</v>
      </c>
      <c r="J43" s="91">
        <v>1</v>
      </c>
      <c r="K43" s="90" t="s">
        <v>874</v>
      </c>
      <c r="L43" s="152" t="str">
        <f>IF(ISERROR(GETPIVOTDATA(IF($J43=1,"Count of ACTIVE     CED, FARM GATE (MJ/kg)","Count of CED, processor gate (MJ/kg)"),'Pivot Table_CED'!$A$3,"SUB TYPE",$B43)),"PROXY",IF(GETPIVOTDATA(IF($J43=1,"Count of ACTIVE     CED, FARM GATE (MJ/kg)","Count of CED, processor gate (MJ/kg)"),'Pivot Table_CED'!$A$3,"SUB TYPE",$B43)=0,"PROXY","DB value"))</f>
        <v>PROXY</v>
      </c>
      <c r="M43" s="134">
        <f ca="1">IF($L43="PROXY",DCOUNT('literature entries'!$D:$AI,IF($J43=1,"ACTIVE     CED, FARM GATE (MJ/kg)","CED, processor gate (MJ/kg)"),INDIRECT($K43)),GETPIVOTDATA(IF($J43=1,"Count of ACTIVE     CED, FARM GATE (MJ/kg)","Count of CED, processor gate (MJ/kg)"),'Pivot Table_CED'!$A$3,"SUB TYPE",$B43))</f>
        <v>5</v>
      </c>
      <c r="N43" s="135">
        <f ca="1">IF($L43="PROXY",DAVERAGE('literature entries'!$D:$AI,IF($J43=1,"ACTIVE     CED, FARM GATE (MJ/kg)","CED, processor gate (MJ/kg)"),INDIRECT($K43)),GETPIVOTDATA(IF($J43=1,"Average of ACTIVE     CED, FARM GATE (MJ/kg)","Average of CED, processor gate (MJ/kg)"),'Pivot Table_CED'!$A$3,"SUB TYPE",$B43))</f>
        <v>1.1838000000000002</v>
      </c>
      <c r="O43" s="135">
        <f ca="1">IF($L43="PROXY",DSTDEV('literature entries'!D:AI,IF($J43=1,"ACTIVE     CED, FARM GATE (MJ/kg)","CED, processor gate (MJ/kg)"),INDIRECT($K43)),GETPIVOTDATA(IF($J43=1,"StdDev of ACTIVE     CED, FARM GATE (MJ/kg)","StdDev of CED, processor gate (MJ/kg)"),'Pivot Table_CED'!$A$3,"SUB TYPE",$B43))</f>
        <v>0.63805814782040027</v>
      </c>
      <c r="P43" s="152" t="str">
        <f>IF(ISERROR(GETPIVOTDATA(IF($J43=1,"Count of ACTIVE     GHGE, FARM GATE (kg CO2e/kg)","Count of GHGE, processor gate (kg CO2e/kg)"),'Pivot Table_GHG'!$A$3,"SUB TYPE",$B43)),"PROXY",IF(GETPIVOTDATA(IF($J43=1,"Count of ACTIVE     GHGE, FARM GATE (kg CO2e/kg)","Count of GHGE, processor gate (kg CO2e/kg)"),'Pivot Table_GHG'!$A$3,"SUB TYPE",$B43)=0,"PROXY","DB value"))</f>
        <v>PROXY</v>
      </c>
      <c r="Q43" s="141">
        <f ca="1">IF($P43="PROXY",DCOUNT('literature entries'!$D:$AI,IF($J43=1,"ACTIVE     GHGE, FARM GATE (kg CO2e/kg)","GHGE, processor gate (kg CO2e/kg)"),INDIRECT($K43)),GETPIVOTDATA(IF($J43=1,"ACTIVE     GHGE, FARM GATE (kg CO2e/kg)","Count of GHGE, processor gate (kg CO2e/kg)"),'Pivot Table_GHG'!$A$3,"SUB TYPE",$B43))</f>
        <v>5</v>
      </c>
      <c r="R43" s="221">
        <f ca="1">IF($P43="PROXY",DAVERAGE('literature entries'!$D:$AI,IF($J43=1,"ACTIVE     GHGE, FARM GATE (kg CO2e/kg)","GHGE, processor gate (kg CO2e/kg)"),INDIRECT($K43)),GETPIVOTDATA(IF($J43=1,"Average of ACTIVE     GHGE, FARM GATE (kg CO2e/kg)","Average of GHGE, processor gate (kg CO2e/kg)"),'Pivot Table_GHG'!$A$3,"SUB TYPE",$B43))</f>
        <v>8.1799999999999998E-2</v>
      </c>
      <c r="S43" s="221">
        <f ca="1">IF($P43="PROXY",DSTDEV('literature entries'!$D:$AI,IF($J43=1,"ACTIVE     GHGE, FARM GATE (kg CO2e/kg)","GHGE, processor gate (kg CO2e/kg)"),INDIRECT($K43)),GETPIVOTDATA(IF($J43=1,"StdDev of ACTIVE     GHGE, FARM GATE (kg CO2e/kg)","StdDev of GHGE, processor gate (kg CO2e/kg)"),'Pivot Table_GHG'!$A$3,"SUB TYPE",$B43))</f>
        <v>5.1982689426385009E-2</v>
      </c>
      <c r="T43" s="101"/>
      <c r="U43" s="102"/>
      <c r="W43" s="248" t="s">
        <v>2455</v>
      </c>
      <c r="X43" s="246">
        <f ca="1">IF($W43="DIRECT",M43,DCOUNT('literature entries'!$D:$AI,IF($J43=1,"ACTIVE     CED, FARM GATE (MJ/kg)","CED, processor gate (MJ/kg)"),INDIRECT($W43)))</f>
        <v>14</v>
      </c>
      <c r="Y43" s="246">
        <f ca="1">IF($W43="DIRECT","",DAVERAGE('literature entries'!$D:$AI,IF($J43=1,"ACTIVE     CED, FARM GATE (MJ/kg)","CED, processor gate (MJ/kg)"),INDIRECT($W43)))</f>
        <v>1.4220714285714284</v>
      </c>
      <c r="Z43" s="246">
        <f ca="1">IF($W43="DIRECT",$O43,DSTDEV('literature entries'!$D:$AI,IF($J43=1,"ACTIVE     CED, FARM GATE (MJ/kg)","CED, processor gate (MJ/kg)"),INDIRECT($W43)))</f>
        <v>0.57442043892896122</v>
      </c>
      <c r="AA43" s="246">
        <f t="shared" ca="1" si="5"/>
        <v>0.47817493688570306</v>
      </c>
      <c r="AB43" s="254" t="s">
        <v>2455</v>
      </c>
      <c r="AC43" s="247">
        <f ca="1">IF($AB43="DIRECT",Q43,DCOUNT('literature entries'!$D:$AI,IF($J43=1,"ACTIVE     GHGE, FARM GATE (kg CO2e/kg)","GHGE, processor gate (kg CO2e/kg)"),INDIRECT($AB43)))</f>
        <v>25</v>
      </c>
      <c r="AD43" s="247">
        <f ca="1">IF($AB43="DIRECT","",DAVERAGE('literature entries'!$D:$AI,IF($J43=1,"ACTIVE     GHGE, FARM GATE (kg CO2e/kg)","GHGE, processor gate (kg CO2e/kg)"),INDIRECT($AB43)))</f>
        <v>0.21340000000000003</v>
      </c>
      <c r="AE43" s="247">
        <f ca="1">IF($AB43="DIRECT",$S43,DSTDEV('literature entries'!$D:$AI,IF($J43=1,"ACTIVE     GHGE, FARM GATE (kg CO2e/kg)","GHGE, processor gate (kg CO2e/kg)"),INDIRECT($AB43)))</f>
        <v>0.17992035274902424</v>
      </c>
      <c r="AF43" s="247">
        <f t="shared" ca="1" si="6"/>
        <v>6.8966658176523796E-2</v>
      </c>
    </row>
    <row r="44" spans="1:32" s="21" customFormat="1" ht="17" thickBot="1" x14ac:dyDescent="0.25">
      <c r="A44" s="129">
        <v>401005000</v>
      </c>
      <c r="B44" s="130" t="s">
        <v>1734</v>
      </c>
      <c r="C44" s="131" t="s">
        <v>1735</v>
      </c>
      <c r="D44" s="131" t="s">
        <v>1736</v>
      </c>
      <c r="E44" s="131">
        <v>12</v>
      </c>
      <c r="F44" s="126">
        <f t="shared" ca="1" si="0"/>
        <v>2.5657274700000001</v>
      </c>
      <c r="G44" s="127">
        <f t="shared" ca="1" si="1"/>
        <v>0.18561974136363635</v>
      </c>
      <c r="H44" s="133">
        <v>1</v>
      </c>
      <c r="I44" s="133" t="s">
        <v>594</v>
      </c>
      <c r="J44" s="91">
        <v>1</v>
      </c>
      <c r="K44" s="90" t="s">
        <v>2457</v>
      </c>
      <c r="L44" s="152" t="str">
        <f>IF(ISERROR(GETPIVOTDATA(IF($J44=1,"Count of ACTIVE     CED, FARM GATE (MJ/kg)","Count of CED, processor gate (MJ/kg)"),'Pivot Table_CED'!$A$3,"SUB TYPE",$B44)),"PROXY",IF(GETPIVOTDATA(IF($J44=1,"Count of ACTIVE     CED, FARM GATE (MJ/kg)","Count of CED, processor gate (MJ/kg)"),'Pivot Table_CED'!$A$3,"SUB TYPE",$B44)=0,"PROXY","DB value"))</f>
        <v>PROXY</v>
      </c>
      <c r="M44" s="134">
        <f ca="1">IF($L44="PROXY",DCOUNT('literature entries'!$D:$AI,IF($J44=1,"ACTIVE     CED, FARM GATE (MJ/kg)","CED, processor gate (MJ/kg)"),INDIRECT($K44)),GETPIVOTDATA(IF($J44=1,"Count of ACTIVE     CED, FARM GATE (MJ/kg)","Count of CED, processor gate (MJ/kg)"),'Pivot Table_CED'!$A$3,"SUB TYPE",$B44))</f>
        <v>10</v>
      </c>
      <c r="N44" s="135">
        <f ca="1">IF($L44="PROXY",DAVERAGE('literature entries'!$D:$AI,IF($J44=1,"ACTIVE     CED, FARM GATE (MJ/kg)","CED, processor gate (MJ/kg)"),INDIRECT($K44)),GETPIVOTDATA(IF($J44=1,"Average of ACTIVE     CED, FARM GATE (MJ/kg)","Average of CED, processor gate (MJ/kg)"),'Pivot Table_CED'!$A$3,"SUB TYPE",$B44))</f>
        <v>2.5657274700000001</v>
      </c>
      <c r="O44" s="135">
        <f ca="1">IF($L44="PROXY",DSTDEV('literature entries'!D:AI,IF($J44=1,"ACTIVE     CED, FARM GATE (MJ/kg)","CED, processor gate (MJ/kg)"),INDIRECT($K44)),GETPIVOTDATA(IF($J44=1,"StdDev of ACTIVE     CED, FARM GATE (MJ/kg)","StdDev of CED, processor gate (MJ/kg)"),'Pivot Table_CED'!$A$3,"SUB TYPE",$B44))</f>
        <v>1.5197673074222315</v>
      </c>
      <c r="P44" s="152" t="str">
        <f>IF(ISERROR(GETPIVOTDATA(IF($J44=1,"Count of ACTIVE     GHGE, FARM GATE (kg CO2e/kg)","Count of GHGE, processor gate (kg CO2e/kg)"),'Pivot Table_GHG'!$A$3,"SUB TYPE",$B44)),"PROXY",IF(GETPIVOTDATA(IF($J44=1,"Count of ACTIVE     GHGE, FARM GATE (kg CO2e/kg)","Count of GHGE, processor gate (kg CO2e/kg)"),'Pivot Table_GHG'!$A$3,"SUB TYPE",$B44)=0,"PROXY","DB value"))</f>
        <v>PROXY</v>
      </c>
      <c r="Q44" s="141">
        <f ca="1">IF($P44="PROXY",DCOUNT('literature entries'!$D:$AI,IF($J44=1,"ACTIVE     GHGE, FARM GATE (kg CO2e/kg)","GHGE, processor gate (kg CO2e/kg)"),INDIRECT($K44)),GETPIVOTDATA(IF($J44=1,"ACTIVE     GHGE, FARM GATE (kg CO2e/kg)","Count of GHGE, processor gate (kg CO2e/kg)"),'Pivot Table_GHG'!$A$3,"SUB TYPE",$B44))</f>
        <v>22</v>
      </c>
      <c r="R44" s="221">
        <f ca="1">IF($P44="PROXY",DAVERAGE('literature entries'!$D:$AI,IF($J44=1,"ACTIVE     GHGE, FARM GATE (kg CO2e/kg)","GHGE, processor gate (kg CO2e/kg)"),INDIRECT($K44)),GETPIVOTDATA(IF($J44=1,"Average of ACTIVE     GHGE, FARM GATE (kg CO2e/kg)","Average of GHGE, processor gate (kg CO2e/kg)"),'Pivot Table_GHG'!$A$3,"SUB TYPE",$B44))</f>
        <v>0.18561974136363635</v>
      </c>
      <c r="S44" s="221">
        <f ca="1">IF($P44="PROXY",DSTDEV('literature entries'!$D:$AI,IF($J44=1,"ACTIVE     GHGE, FARM GATE (kg CO2e/kg)","GHGE, processor gate (kg CO2e/kg)"),INDIRECT($K44)),GETPIVOTDATA(IF($J44=1,"StdDev of ACTIVE     GHGE, FARM GATE (kg CO2e/kg)","StdDev of GHGE, processor gate (kg CO2e/kg)"),'Pivot Table_GHG'!$A$3,"SUB TYPE",$B44))</f>
        <v>9.7833632177637575E-2</v>
      </c>
      <c r="T44" s="94"/>
      <c r="U44" s="95"/>
      <c r="W44" s="248" t="str">
        <f ca="1">IF(L44="PROXY",IF(M44&gt;=5,K44,"need group"),IF(M44&gt;=5,"DIRECT","need group"))</f>
        <v>greens</v>
      </c>
      <c r="X44" s="246">
        <f ca="1">IF($W44="DIRECT",M44,DCOUNT('literature entries'!$D:$AI,IF($J44=1,"ACTIVE     CED, FARM GATE (MJ/kg)","CED, processor gate (MJ/kg)"),INDIRECT($W44)))</f>
        <v>10</v>
      </c>
      <c r="Y44" s="246">
        <f ca="1">IF($W44="DIRECT","",DAVERAGE('literature entries'!$D:$AI,IF($J44=1,"ACTIVE     CED, FARM GATE (MJ/kg)","CED, processor gate (MJ/kg)"),INDIRECT($W44)))</f>
        <v>2.5657274700000001</v>
      </c>
      <c r="Z44" s="246">
        <f ca="1">IF($W44="DIRECT",$O44,DSTDEV('literature entries'!$D:$AI,IF($J44=1,"ACTIVE     CED, FARM GATE (MJ/kg)","CED, processor gate (MJ/kg)"),INDIRECT($W44)))</f>
        <v>1.5197673074222315</v>
      </c>
      <c r="AA44" s="246">
        <f t="shared" ref="AA44:AA71" ca="1" si="7">IF($W44="DIRECT",$O44,$Z44/$Y44*$N44)</f>
        <v>1.5197673074222315</v>
      </c>
      <c r="AB44" s="254" t="str">
        <f ca="1">IF(P44="PROXY",IF(Q44&gt;=5,K44,"need group"),IF(Q44&gt;=5,"DIRECT","need group"))</f>
        <v>greens</v>
      </c>
      <c r="AC44" s="247">
        <f ca="1">IF($AB44="DIRECT",Q44,DCOUNT('literature entries'!$D:$AI,IF($J44=1,"ACTIVE     GHGE, FARM GATE (kg CO2e/kg)","GHGE, processor gate (kg CO2e/kg)"),INDIRECT($AB44)))</f>
        <v>22</v>
      </c>
      <c r="AD44" s="247">
        <f ca="1">IF($AB44="DIRECT","",DAVERAGE('literature entries'!$D:$AI,IF($J44=1,"ACTIVE     GHGE, FARM GATE (kg CO2e/kg)","GHGE, processor gate (kg CO2e/kg)"),INDIRECT($AB44)))</f>
        <v>0.18561974136363635</v>
      </c>
      <c r="AE44" s="247">
        <f ca="1">IF($AB44="DIRECT",$S44,DSTDEV('literature entries'!$D:$AI,IF($J44=1,"ACTIVE     GHGE, FARM GATE (kg CO2e/kg)","GHGE, processor gate (kg CO2e/kg)"),INDIRECT($AB44)))</f>
        <v>9.7833632177637575E-2</v>
      </c>
      <c r="AF44" s="247">
        <f t="shared" ref="AF44:AF71" ca="1" si="8">IF($AB44="DIRECT",$S44,$AE44/$AD44*$R44)</f>
        <v>9.7833632177637575E-2</v>
      </c>
    </row>
    <row r="45" spans="1:32" s="21" customFormat="1" thickBot="1" x14ac:dyDescent="0.25">
      <c r="A45" s="129">
        <v>401118000</v>
      </c>
      <c r="B45" s="130" t="s">
        <v>1906</v>
      </c>
      <c r="C45" s="131" t="s">
        <v>1760</v>
      </c>
      <c r="D45" s="131" t="s">
        <v>1907</v>
      </c>
      <c r="E45" s="131">
        <v>21992</v>
      </c>
      <c r="F45" s="126">
        <f t="shared" ca="1" si="0"/>
        <v>1.8298793084666669</v>
      </c>
      <c r="G45" s="127">
        <f t="shared" ca="1" si="1"/>
        <v>0.26069909526666668</v>
      </c>
      <c r="H45" s="132">
        <v>1.18</v>
      </c>
      <c r="I45" s="132" t="s">
        <v>2724</v>
      </c>
      <c r="J45" s="91">
        <v>1</v>
      </c>
      <c r="K45" s="90" t="s">
        <v>893</v>
      </c>
      <c r="L45" s="152" t="str">
        <f>IF(ISERROR(GETPIVOTDATA(IF($J45=1,"Count of ACTIVE     CED, FARM GATE (MJ/kg)","Count of CED, processor gate (MJ/kg)"),'Pivot Table_CED'!$A$3,"SUB TYPE",$B45)),"PROXY",IF(GETPIVOTDATA(IF($J45=1,"Count of ACTIVE     CED, FARM GATE (MJ/kg)","Count of CED, processor gate (MJ/kg)"),'Pivot Table_CED'!$A$3,"SUB TYPE",$B45)=0,"PROXY","DB value"))</f>
        <v>PROXY</v>
      </c>
      <c r="M45" s="134">
        <f ca="1">IF($L45="PROXY",DCOUNT('literature entries'!$D:$AI,IF($J45=1,"ACTIVE     CED, FARM GATE (MJ/kg)","CED, processor gate (MJ/kg)"),INDIRECT($K45)),GETPIVOTDATA(IF($J45=1,"Count of ACTIVE     CED, FARM GATE (MJ/kg)","Count of CED, processor gate (MJ/kg)"),'Pivot Table_CED'!$A$3,"SUB TYPE",$B45))</f>
        <v>3</v>
      </c>
      <c r="N45" s="135">
        <f ca="1">IF($L45="PROXY",DAVERAGE('literature entries'!$D:$AI,IF($J45=1,"ACTIVE     CED, FARM GATE (MJ/kg)","CED, processor gate (MJ/kg)"),INDIRECT($K45)),GETPIVOTDATA(IF($J45=1,"Average of ACTIVE     CED, FARM GATE (MJ/kg)","Average of CED, processor gate (MJ/kg)"),'Pivot Table_CED'!$A$3,"SUB TYPE",$B45))</f>
        <v>1.5507451766666669</v>
      </c>
      <c r="O45" s="135">
        <f ca="1">IF($L45="PROXY",DSTDEV('literature entries'!D:AI,IF($J45=1,"ACTIVE     CED, FARM GATE (MJ/kg)","CED, processor gate (MJ/kg)"),INDIRECT($K45)),GETPIVOTDATA(IF($J45=1,"StdDev of ACTIVE     CED, FARM GATE (MJ/kg)","StdDev of CED, processor gate (MJ/kg)"),'Pivot Table_CED'!$A$3,"SUB TYPE",$B45))</f>
        <v>1.545573713255328</v>
      </c>
      <c r="P45" s="152" t="str">
        <f>IF(ISERROR(GETPIVOTDATA(IF($J45=1,"Count of ACTIVE     GHGE, FARM GATE (kg CO2e/kg)","Count of GHGE, processor gate (kg CO2e/kg)"),'Pivot Table_GHG'!$A$3,"SUB TYPE",$B45)),"PROXY",IF(GETPIVOTDATA(IF($J45=1,"Count of ACTIVE     GHGE, FARM GATE (kg CO2e/kg)","Count of GHGE, processor gate (kg CO2e/kg)"),'Pivot Table_GHG'!$A$3,"SUB TYPE",$B45)=0,"PROXY","DB value"))</f>
        <v>PROXY</v>
      </c>
      <c r="Q45" s="141">
        <f ca="1">IF($P45="PROXY",DCOUNT('literature entries'!$D:$AI,IF($J45=1,"ACTIVE     GHGE, FARM GATE (kg CO2e/kg)","GHGE, processor gate (kg CO2e/kg)"),INDIRECT($K45)),GETPIVOTDATA(IF($J45=1,"ACTIVE     GHGE, FARM GATE (kg CO2e/kg)","Count of GHGE, processor gate (kg CO2e/kg)"),'Pivot Table_GHG'!$A$3,"SUB TYPE",$B45))</f>
        <v>3</v>
      </c>
      <c r="R45" s="221">
        <f ca="1">IF($P45="PROXY",DAVERAGE('literature entries'!$D:$AI,IF($J45=1,"ACTIVE     GHGE, FARM GATE (kg CO2e/kg)","GHGE, processor gate (kg CO2e/kg)"),INDIRECT($K45)),GETPIVOTDATA(IF($J45=1,"Average of ACTIVE     GHGE, FARM GATE (kg CO2e/kg)","Average of GHGE, processor gate (kg CO2e/kg)"),'Pivot Table_GHG'!$A$3,"SUB TYPE",$B45))</f>
        <v>0.22093143666666668</v>
      </c>
      <c r="S45" s="221">
        <f ca="1">IF($P45="PROXY",DSTDEV('literature entries'!$D:$AI,IF($J45=1,"ACTIVE     GHGE, FARM GATE (kg CO2e/kg)","GHGE, processor gate (kg CO2e/kg)"),INDIRECT($K45)),GETPIVOTDATA(IF($J45=1,"StdDev of ACTIVE     GHGE, FARM GATE (kg CO2e/kg)","StdDev of GHGE, processor gate (kg CO2e/kg)"),'Pivot Table_GHG'!$A$3,"SUB TYPE",$B45))</f>
        <v>8.3542949461742316E-2</v>
      </c>
      <c r="T45" s="101"/>
      <c r="U45" s="102"/>
      <c r="W45" s="248" t="s">
        <v>2457</v>
      </c>
      <c r="X45" s="246">
        <f ca="1">IF($W45="DIRECT",M45,DCOUNT('literature entries'!$D:$AI,IF($J45=1,"ACTIVE     CED, FARM GATE (MJ/kg)","CED, processor gate (MJ/kg)"),INDIRECT($W45)))</f>
        <v>10</v>
      </c>
      <c r="Y45" s="246">
        <f ca="1">IF($W45="DIRECT","",DAVERAGE('literature entries'!$D:$AI,IF($J45=1,"ACTIVE     CED, FARM GATE (MJ/kg)","CED, processor gate (MJ/kg)"),INDIRECT($W45)))</f>
        <v>2.5657274700000001</v>
      </c>
      <c r="Z45" s="246">
        <f ca="1">IF($W45="DIRECT",$O45,DSTDEV('literature entries'!$D:$AI,IF($J45=1,"ACTIVE     CED, FARM GATE (MJ/kg)","CED, processor gate (MJ/kg)"),INDIRECT($W45)))</f>
        <v>1.5197673074222315</v>
      </c>
      <c r="AA45" s="246">
        <f t="shared" ca="1" si="7"/>
        <v>0.91855890744339763</v>
      </c>
      <c r="AB45" s="254" t="s">
        <v>2457</v>
      </c>
      <c r="AC45" s="247">
        <f ca="1">IF($AB45="DIRECT",Q45,DCOUNT('literature entries'!$D:$AI,IF($J45=1,"ACTIVE     GHGE, FARM GATE (kg CO2e/kg)","GHGE, processor gate (kg CO2e/kg)"),INDIRECT($AB45)))</f>
        <v>22</v>
      </c>
      <c r="AD45" s="247">
        <f ca="1">IF($AB45="DIRECT","",DAVERAGE('literature entries'!$D:$AI,IF($J45=1,"ACTIVE     GHGE, FARM GATE (kg CO2e/kg)","GHGE, processor gate (kg CO2e/kg)"),INDIRECT($AB45)))</f>
        <v>0.18561974136363635</v>
      </c>
      <c r="AE45" s="247">
        <f ca="1">IF($AB45="DIRECT",$S45,DSTDEV('literature entries'!$D:$AI,IF($J45=1,"ACTIVE     GHGE, FARM GATE (kg CO2e/kg)","GHGE, processor gate (kg CO2e/kg)"),INDIRECT($AB45)))</f>
        <v>9.7833632177637575E-2</v>
      </c>
      <c r="AF45" s="247">
        <f t="shared" ca="1" si="8"/>
        <v>0.11644518386102046</v>
      </c>
    </row>
    <row r="46" spans="1:32" s="21" customFormat="1" ht="17" thickBot="1" x14ac:dyDescent="0.25">
      <c r="A46" s="129">
        <v>401138000</v>
      </c>
      <c r="B46" s="130" t="s">
        <v>1956</v>
      </c>
      <c r="C46" s="131" t="s">
        <v>1760</v>
      </c>
      <c r="D46" s="131"/>
      <c r="E46" s="131">
        <v>5</v>
      </c>
      <c r="F46" s="126">
        <f t="shared" ca="1" si="0"/>
        <v>1.06</v>
      </c>
      <c r="G46" s="127">
        <f t="shared" ca="1" si="1"/>
        <v>5.5666666666666663E-2</v>
      </c>
      <c r="H46" s="133">
        <v>1</v>
      </c>
      <c r="I46" s="133" t="s">
        <v>594</v>
      </c>
      <c r="J46" s="91">
        <v>1</v>
      </c>
      <c r="K46" s="90" t="s">
        <v>659</v>
      </c>
      <c r="L46" s="152" t="str">
        <f>IF(ISERROR(GETPIVOTDATA(IF($J46=1,"Count of ACTIVE     CED, FARM GATE (MJ/kg)","Count of CED, processor gate (MJ/kg)"),'Pivot Table_CED'!$A$3,"SUB TYPE",$B46)),"PROXY",IF(GETPIVOTDATA(IF($J46=1,"Count of ACTIVE     CED, FARM GATE (MJ/kg)","Count of CED, processor gate (MJ/kg)"),'Pivot Table_CED'!$A$3,"SUB TYPE",$B46)=0,"PROXY","DB value"))</f>
        <v>PROXY</v>
      </c>
      <c r="M46" s="134">
        <f ca="1">IF($L46="PROXY",DCOUNT('literature entries'!$D:$AI,IF($J46=1,"ACTIVE     CED, FARM GATE (MJ/kg)","CED, processor gate (MJ/kg)"),INDIRECT($K46)),GETPIVOTDATA(IF($J46=1,"Count of ACTIVE     CED, FARM GATE (MJ/kg)","Count of CED, processor gate (MJ/kg)"),'Pivot Table_CED'!$A$3,"SUB TYPE",$B46))</f>
        <v>3</v>
      </c>
      <c r="N46" s="135">
        <f ca="1">IF($L46="PROXY",DAVERAGE('literature entries'!$D:$AI,IF($J46=1,"ACTIVE     CED, FARM GATE (MJ/kg)","CED, processor gate (MJ/kg)"),INDIRECT($K46)),GETPIVOTDATA(IF($J46=1,"Average of ACTIVE     CED, FARM GATE (MJ/kg)","Average of CED, processor gate (MJ/kg)"),'Pivot Table_CED'!$A$3,"SUB TYPE",$B46))</f>
        <v>1.06</v>
      </c>
      <c r="O46" s="135">
        <f ca="1">IF($L46="PROXY",DSTDEV('literature entries'!D:AI,IF($J46=1,"ACTIVE     CED, FARM GATE (MJ/kg)","CED, processor gate (MJ/kg)"),INDIRECT($K46)),GETPIVOTDATA(IF($J46=1,"StdDev of ACTIVE     CED, FARM GATE (MJ/kg)","StdDev of CED, processor gate (MJ/kg)"),'Pivot Table_CED'!$A$3,"SUB TYPE",$B46))</f>
        <v>0.28583211855912843</v>
      </c>
      <c r="P46" s="152" t="str">
        <f>IF(ISERROR(GETPIVOTDATA(IF($J46=1,"Count of ACTIVE     GHGE, FARM GATE (kg CO2e/kg)","Count of GHGE, processor gate (kg CO2e/kg)"),'Pivot Table_GHG'!$A$3,"SUB TYPE",$B46)),"PROXY",IF(GETPIVOTDATA(IF($J46=1,"Count of ACTIVE     GHGE, FARM GATE (kg CO2e/kg)","Count of GHGE, processor gate (kg CO2e/kg)"),'Pivot Table_GHG'!$A$3,"SUB TYPE",$B46)=0,"PROXY","DB value"))</f>
        <v>PROXY</v>
      </c>
      <c r="Q46" s="141">
        <f ca="1">IF($P46="PROXY",DCOUNT('literature entries'!$D:$AI,IF($J46=1,"ACTIVE     GHGE, FARM GATE (kg CO2e/kg)","GHGE, processor gate (kg CO2e/kg)"),INDIRECT($K46)),GETPIVOTDATA(IF($J46=1,"ACTIVE     GHGE, FARM GATE (kg CO2e/kg)","Count of GHGE, processor gate (kg CO2e/kg)"),'Pivot Table_GHG'!$A$3,"SUB TYPE",$B46))</f>
        <v>3</v>
      </c>
      <c r="R46" s="221">
        <f ca="1">IF($P46="PROXY",DAVERAGE('literature entries'!$D:$AI,IF($J46=1,"ACTIVE     GHGE, FARM GATE (kg CO2e/kg)","GHGE, processor gate (kg CO2e/kg)"),INDIRECT($K46)),GETPIVOTDATA(IF($J46=1,"Average of ACTIVE     GHGE, FARM GATE (kg CO2e/kg)","Average of GHGE, processor gate (kg CO2e/kg)"),'Pivot Table_GHG'!$A$3,"SUB TYPE",$B46))</f>
        <v>5.5666666666666663E-2</v>
      </c>
      <c r="S46" s="221">
        <f ca="1">IF($P46="PROXY",DSTDEV('literature entries'!$D:$AI,IF($J46=1,"ACTIVE     GHGE, FARM GATE (kg CO2e/kg)","GHGE, processor gate (kg CO2e/kg)"),INDIRECT($K46)),GETPIVOTDATA(IF($J46=1,"StdDev of ACTIVE     GHGE, FARM GATE (kg CO2e/kg)","StdDev of GHGE, processor gate (kg CO2e/kg)"),'Pivot Table_GHG'!$A$3,"SUB TYPE",$B46))</f>
        <v>3.7287173844813334E-3</v>
      </c>
      <c r="T46" s="101"/>
      <c r="U46" s="102"/>
      <c r="W46" s="248" t="s">
        <v>2457</v>
      </c>
      <c r="X46" s="246">
        <f ca="1">IF($W46="DIRECT",M46,DCOUNT('literature entries'!$D:$AI,IF($J46=1,"ACTIVE     CED, FARM GATE (MJ/kg)","CED, processor gate (MJ/kg)"),INDIRECT($W46)))</f>
        <v>10</v>
      </c>
      <c r="Y46" s="246">
        <f ca="1">IF($W46="DIRECT","",DAVERAGE('literature entries'!$D:$AI,IF($J46=1,"ACTIVE     CED, FARM GATE (MJ/kg)","CED, processor gate (MJ/kg)"),INDIRECT($W46)))</f>
        <v>2.5657274700000001</v>
      </c>
      <c r="Z46" s="246">
        <f ca="1">IF($W46="DIRECT",$O46,DSTDEV('literature entries'!$D:$AI,IF($J46=1,"ACTIVE     CED, FARM GATE (MJ/kg)","CED, processor gate (MJ/kg)"),INDIRECT($W46)))</f>
        <v>1.5197673074222315</v>
      </c>
      <c r="AA46" s="246">
        <f t="shared" ca="1" si="7"/>
        <v>0.62787391283906135</v>
      </c>
      <c r="AB46" s="254" t="s">
        <v>2457</v>
      </c>
      <c r="AC46" s="247">
        <f ca="1">IF($AB46="DIRECT",Q46,DCOUNT('literature entries'!$D:$AI,IF($J46=1,"ACTIVE     GHGE, FARM GATE (kg CO2e/kg)","GHGE, processor gate (kg CO2e/kg)"),INDIRECT($AB46)))</f>
        <v>22</v>
      </c>
      <c r="AD46" s="247">
        <f ca="1">IF($AB46="DIRECT","",DAVERAGE('literature entries'!$D:$AI,IF($J46=1,"ACTIVE     GHGE, FARM GATE (kg CO2e/kg)","GHGE, processor gate (kg CO2e/kg)"),INDIRECT($AB46)))</f>
        <v>0.18561974136363635</v>
      </c>
      <c r="AE46" s="247">
        <f ca="1">IF($AB46="DIRECT",$S46,DSTDEV('literature entries'!$D:$AI,IF($J46=1,"ACTIVE     GHGE, FARM GATE (kg CO2e/kg)","GHGE, processor gate (kg CO2e/kg)"),INDIRECT($AB46)))</f>
        <v>9.7833632177637575E-2</v>
      </c>
      <c r="AF46" s="247">
        <f t="shared" ca="1" si="8"/>
        <v>2.9339940629228418E-2</v>
      </c>
    </row>
    <row r="47" spans="1:32" s="21" customFormat="1" ht="17" thickBot="1" x14ac:dyDescent="0.25">
      <c r="A47" s="129">
        <v>401144000</v>
      </c>
      <c r="B47" s="130" t="s">
        <v>1966</v>
      </c>
      <c r="C47" s="131" t="s">
        <v>1760</v>
      </c>
      <c r="D47" s="131"/>
      <c r="E47" s="131">
        <v>4937</v>
      </c>
      <c r="F47" s="126">
        <f t="shared" ca="1" si="0"/>
        <v>1.5507451766666669</v>
      </c>
      <c r="G47" s="127">
        <f t="shared" ca="1" si="1"/>
        <v>0.22093143666666668</v>
      </c>
      <c r="H47" s="132">
        <v>1</v>
      </c>
      <c r="I47" s="133" t="s">
        <v>594</v>
      </c>
      <c r="J47" s="91">
        <v>1</v>
      </c>
      <c r="K47" s="90" t="s">
        <v>893</v>
      </c>
      <c r="L47" s="152" t="str">
        <f>IF(ISERROR(GETPIVOTDATA(IF($J47=1,"Count of ACTIVE     CED, FARM GATE (MJ/kg)","Count of CED, processor gate (MJ/kg)"),'Pivot Table_CED'!$A$3,"SUB TYPE",$B47)),"PROXY",IF(GETPIVOTDATA(IF($J47=1,"Count of ACTIVE     CED, FARM GATE (MJ/kg)","Count of CED, processor gate (MJ/kg)"),'Pivot Table_CED'!$A$3,"SUB TYPE",$B47)=0,"PROXY","DB value"))</f>
        <v>PROXY</v>
      </c>
      <c r="M47" s="134">
        <f ca="1">IF($L47="PROXY",DCOUNT('literature entries'!$D:$AI,IF($J47=1,"ACTIVE     CED, FARM GATE (MJ/kg)","CED, processor gate (MJ/kg)"),INDIRECT($K47)),GETPIVOTDATA(IF($J47=1,"Count of ACTIVE     CED, FARM GATE (MJ/kg)","Count of CED, processor gate (MJ/kg)"),'Pivot Table_CED'!$A$3,"SUB TYPE",$B47))</f>
        <v>3</v>
      </c>
      <c r="N47" s="135">
        <f ca="1">IF($L47="PROXY",DAVERAGE('literature entries'!$D:$AI,IF($J47=1,"ACTIVE     CED, FARM GATE (MJ/kg)","CED, processor gate (MJ/kg)"),INDIRECT($K47)),GETPIVOTDATA(IF($J47=1,"Average of ACTIVE     CED, FARM GATE (MJ/kg)","Average of CED, processor gate (MJ/kg)"),'Pivot Table_CED'!$A$3,"SUB TYPE",$B47))</f>
        <v>1.5507451766666669</v>
      </c>
      <c r="O47" s="135">
        <f ca="1">IF($L47="PROXY",DSTDEV('literature entries'!D:AI,IF($J47=1,"ACTIVE     CED, FARM GATE (MJ/kg)","CED, processor gate (MJ/kg)"),INDIRECT($K47)),GETPIVOTDATA(IF($J47=1,"StdDev of ACTIVE     CED, FARM GATE (MJ/kg)","StdDev of CED, processor gate (MJ/kg)"),'Pivot Table_CED'!$A$3,"SUB TYPE",$B47))</f>
        <v>1.545573713255328</v>
      </c>
      <c r="P47" s="152" t="str">
        <f>IF(ISERROR(GETPIVOTDATA(IF($J47=1,"Count of ACTIVE     GHGE, FARM GATE (kg CO2e/kg)","Count of GHGE, processor gate (kg CO2e/kg)"),'Pivot Table_GHG'!$A$3,"SUB TYPE",$B47)),"PROXY",IF(GETPIVOTDATA(IF($J47=1,"Count of ACTIVE     GHGE, FARM GATE (kg CO2e/kg)","Count of GHGE, processor gate (kg CO2e/kg)"),'Pivot Table_GHG'!$A$3,"SUB TYPE",$B47)=0,"PROXY","DB value"))</f>
        <v>PROXY</v>
      </c>
      <c r="Q47" s="141">
        <f ca="1">IF($P47="PROXY",DCOUNT('literature entries'!$D:$AI,IF($J47=1,"ACTIVE     GHGE, FARM GATE (kg CO2e/kg)","GHGE, processor gate (kg CO2e/kg)"),INDIRECT($K47)),GETPIVOTDATA(IF($J47=1,"ACTIVE     GHGE, FARM GATE (kg CO2e/kg)","Count of GHGE, processor gate (kg CO2e/kg)"),'Pivot Table_GHG'!$A$3,"SUB TYPE",$B47))</f>
        <v>3</v>
      </c>
      <c r="R47" s="221">
        <f ca="1">IF($P47="PROXY",DAVERAGE('literature entries'!$D:$AI,IF($J47=1,"ACTIVE     GHGE, FARM GATE (kg CO2e/kg)","GHGE, processor gate (kg CO2e/kg)"),INDIRECT($K47)),GETPIVOTDATA(IF($J47=1,"Average of ACTIVE     GHGE, FARM GATE (kg CO2e/kg)","Average of GHGE, processor gate (kg CO2e/kg)"),'Pivot Table_GHG'!$A$3,"SUB TYPE",$B47))</f>
        <v>0.22093143666666668</v>
      </c>
      <c r="S47" s="221">
        <f ca="1">IF($P47="PROXY",DSTDEV('literature entries'!$D:$AI,IF($J47=1,"ACTIVE     GHGE, FARM GATE (kg CO2e/kg)","GHGE, processor gate (kg CO2e/kg)"),INDIRECT($K47)),GETPIVOTDATA(IF($J47=1,"StdDev of ACTIVE     GHGE, FARM GATE (kg CO2e/kg)","StdDev of GHGE, processor gate (kg CO2e/kg)"),'Pivot Table_GHG'!$A$3,"SUB TYPE",$B47))</f>
        <v>8.3542949461742316E-2</v>
      </c>
      <c r="T47" s="101"/>
      <c r="U47" s="102"/>
      <c r="W47" s="248" t="s">
        <v>2457</v>
      </c>
      <c r="X47" s="246">
        <f ca="1">IF($W47="DIRECT",M47,DCOUNT('literature entries'!$D:$AI,IF($J47=1,"ACTIVE     CED, FARM GATE (MJ/kg)","CED, processor gate (MJ/kg)"),INDIRECT($W47)))</f>
        <v>10</v>
      </c>
      <c r="Y47" s="246">
        <f ca="1">IF($W47="DIRECT","",DAVERAGE('literature entries'!$D:$AI,IF($J47=1,"ACTIVE     CED, FARM GATE (MJ/kg)","CED, processor gate (MJ/kg)"),INDIRECT($W47)))</f>
        <v>2.5657274700000001</v>
      </c>
      <c r="Z47" s="246">
        <f ca="1">IF($W47="DIRECT",$O47,DSTDEV('literature entries'!$D:$AI,IF($J47=1,"ACTIVE     CED, FARM GATE (MJ/kg)","CED, processor gate (MJ/kg)"),INDIRECT($W47)))</f>
        <v>1.5197673074222315</v>
      </c>
      <c r="AA47" s="246">
        <f t="shared" ca="1" si="7"/>
        <v>0.91855890744339763</v>
      </c>
      <c r="AB47" s="254" t="s">
        <v>2457</v>
      </c>
      <c r="AC47" s="247">
        <f ca="1">IF($AB47="DIRECT",Q47,DCOUNT('literature entries'!$D:$AI,IF($J47=1,"ACTIVE     GHGE, FARM GATE (kg CO2e/kg)","GHGE, processor gate (kg CO2e/kg)"),INDIRECT($AB47)))</f>
        <v>22</v>
      </c>
      <c r="AD47" s="247">
        <f ca="1">IF($AB47="DIRECT","",DAVERAGE('literature entries'!$D:$AI,IF($J47=1,"ACTIVE     GHGE, FARM GATE (kg CO2e/kg)","GHGE, processor gate (kg CO2e/kg)"),INDIRECT($AB47)))</f>
        <v>0.18561974136363635</v>
      </c>
      <c r="AE47" s="247">
        <f ca="1">IF($AB47="DIRECT",$S47,DSTDEV('literature entries'!$D:$AI,IF($J47=1,"ACTIVE     GHGE, FARM GATE (kg CO2e/kg)","GHGE, processor gate (kg CO2e/kg)"),INDIRECT($AB47)))</f>
        <v>9.7833632177637575E-2</v>
      </c>
      <c r="AF47" s="247">
        <f t="shared" ca="1" si="8"/>
        <v>0.11644518386102046</v>
      </c>
    </row>
    <row r="48" spans="1:32" s="21" customFormat="1" thickBot="1" x14ac:dyDescent="0.25">
      <c r="A48" s="129">
        <v>401150000</v>
      </c>
      <c r="B48" s="130" t="s">
        <v>1974</v>
      </c>
      <c r="C48" s="131" t="s">
        <v>1760</v>
      </c>
      <c r="D48" s="131" t="s">
        <v>1975</v>
      </c>
      <c r="E48" s="131">
        <v>1566</v>
      </c>
      <c r="F48" s="126">
        <f t="shared" ca="1" si="0"/>
        <v>1.2296</v>
      </c>
      <c r="G48" s="127">
        <f t="shared" ca="1" si="1"/>
        <v>6.457333333333333E-2</v>
      </c>
      <c r="H48" s="132">
        <v>1.1599999999999999</v>
      </c>
      <c r="I48" s="132" t="s">
        <v>2724</v>
      </c>
      <c r="J48" s="91">
        <v>1</v>
      </c>
      <c r="K48" s="90" t="s">
        <v>659</v>
      </c>
      <c r="L48" s="152" t="str">
        <f>IF(ISERROR(GETPIVOTDATA(IF($J48=1,"Count of ACTIVE     CED, FARM GATE (MJ/kg)","Count of CED, processor gate (MJ/kg)"),'Pivot Table_CED'!$A$3,"SUB TYPE",$B48)),"PROXY",IF(GETPIVOTDATA(IF($J48=1,"Count of ACTIVE     CED, FARM GATE (MJ/kg)","Count of CED, processor gate (MJ/kg)"),'Pivot Table_CED'!$A$3,"SUB TYPE",$B48)=0,"PROXY","DB value"))</f>
        <v>PROXY</v>
      </c>
      <c r="M48" s="134">
        <f ca="1">IF($L48="PROXY",DCOUNT('literature entries'!$D:$AI,IF($J48=1,"ACTIVE     CED, FARM GATE (MJ/kg)","CED, processor gate (MJ/kg)"),INDIRECT($K48)),GETPIVOTDATA(IF($J48=1,"Count of ACTIVE     CED, FARM GATE (MJ/kg)","Count of CED, processor gate (MJ/kg)"),'Pivot Table_CED'!$A$3,"SUB TYPE",$B48))</f>
        <v>3</v>
      </c>
      <c r="N48" s="135">
        <f ca="1">IF($L48="PROXY",DAVERAGE('literature entries'!$D:$AI,IF($J48=1,"ACTIVE     CED, FARM GATE (MJ/kg)","CED, processor gate (MJ/kg)"),INDIRECT($K48)),GETPIVOTDATA(IF($J48=1,"Average of ACTIVE     CED, FARM GATE (MJ/kg)","Average of CED, processor gate (MJ/kg)"),'Pivot Table_CED'!$A$3,"SUB TYPE",$B48))</f>
        <v>1.06</v>
      </c>
      <c r="O48" s="135">
        <f ca="1">IF($L48="PROXY",DSTDEV('literature entries'!D:AI,IF($J48=1,"ACTIVE     CED, FARM GATE (MJ/kg)","CED, processor gate (MJ/kg)"),INDIRECT($K48)),GETPIVOTDATA(IF($J48=1,"StdDev of ACTIVE     CED, FARM GATE (MJ/kg)","StdDev of CED, processor gate (MJ/kg)"),'Pivot Table_CED'!$A$3,"SUB TYPE",$B48))</f>
        <v>0.28583211855912843</v>
      </c>
      <c r="P48" s="152" t="str">
        <f>IF(ISERROR(GETPIVOTDATA(IF($J48=1,"Count of ACTIVE     GHGE, FARM GATE (kg CO2e/kg)","Count of GHGE, processor gate (kg CO2e/kg)"),'Pivot Table_GHG'!$A$3,"SUB TYPE",$B48)),"PROXY",IF(GETPIVOTDATA(IF($J48=1,"Count of ACTIVE     GHGE, FARM GATE (kg CO2e/kg)","Count of GHGE, processor gate (kg CO2e/kg)"),'Pivot Table_GHG'!$A$3,"SUB TYPE",$B48)=0,"PROXY","DB value"))</f>
        <v>PROXY</v>
      </c>
      <c r="Q48" s="141">
        <f ca="1">IF($P48="PROXY",DCOUNT('literature entries'!$D:$AI,IF($J48=1,"ACTIVE     GHGE, FARM GATE (kg CO2e/kg)","GHGE, processor gate (kg CO2e/kg)"),INDIRECT($K48)),GETPIVOTDATA(IF($J48=1,"ACTIVE     GHGE, FARM GATE (kg CO2e/kg)","Count of GHGE, processor gate (kg CO2e/kg)"),'Pivot Table_GHG'!$A$3,"SUB TYPE",$B48))</f>
        <v>3</v>
      </c>
      <c r="R48" s="221">
        <f ca="1">IF($P48="PROXY",DAVERAGE('literature entries'!$D:$AI,IF($J48=1,"ACTIVE     GHGE, FARM GATE (kg CO2e/kg)","GHGE, processor gate (kg CO2e/kg)"),INDIRECT($K48)),GETPIVOTDATA(IF($J48=1,"Average of ACTIVE     GHGE, FARM GATE (kg CO2e/kg)","Average of GHGE, processor gate (kg CO2e/kg)"),'Pivot Table_GHG'!$A$3,"SUB TYPE",$B48))</f>
        <v>5.5666666666666663E-2</v>
      </c>
      <c r="S48" s="221">
        <f ca="1">IF($P48="PROXY",DSTDEV('literature entries'!$D:$AI,IF($J48=1,"ACTIVE     GHGE, FARM GATE (kg CO2e/kg)","GHGE, processor gate (kg CO2e/kg)"),INDIRECT($K48)),GETPIVOTDATA(IF($J48=1,"StdDev of ACTIVE     GHGE, FARM GATE (kg CO2e/kg)","StdDev of GHGE, processor gate (kg CO2e/kg)"),'Pivot Table_GHG'!$A$3,"SUB TYPE",$B48))</f>
        <v>3.7287173844813334E-3</v>
      </c>
      <c r="T48" s="105"/>
      <c r="U48" s="106"/>
      <c r="W48" s="248" t="s">
        <v>2457</v>
      </c>
      <c r="X48" s="246">
        <f ca="1">IF($W48="DIRECT",M48,DCOUNT('literature entries'!$D:$AI,IF($J48=1,"ACTIVE     CED, FARM GATE (MJ/kg)","CED, processor gate (MJ/kg)"),INDIRECT($W48)))</f>
        <v>10</v>
      </c>
      <c r="Y48" s="246">
        <f ca="1">IF($W48="DIRECT","",DAVERAGE('literature entries'!$D:$AI,IF($J48=1,"ACTIVE     CED, FARM GATE (MJ/kg)","CED, processor gate (MJ/kg)"),INDIRECT($W48)))</f>
        <v>2.5657274700000001</v>
      </c>
      <c r="Z48" s="246">
        <f ca="1">IF($W48="DIRECT",$O48,DSTDEV('literature entries'!$D:$AI,IF($J48=1,"ACTIVE     CED, FARM GATE (MJ/kg)","CED, processor gate (MJ/kg)"),INDIRECT($W48)))</f>
        <v>1.5197673074222315</v>
      </c>
      <c r="AA48" s="246">
        <f t="shared" ca="1" si="7"/>
        <v>0.62787391283906135</v>
      </c>
      <c r="AB48" s="254" t="s">
        <v>2457</v>
      </c>
      <c r="AC48" s="247">
        <f ca="1">IF($AB48="DIRECT",Q48,DCOUNT('literature entries'!$D:$AI,IF($J48=1,"ACTIVE     GHGE, FARM GATE (kg CO2e/kg)","GHGE, processor gate (kg CO2e/kg)"),INDIRECT($AB48)))</f>
        <v>22</v>
      </c>
      <c r="AD48" s="247">
        <f ca="1">IF($AB48="DIRECT","",DAVERAGE('literature entries'!$D:$AI,IF($J48=1,"ACTIVE     GHGE, FARM GATE (kg CO2e/kg)","GHGE, processor gate (kg CO2e/kg)"),INDIRECT($AB48)))</f>
        <v>0.18561974136363635</v>
      </c>
      <c r="AE48" s="247">
        <f ca="1">IF($AB48="DIRECT",$S48,DSTDEV('literature entries'!$D:$AI,IF($J48=1,"ACTIVE     GHGE, FARM GATE (kg CO2e/kg)","GHGE, processor gate (kg CO2e/kg)"),INDIRECT($AB48)))</f>
        <v>9.7833632177637575E-2</v>
      </c>
      <c r="AF48" s="247">
        <f t="shared" ca="1" si="8"/>
        <v>2.9339940629228418E-2</v>
      </c>
    </row>
    <row r="49" spans="1:32" s="21" customFormat="1" ht="17" thickBot="1" x14ac:dyDescent="0.25">
      <c r="A49" s="129">
        <v>401204000</v>
      </c>
      <c r="B49" s="130" t="s">
        <v>2055</v>
      </c>
      <c r="C49" s="131" t="s">
        <v>2056</v>
      </c>
      <c r="D49" s="131"/>
      <c r="E49" s="131">
        <v>15121</v>
      </c>
      <c r="F49" s="126">
        <f t="shared" ca="1" si="0"/>
        <v>2.0842911284999999</v>
      </c>
      <c r="G49" s="127">
        <f t="shared" ca="1" si="1"/>
        <v>0.1582875</v>
      </c>
      <c r="H49" s="132">
        <v>1.05</v>
      </c>
      <c r="I49" s="133" t="s">
        <v>2724</v>
      </c>
      <c r="J49" s="91">
        <v>1</v>
      </c>
      <c r="K49" s="90"/>
      <c r="L49" s="152" t="str">
        <f>IF(ISERROR(GETPIVOTDATA(IF($J49=1,"Count of ACTIVE     CED, FARM GATE (MJ/kg)","Count of CED, processor gate (MJ/kg)"),'Pivot Table_CED'!$A$3,"SUB TYPE",$B49)),"PROXY",IF(GETPIVOTDATA(IF($J49=1,"Count of ACTIVE     CED, FARM GATE (MJ/kg)","Count of CED, processor gate (MJ/kg)"),'Pivot Table_CED'!$A$3,"SUB TYPE",$B49)=0,"PROXY","DB value"))</f>
        <v>DB value</v>
      </c>
      <c r="M49" s="134">
        <f ca="1">IF($L49="PROXY",DCOUNT('literature entries'!$D:$AI,IF($J49=1,"ACTIVE     CED, FARM GATE (MJ/kg)","CED, processor gate (MJ/kg)"),INDIRECT($K49)),GETPIVOTDATA(IF($J49=1,"Count of ACTIVE     CED, FARM GATE (MJ/kg)","Count of CED, processor gate (MJ/kg)"),'Pivot Table_CED'!$A$3,"SUB TYPE",$B49))</f>
        <v>1</v>
      </c>
      <c r="N49" s="135">
        <f ca="1">IF($L49="PROXY",DAVERAGE('literature entries'!$D:$AI,IF($J49=1,"ACTIVE     CED, FARM GATE (MJ/kg)","CED, processor gate (MJ/kg)"),INDIRECT($K49)),GETPIVOTDATA(IF($J49=1,"Average of ACTIVE     CED, FARM GATE (MJ/kg)","Average of CED, processor gate (MJ/kg)"),'Pivot Table_CED'!$A$3,"SUB TYPE",$B49))</f>
        <v>1.9850391699999999</v>
      </c>
      <c r="O49" s="135">
        <f ca="1">IF($L49="PROXY",DSTDEV('literature entries'!D:AI,IF($J49=1,"ACTIVE     CED, FARM GATE (MJ/kg)","CED, processor gate (MJ/kg)"),INDIRECT($K49)),GETPIVOTDATA(IF($J49=1,"StdDev of ACTIVE     CED, FARM GATE (MJ/kg)","StdDev of CED, processor gate (MJ/kg)"),'Pivot Table_CED'!$A$3,"SUB TYPE",$B49))</f>
        <v>0</v>
      </c>
      <c r="P49" s="152" t="str">
        <f>IF(ISERROR(GETPIVOTDATA(IF($J49=1,"Count of ACTIVE     GHGE, FARM GATE (kg CO2e/kg)","Count of GHGE, processor gate (kg CO2e/kg)"),'Pivot Table_GHG'!$A$3,"SUB TYPE",$B49)),"PROXY",IF(GETPIVOTDATA(IF($J49=1,"Count of ACTIVE     GHGE, FARM GATE (kg CO2e/kg)","Count of GHGE, processor gate (kg CO2e/kg)"),'Pivot Table_GHG'!$A$3,"SUB TYPE",$B49)=0,"PROXY","DB value"))</f>
        <v>DB value</v>
      </c>
      <c r="Q49" s="141">
        <f ca="1">IF($P49="PROXY",DCOUNT('literature entries'!$D:$AI,IF($J49=1,"ACTIVE     GHGE, FARM GATE (kg CO2e/kg)","GHGE, processor gate (kg CO2e/kg)"),INDIRECT($K49)),GETPIVOTDATA(IF($J49=1,"ACTIVE     GHGE, FARM GATE (kg CO2e/kg)","Count of GHGE, processor gate (kg CO2e/kg)"),'Pivot Table_GHG'!$A$3,"SUB TYPE",$B49))</f>
        <v>1</v>
      </c>
      <c r="R49" s="221">
        <f ca="1">IF($P49="PROXY",DAVERAGE('literature entries'!$D:$AI,IF($J49=1,"ACTIVE     GHGE, FARM GATE (kg CO2e/kg)","GHGE, processor gate (kg CO2e/kg)"),INDIRECT($K49)),GETPIVOTDATA(IF($J49=1,"Average of ACTIVE     GHGE, FARM GATE (kg CO2e/kg)","Average of GHGE, processor gate (kg CO2e/kg)"),'Pivot Table_GHG'!$A$3,"SUB TYPE",$B49))</f>
        <v>0.15075</v>
      </c>
      <c r="S49" s="221" t="e">
        <f ca="1">IF($P49="PROXY",DSTDEV('literature entries'!$D:$AI,IF($J49=1,"ACTIVE     GHGE, FARM GATE (kg CO2e/kg)","GHGE, processor gate (kg CO2e/kg)"),INDIRECT($K49)),GETPIVOTDATA(IF($J49=1,"StdDev of ACTIVE     GHGE, FARM GATE (kg CO2e/kg)","StdDev of GHGE, processor gate (kg CO2e/kg)"),'Pivot Table_GHG'!$A$3,"SUB TYPE",$B49))</f>
        <v>#DIV/0!</v>
      </c>
      <c r="T49" s="101"/>
      <c r="U49" s="102"/>
      <c r="W49" s="248" t="s">
        <v>2457</v>
      </c>
      <c r="X49" s="246">
        <f ca="1">IF($W49="DIRECT",M49,DCOUNT('literature entries'!$D:$AI,IF($J49=1,"ACTIVE     CED, FARM GATE (MJ/kg)","CED, processor gate (MJ/kg)"),INDIRECT($W49)))</f>
        <v>10</v>
      </c>
      <c r="Y49" s="246">
        <f ca="1">IF($W49="DIRECT","",DAVERAGE('literature entries'!$D:$AI,IF($J49=1,"ACTIVE     CED, FARM GATE (MJ/kg)","CED, processor gate (MJ/kg)"),INDIRECT($W49)))</f>
        <v>2.5657274700000001</v>
      </c>
      <c r="Z49" s="246">
        <f ca="1">IF($W49="DIRECT",$O49,DSTDEV('literature entries'!$D:$AI,IF($J49=1,"ACTIVE     CED, FARM GATE (MJ/kg)","CED, processor gate (MJ/kg)"),INDIRECT($W49)))</f>
        <v>1.5197673074222315</v>
      </c>
      <c r="AA49" s="246">
        <f t="shared" ca="1" si="7"/>
        <v>1.1758059535912289</v>
      </c>
      <c r="AB49" s="254" t="s">
        <v>2457</v>
      </c>
      <c r="AC49" s="247">
        <f ca="1">IF($AB49="DIRECT",Q49,DCOUNT('literature entries'!$D:$AI,IF($J49=1,"ACTIVE     GHGE, FARM GATE (kg CO2e/kg)","GHGE, processor gate (kg CO2e/kg)"),INDIRECT($AB49)))</f>
        <v>22</v>
      </c>
      <c r="AD49" s="247">
        <f ca="1">IF($AB49="DIRECT","",DAVERAGE('literature entries'!$D:$AI,IF($J49=1,"ACTIVE     GHGE, FARM GATE (kg CO2e/kg)","GHGE, processor gate (kg CO2e/kg)"),INDIRECT($AB49)))</f>
        <v>0.18561974136363635</v>
      </c>
      <c r="AE49" s="247">
        <f ca="1">IF($AB49="DIRECT",$S49,DSTDEV('literature entries'!$D:$AI,IF($J49=1,"ACTIVE     GHGE, FARM GATE (kg CO2e/kg)","GHGE, processor gate (kg CO2e/kg)"),INDIRECT($AB49)))</f>
        <v>9.7833632177637575E-2</v>
      </c>
      <c r="AF49" s="247">
        <f t="shared" ca="1" si="8"/>
        <v>7.9455018859691931E-2</v>
      </c>
    </row>
    <row r="50" spans="1:32" s="21" customFormat="1" ht="17" thickBot="1" x14ac:dyDescent="0.25">
      <c r="A50" s="129">
        <v>401205000</v>
      </c>
      <c r="B50" s="130" t="s">
        <v>2057</v>
      </c>
      <c r="C50" s="131" t="s">
        <v>1760</v>
      </c>
      <c r="D50" s="131" t="s">
        <v>2058</v>
      </c>
      <c r="E50" s="131">
        <v>1626</v>
      </c>
      <c r="F50" s="126">
        <f t="shared" ca="1" si="0"/>
        <v>3.9942000000000006</v>
      </c>
      <c r="G50" s="127">
        <f t="shared" ca="1" si="1"/>
        <v>0.22890629999999998</v>
      </c>
      <c r="H50" s="132">
        <v>1.26</v>
      </c>
      <c r="I50" s="133" t="s">
        <v>2737</v>
      </c>
      <c r="J50" s="91">
        <v>1</v>
      </c>
      <c r="K50" s="90"/>
      <c r="L50" s="152" t="str">
        <f>IF(ISERROR(GETPIVOTDATA(IF($J50=1,"Count of ACTIVE     CED, FARM GATE (MJ/kg)","Count of CED, processor gate (MJ/kg)"),'Pivot Table_CED'!$A$3,"SUB TYPE",$B50)),"PROXY",IF(GETPIVOTDATA(IF($J50=1,"Count of ACTIVE     CED, FARM GATE (MJ/kg)","Count of CED, processor gate (MJ/kg)"),'Pivot Table_CED'!$A$3,"SUB TYPE",$B50)=0,"PROXY","DB value"))</f>
        <v>DB value</v>
      </c>
      <c r="M50" s="134">
        <f ca="1">IF($L50="PROXY",DCOUNT('literature entries'!$D:$AI,IF($J50=1,"ACTIVE     CED, FARM GATE (MJ/kg)","CED, processor gate (MJ/kg)"),INDIRECT($K50)),GETPIVOTDATA(IF($J50=1,"Count of ACTIVE     CED, FARM GATE (MJ/kg)","Count of CED, processor gate (MJ/kg)"),'Pivot Table_CED'!$A$3,"SUB TYPE",$B50))</f>
        <v>6</v>
      </c>
      <c r="N50" s="135">
        <f ca="1">IF($L50="PROXY",DAVERAGE('literature entries'!$D:$AI,IF($J50=1,"ACTIVE     CED, FARM GATE (MJ/kg)","CED, processor gate (MJ/kg)"),INDIRECT($K50)),GETPIVOTDATA(IF($J50=1,"Average of ACTIVE     CED, FARM GATE (MJ/kg)","Average of CED, processor gate (MJ/kg)"),'Pivot Table_CED'!$A$3,"SUB TYPE",$B50))</f>
        <v>3.1700000000000004</v>
      </c>
      <c r="O50" s="135">
        <f ca="1">IF($L50="PROXY",DSTDEV('literature entries'!D:AI,IF($J50=1,"ACTIVE     CED, FARM GATE (MJ/kg)","CED, processor gate (MJ/kg)"),INDIRECT($K50)),GETPIVOTDATA(IF($J50=1,"StdDev of ACTIVE     CED, FARM GATE (MJ/kg)","StdDev of CED, processor gate (MJ/kg)"),'Pivot Table_CED'!$A$3,"SUB TYPE",$B50))</f>
        <v>1.4415963373982315</v>
      </c>
      <c r="P50" s="152" t="str">
        <f>IF(ISERROR(GETPIVOTDATA(IF($J50=1,"Count of ACTIVE     GHGE, FARM GATE (kg CO2e/kg)","Count of GHGE, processor gate (kg CO2e/kg)"),'Pivot Table_GHG'!$A$3,"SUB TYPE",$B50)),"PROXY",IF(GETPIVOTDATA(IF($J50=1,"Count of ACTIVE     GHGE, FARM GATE (kg CO2e/kg)","Count of GHGE, processor gate (kg CO2e/kg)"),'Pivot Table_GHG'!$A$3,"SUB TYPE",$B50)=0,"PROXY","DB value"))</f>
        <v>DB value</v>
      </c>
      <c r="Q50" s="141">
        <f ca="1">IF($P50="PROXY",DCOUNT('literature entries'!$D:$AI,IF($J50=1,"ACTIVE     GHGE, FARM GATE (kg CO2e/kg)","GHGE, processor gate (kg CO2e/kg)"),INDIRECT($K50)),GETPIVOTDATA(IF($J50=1,"ACTIVE     GHGE, FARM GATE (kg CO2e/kg)","Count of GHGE, processor gate (kg CO2e/kg)"),'Pivot Table_GHG'!$A$3,"SUB TYPE",$B50))</f>
        <v>18</v>
      </c>
      <c r="R50" s="221">
        <f ca="1">IF($P50="PROXY",DAVERAGE('literature entries'!$D:$AI,IF($J50=1,"ACTIVE     GHGE, FARM GATE (kg CO2e/kg)","GHGE, processor gate (kg CO2e/kg)"),INDIRECT($K50)),GETPIVOTDATA(IF($J50=1,"Average of ACTIVE     GHGE, FARM GATE (kg CO2e/kg)","Average of GHGE, processor gate (kg CO2e/kg)"),'Pivot Table_GHG'!$A$3,"SUB TYPE",$B50))</f>
        <v>0.18167166666666665</v>
      </c>
      <c r="S50" s="221">
        <f ca="1">IF($P50="PROXY",DSTDEV('literature entries'!$D:$AI,IF($J50=1,"ACTIVE     GHGE, FARM GATE (kg CO2e/kg)","GHGE, processor gate (kg CO2e/kg)"),INDIRECT($K50)),GETPIVOTDATA(IF($J50=1,"StdDev of ACTIVE     GHGE, FARM GATE (kg CO2e/kg)","StdDev of GHGE, processor gate (kg CO2e/kg)"),'Pivot Table_GHG'!$A$3,"SUB TYPE",$B50))</f>
        <v>0.10341343206930592</v>
      </c>
      <c r="T50" s="101"/>
      <c r="U50" s="102"/>
      <c r="W50" s="248" t="str">
        <f ca="1">IF(L50="PROXY",IF(M50&gt;=5,K50,"need group"),IF(M50&gt;=5,"DIRECT","need group"))</f>
        <v>DIRECT</v>
      </c>
      <c r="X50" s="246">
        <f ca="1">IF($W50="DIRECT",M50,DCOUNT('literature entries'!$D:$AI,IF($J50=1,"ACTIVE     CED, FARM GATE (MJ/kg)","CED, processor gate (MJ/kg)"),INDIRECT($W50)))</f>
        <v>6</v>
      </c>
      <c r="Y50" s="246" t="str">
        <f ca="1">IF($W50="DIRECT","",DAVERAGE('literature entries'!$D:$AI,IF($J50=1,"ACTIVE     CED, FARM GATE (MJ/kg)","CED, processor gate (MJ/kg)"),INDIRECT($W50)))</f>
        <v/>
      </c>
      <c r="Z50" s="246">
        <f ca="1">IF($W50="DIRECT",$O50,DSTDEV('literature entries'!$D:$AI,IF($J50=1,"ACTIVE     CED, FARM GATE (MJ/kg)","CED, processor gate (MJ/kg)"),INDIRECT($W50)))</f>
        <v>1.4415963373982315</v>
      </c>
      <c r="AA50" s="246">
        <f t="shared" ca="1" si="7"/>
        <v>1.4415963373982315</v>
      </c>
      <c r="AB50" s="254" t="str">
        <f ca="1">IF(P50="PROXY",IF(Q50&gt;=5,K50,"need group"),IF(Q50&gt;=5,"DIRECT","need group"))</f>
        <v>DIRECT</v>
      </c>
      <c r="AC50" s="247">
        <f ca="1">IF($AB50="DIRECT",Q50,DCOUNT('literature entries'!$D:$AI,IF($J50=1,"ACTIVE     GHGE, FARM GATE (kg CO2e/kg)","GHGE, processor gate (kg CO2e/kg)"),INDIRECT($AB50)))</f>
        <v>18</v>
      </c>
      <c r="AD50" s="247" t="str">
        <f ca="1">IF($AB50="DIRECT","",DAVERAGE('literature entries'!$D:$AI,IF($J50=1,"ACTIVE     GHGE, FARM GATE (kg CO2e/kg)","GHGE, processor gate (kg CO2e/kg)"),INDIRECT($AB50)))</f>
        <v/>
      </c>
      <c r="AE50" s="247">
        <f ca="1">IF($AB50="DIRECT",$S50,DSTDEV('literature entries'!$D:$AI,IF($J50=1,"ACTIVE     GHGE, FARM GATE (kg CO2e/kg)","GHGE, processor gate (kg CO2e/kg)"),INDIRECT($AB50)))</f>
        <v>0.10341343206930592</v>
      </c>
      <c r="AF50" s="247">
        <f t="shared" ca="1" si="8"/>
        <v>0.10341343206930592</v>
      </c>
    </row>
    <row r="51" spans="1:32" s="21" customFormat="1" ht="17" thickBot="1" x14ac:dyDescent="0.25">
      <c r="A51" s="129">
        <v>401248000</v>
      </c>
      <c r="B51" s="130" t="s">
        <v>2121</v>
      </c>
      <c r="C51" s="131" t="s">
        <v>1782</v>
      </c>
      <c r="D51" s="131"/>
      <c r="E51" s="131">
        <v>2940</v>
      </c>
      <c r="F51" s="126">
        <f t="shared" ca="1" si="0"/>
        <v>1.6282824355000003</v>
      </c>
      <c r="G51" s="127">
        <f t="shared" ca="1" si="1"/>
        <v>0.23197800850000003</v>
      </c>
      <c r="H51" s="132">
        <v>1.05</v>
      </c>
      <c r="I51" s="133" t="s">
        <v>2724</v>
      </c>
      <c r="J51" s="91">
        <v>1</v>
      </c>
      <c r="K51" s="90" t="s">
        <v>893</v>
      </c>
      <c r="L51" s="152" t="str">
        <f>IF(ISERROR(GETPIVOTDATA(IF($J51=1,"Count of ACTIVE     CED, FARM GATE (MJ/kg)","Count of CED, processor gate (MJ/kg)"),'Pivot Table_CED'!$A$3,"SUB TYPE",$B51)),"PROXY",IF(GETPIVOTDATA(IF($J51=1,"Count of ACTIVE     CED, FARM GATE (MJ/kg)","Count of CED, processor gate (MJ/kg)"),'Pivot Table_CED'!$A$3,"SUB TYPE",$B51)=0,"PROXY","DB value"))</f>
        <v>PROXY</v>
      </c>
      <c r="M51" s="134">
        <f ca="1">IF($L51="PROXY",DCOUNT('literature entries'!$D:$AI,IF($J51=1,"ACTIVE     CED, FARM GATE (MJ/kg)","CED, processor gate (MJ/kg)"),INDIRECT($K51)),GETPIVOTDATA(IF($J51=1,"Count of ACTIVE     CED, FARM GATE (MJ/kg)","Count of CED, processor gate (MJ/kg)"),'Pivot Table_CED'!$A$3,"SUB TYPE",$B51))</f>
        <v>3</v>
      </c>
      <c r="N51" s="135">
        <f ca="1">IF($L51="PROXY",DAVERAGE('literature entries'!$D:$AI,IF($J51=1,"ACTIVE     CED, FARM GATE (MJ/kg)","CED, processor gate (MJ/kg)"),INDIRECT($K51)),GETPIVOTDATA(IF($J51=1,"Average of ACTIVE     CED, FARM GATE (MJ/kg)","Average of CED, processor gate (MJ/kg)"),'Pivot Table_CED'!$A$3,"SUB TYPE",$B51))</f>
        <v>1.5507451766666669</v>
      </c>
      <c r="O51" s="135">
        <f ca="1">IF($L51="PROXY",DSTDEV('literature entries'!D:AI,IF($J51=1,"ACTIVE     CED, FARM GATE (MJ/kg)","CED, processor gate (MJ/kg)"),INDIRECT($K51)),GETPIVOTDATA(IF($J51=1,"StdDev of ACTIVE     CED, FARM GATE (MJ/kg)","StdDev of CED, processor gate (MJ/kg)"),'Pivot Table_CED'!$A$3,"SUB TYPE",$B51))</f>
        <v>1.545573713255328</v>
      </c>
      <c r="P51" s="152" t="str">
        <f>IF(ISERROR(GETPIVOTDATA(IF($J51=1,"Count of ACTIVE     GHGE, FARM GATE (kg CO2e/kg)","Count of GHGE, processor gate (kg CO2e/kg)"),'Pivot Table_GHG'!$A$3,"SUB TYPE",$B51)),"PROXY",IF(GETPIVOTDATA(IF($J51=1,"Count of ACTIVE     GHGE, FARM GATE (kg CO2e/kg)","Count of GHGE, processor gate (kg CO2e/kg)"),'Pivot Table_GHG'!$A$3,"SUB TYPE",$B51)=0,"PROXY","DB value"))</f>
        <v>PROXY</v>
      </c>
      <c r="Q51" s="141">
        <f ca="1">IF($P51="PROXY",DCOUNT('literature entries'!$D:$AI,IF($J51=1,"ACTIVE     GHGE, FARM GATE (kg CO2e/kg)","GHGE, processor gate (kg CO2e/kg)"),INDIRECT($K51)),GETPIVOTDATA(IF($J51=1,"ACTIVE     GHGE, FARM GATE (kg CO2e/kg)","Count of GHGE, processor gate (kg CO2e/kg)"),'Pivot Table_GHG'!$A$3,"SUB TYPE",$B51))</f>
        <v>3</v>
      </c>
      <c r="R51" s="221">
        <f ca="1">IF($P51="PROXY",DAVERAGE('literature entries'!$D:$AI,IF($J51=1,"ACTIVE     GHGE, FARM GATE (kg CO2e/kg)","GHGE, processor gate (kg CO2e/kg)"),INDIRECT($K51)),GETPIVOTDATA(IF($J51=1,"Average of ACTIVE     GHGE, FARM GATE (kg CO2e/kg)","Average of GHGE, processor gate (kg CO2e/kg)"),'Pivot Table_GHG'!$A$3,"SUB TYPE",$B51))</f>
        <v>0.22093143666666668</v>
      </c>
      <c r="S51" s="221">
        <f ca="1">IF($P51="PROXY",DSTDEV('literature entries'!$D:$AI,IF($J51=1,"ACTIVE     GHGE, FARM GATE (kg CO2e/kg)","GHGE, processor gate (kg CO2e/kg)"),INDIRECT($K51)),GETPIVOTDATA(IF($J51=1,"StdDev of ACTIVE     GHGE, FARM GATE (kg CO2e/kg)","StdDev of GHGE, processor gate (kg CO2e/kg)"),'Pivot Table_GHG'!$A$3,"SUB TYPE",$B51))</f>
        <v>8.3542949461742316E-2</v>
      </c>
      <c r="T51" s="101"/>
      <c r="U51" s="102"/>
      <c r="W51" s="248" t="s">
        <v>2457</v>
      </c>
      <c r="X51" s="246">
        <f ca="1">IF($W51="DIRECT",M51,DCOUNT('literature entries'!$D:$AI,IF($J51=1,"ACTIVE     CED, FARM GATE (MJ/kg)","CED, processor gate (MJ/kg)"),INDIRECT($W51)))</f>
        <v>10</v>
      </c>
      <c r="Y51" s="246">
        <f ca="1">IF($W51="DIRECT","",DAVERAGE('literature entries'!$D:$AI,IF($J51=1,"ACTIVE     CED, FARM GATE (MJ/kg)","CED, processor gate (MJ/kg)"),INDIRECT($W51)))</f>
        <v>2.5657274700000001</v>
      </c>
      <c r="Z51" s="246">
        <f ca="1">IF($W51="DIRECT",$O51,DSTDEV('literature entries'!$D:$AI,IF($J51=1,"ACTIVE     CED, FARM GATE (MJ/kg)","CED, processor gate (MJ/kg)"),INDIRECT($W51)))</f>
        <v>1.5197673074222315</v>
      </c>
      <c r="AA51" s="246">
        <f t="shared" ca="1" si="7"/>
        <v>0.91855890744339763</v>
      </c>
      <c r="AB51" s="254" t="s">
        <v>2457</v>
      </c>
      <c r="AC51" s="247">
        <f ca="1">IF($AB51="DIRECT",Q51,DCOUNT('literature entries'!$D:$AI,IF($J51=1,"ACTIVE     GHGE, FARM GATE (kg CO2e/kg)","GHGE, processor gate (kg CO2e/kg)"),INDIRECT($AB51)))</f>
        <v>22</v>
      </c>
      <c r="AD51" s="247">
        <f ca="1">IF($AB51="DIRECT","",DAVERAGE('literature entries'!$D:$AI,IF($J51=1,"ACTIVE     GHGE, FARM GATE (kg CO2e/kg)","GHGE, processor gate (kg CO2e/kg)"),INDIRECT($AB51)))</f>
        <v>0.18561974136363635</v>
      </c>
      <c r="AE51" s="247">
        <f ca="1">IF($AB51="DIRECT",$S51,DSTDEV('literature entries'!$D:$AI,IF($J51=1,"ACTIVE     GHGE, FARM GATE (kg CO2e/kg)","GHGE, processor gate (kg CO2e/kg)"),INDIRECT($AB51)))</f>
        <v>9.7833632177637575E-2</v>
      </c>
      <c r="AF51" s="247">
        <f t="shared" ca="1" si="8"/>
        <v>0.11644518386102046</v>
      </c>
    </row>
    <row r="52" spans="1:32" s="21" customFormat="1" ht="17" thickBot="1" x14ac:dyDescent="0.25">
      <c r="A52" s="129">
        <v>401313000</v>
      </c>
      <c r="B52" s="130" t="s">
        <v>2225</v>
      </c>
      <c r="C52" s="131" t="s">
        <v>1760</v>
      </c>
      <c r="D52" s="131"/>
      <c r="E52" s="131">
        <v>1562</v>
      </c>
      <c r="F52" s="126">
        <f t="shared" ca="1" si="0"/>
        <v>1.1660000000000001</v>
      </c>
      <c r="G52" s="127">
        <f t="shared" ca="1" si="1"/>
        <v>6.1233333333333334E-2</v>
      </c>
      <c r="H52" s="132">
        <v>1.1000000000000001</v>
      </c>
      <c r="I52" s="133" t="s">
        <v>2724</v>
      </c>
      <c r="J52" s="91">
        <v>1</v>
      </c>
      <c r="K52" s="90" t="s">
        <v>659</v>
      </c>
      <c r="L52" s="152" t="str">
        <f>IF(ISERROR(GETPIVOTDATA(IF($J52=1,"Count of ACTIVE     CED, FARM GATE (MJ/kg)","Count of CED, processor gate (MJ/kg)"),'Pivot Table_CED'!$A$3,"SUB TYPE",$B52)),"PROXY",IF(GETPIVOTDATA(IF($J52=1,"Count of ACTIVE     CED, FARM GATE (MJ/kg)","Count of CED, processor gate (MJ/kg)"),'Pivot Table_CED'!$A$3,"SUB TYPE",$B52)=0,"PROXY","DB value"))</f>
        <v>PROXY</v>
      </c>
      <c r="M52" s="134">
        <f ca="1">IF($L52="PROXY",DCOUNT('literature entries'!$D:$AI,IF($J52=1,"ACTIVE     CED, FARM GATE (MJ/kg)","CED, processor gate (MJ/kg)"),INDIRECT($K52)),GETPIVOTDATA(IF($J52=1,"Count of ACTIVE     CED, FARM GATE (MJ/kg)","Count of CED, processor gate (MJ/kg)"),'Pivot Table_CED'!$A$3,"SUB TYPE",$B52))</f>
        <v>3</v>
      </c>
      <c r="N52" s="135">
        <f ca="1">IF($L52="PROXY",DAVERAGE('literature entries'!$D:$AI,IF($J52=1,"ACTIVE     CED, FARM GATE (MJ/kg)","CED, processor gate (MJ/kg)"),INDIRECT($K52)),GETPIVOTDATA(IF($J52=1,"Average of ACTIVE     CED, FARM GATE (MJ/kg)","Average of CED, processor gate (MJ/kg)"),'Pivot Table_CED'!$A$3,"SUB TYPE",$B52))</f>
        <v>1.06</v>
      </c>
      <c r="O52" s="135">
        <f ca="1">IF($L52="PROXY",DSTDEV('literature entries'!D:AI,IF($J52=1,"ACTIVE     CED, FARM GATE (MJ/kg)","CED, processor gate (MJ/kg)"),INDIRECT($K52)),GETPIVOTDATA(IF($J52=1,"StdDev of ACTIVE     CED, FARM GATE (MJ/kg)","StdDev of CED, processor gate (MJ/kg)"),'Pivot Table_CED'!$A$3,"SUB TYPE",$B52))</f>
        <v>0.28583211855912843</v>
      </c>
      <c r="P52" s="152" t="str">
        <f>IF(ISERROR(GETPIVOTDATA(IF($J52=1,"Count of ACTIVE     GHGE, FARM GATE (kg CO2e/kg)","Count of GHGE, processor gate (kg CO2e/kg)"),'Pivot Table_GHG'!$A$3,"SUB TYPE",$B52)),"PROXY",IF(GETPIVOTDATA(IF($J52=1,"Count of ACTIVE     GHGE, FARM GATE (kg CO2e/kg)","Count of GHGE, processor gate (kg CO2e/kg)"),'Pivot Table_GHG'!$A$3,"SUB TYPE",$B52)=0,"PROXY","DB value"))</f>
        <v>PROXY</v>
      </c>
      <c r="Q52" s="141">
        <f ca="1">IF($P52="PROXY",DCOUNT('literature entries'!$D:$AI,IF($J52=1,"ACTIVE     GHGE, FARM GATE (kg CO2e/kg)","GHGE, processor gate (kg CO2e/kg)"),INDIRECT($K52)),GETPIVOTDATA(IF($J52=1,"ACTIVE     GHGE, FARM GATE (kg CO2e/kg)","Count of GHGE, processor gate (kg CO2e/kg)"),'Pivot Table_GHG'!$A$3,"SUB TYPE",$B52))</f>
        <v>3</v>
      </c>
      <c r="R52" s="221">
        <f ca="1">IF($P52="PROXY",DAVERAGE('literature entries'!$D:$AI,IF($J52=1,"ACTIVE     GHGE, FARM GATE (kg CO2e/kg)","GHGE, processor gate (kg CO2e/kg)"),INDIRECT($K52)),GETPIVOTDATA(IF($J52=1,"Average of ACTIVE     GHGE, FARM GATE (kg CO2e/kg)","Average of GHGE, processor gate (kg CO2e/kg)"),'Pivot Table_GHG'!$A$3,"SUB TYPE",$B52))</f>
        <v>5.5666666666666663E-2</v>
      </c>
      <c r="S52" s="221">
        <f ca="1">IF($P52="PROXY",DSTDEV('literature entries'!$D:$AI,IF($J52=1,"ACTIVE     GHGE, FARM GATE (kg CO2e/kg)","GHGE, processor gate (kg CO2e/kg)"),INDIRECT($K52)),GETPIVOTDATA(IF($J52=1,"StdDev of ACTIVE     GHGE, FARM GATE (kg CO2e/kg)","StdDev of GHGE, processor gate (kg CO2e/kg)"),'Pivot Table_GHG'!$A$3,"SUB TYPE",$B52))</f>
        <v>3.7287173844813334E-3</v>
      </c>
      <c r="T52" s="101"/>
      <c r="U52" s="102"/>
      <c r="W52" s="248" t="s">
        <v>2457</v>
      </c>
      <c r="X52" s="246">
        <f ca="1">IF($W52="DIRECT",M52,DCOUNT('literature entries'!$D:$AI,IF($J52=1,"ACTIVE     CED, FARM GATE (MJ/kg)","CED, processor gate (MJ/kg)"),INDIRECT($W52)))</f>
        <v>10</v>
      </c>
      <c r="Y52" s="246">
        <f ca="1">IF($W52="DIRECT","",DAVERAGE('literature entries'!$D:$AI,IF($J52=1,"ACTIVE     CED, FARM GATE (MJ/kg)","CED, processor gate (MJ/kg)"),INDIRECT($W52)))</f>
        <v>2.5657274700000001</v>
      </c>
      <c r="Z52" s="246">
        <f ca="1">IF($W52="DIRECT",$O52,DSTDEV('literature entries'!$D:$AI,IF($J52=1,"ACTIVE     CED, FARM GATE (MJ/kg)","CED, processor gate (MJ/kg)"),INDIRECT($W52)))</f>
        <v>1.5197673074222315</v>
      </c>
      <c r="AA52" s="246">
        <f t="shared" ca="1" si="7"/>
        <v>0.62787391283906135</v>
      </c>
      <c r="AB52" s="254" t="s">
        <v>2457</v>
      </c>
      <c r="AC52" s="247">
        <f ca="1">IF($AB52="DIRECT",Q52,DCOUNT('literature entries'!$D:$AI,IF($J52=1,"ACTIVE     GHGE, FARM GATE (kg CO2e/kg)","GHGE, processor gate (kg CO2e/kg)"),INDIRECT($AB52)))</f>
        <v>22</v>
      </c>
      <c r="AD52" s="247">
        <f ca="1">IF($AB52="DIRECT","",DAVERAGE('literature entries'!$D:$AI,IF($J52=1,"ACTIVE     GHGE, FARM GATE (kg CO2e/kg)","GHGE, processor gate (kg CO2e/kg)"),INDIRECT($AB52)))</f>
        <v>0.18561974136363635</v>
      </c>
      <c r="AE52" s="247">
        <f ca="1">IF($AB52="DIRECT",$S52,DSTDEV('literature entries'!$D:$AI,IF($J52=1,"ACTIVE     GHGE, FARM GATE (kg CO2e/kg)","GHGE, processor gate (kg CO2e/kg)"),INDIRECT($AB52)))</f>
        <v>9.7833632177637575E-2</v>
      </c>
      <c r="AF52" s="247">
        <f t="shared" ca="1" si="8"/>
        <v>2.9339940629228418E-2</v>
      </c>
    </row>
    <row r="53" spans="1:32" s="21" customFormat="1" thickBot="1" x14ac:dyDescent="0.25">
      <c r="A53" s="129">
        <v>401355000</v>
      </c>
      <c r="B53" s="130" t="s">
        <v>892</v>
      </c>
      <c r="C53" s="131" t="s">
        <v>2056</v>
      </c>
      <c r="D53" s="131"/>
      <c r="E53" s="131">
        <v>2857</v>
      </c>
      <c r="F53" s="126">
        <f t="shared" ca="1" si="0"/>
        <v>2.1555357955666667</v>
      </c>
      <c r="G53" s="127">
        <f t="shared" ca="1" si="1"/>
        <v>0.30709469696666664</v>
      </c>
      <c r="H53" s="132">
        <v>1.39</v>
      </c>
      <c r="I53" s="132" t="s">
        <v>2724</v>
      </c>
      <c r="J53" s="91">
        <v>1</v>
      </c>
      <c r="K53" s="90"/>
      <c r="L53" s="152" t="str">
        <f>IF(ISERROR(GETPIVOTDATA(IF($J53=1,"Count of ACTIVE     CED, FARM GATE (MJ/kg)","Count of CED, processor gate (MJ/kg)"),'Pivot Table_CED'!$A$3,"SUB TYPE",$B53)),"PROXY",IF(GETPIVOTDATA(IF($J53=1,"Count of ACTIVE     CED, FARM GATE (MJ/kg)","Count of CED, processor gate (MJ/kg)"),'Pivot Table_CED'!$A$3,"SUB TYPE",$B53)=0,"PROXY","DB value"))</f>
        <v>DB value</v>
      </c>
      <c r="M53" s="134">
        <f ca="1">IF($L53="PROXY",DCOUNT('literature entries'!$D:$AI,IF($J53=1,"ACTIVE     CED, FARM GATE (MJ/kg)","CED, processor gate (MJ/kg)"),INDIRECT($K53)),GETPIVOTDATA(IF($J53=1,"Count of ACTIVE     CED, FARM GATE (MJ/kg)","Count of CED, processor gate (MJ/kg)"),'Pivot Table_CED'!$A$3,"SUB TYPE",$B53))</f>
        <v>3</v>
      </c>
      <c r="N53" s="135">
        <f ca="1">IF($L53="PROXY",DAVERAGE('literature entries'!$D:$AI,IF($J53=1,"ACTIVE     CED, FARM GATE (MJ/kg)","CED, processor gate (MJ/kg)"),INDIRECT($K53)),GETPIVOTDATA(IF($J53=1,"Average of ACTIVE     CED, FARM GATE (MJ/kg)","Average of CED, processor gate (MJ/kg)"),'Pivot Table_CED'!$A$3,"SUB TYPE",$B53))</f>
        <v>1.5507451766666669</v>
      </c>
      <c r="O53" s="135">
        <f ca="1">IF($L53="PROXY",DSTDEV('literature entries'!D:AI,IF($J53=1,"ACTIVE     CED, FARM GATE (MJ/kg)","CED, processor gate (MJ/kg)"),INDIRECT($K53)),GETPIVOTDATA(IF($J53=1,"StdDev of ACTIVE     CED, FARM GATE (MJ/kg)","StdDev of CED, processor gate (MJ/kg)"),'Pivot Table_CED'!$A$3,"SUB TYPE",$B53))</f>
        <v>1.545573713255328</v>
      </c>
      <c r="P53" s="152" t="str">
        <f>IF(ISERROR(GETPIVOTDATA(IF($J53=1,"Count of ACTIVE     GHGE, FARM GATE (kg CO2e/kg)","Count of GHGE, processor gate (kg CO2e/kg)"),'Pivot Table_GHG'!$A$3,"SUB TYPE",$B53)),"PROXY",IF(GETPIVOTDATA(IF($J53=1,"Count of ACTIVE     GHGE, FARM GATE (kg CO2e/kg)","Count of GHGE, processor gate (kg CO2e/kg)"),'Pivot Table_GHG'!$A$3,"SUB TYPE",$B53)=0,"PROXY","DB value"))</f>
        <v>DB value</v>
      </c>
      <c r="Q53" s="141">
        <f ca="1">IF($P53="PROXY",DCOUNT('literature entries'!$D:$AI,IF($J53=1,"ACTIVE     GHGE, FARM GATE (kg CO2e/kg)","GHGE, processor gate (kg CO2e/kg)"),INDIRECT($K53)),GETPIVOTDATA(IF($J53=1,"ACTIVE     GHGE, FARM GATE (kg CO2e/kg)","Count of GHGE, processor gate (kg CO2e/kg)"),'Pivot Table_GHG'!$A$3,"SUB TYPE",$B53))</f>
        <v>3</v>
      </c>
      <c r="R53" s="221">
        <f ca="1">IF($P53="PROXY",DAVERAGE('literature entries'!$D:$AI,IF($J53=1,"ACTIVE     GHGE, FARM GATE (kg CO2e/kg)","GHGE, processor gate (kg CO2e/kg)"),INDIRECT($K53)),GETPIVOTDATA(IF($J53=1,"Average of ACTIVE     GHGE, FARM GATE (kg CO2e/kg)","Average of GHGE, processor gate (kg CO2e/kg)"),'Pivot Table_GHG'!$A$3,"SUB TYPE",$B53))</f>
        <v>0.22093143666666668</v>
      </c>
      <c r="S53" s="221">
        <f ca="1">IF($P53="PROXY",DSTDEV('literature entries'!$D:$AI,IF($J53=1,"ACTIVE     GHGE, FARM GATE (kg CO2e/kg)","GHGE, processor gate (kg CO2e/kg)"),INDIRECT($K53)),GETPIVOTDATA(IF($J53=1,"StdDev of ACTIVE     GHGE, FARM GATE (kg CO2e/kg)","StdDev of GHGE, processor gate (kg CO2e/kg)"),'Pivot Table_GHG'!$A$3,"SUB TYPE",$B53))</f>
        <v>8.3542949461742316E-2</v>
      </c>
      <c r="T53" s="101"/>
      <c r="U53" s="102"/>
      <c r="W53" s="248" t="s">
        <v>2457</v>
      </c>
      <c r="X53" s="246">
        <f ca="1">IF($W53="DIRECT",M53,DCOUNT('literature entries'!$D:$AI,IF($J53=1,"ACTIVE     CED, FARM GATE (MJ/kg)","CED, processor gate (MJ/kg)"),INDIRECT($W53)))</f>
        <v>10</v>
      </c>
      <c r="Y53" s="246">
        <f ca="1">IF($W53="DIRECT","",DAVERAGE('literature entries'!$D:$AI,IF($J53=1,"ACTIVE     CED, FARM GATE (MJ/kg)","CED, processor gate (MJ/kg)"),INDIRECT($W53)))</f>
        <v>2.5657274700000001</v>
      </c>
      <c r="Z53" s="246">
        <f ca="1">IF($W53="DIRECT",$O53,DSTDEV('literature entries'!$D:$AI,IF($J53=1,"ACTIVE     CED, FARM GATE (MJ/kg)","CED, processor gate (MJ/kg)"),INDIRECT($W53)))</f>
        <v>1.5197673074222315</v>
      </c>
      <c r="AA53" s="246">
        <f t="shared" ca="1" si="7"/>
        <v>0.91855890744339763</v>
      </c>
      <c r="AB53" s="254" t="s">
        <v>2457</v>
      </c>
      <c r="AC53" s="247">
        <f ca="1">IF($AB53="DIRECT",Q53,DCOUNT('literature entries'!$D:$AI,IF($J53=1,"ACTIVE     GHGE, FARM GATE (kg CO2e/kg)","GHGE, processor gate (kg CO2e/kg)"),INDIRECT($AB53)))</f>
        <v>22</v>
      </c>
      <c r="AD53" s="247">
        <f ca="1">IF($AB53="DIRECT","",DAVERAGE('literature entries'!$D:$AI,IF($J53=1,"ACTIVE     GHGE, FARM GATE (kg CO2e/kg)","GHGE, processor gate (kg CO2e/kg)"),INDIRECT($AB53)))</f>
        <v>0.18561974136363635</v>
      </c>
      <c r="AE53" s="247">
        <f ca="1">IF($AB53="DIRECT",$S53,DSTDEV('literature entries'!$D:$AI,IF($J53=1,"ACTIVE     GHGE, FARM GATE (kg CO2e/kg)","GHGE, processor gate (kg CO2e/kg)"),INDIRECT($AB53)))</f>
        <v>9.7833632177637575E-2</v>
      </c>
      <c r="AF53" s="247">
        <f t="shared" ca="1" si="8"/>
        <v>0.11644518386102046</v>
      </c>
    </row>
    <row r="54" spans="1:32" s="21" customFormat="1" ht="17" thickBot="1" x14ac:dyDescent="0.25">
      <c r="A54" s="129">
        <v>401367000</v>
      </c>
      <c r="B54" s="130" t="s">
        <v>2294</v>
      </c>
      <c r="C54" s="131" t="s">
        <v>2295</v>
      </c>
      <c r="D54" s="131"/>
      <c r="E54" s="131">
        <v>11</v>
      </c>
      <c r="F54" s="126">
        <f t="shared" ca="1" si="0"/>
        <v>2.7966429423000005</v>
      </c>
      <c r="G54" s="127">
        <f t="shared" ca="1" si="1"/>
        <v>0.20232551808636362</v>
      </c>
      <c r="H54" s="132">
        <v>1.0900000000000001</v>
      </c>
      <c r="I54" s="133" t="s">
        <v>2724</v>
      </c>
      <c r="J54" s="91">
        <v>1</v>
      </c>
      <c r="K54" s="90" t="s">
        <v>2457</v>
      </c>
      <c r="L54" s="152" t="str">
        <f>IF(ISERROR(GETPIVOTDATA(IF($J54=1,"Count of ACTIVE     CED, FARM GATE (MJ/kg)","Count of CED, processor gate (MJ/kg)"),'Pivot Table_CED'!$A$3,"SUB TYPE",$B54)),"PROXY",IF(GETPIVOTDATA(IF($J54=1,"Count of ACTIVE     CED, FARM GATE (MJ/kg)","Count of CED, processor gate (MJ/kg)"),'Pivot Table_CED'!$A$3,"SUB TYPE",$B54)=0,"PROXY","DB value"))</f>
        <v>PROXY</v>
      </c>
      <c r="M54" s="134">
        <f ca="1">IF($L54="PROXY",DCOUNT('literature entries'!$D:$AI,IF($J54=1,"ACTIVE     CED, FARM GATE (MJ/kg)","CED, processor gate (MJ/kg)"),INDIRECT($K54)),GETPIVOTDATA(IF($J54=1,"Count of ACTIVE     CED, FARM GATE (MJ/kg)","Count of CED, processor gate (MJ/kg)"),'Pivot Table_CED'!$A$3,"SUB TYPE",$B54))</f>
        <v>10</v>
      </c>
      <c r="N54" s="135">
        <f ca="1">IF($L54="PROXY",DAVERAGE('literature entries'!$D:$AI,IF($J54=1,"ACTIVE     CED, FARM GATE (MJ/kg)","CED, processor gate (MJ/kg)"),INDIRECT($K54)),GETPIVOTDATA(IF($J54=1,"Average of ACTIVE     CED, FARM GATE (MJ/kg)","Average of CED, processor gate (MJ/kg)"),'Pivot Table_CED'!$A$3,"SUB TYPE",$B54))</f>
        <v>2.5657274700000001</v>
      </c>
      <c r="O54" s="135">
        <f ca="1">IF($L54="PROXY",DSTDEV('literature entries'!D:AI,IF($J54=1,"ACTIVE     CED, FARM GATE (MJ/kg)","CED, processor gate (MJ/kg)"),INDIRECT($K54)),GETPIVOTDATA(IF($J54=1,"StdDev of ACTIVE     CED, FARM GATE (MJ/kg)","StdDev of CED, processor gate (MJ/kg)"),'Pivot Table_CED'!$A$3,"SUB TYPE",$B54))</f>
        <v>1.5197673074222315</v>
      </c>
      <c r="P54" s="152" t="str">
        <f>IF(ISERROR(GETPIVOTDATA(IF($J54=1,"Count of ACTIVE     GHGE, FARM GATE (kg CO2e/kg)","Count of GHGE, processor gate (kg CO2e/kg)"),'Pivot Table_GHG'!$A$3,"SUB TYPE",$B54)),"PROXY",IF(GETPIVOTDATA(IF($J54=1,"Count of ACTIVE     GHGE, FARM GATE (kg CO2e/kg)","Count of GHGE, processor gate (kg CO2e/kg)"),'Pivot Table_GHG'!$A$3,"SUB TYPE",$B54)=0,"PROXY","DB value"))</f>
        <v>PROXY</v>
      </c>
      <c r="Q54" s="141">
        <f ca="1">IF($P54="PROXY",DCOUNT('literature entries'!$D:$AI,IF($J54=1,"ACTIVE     GHGE, FARM GATE (kg CO2e/kg)","GHGE, processor gate (kg CO2e/kg)"),INDIRECT($K54)),GETPIVOTDATA(IF($J54=1,"ACTIVE     GHGE, FARM GATE (kg CO2e/kg)","Count of GHGE, processor gate (kg CO2e/kg)"),'Pivot Table_GHG'!$A$3,"SUB TYPE",$B54))</f>
        <v>22</v>
      </c>
      <c r="R54" s="221">
        <f ca="1">IF($P54="PROXY",DAVERAGE('literature entries'!$D:$AI,IF($J54=1,"ACTIVE     GHGE, FARM GATE (kg CO2e/kg)","GHGE, processor gate (kg CO2e/kg)"),INDIRECT($K54)),GETPIVOTDATA(IF($J54=1,"Average of ACTIVE     GHGE, FARM GATE (kg CO2e/kg)","Average of GHGE, processor gate (kg CO2e/kg)"),'Pivot Table_GHG'!$A$3,"SUB TYPE",$B54))</f>
        <v>0.18561974136363635</v>
      </c>
      <c r="S54" s="221">
        <f ca="1">IF($P54="PROXY",DSTDEV('literature entries'!$D:$AI,IF($J54=1,"ACTIVE     GHGE, FARM GATE (kg CO2e/kg)","GHGE, processor gate (kg CO2e/kg)"),INDIRECT($K54)),GETPIVOTDATA(IF($J54=1,"StdDev of ACTIVE     GHGE, FARM GATE (kg CO2e/kg)","StdDev of GHGE, processor gate (kg CO2e/kg)"),'Pivot Table_GHG'!$A$3,"SUB TYPE",$B54))</f>
        <v>9.7833632177637575E-2</v>
      </c>
      <c r="T54" s="101"/>
      <c r="U54" s="102"/>
      <c r="W54" s="248" t="str">
        <f ca="1">IF(L54="PROXY",IF(M54&gt;=5,K54,"need group"),IF(M54&gt;=5,"DIRECT","need group"))</f>
        <v>greens</v>
      </c>
      <c r="X54" s="246">
        <f ca="1">IF($W54="DIRECT",M54,DCOUNT('literature entries'!$D:$AI,IF($J54=1,"ACTIVE     CED, FARM GATE (MJ/kg)","CED, processor gate (MJ/kg)"),INDIRECT($W54)))</f>
        <v>10</v>
      </c>
      <c r="Y54" s="246">
        <f ca="1">IF($W54="DIRECT","",DAVERAGE('literature entries'!$D:$AI,IF($J54=1,"ACTIVE     CED, FARM GATE (MJ/kg)","CED, processor gate (MJ/kg)"),INDIRECT($W54)))</f>
        <v>2.5657274700000001</v>
      </c>
      <c r="Z54" s="246">
        <f ca="1">IF($W54="DIRECT",$O54,DSTDEV('literature entries'!$D:$AI,IF($J54=1,"ACTIVE     CED, FARM GATE (MJ/kg)","CED, processor gate (MJ/kg)"),INDIRECT($W54)))</f>
        <v>1.5197673074222315</v>
      </c>
      <c r="AA54" s="246">
        <f t="shared" ca="1" si="7"/>
        <v>1.5197673074222315</v>
      </c>
      <c r="AB54" s="254" t="str">
        <f ca="1">IF(P54="PROXY",IF(Q54&gt;=5,K54,"need group"),IF(Q54&gt;=5,"DIRECT","need group"))</f>
        <v>greens</v>
      </c>
      <c r="AC54" s="247">
        <f ca="1">IF($AB54="DIRECT",Q54,DCOUNT('literature entries'!$D:$AI,IF($J54=1,"ACTIVE     GHGE, FARM GATE (kg CO2e/kg)","GHGE, processor gate (kg CO2e/kg)"),INDIRECT($AB54)))</f>
        <v>22</v>
      </c>
      <c r="AD54" s="247">
        <f ca="1">IF($AB54="DIRECT","",DAVERAGE('literature entries'!$D:$AI,IF($J54=1,"ACTIVE     GHGE, FARM GATE (kg CO2e/kg)","GHGE, processor gate (kg CO2e/kg)"),INDIRECT($AB54)))</f>
        <v>0.18561974136363635</v>
      </c>
      <c r="AE54" s="247">
        <f ca="1">IF($AB54="DIRECT",$S54,DSTDEV('literature entries'!$D:$AI,IF($J54=1,"ACTIVE     GHGE, FARM GATE (kg CO2e/kg)","GHGE, processor gate (kg CO2e/kg)"),INDIRECT($AB54)))</f>
        <v>9.7833632177637575E-2</v>
      </c>
      <c r="AF54" s="247">
        <f t="shared" ca="1" si="8"/>
        <v>9.7833632177637575E-2</v>
      </c>
    </row>
    <row r="55" spans="1:32" s="21" customFormat="1" thickBot="1" x14ac:dyDescent="0.25">
      <c r="A55" s="129">
        <v>402018000</v>
      </c>
      <c r="B55" s="130" t="s">
        <v>1759</v>
      </c>
      <c r="C55" s="131" t="s">
        <v>1760</v>
      </c>
      <c r="D55" s="131"/>
      <c r="E55" s="131">
        <v>26</v>
      </c>
      <c r="F55" s="126">
        <f t="shared" ca="1" si="0"/>
        <v>4.2847648748999996</v>
      </c>
      <c r="G55" s="127">
        <f t="shared" ca="1" si="1"/>
        <v>0.30998496807727272</v>
      </c>
      <c r="H55" s="132">
        <v>1.67</v>
      </c>
      <c r="I55" s="132" t="s">
        <v>2724</v>
      </c>
      <c r="J55" s="91">
        <v>1</v>
      </c>
      <c r="K55" s="90" t="s">
        <v>2457</v>
      </c>
      <c r="L55" s="152" t="str">
        <f>IF(ISERROR(GETPIVOTDATA(IF($J55=1,"Count of ACTIVE     CED, FARM GATE (MJ/kg)","Count of CED, processor gate (MJ/kg)"),'Pivot Table_CED'!$A$3,"SUB TYPE",$B55)),"PROXY",IF(GETPIVOTDATA(IF($J55=1,"Count of ACTIVE     CED, FARM GATE (MJ/kg)","Count of CED, processor gate (MJ/kg)"),'Pivot Table_CED'!$A$3,"SUB TYPE",$B55)=0,"PROXY","DB value"))</f>
        <v>PROXY</v>
      </c>
      <c r="M55" s="134">
        <f ca="1">IF($L55="PROXY",DCOUNT('literature entries'!$D:$AI,IF($J55=1,"ACTIVE     CED, FARM GATE (MJ/kg)","CED, processor gate (MJ/kg)"),INDIRECT($K55)),GETPIVOTDATA(IF($J55=1,"Count of ACTIVE     CED, FARM GATE (MJ/kg)","Count of CED, processor gate (MJ/kg)"),'Pivot Table_CED'!$A$3,"SUB TYPE",$B55))</f>
        <v>10</v>
      </c>
      <c r="N55" s="135">
        <f ca="1">IF($L55="PROXY",DAVERAGE('literature entries'!$D:$AI,IF($J55=1,"ACTIVE     CED, FARM GATE (MJ/kg)","CED, processor gate (MJ/kg)"),INDIRECT($K55)),GETPIVOTDATA(IF($J55=1,"Average of ACTIVE     CED, FARM GATE (MJ/kg)","Average of CED, processor gate (MJ/kg)"),'Pivot Table_CED'!$A$3,"SUB TYPE",$B55))</f>
        <v>2.5657274700000001</v>
      </c>
      <c r="O55" s="135">
        <f ca="1">IF($L55="PROXY",DSTDEV('literature entries'!D:AI,IF($J55=1,"ACTIVE     CED, FARM GATE (MJ/kg)","CED, processor gate (MJ/kg)"),INDIRECT($K55)),GETPIVOTDATA(IF($J55=1,"StdDev of ACTIVE     CED, FARM GATE (MJ/kg)","StdDev of CED, processor gate (MJ/kg)"),'Pivot Table_CED'!$A$3,"SUB TYPE",$B55))</f>
        <v>1.5197673074222315</v>
      </c>
      <c r="P55" s="152" t="str">
        <f>IF(ISERROR(GETPIVOTDATA(IF($J55=1,"Count of ACTIVE     GHGE, FARM GATE (kg CO2e/kg)","Count of GHGE, processor gate (kg CO2e/kg)"),'Pivot Table_GHG'!$A$3,"SUB TYPE",$B55)),"PROXY",IF(GETPIVOTDATA(IF($J55=1,"Count of ACTIVE     GHGE, FARM GATE (kg CO2e/kg)","Count of GHGE, processor gate (kg CO2e/kg)"),'Pivot Table_GHG'!$A$3,"SUB TYPE",$B55)=0,"PROXY","DB value"))</f>
        <v>PROXY</v>
      </c>
      <c r="Q55" s="141">
        <f ca="1">IF($P55="PROXY",DCOUNT('literature entries'!$D:$AI,IF($J55=1,"ACTIVE     GHGE, FARM GATE (kg CO2e/kg)","GHGE, processor gate (kg CO2e/kg)"),INDIRECT($K55)),GETPIVOTDATA(IF($J55=1,"ACTIVE     GHGE, FARM GATE (kg CO2e/kg)","Count of GHGE, processor gate (kg CO2e/kg)"),'Pivot Table_GHG'!$A$3,"SUB TYPE",$B55))</f>
        <v>22</v>
      </c>
      <c r="R55" s="221">
        <f ca="1">IF($P55="PROXY",DAVERAGE('literature entries'!$D:$AI,IF($J55=1,"ACTIVE     GHGE, FARM GATE (kg CO2e/kg)","GHGE, processor gate (kg CO2e/kg)"),INDIRECT($K55)),GETPIVOTDATA(IF($J55=1,"Average of ACTIVE     GHGE, FARM GATE (kg CO2e/kg)","Average of GHGE, processor gate (kg CO2e/kg)"),'Pivot Table_GHG'!$A$3,"SUB TYPE",$B55))</f>
        <v>0.18561974136363635</v>
      </c>
      <c r="S55" s="221">
        <f ca="1">IF($P55="PROXY",DSTDEV('literature entries'!$D:$AI,IF($J55=1,"ACTIVE     GHGE, FARM GATE (kg CO2e/kg)","GHGE, processor gate (kg CO2e/kg)"),INDIRECT($K55)),GETPIVOTDATA(IF($J55=1,"StdDev of ACTIVE     GHGE, FARM GATE (kg CO2e/kg)","StdDev of GHGE, processor gate (kg CO2e/kg)"),'Pivot Table_GHG'!$A$3,"SUB TYPE",$B55))</f>
        <v>9.7833632177637575E-2</v>
      </c>
      <c r="T55" s="101"/>
      <c r="U55" s="102"/>
      <c r="W55" s="248" t="str">
        <f ca="1">IF(L55="PROXY",IF(M55&gt;=5,K55,"need group"),IF(M55&gt;=5,"DIRECT","need group"))</f>
        <v>greens</v>
      </c>
      <c r="X55" s="246">
        <f ca="1">IF($W55="DIRECT",M55,DCOUNT('literature entries'!$D:$AI,IF($J55=1,"ACTIVE     CED, FARM GATE (MJ/kg)","CED, processor gate (MJ/kg)"),INDIRECT($W55)))</f>
        <v>10</v>
      </c>
      <c r="Y55" s="246">
        <f ca="1">IF($W55="DIRECT","",DAVERAGE('literature entries'!$D:$AI,IF($J55=1,"ACTIVE     CED, FARM GATE (MJ/kg)","CED, processor gate (MJ/kg)"),INDIRECT($W55)))</f>
        <v>2.5657274700000001</v>
      </c>
      <c r="Z55" s="246">
        <f ca="1">IF($W55="DIRECT",$O55,DSTDEV('literature entries'!$D:$AI,IF($J55=1,"ACTIVE     CED, FARM GATE (MJ/kg)","CED, processor gate (MJ/kg)"),INDIRECT($W55)))</f>
        <v>1.5197673074222315</v>
      </c>
      <c r="AA55" s="246">
        <f t="shared" ca="1" si="7"/>
        <v>1.5197673074222315</v>
      </c>
      <c r="AB55" s="254" t="str">
        <f ca="1">IF(P55="PROXY",IF(Q55&gt;=5,K55,"need group"),IF(Q55&gt;=5,"DIRECT","need group"))</f>
        <v>greens</v>
      </c>
      <c r="AC55" s="247">
        <f ca="1">IF($AB55="DIRECT",Q55,DCOUNT('literature entries'!$D:$AI,IF($J55=1,"ACTIVE     GHGE, FARM GATE (kg CO2e/kg)","GHGE, processor gate (kg CO2e/kg)"),INDIRECT($AB55)))</f>
        <v>22</v>
      </c>
      <c r="AD55" s="247">
        <f ca="1">IF($AB55="DIRECT","",DAVERAGE('literature entries'!$D:$AI,IF($J55=1,"ACTIVE     GHGE, FARM GATE (kg CO2e/kg)","GHGE, processor gate (kg CO2e/kg)"),INDIRECT($AB55)))</f>
        <v>0.18561974136363635</v>
      </c>
      <c r="AE55" s="247">
        <f ca="1">IF($AB55="DIRECT",$S55,DSTDEV('literature entries'!$D:$AI,IF($J55=1,"ACTIVE     GHGE, FARM GATE (kg CO2e/kg)","GHGE, processor gate (kg CO2e/kg)"),INDIRECT($AB55)))</f>
        <v>9.7833632177637575E-2</v>
      </c>
      <c r="AF55" s="247">
        <f t="shared" ca="1" si="8"/>
        <v>9.7833632177637575E-2</v>
      </c>
    </row>
    <row r="56" spans="1:32" s="21" customFormat="1" ht="17" thickBot="1" x14ac:dyDescent="0.25">
      <c r="A56" s="129">
        <v>402062000</v>
      </c>
      <c r="B56" s="130" t="s">
        <v>1844</v>
      </c>
      <c r="C56" s="131" t="s">
        <v>1845</v>
      </c>
      <c r="D56" s="131"/>
      <c r="E56" s="131">
        <v>15</v>
      </c>
      <c r="F56" s="126">
        <f t="shared" ca="1" si="0"/>
        <v>4.290666562237762</v>
      </c>
      <c r="G56" s="127">
        <f t="shared" ca="1" si="1"/>
        <v>0.48613236187165776</v>
      </c>
      <c r="H56" s="132">
        <v>1</v>
      </c>
      <c r="I56" s="133" t="s">
        <v>594</v>
      </c>
      <c r="J56" s="91">
        <v>1</v>
      </c>
      <c r="K56" s="90" t="s">
        <v>882</v>
      </c>
      <c r="L56" s="152" t="str">
        <f>IF(ISERROR(GETPIVOTDATA(IF($J56=1,"Count of ACTIVE     CED, FARM GATE (MJ/kg)","Count of CED, processor gate (MJ/kg)"),'Pivot Table_CED'!$A$3,"SUB TYPE",$B56)),"PROXY",IF(GETPIVOTDATA(IF($J56=1,"Count of ACTIVE     CED, FARM GATE (MJ/kg)","Count of CED, processor gate (MJ/kg)"),'Pivot Table_CED'!$A$3,"SUB TYPE",$B56)=0,"PROXY","DB value"))</f>
        <v>PROXY</v>
      </c>
      <c r="M56" s="134">
        <f ca="1">IF($L56="PROXY",DCOUNT('literature entries'!$D:$AI,IF($J56=1,"ACTIVE     CED, FARM GATE (MJ/kg)","CED, processor gate (MJ/kg)"),INDIRECT($K56)),GETPIVOTDATA(IF($J56=1,"Count of ACTIVE     CED, FARM GATE (MJ/kg)","Count of CED, processor gate (MJ/kg)"),'Pivot Table_CED'!$A$3,"SUB TYPE",$B56))</f>
        <v>13</v>
      </c>
      <c r="N56" s="135">
        <f ca="1">IF($L56="PROXY",DAVERAGE('literature entries'!$D:$AI,IF($J56=1,"ACTIVE     CED, FARM GATE (MJ/kg)","CED, processor gate (MJ/kg)"),INDIRECT($K56)),GETPIVOTDATA(IF($J56=1,"Average of ACTIVE     CED, FARM GATE (MJ/kg)","Average of CED, processor gate (MJ/kg)"),'Pivot Table_CED'!$A$3,"SUB TYPE",$B56))</f>
        <v>4.290666562237762</v>
      </c>
      <c r="O56" s="135">
        <f ca="1">IF($L56="PROXY",DSTDEV('literature entries'!D:AI,IF($J56=1,"ACTIVE     CED, FARM GATE (MJ/kg)","CED, processor gate (MJ/kg)"),INDIRECT($K56)),GETPIVOTDATA(IF($J56=1,"StdDev of ACTIVE     CED, FARM GATE (MJ/kg)","StdDev of CED, processor gate (MJ/kg)"),'Pivot Table_CED'!$A$3,"SUB TYPE",$B56))</f>
        <v>1.8641381933984171</v>
      </c>
      <c r="P56" s="152" t="str">
        <f>IF(ISERROR(GETPIVOTDATA(IF($J56=1,"Count of ACTIVE     GHGE, FARM GATE (kg CO2e/kg)","Count of GHGE, processor gate (kg CO2e/kg)"),'Pivot Table_GHG'!$A$3,"SUB TYPE",$B56)),"PROXY",IF(GETPIVOTDATA(IF($J56=1,"Count of ACTIVE     GHGE, FARM GATE (kg CO2e/kg)","Count of GHGE, processor gate (kg CO2e/kg)"),'Pivot Table_GHG'!$A$3,"SUB TYPE",$B56)=0,"PROXY","DB value"))</f>
        <v>PROXY</v>
      </c>
      <c r="Q56" s="141">
        <f ca="1">IF($P56="PROXY",DCOUNT('literature entries'!$D:$AI,IF($J56=1,"ACTIVE     GHGE, FARM GATE (kg CO2e/kg)","GHGE, processor gate (kg CO2e/kg)"),INDIRECT($K56)),GETPIVOTDATA(IF($J56=1,"ACTIVE     GHGE, FARM GATE (kg CO2e/kg)","Count of GHGE, processor gate (kg CO2e/kg)"),'Pivot Table_GHG'!$A$3,"SUB TYPE",$B56))</f>
        <v>17</v>
      </c>
      <c r="R56" s="221">
        <f ca="1">IF($P56="PROXY",DAVERAGE('literature entries'!$D:$AI,IF($J56=1,"ACTIVE     GHGE, FARM GATE (kg CO2e/kg)","GHGE, processor gate (kg CO2e/kg)"),INDIRECT($K56)),GETPIVOTDATA(IF($J56=1,"Average of ACTIVE     GHGE, FARM GATE (kg CO2e/kg)","Average of GHGE, processor gate (kg CO2e/kg)"),'Pivot Table_GHG'!$A$3,"SUB TYPE",$B56))</f>
        <v>0.48613236187165776</v>
      </c>
      <c r="S56" s="221">
        <f ca="1">IF($P56="PROXY",DSTDEV('literature entries'!$D:$AI,IF($J56=1,"ACTIVE     GHGE, FARM GATE (kg CO2e/kg)","GHGE, processor gate (kg CO2e/kg)"),INDIRECT($K56)),GETPIVOTDATA(IF($J56=1,"StdDev of ACTIVE     GHGE, FARM GATE (kg CO2e/kg)","StdDev of GHGE, processor gate (kg CO2e/kg)"),'Pivot Table_GHG'!$A$3,"SUB TYPE",$B56))</f>
        <v>0.35138775912544246</v>
      </c>
      <c r="T56" s="101"/>
      <c r="U56" s="102"/>
      <c r="W56" s="248" t="str">
        <f ca="1">IF(L56="PROXY",IF(M56&gt;=5,K56,"need group"),IF(M56&gt;=5,"DIRECT","need group"))</f>
        <v>broccoli</v>
      </c>
      <c r="X56" s="246">
        <f ca="1">IF($W56="DIRECT",M56,DCOUNT('literature entries'!$D:$AI,IF($J56=1,"ACTIVE     CED, FARM GATE (MJ/kg)","CED, processor gate (MJ/kg)"),INDIRECT($W56)))</f>
        <v>13</v>
      </c>
      <c r="Y56" s="246">
        <f ca="1">IF($W56="DIRECT","",DAVERAGE('literature entries'!$D:$AI,IF($J56=1,"ACTIVE     CED, FARM GATE (MJ/kg)","CED, processor gate (MJ/kg)"),INDIRECT($W56)))</f>
        <v>4.290666562237762</v>
      </c>
      <c r="Z56" s="246">
        <f ca="1">IF($W56="DIRECT",$O56,DSTDEV('literature entries'!$D:$AI,IF($J56=1,"ACTIVE     CED, FARM GATE (MJ/kg)","CED, processor gate (MJ/kg)"),INDIRECT($W56)))</f>
        <v>1.8641381933984171</v>
      </c>
      <c r="AA56" s="246">
        <f t="shared" ca="1" si="7"/>
        <v>1.8641381933984171</v>
      </c>
      <c r="AB56" s="254" t="str">
        <f ca="1">IF(P56="PROXY",IF(Q56&gt;=5,K56,"need group"),IF(Q56&gt;=5,"DIRECT","need group"))</f>
        <v>broccoli</v>
      </c>
      <c r="AC56" s="247">
        <f ca="1">IF($AB56="DIRECT",Q56,DCOUNT('literature entries'!$D:$AI,IF($J56=1,"ACTIVE     GHGE, FARM GATE (kg CO2e/kg)","GHGE, processor gate (kg CO2e/kg)"),INDIRECT($AB56)))</f>
        <v>17</v>
      </c>
      <c r="AD56" s="247">
        <f ca="1">IF($AB56="DIRECT","",DAVERAGE('literature entries'!$D:$AI,IF($J56=1,"ACTIVE     GHGE, FARM GATE (kg CO2e/kg)","GHGE, processor gate (kg CO2e/kg)"),INDIRECT($AB56)))</f>
        <v>0.48613236187165776</v>
      </c>
      <c r="AE56" s="247">
        <f ca="1">IF($AB56="DIRECT",$S56,DSTDEV('literature entries'!$D:$AI,IF($J56=1,"ACTIVE     GHGE, FARM GATE (kg CO2e/kg)","GHGE, processor gate (kg CO2e/kg)"),INDIRECT($AB56)))</f>
        <v>0.35138775912544246</v>
      </c>
      <c r="AF56" s="247">
        <f t="shared" ca="1" si="8"/>
        <v>0.35138775912544246</v>
      </c>
    </row>
    <row r="57" spans="1:32" s="21" customFormat="1" ht="17" thickBot="1" x14ac:dyDescent="0.25">
      <c r="A57" s="129">
        <v>402070000</v>
      </c>
      <c r="B57" s="130" t="s">
        <v>1854</v>
      </c>
      <c r="C57" s="131" t="s">
        <v>1782</v>
      </c>
      <c r="D57" s="131"/>
      <c r="E57" s="131">
        <v>240</v>
      </c>
      <c r="F57" s="126">
        <f t="shared" ca="1" si="0"/>
        <v>0.52707649769999987</v>
      </c>
      <c r="G57" s="127">
        <f t="shared" ca="1" si="1"/>
        <v>0.13435964189999999</v>
      </c>
      <c r="H57" s="132">
        <v>1.1399999999999999</v>
      </c>
      <c r="I57" s="133" t="s">
        <v>2724</v>
      </c>
      <c r="J57" s="91">
        <v>1</v>
      </c>
      <c r="K57" s="90" t="s">
        <v>3267</v>
      </c>
      <c r="L57" s="152" t="str">
        <f>IF(ISERROR(GETPIVOTDATA(IF($J57=1,"Count of ACTIVE     CED, FARM GATE (MJ/kg)","Count of CED, processor gate (MJ/kg)"),'Pivot Table_CED'!$A$3,"SUB TYPE",$B57)),"PROXY",IF(GETPIVOTDATA(IF($J57=1,"Count of ACTIVE     CED, FARM GATE (MJ/kg)","Count of CED, processor gate (MJ/kg)"),'Pivot Table_CED'!$A$3,"SUB TYPE",$B57)=0,"PROXY","DB value"))</f>
        <v>PROXY</v>
      </c>
      <c r="M57" s="134">
        <f ca="1">IF($L57="PROXY",DCOUNT('literature entries'!$D:$AI,IF($J57=1,"ACTIVE     CED, FARM GATE (MJ/kg)","CED, processor gate (MJ/kg)"),INDIRECT($K57)),GETPIVOTDATA(IF($J57=1,"Count of ACTIVE     CED, FARM GATE (MJ/kg)","Count of CED, processor gate (MJ/kg)"),'Pivot Table_CED'!$A$3,"SUB TYPE",$B57))</f>
        <v>2</v>
      </c>
      <c r="N57" s="135">
        <f ca="1">IF($L57="PROXY",DAVERAGE('literature entries'!$D:$AI,IF($J57=1,"ACTIVE     CED, FARM GATE (MJ/kg)","CED, processor gate (MJ/kg)"),INDIRECT($K57)),GETPIVOTDATA(IF($J57=1,"Average of ACTIVE     CED, FARM GATE (MJ/kg)","Average of CED, processor gate (MJ/kg)"),'Pivot Table_CED'!$A$3,"SUB TYPE",$B57))</f>
        <v>0.46234780499999995</v>
      </c>
      <c r="O57" s="135">
        <f ca="1">IF($L57="PROXY",DSTDEV('literature entries'!D:AI,IF($J57=1,"ACTIVE     CED, FARM GATE (MJ/kg)","CED, processor gate (MJ/kg)"),INDIRECT($K57)),GETPIVOTDATA(IF($J57=1,"StdDev of ACTIVE     CED, FARM GATE (MJ/kg)","StdDev of CED, processor gate (MJ/kg)"),'Pivot Table_CED'!$A$3,"SUB TYPE",$B57))</f>
        <v>0.14723359720196788</v>
      </c>
      <c r="P57" s="152" t="str">
        <f>IF(ISERROR(GETPIVOTDATA(IF($J57=1,"Count of ACTIVE     GHGE, FARM GATE (kg CO2e/kg)","Count of GHGE, processor gate (kg CO2e/kg)"),'Pivot Table_GHG'!$A$3,"SUB TYPE",$B57)),"PROXY",IF(GETPIVOTDATA(IF($J57=1,"Count of ACTIVE     GHGE, FARM GATE (kg CO2e/kg)","Count of GHGE, processor gate (kg CO2e/kg)"),'Pivot Table_GHG'!$A$3,"SUB TYPE",$B57)=0,"PROXY","DB value"))</f>
        <v>PROXY</v>
      </c>
      <c r="Q57" s="141">
        <f ca="1">IF($P57="PROXY",DCOUNT('literature entries'!$D:$AI,IF($J57=1,"ACTIVE     GHGE, FARM GATE (kg CO2e/kg)","GHGE, processor gate (kg CO2e/kg)"),INDIRECT($K57)),GETPIVOTDATA(IF($J57=1,"ACTIVE     GHGE, FARM GATE (kg CO2e/kg)","Count of GHGE, processor gate (kg CO2e/kg)"),'Pivot Table_GHG'!$A$3,"SUB TYPE",$B57))</f>
        <v>2</v>
      </c>
      <c r="R57" s="221">
        <f ca="1">IF($P57="PROXY",DAVERAGE('literature entries'!$D:$AI,IF($J57=1,"ACTIVE     GHGE, FARM GATE (kg CO2e/kg)","GHGE, processor gate (kg CO2e/kg)"),INDIRECT($K57)),GETPIVOTDATA(IF($J57=1,"Average of ACTIVE     GHGE, FARM GATE (kg CO2e/kg)","Average of GHGE, processor gate (kg CO2e/kg)"),'Pivot Table_GHG'!$A$3,"SUB TYPE",$B57))</f>
        <v>0.11785933500000001</v>
      </c>
      <c r="S57" s="221">
        <f ca="1">IF($P57="PROXY",DSTDEV('literature entries'!$D:$AI,IF($J57=1,"ACTIVE     GHGE, FARM GATE (kg CO2e/kg)","GHGE, processor gate (kg CO2e/kg)"),INDIRECT($K57)),GETPIVOTDATA(IF($J57=1,"StdDev of ACTIVE     GHGE, FARM GATE (kg CO2e/kg)","StdDev of GHGE, processor gate (kg CO2e/kg)"),'Pivot Table_GHG'!$A$3,"SUB TYPE",$B57))</f>
        <v>2.2400930695955514E-3</v>
      </c>
      <c r="T57" s="101"/>
      <c r="U57" s="102"/>
      <c r="W57" s="248" t="s">
        <v>3353</v>
      </c>
      <c r="X57" s="246">
        <f ca="1">IF($W57="DIRECT",M57,DCOUNT('literature entries'!$D:$AI,IF($J57=1,"ACTIVE     CED, FARM GATE (MJ/kg)","CED, processor gate (MJ/kg)"),INDIRECT($W57)))</f>
        <v>18</v>
      </c>
      <c r="Y57" s="246">
        <f ca="1">IF($W57="DIRECT","",DAVERAGE('literature entries'!$D:$AI,IF($J57=1,"ACTIVE     CED, FARM GATE (MJ/kg)","CED, processor gate (MJ/kg)"),INDIRECT($W57)))</f>
        <v>3.4024371788383845</v>
      </c>
      <c r="Z57" s="246">
        <f ca="1">IF($W57="DIRECT",$O57,DSTDEV('literature entries'!$D:$AI,IF($J57=1,"ACTIVE     CED, FARM GATE (MJ/kg)","CED, processor gate (MJ/kg)"),INDIRECT($W57)))</f>
        <v>2.1745212778414005</v>
      </c>
      <c r="AA57" s="246">
        <f t="shared" ca="1" si="7"/>
        <v>0.29548969955677828</v>
      </c>
      <c r="AB57" s="254" t="s">
        <v>3353</v>
      </c>
      <c r="AC57" s="247">
        <f ca="1">IF($AB57="DIRECT",Q57,DCOUNT('literature entries'!$D:$AI,IF($J57=1,"ACTIVE     GHGE, FARM GATE (kg CO2e/kg)","GHGE, processor gate (kg CO2e/kg)"),INDIRECT($AB57)))</f>
        <v>26</v>
      </c>
      <c r="AD57" s="247">
        <f ca="1">IF($AB57="DIRECT","",DAVERAGE('literature entries'!$D:$AI,IF($J57=1,"ACTIVE     GHGE, FARM GATE (kg CO2e/kg)","GHGE, processor gate (kg CO2e/kg)"),INDIRECT($AB57)))</f>
        <v>0.41363324622377629</v>
      </c>
      <c r="AE57" s="247">
        <f ca="1">IF($AB57="DIRECT",$S57,DSTDEV('literature entries'!$D:$AI,IF($J57=1,"ACTIVE     GHGE, FARM GATE (kg CO2e/kg)","GHGE, processor gate (kg CO2e/kg)"),INDIRECT($AB57)))</f>
        <v>0.30904772338148734</v>
      </c>
      <c r="AF57" s="247">
        <f t="shared" ca="1" si="8"/>
        <v>8.8059070429025721E-2</v>
      </c>
    </row>
    <row r="58" spans="1:32" s="21" customFormat="1" thickBot="1" x14ac:dyDescent="0.25">
      <c r="A58" s="129">
        <v>402117000</v>
      </c>
      <c r="B58" s="130" t="s">
        <v>1929</v>
      </c>
      <c r="C58" s="131" t="s">
        <v>1760</v>
      </c>
      <c r="D58" s="131"/>
      <c r="E58" s="131">
        <v>454</v>
      </c>
      <c r="F58" s="126">
        <f t="shared" ca="1" si="0"/>
        <v>0.80910865874999993</v>
      </c>
      <c r="G58" s="127">
        <f t="shared" ca="1" si="1"/>
        <v>0.20625383625000002</v>
      </c>
      <c r="H58" s="132">
        <v>1.75</v>
      </c>
      <c r="I58" s="132" t="s">
        <v>2724</v>
      </c>
      <c r="J58" s="91">
        <v>1</v>
      </c>
      <c r="K58" s="90" t="s">
        <v>3267</v>
      </c>
      <c r="L58" s="152" t="str">
        <f>IF(ISERROR(GETPIVOTDATA(IF($J58=1,"Count of ACTIVE     CED, FARM GATE (MJ/kg)","Count of CED, processor gate (MJ/kg)"),'Pivot Table_CED'!$A$3,"SUB TYPE",$B58)),"PROXY",IF(GETPIVOTDATA(IF($J58=1,"Count of ACTIVE     CED, FARM GATE (MJ/kg)","Count of CED, processor gate (MJ/kg)"),'Pivot Table_CED'!$A$3,"SUB TYPE",$B58)=0,"PROXY","DB value"))</f>
        <v>PROXY</v>
      </c>
      <c r="M58" s="134">
        <f ca="1">IF($L58="PROXY",DCOUNT('literature entries'!$D:$AI,IF($J58=1,"ACTIVE     CED, FARM GATE (MJ/kg)","CED, processor gate (MJ/kg)"),INDIRECT($K58)),GETPIVOTDATA(IF($J58=1,"Count of ACTIVE     CED, FARM GATE (MJ/kg)","Count of CED, processor gate (MJ/kg)"),'Pivot Table_CED'!$A$3,"SUB TYPE",$B58))</f>
        <v>2</v>
      </c>
      <c r="N58" s="135">
        <f ca="1">IF($L58="PROXY",DAVERAGE('literature entries'!$D:$AI,IF($J58=1,"ACTIVE     CED, FARM GATE (MJ/kg)","CED, processor gate (MJ/kg)"),INDIRECT($K58)),GETPIVOTDATA(IF($J58=1,"Average of ACTIVE     CED, FARM GATE (MJ/kg)","Average of CED, processor gate (MJ/kg)"),'Pivot Table_CED'!$A$3,"SUB TYPE",$B58))</f>
        <v>0.46234780499999995</v>
      </c>
      <c r="O58" s="135">
        <f ca="1">IF($L58="PROXY",DSTDEV('literature entries'!D:AI,IF($J58=1,"ACTIVE     CED, FARM GATE (MJ/kg)","CED, processor gate (MJ/kg)"),INDIRECT($K58)),GETPIVOTDATA(IF($J58=1,"StdDev of ACTIVE     CED, FARM GATE (MJ/kg)","StdDev of CED, processor gate (MJ/kg)"),'Pivot Table_CED'!$A$3,"SUB TYPE",$B58))</f>
        <v>0.14723359720196788</v>
      </c>
      <c r="P58" s="152" t="str">
        <f>IF(ISERROR(GETPIVOTDATA(IF($J58=1,"Count of ACTIVE     GHGE, FARM GATE (kg CO2e/kg)","Count of GHGE, processor gate (kg CO2e/kg)"),'Pivot Table_GHG'!$A$3,"SUB TYPE",$B58)),"PROXY",IF(GETPIVOTDATA(IF($J58=1,"Count of ACTIVE     GHGE, FARM GATE (kg CO2e/kg)","Count of GHGE, processor gate (kg CO2e/kg)"),'Pivot Table_GHG'!$A$3,"SUB TYPE",$B58)=0,"PROXY","DB value"))</f>
        <v>PROXY</v>
      </c>
      <c r="Q58" s="141">
        <f ca="1">IF($P58="PROXY",DCOUNT('literature entries'!$D:$AI,IF($J58=1,"ACTIVE     GHGE, FARM GATE (kg CO2e/kg)","GHGE, processor gate (kg CO2e/kg)"),INDIRECT($K58)),GETPIVOTDATA(IF($J58=1,"ACTIVE     GHGE, FARM GATE (kg CO2e/kg)","Count of GHGE, processor gate (kg CO2e/kg)"),'Pivot Table_GHG'!$A$3,"SUB TYPE",$B58))</f>
        <v>2</v>
      </c>
      <c r="R58" s="221">
        <f ca="1">IF($P58="PROXY",DAVERAGE('literature entries'!$D:$AI,IF($J58=1,"ACTIVE     GHGE, FARM GATE (kg CO2e/kg)","GHGE, processor gate (kg CO2e/kg)"),INDIRECT($K58)),GETPIVOTDATA(IF($J58=1,"Average of ACTIVE     GHGE, FARM GATE (kg CO2e/kg)","Average of GHGE, processor gate (kg CO2e/kg)"),'Pivot Table_GHG'!$A$3,"SUB TYPE",$B58))</f>
        <v>0.11785933500000001</v>
      </c>
      <c r="S58" s="221">
        <f ca="1">IF($P58="PROXY",DSTDEV('literature entries'!$D:$AI,IF($J58=1,"ACTIVE     GHGE, FARM GATE (kg CO2e/kg)","GHGE, processor gate (kg CO2e/kg)"),INDIRECT($K58)),GETPIVOTDATA(IF($J58=1,"StdDev of ACTIVE     GHGE, FARM GATE (kg CO2e/kg)","StdDev of GHGE, processor gate (kg CO2e/kg)"),'Pivot Table_GHG'!$A$3,"SUB TYPE",$B58))</f>
        <v>2.2400930695955514E-3</v>
      </c>
      <c r="T58" s="101"/>
      <c r="U58" s="102"/>
      <c r="W58" s="248" t="s">
        <v>3353</v>
      </c>
      <c r="X58" s="246">
        <f ca="1">IF($W58="DIRECT",M58,DCOUNT('literature entries'!$D:$AI,IF($J58=1,"ACTIVE     CED, FARM GATE (MJ/kg)","CED, processor gate (MJ/kg)"),INDIRECT($W58)))</f>
        <v>18</v>
      </c>
      <c r="Y58" s="246">
        <f ca="1">IF($W58="DIRECT","",DAVERAGE('literature entries'!$D:$AI,IF($J58=1,"ACTIVE     CED, FARM GATE (MJ/kg)","CED, processor gate (MJ/kg)"),INDIRECT($W58)))</f>
        <v>3.4024371788383845</v>
      </c>
      <c r="Z58" s="246">
        <f ca="1">IF($W58="DIRECT",$O58,DSTDEV('literature entries'!$D:$AI,IF($J58=1,"ACTIVE     CED, FARM GATE (MJ/kg)","CED, processor gate (MJ/kg)"),INDIRECT($W58)))</f>
        <v>2.1745212778414005</v>
      </c>
      <c r="AA58" s="246">
        <f t="shared" ca="1" si="7"/>
        <v>0.29548969955677828</v>
      </c>
      <c r="AB58" s="254" t="s">
        <v>3353</v>
      </c>
      <c r="AC58" s="247">
        <f ca="1">IF($AB58="DIRECT",Q58,DCOUNT('literature entries'!$D:$AI,IF($J58=1,"ACTIVE     GHGE, FARM GATE (kg CO2e/kg)","GHGE, processor gate (kg CO2e/kg)"),INDIRECT($AB58)))</f>
        <v>26</v>
      </c>
      <c r="AD58" s="247">
        <f ca="1">IF($AB58="DIRECT","",DAVERAGE('literature entries'!$D:$AI,IF($J58=1,"ACTIVE     GHGE, FARM GATE (kg CO2e/kg)","GHGE, processor gate (kg CO2e/kg)"),INDIRECT($AB58)))</f>
        <v>0.41363324622377629</v>
      </c>
      <c r="AE58" s="247">
        <f ca="1">IF($AB58="DIRECT",$S58,DSTDEV('literature entries'!$D:$AI,IF($J58=1,"ACTIVE     GHGE, FARM GATE (kg CO2e/kg)","GHGE, processor gate (kg CO2e/kg)"),INDIRECT($AB58)))</f>
        <v>0.30904772338148734</v>
      </c>
      <c r="AF58" s="247">
        <f t="shared" ca="1" si="8"/>
        <v>8.8059070429025721E-2</v>
      </c>
    </row>
    <row r="59" spans="1:32" s="21" customFormat="1" thickBot="1" x14ac:dyDescent="0.25">
      <c r="A59" s="129">
        <v>402133000</v>
      </c>
      <c r="B59" s="130" t="s">
        <v>1952</v>
      </c>
      <c r="C59" s="131" t="s">
        <v>1760</v>
      </c>
      <c r="D59" s="131"/>
      <c r="E59" s="131">
        <v>1</v>
      </c>
      <c r="F59" s="126">
        <f t="shared" ca="1" si="0"/>
        <v>3.6176757327</v>
      </c>
      <c r="G59" s="127">
        <f t="shared" ca="1" si="1"/>
        <v>0.26172383532272725</v>
      </c>
      <c r="H59" s="132">
        <v>1.41</v>
      </c>
      <c r="I59" s="132" t="s">
        <v>2724</v>
      </c>
      <c r="J59" s="91">
        <v>1</v>
      </c>
      <c r="K59" s="90" t="s">
        <v>2457</v>
      </c>
      <c r="L59" s="152" t="str">
        <f>IF(ISERROR(GETPIVOTDATA(IF($J59=1,"Count of ACTIVE     CED, FARM GATE (MJ/kg)","Count of CED, processor gate (MJ/kg)"),'Pivot Table_CED'!$A$3,"SUB TYPE",$B59)),"PROXY",IF(GETPIVOTDATA(IF($J59=1,"Count of ACTIVE     CED, FARM GATE (MJ/kg)","Count of CED, processor gate (MJ/kg)"),'Pivot Table_CED'!$A$3,"SUB TYPE",$B59)=0,"PROXY","DB value"))</f>
        <v>PROXY</v>
      </c>
      <c r="M59" s="134">
        <f ca="1">IF($L59="PROXY",DCOUNT('literature entries'!$D:$AI,IF($J59=1,"ACTIVE     CED, FARM GATE (MJ/kg)","CED, processor gate (MJ/kg)"),INDIRECT($K59)),GETPIVOTDATA(IF($J59=1,"Count of ACTIVE     CED, FARM GATE (MJ/kg)","Count of CED, processor gate (MJ/kg)"),'Pivot Table_CED'!$A$3,"SUB TYPE",$B59))</f>
        <v>10</v>
      </c>
      <c r="N59" s="135">
        <f ca="1">IF($L59="PROXY",DAVERAGE('literature entries'!$D:$AI,IF($J59=1,"ACTIVE     CED, FARM GATE (MJ/kg)","CED, processor gate (MJ/kg)"),INDIRECT($K59)),GETPIVOTDATA(IF($J59=1,"Average of ACTIVE     CED, FARM GATE (MJ/kg)","Average of CED, processor gate (MJ/kg)"),'Pivot Table_CED'!$A$3,"SUB TYPE",$B59))</f>
        <v>2.5657274700000001</v>
      </c>
      <c r="O59" s="135">
        <f ca="1">IF($L59="PROXY",DSTDEV('literature entries'!D:AI,IF($J59=1,"ACTIVE     CED, FARM GATE (MJ/kg)","CED, processor gate (MJ/kg)"),INDIRECT($K59)),GETPIVOTDATA(IF($J59=1,"StdDev of ACTIVE     CED, FARM GATE (MJ/kg)","StdDev of CED, processor gate (MJ/kg)"),'Pivot Table_CED'!$A$3,"SUB TYPE",$B59))</f>
        <v>1.5197673074222315</v>
      </c>
      <c r="P59" s="152" t="str">
        <f>IF(ISERROR(GETPIVOTDATA(IF($J59=1,"Count of ACTIVE     GHGE, FARM GATE (kg CO2e/kg)","Count of GHGE, processor gate (kg CO2e/kg)"),'Pivot Table_GHG'!$A$3,"SUB TYPE",$B59)),"PROXY",IF(GETPIVOTDATA(IF($J59=1,"Count of ACTIVE     GHGE, FARM GATE (kg CO2e/kg)","Count of GHGE, processor gate (kg CO2e/kg)"),'Pivot Table_GHG'!$A$3,"SUB TYPE",$B59)=0,"PROXY","DB value"))</f>
        <v>PROXY</v>
      </c>
      <c r="Q59" s="141">
        <f ca="1">IF($P59="PROXY",DCOUNT('literature entries'!$D:$AI,IF($J59=1,"ACTIVE     GHGE, FARM GATE (kg CO2e/kg)","GHGE, processor gate (kg CO2e/kg)"),INDIRECT($K59)),GETPIVOTDATA(IF($J59=1,"ACTIVE     GHGE, FARM GATE (kg CO2e/kg)","Count of GHGE, processor gate (kg CO2e/kg)"),'Pivot Table_GHG'!$A$3,"SUB TYPE",$B59))</f>
        <v>22</v>
      </c>
      <c r="R59" s="221">
        <f ca="1">IF($P59="PROXY",DAVERAGE('literature entries'!$D:$AI,IF($J59=1,"ACTIVE     GHGE, FARM GATE (kg CO2e/kg)","GHGE, processor gate (kg CO2e/kg)"),INDIRECT($K59)),GETPIVOTDATA(IF($J59=1,"Average of ACTIVE     GHGE, FARM GATE (kg CO2e/kg)","Average of GHGE, processor gate (kg CO2e/kg)"),'Pivot Table_GHG'!$A$3,"SUB TYPE",$B59))</f>
        <v>0.18561974136363635</v>
      </c>
      <c r="S59" s="221">
        <f ca="1">IF($P59="PROXY",DSTDEV('literature entries'!$D:$AI,IF($J59=1,"ACTIVE     GHGE, FARM GATE (kg CO2e/kg)","GHGE, processor gate (kg CO2e/kg)"),INDIRECT($K59)),GETPIVOTDATA(IF($J59=1,"StdDev of ACTIVE     GHGE, FARM GATE (kg CO2e/kg)","StdDev of GHGE, processor gate (kg CO2e/kg)"),'Pivot Table_GHG'!$A$3,"SUB TYPE",$B59))</f>
        <v>9.7833632177637575E-2</v>
      </c>
      <c r="T59" s="101"/>
      <c r="U59" s="102"/>
      <c r="W59" s="248" t="str">
        <f ca="1">IF(L59="PROXY",IF(M59&gt;=5,K59,"need group"),IF(M59&gt;=5,"DIRECT","need group"))</f>
        <v>greens</v>
      </c>
      <c r="X59" s="246">
        <f ca="1">IF($W59="DIRECT",M59,DCOUNT('literature entries'!$D:$AI,IF($J59=1,"ACTIVE     CED, FARM GATE (MJ/kg)","CED, processor gate (MJ/kg)"),INDIRECT($W59)))</f>
        <v>10</v>
      </c>
      <c r="Y59" s="246">
        <f ca="1">IF($W59="DIRECT","",DAVERAGE('literature entries'!$D:$AI,IF($J59=1,"ACTIVE     CED, FARM GATE (MJ/kg)","CED, processor gate (MJ/kg)"),INDIRECT($W59)))</f>
        <v>2.5657274700000001</v>
      </c>
      <c r="Z59" s="246">
        <f ca="1">IF($W59="DIRECT",$O59,DSTDEV('literature entries'!$D:$AI,IF($J59=1,"ACTIVE     CED, FARM GATE (MJ/kg)","CED, processor gate (MJ/kg)"),INDIRECT($W59)))</f>
        <v>1.5197673074222315</v>
      </c>
      <c r="AA59" s="246">
        <f t="shared" ca="1" si="7"/>
        <v>1.5197673074222315</v>
      </c>
      <c r="AB59" s="254" t="str">
        <f ca="1">IF(P59="PROXY",IF(Q59&gt;=5,K59,"need group"),IF(Q59&gt;=5,"DIRECT","need group"))</f>
        <v>greens</v>
      </c>
      <c r="AC59" s="247">
        <f ca="1">IF($AB59="DIRECT",Q59,DCOUNT('literature entries'!$D:$AI,IF($J59=1,"ACTIVE     GHGE, FARM GATE (kg CO2e/kg)","GHGE, processor gate (kg CO2e/kg)"),INDIRECT($AB59)))</f>
        <v>22</v>
      </c>
      <c r="AD59" s="247">
        <f ca="1">IF($AB59="DIRECT","",DAVERAGE('literature entries'!$D:$AI,IF($J59=1,"ACTIVE     GHGE, FARM GATE (kg CO2e/kg)","GHGE, processor gate (kg CO2e/kg)"),INDIRECT($AB59)))</f>
        <v>0.18561974136363635</v>
      </c>
      <c r="AE59" s="247">
        <f ca="1">IF($AB59="DIRECT",$S59,DSTDEV('literature entries'!$D:$AI,IF($J59=1,"ACTIVE     GHGE, FARM GATE (kg CO2e/kg)","GHGE, processor gate (kg CO2e/kg)"),INDIRECT($AB59)))</f>
        <v>9.7833632177637575E-2</v>
      </c>
      <c r="AF59" s="247">
        <f t="shared" ca="1" si="8"/>
        <v>9.7833632177637575E-2</v>
      </c>
    </row>
    <row r="60" spans="1:32" s="21" customFormat="1" ht="17" thickBot="1" x14ac:dyDescent="0.25">
      <c r="A60" s="129">
        <v>402194000</v>
      </c>
      <c r="B60" s="130" t="s">
        <v>2040</v>
      </c>
      <c r="C60" s="131" t="s">
        <v>1760</v>
      </c>
      <c r="D60" s="131" t="s">
        <v>2041</v>
      </c>
      <c r="E60" s="131">
        <v>87</v>
      </c>
      <c r="F60" s="126">
        <f t="shared" ca="1" si="0"/>
        <v>0.75794722131147529</v>
      </c>
      <c r="G60" s="127">
        <f t="shared" ca="1" si="1"/>
        <v>0.19321202459016396</v>
      </c>
      <c r="H60" s="132">
        <v>1.639344262295082</v>
      </c>
      <c r="I60" s="133" t="s">
        <v>2735</v>
      </c>
      <c r="J60" s="91">
        <v>1</v>
      </c>
      <c r="K60" s="90"/>
      <c r="L60" s="152" t="str">
        <f>IF(ISERROR(GETPIVOTDATA(IF($J60=1,"Count of ACTIVE     CED, FARM GATE (MJ/kg)","Count of CED, processor gate (MJ/kg)"),'Pivot Table_CED'!$A$3,"SUB TYPE",$B60)),"PROXY",IF(GETPIVOTDATA(IF($J60=1,"Count of ACTIVE     CED, FARM GATE (MJ/kg)","Count of CED, processor gate (MJ/kg)"),'Pivot Table_CED'!$A$3,"SUB TYPE",$B60)=0,"PROXY","DB value"))</f>
        <v>DB value</v>
      </c>
      <c r="M60" s="134">
        <f ca="1">IF($L60="PROXY",DCOUNT('literature entries'!$D:$AI,IF($J60=1,"ACTIVE     CED, FARM GATE (MJ/kg)","CED, processor gate (MJ/kg)"),INDIRECT($K60)),GETPIVOTDATA(IF($J60=1,"Count of ACTIVE     CED, FARM GATE (MJ/kg)","Count of CED, processor gate (MJ/kg)"),'Pivot Table_CED'!$A$3,"SUB TYPE",$B60))</f>
        <v>2</v>
      </c>
      <c r="N60" s="135">
        <f ca="1">IF($L60="PROXY",DAVERAGE('literature entries'!$D:$AI,IF($J60=1,"ACTIVE     CED, FARM GATE (MJ/kg)","CED, processor gate (MJ/kg)"),INDIRECT($K60)),GETPIVOTDATA(IF($J60=1,"Average of ACTIVE     CED, FARM GATE (MJ/kg)","Average of CED, processor gate (MJ/kg)"),'Pivot Table_CED'!$A$3,"SUB TYPE",$B60))</f>
        <v>0.46234780499999995</v>
      </c>
      <c r="O60" s="135">
        <f ca="1">IF($L60="PROXY",DSTDEV('literature entries'!D:AI,IF($J60=1,"ACTIVE     CED, FARM GATE (MJ/kg)","CED, processor gate (MJ/kg)"),INDIRECT($K60)),GETPIVOTDATA(IF($J60=1,"StdDev of ACTIVE     CED, FARM GATE (MJ/kg)","StdDev of CED, processor gate (MJ/kg)"),'Pivot Table_CED'!$A$3,"SUB TYPE",$B60))</f>
        <v>0.14723359720196788</v>
      </c>
      <c r="P60" s="152" t="str">
        <f>IF(ISERROR(GETPIVOTDATA(IF($J60=1,"Count of ACTIVE     GHGE, FARM GATE (kg CO2e/kg)","Count of GHGE, processor gate (kg CO2e/kg)"),'Pivot Table_GHG'!$A$3,"SUB TYPE",$B60)),"PROXY",IF(GETPIVOTDATA(IF($J60=1,"Count of ACTIVE     GHGE, FARM GATE (kg CO2e/kg)","Count of GHGE, processor gate (kg CO2e/kg)"),'Pivot Table_GHG'!$A$3,"SUB TYPE",$B60)=0,"PROXY","DB value"))</f>
        <v>DB value</v>
      </c>
      <c r="Q60" s="141">
        <f ca="1">IF($P60="PROXY",DCOUNT('literature entries'!$D:$AI,IF($J60=1,"ACTIVE     GHGE, FARM GATE (kg CO2e/kg)","GHGE, processor gate (kg CO2e/kg)"),INDIRECT($K60)),GETPIVOTDATA(IF($J60=1,"ACTIVE     GHGE, FARM GATE (kg CO2e/kg)","Count of GHGE, processor gate (kg CO2e/kg)"),'Pivot Table_GHG'!$A$3,"SUB TYPE",$B60))</f>
        <v>2</v>
      </c>
      <c r="R60" s="221">
        <f ca="1">IF($P60="PROXY",DAVERAGE('literature entries'!$D:$AI,IF($J60=1,"ACTIVE     GHGE, FARM GATE (kg CO2e/kg)","GHGE, processor gate (kg CO2e/kg)"),INDIRECT($K60)),GETPIVOTDATA(IF($J60=1,"Average of ACTIVE     GHGE, FARM GATE (kg CO2e/kg)","Average of GHGE, processor gate (kg CO2e/kg)"),'Pivot Table_GHG'!$A$3,"SUB TYPE",$B60))</f>
        <v>0.11785933500000001</v>
      </c>
      <c r="S60" s="221">
        <f ca="1">IF($P60="PROXY",DSTDEV('literature entries'!$D:$AI,IF($J60=1,"ACTIVE     GHGE, FARM GATE (kg CO2e/kg)","GHGE, processor gate (kg CO2e/kg)"),INDIRECT($K60)),GETPIVOTDATA(IF($J60=1,"StdDev of ACTIVE     GHGE, FARM GATE (kg CO2e/kg)","StdDev of GHGE, processor gate (kg CO2e/kg)"),'Pivot Table_GHG'!$A$3,"SUB TYPE",$B60))</f>
        <v>2.2400930695946389E-3</v>
      </c>
      <c r="T60" s="101"/>
      <c r="U60" s="102"/>
      <c r="W60" s="248" t="s">
        <v>3353</v>
      </c>
      <c r="X60" s="246">
        <f ca="1">IF($W60="DIRECT",M60,DCOUNT('literature entries'!$D:$AI,IF($J60=1,"ACTIVE     CED, FARM GATE (MJ/kg)","CED, processor gate (MJ/kg)"),INDIRECT($W60)))</f>
        <v>18</v>
      </c>
      <c r="Y60" s="246">
        <f ca="1">IF($W60="DIRECT","",DAVERAGE('literature entries'!$D:$AI,IF($J60=1,"ACTIVE     CED, FARM GATE (MJ/kg)","CED, processor gate (MJ/kg)"),INDIRECT($W60)))</f>
        <v>3.4024371788383845</v>
      </c>
      <c r="Z60" s="246">
        <f ca="1">IF($W60="DIRECT",$O60,DSTDEV('literature entries'!$D:$AI,IF($J60=1,"ACTIVE     CED, FARM GATE (MJ/kg)","CED, processor gate (MJ/kg)"),INDIRECT($W60)))</f>
        <v>2.1745212778414005</v>
      </c>
      <c r="AA60" s="246">
        <f t="shared" ca="1" si="7"/>
        <v>0.29548969955677828</v>
      </c>
      <c r="AB60" s="254" t="s">
        <v>3353</v>
      </c>
      <c r="AC60" s="247">
        <f ca="1">IF($AB60="DIRECT",Q60,DCOUNT('literature entries'!$D:$AI,IF($J60=1,"ACTIVE     GHGE, FARM GATE (kg CO2e/kg)","GHGE, processor gate (kg CO2e/kg)"),INDIRECT($AB60)))</f>
        <v>26</v>
      </c>
      <c r="AD60" s="247">
        <f ca="1">IF($AB60="DIRECT","",DAVERAGE('literature entries'!$D:$AI,IF($J60=1,"ACTIVE     GHGE, FARM GATE (kg CO2e/kg)","GHGE, processor gate (kg CO2e/kg)"),INDIRECT($AB60)))</f>
        <v>0.41363324622377629</v>
      </c>
      <c r="AE60" s="247">
        <f ca="1">IF($AB60="DIRECT",$S60,DSTDEV('literature entries'!$D:$AI,IF($J60=1,"ACTIVE     GHGE, FARM GATE (kg CO2e/kg)","GHGE, processor gate (kg CO2e/kg)"),INDIRECT($AB60)))</f>
        <v>0.30904772338148734</v>
      </c>
      <c r="AF60" s="247">
        <f t="shared" ca="1" si="8"/>
        <v>8.8059070429025721E-2</v>
      </c>
    </row>
    <row r="61" spans="1:32" s="21" customFormat="1" thickBot="1" x14ac:dyDescent="0.25">
      <c r="A61" s="129">
        <v>402229000</v>
      </c>
      <c r="B61" s="130" t="s">
        <v>2089</v>
      </c>
      <c r="C61" s="131" t="s">
        <v>1782</v>
      </c>
      <c r="D61" s="131"/>
      <c r="E61" s="131">
        <v>105</v>
      </c>
      <c r="F61" s="126">
        <f t="shared" ca="1" si="0"/>
        <v>0.49933562939999998</v>
      </c>
      <c r="G61" s="127">
        <f t="shared" ca="1" si="1"/>
        <v>0.12728808180000001</v>
      </c>
      <c r="H61" s="132">
        <v>1.08</v>
      </c>
      <c r="I61" s="132" t="s">
        <v>2724</v>
      </c>
      <c r="J61" s="91">
        <v>1</v>
      </c>
      <c r="K61" s="90" t="s">
        <v>3267</v>
      </c>
      <c r="L61" s="152" t="str">
        <f>IF(ISERROR(GETPIVOTDATA(IF($J61=1,"Count of ACTIVE     CED, FARM GATE (MJ/kg)","Count of CED, processor gate (MJ/kg)"),'Pivot Table_CED'!$A$3,"SUB TYPE",$B61)),"PROXY",IF(GETPIVOTDATA(IF($J61=1,"Count of ACTIVE     CED, FARM GATE (MJ/kg)","Count of CED, processor gate (MJ/kg)"),'Pivot Table_CED'!$A$3,"SUB TYPE",$B61)=0,"PROXY","DB value"))</f>
        <v>PROXY</v>
      </c>
      <c r="M61" s="134">
        <f ca="1">IF($L61="PROXY",DCOUNT('literature entries'!$D:$AI,IF($J61=1,"ACTIVE     CED, FARM GATE (MJ/kg)","CED, processor gate (MJ/kg)"),INDIRECT($K61)),GETPIVOTDATA(IF($J61=1,"Count of ACTIVE     CED, FARM GATE (MJ/kg)","Count of CED, processor gate (MJ/kg)"),'Pivot Table_CED'!$A$3,"SUB TYPE",$B61))</f>
        <v>2</v>
      </c>
      <c r="N61" s="135">
        <f ca="1">IF($L61="PROXY",DAVERAGE('literature entries'!$D:$AI,IF($J61=1,"ACTIVE     CED, FARM GATE (MJ/kg)","CED, processor gate (MJ/kg)"),INDIRECT($K61)),GETPIVOTDATA(IF($J61=1,"Average of ACTIVE     CED, FARM GATE (MJ/kg)","Average of CED, processor gate (MJ/kg)"),'Pivot Table_CED'!$A$3,"SUB TYPE",$B61))</f>
        <v>0.46234780499999995</v>
      </c>
      <c r="O61" s="135">
        <f ca="1">IF($L61="PROXY",DSTDEV('literature entries'!D:AI,IF($J61=1,"ACTIVE     CED, FARM GATE (MJ/kg)","CED, processor gate (MJ/kg)"),INDIRECT($K61)),GETPIVOTDATA(IF($J61=1,"StdDev of ACTIVE     CED, FARM GATE (MJ/kg)","StdDev of CED, processor gate (MJ/kg)"),'Pivot Table_CED'!$A$3,"SUB TYPE",$B61))</f>
        <v>0.14723359720196788</v>
      </c>
      <c r="P61" s="152" t="str">
        <f>IF(ISERROR(GETPIVOTDATA(IF($J61=1,"Count of ACTIVE     GHGE, FARM GATE (kg CO2e/kg)","Count of GHGE, processor gate (kg CO2e/kg)"),'Pivot Table_GHG'!$A$3,"SUB TYPE",$B61)),"PROXY",IF(GETPIVOTDATA(IF($J61=1,"Count of ACTIVE     GHGE, FARM GATE (kg CO2e/kg)","Count of GHGE, processor gate (kg CO2e/kg)"),'Pivot Table_GHG'!$A$3,"SUB TYPE",$B61)=0,"PROXY","DB value"))</f>
        <v>PROXY</v>
      </c>
      <c r="Q61" s="141">
        <f ca="1">IF($P61="PROXY",DCOUNT('literature entries'!$D:$AI,IF($J61=1,"ACTIVE     GHGE, FARM GATE (kg CO2e/kg)","GHGE, processor gate (kg CO2e/kg)"),INDIRECT($K61)),GETPIVOTDATA(IF($J61=1,"ACTIVE     GHGE, FARM GATE (kg CO2e/kg)","Count of GHGE, processor gate (kg CO2e/kg)"),'Pivot Table_GHG'!$A$3,"SUB TYPE",$B61))</f>
        <v>2</v>
      </c>
      <c r="R61" s="221">
        <f ca="1">IF($P61="PROXY",DAVERAGE('literature entries'!$D:$AI,IF($J61=1,"ACTIVE     GHGE, FARM GATE (kg CO2e/kg)","GHGE, processor gate (kg CO2e/kg)"),INDIRECT($K61)),GETPIVOTDATA(IF($J61=1,"Average of ACTIVE     GHGE, FARM GATE (kg CO2e/kg)","Average of GHGE, processor gate (kg CO2e/kg)"),'Pivot Table_GHG'!$A$3,"SUB TYPE",$B61))</f>
        <v>0.11785933500000001</v>
      </c>
      <c r="S61" s="221">
        <f ca="1">IF($P61="PROXY",DSTDEV('literature entries'!$D:$AI,IF($J61=1,"ACTIVE     GHGE, FARM GATE (kg CO2e/kg)","GHGE, processor gate (kg CO2e/kg)"),INDIRECT($K61)),GETPIVOTDATA(IF($J61=1,"StdDev of ACTIVE     GHGE, FARM GATE (kg CO2e/kg)","StdDev of GHGE, processor gate (kg CO2e/kg)"),'Pivot Table_GHG'!$A$3,"SUB TYPE",$B61))</f>
        <v>2.2400930695955514E-3</v>
      </c>
      <c r="T61" s="101"/>
      <c r="U61" s="102"/>
      <c r="W61" s="248" t="s">
        <v>3353</v>
      </c>
      <c r="X61" s="246">
        <f ca="1">IF($W61="DIRECT",M61,DCOUNT('literature entries'!$D:$AI,IF($J61=1,"ACTIVE     CED, FARM GATE (MJ/kg)","CED, processor gate (MJ/kg)"),INDIRECT($W61)))</f>
        <v>18</v>
      </c>
      <c r="Y61" s="246">
        <f ca="1">IF($W61="DIRECT","",DAVERAGE('literature entries'!$D:$AI,IF($J61=1,"ACTIVE     CED, FARM GATE (MJ/kg)","CED, processor gate (MJ/kg)"),INDIRECT($W61)))</f>
        <v>3.4024371788383845</v>
      </c>
      <c r="Z61" s="246">
        <f ca="1">IF($W61="DIRECT",$O61,DSTDEV('literature entries'!$D:$AI,IF($J61=1,"ACTIVE     CED, FARM GATE (MJ/kg)","CED, processor gate (MJ/kg)"),INDIRECT($W61)))</f>
        <v>2.1745212778414005</v>
      </c>
      <c r="AA61" s="246">
        <f t="shared" ca="1" si="7"/>
        <v>0.29548969955677828</v>
      </c>
      <c r="AB61" s="254" t="s">
        <v>3353</v>
      </c>
      <c r="AC61" s="247">
        <f ca="1">IF($AB61="DIRECT",Q61,DCOUNT('literature entries'!$D:$AI,IF($J61=1,"ACTIVE     GHGE, FARM GATE (kg CO2e/kg)","GHGE, processor gate (kg CO2e/kg)"),INDIRECT($AB61)))</f>
        <v>26</v>
      </c>
      <c r="AD61" s="247">
        <f ca="1">IF($AB61="DIRECT","",DAVERAGE('literature entries'!$D:$AI,IF($J61=1,"ACTIVE     GHGE, FARM GATE (kg CO2e/kg)","GHGE, processor gate (kg CO2e/kg)"),INDIRECT($AB61)))</f>
        <v>0.41363324622377629</v>
      </c>
      <c r="AE61" s="247">
        <f ca="1">IF($AB61="DIRECT",$S61,DSTDEV('literature entries'!$D:$AI,IF($J61=1,"ACTIVE     GHGE, FARM GATE (kg CO2e/kg)","GHGE, processor gate (kg CO2e/kg)"),INDIRECT($AB61)))</f>
        <v>0.30904772338148734</v>
      </c>
      <c r="AF61" s="247">
        <f t="shared" ca="1" si="8"/>
        <v>8.8059070429025721E-2</v>
      </c>
    </row>
    <row r="62" spans="1:32" s="21" customFormat="1" ht="17" thickBot="1" x14ac:dyDescent="0.25">
      <c r="A62" s="129">
        <v>402389000</v>
      </c>
      <c r="B62" s="130" t="s">
        <v>2331</v>
      </c>
      <c r="C62" s="131" t="s">
        <v>1760</v>
      </c>
      <c r="D62" s="131"/>
      <c r="E62" s="131">
        <v>183</v>
      </c>
      <c r="F62" s="126">
        <f t="shared" ca="1" si="0"/>
        <v>0.66049686428571419</v>
      </c>
      <c r="G62" s="127">
        <f t="shared" ca="1" si="1"/>
        <v>0.16837047857142859</v>
      </c>
      <c r="H62" s="132">
        <v>1.4285714285714286</v>
      </c>
      <c r="I62" s="133" t="s">
        <v>2735</v>
      </c>
      <c r="J62" s="91">
        <v>1</v>
      </c>
      <c r="K62" s="90" t="s">
        <v>3267</v>
      </c>
      <c r="L62" s="152" t="str">
        <f>IF(ISERROR(GETPIVOTDATA(IF($J62=1,"Count of ACTIVE     CED, FARM GATE (MJ/kg)","Count of CED, processor gate (MJ/kg)"),'Pivot Table_CED'!$A$3,"SUB TYPE",$B62)),"PROXY",IF(GETPIVOTDATA(IF($J62=1,"Count of ACTIVE     CED, FARM GATE (MJ/kg)","Count of CED, processor gate (MJ/kg)"),'Pivot Table_CED'!$A$3,"SUB TYPE",$B62)=0,"PROXY","DB value"))</f>
        <v>PROXY</v>
      </c>
      <c r="M62" s="134">
        <f ca="1">IF($L62="PROXY",DCOUNT('literature entries'!$D:$AI,IF($J62=1,"ACTIVE     CED, FARM GATE (MJ/kg)","CED, processor gate (MJ/kg)"),INDIRECT($K62)),GETPIVOTDATA(IF($J62=1,"Count of ACTIVE     CED, FARM GATE (MJ/kg)","Count of CED, processor gate (MJ/kg)"),'Pivot Table_CED'!$A$3,"SUB TYPE",$B62))</f>
        <v>2</v>
      </c>
      <c r="N62" s="135">
        <f ca="1">IF($L62="PROXY",DAVERAGE('literature entries'!$D:$AI,IF($J62=1,"ACTIVE     CED, FARM GATE (MJ/kg)","CED, processor gate (MJ/kg)"),INDIRECT($K62)),GETPIVOTDATA(IF($J62=1,"Average of ACTIVE     CED, FARM GATE (MJ/kg)","Average of CED, processor gate (MJ/kg)"),'Pivot Table_CED'!$A$3,"SUB TYPE",$B62))</f>
        <v>0.46234780499999995</v>
      </c>
      <c r="O62" s="135">
        <f ca="1">IF($L62="PROXY",DSTDEV('literature entries'!D:AI,IF($J62=1,"ACTIVE     CED, FARM GATE (MJ/kg)","CED, processor gate (MJ/kg)"),INDIRECT($K62)),GETPIVOTDATA(IF($J62=1,"StdDev of ACTIVE     CED, FARM GATE (MJ/kg)","StdDev of CED, processor gate (MJ/kg)"),'Pivot Table_CED'!$A$3,"SUB TYPE",$B62))</f>
        <v>0.14723359720196788</v>
      </c>
      <c r="P62" s="152" t="str">
        <f>IF(ISERROR(GETPIVOTDATA(IF($J62=1,"Count of ACTIVE     GHGE, FARM GATE (kg CO2e/kg)","Count of GHGE, processor gate (kg CO2e/kg)"),'Pivot Table_GHG'!$A$3,"SUB TYPE",$B62)),"PROXY",IF(GETPIVOTDATA(IF($J62=1,"Count of ACTIVE     GHGE, FARM GATE (kg CO2e/kg)","Count of GHGE, processor gate (kg CO2e/kg)"),'Pivot Table_GHG'!$A$3,"SUB TYPE",$B62)=0,"PROXY","DB value"))</f>
        <v>PROXY</v>
      </c>
      <c r="Q62" s="141">
        <f ca="1">IF($P62="PROXY",DCOUNT('literature entries'!$D:$AI,IF($J62=1,"ACTIVE     GHGE, FARM GATE (kg CO2e/kg)","GHGE, processor gate (kg CO2e/kg)"),INDIRECT($K62)),GETPIVOTDATA(IF($J62=1,"ACTIVE     GHGE, FARM GATE (kg CO2e/kg)","Count of GHGE, processor gate (kg CO2e/kg)"),'Pivot Table_GHG'!$A$3,"SUB TYPE",$B62))</f>
        <v>2</v>
      </c>
      <c r="R62" s="221">
        <f ca="1">IF($P62="PROXY",DAVERAGE('literature entries'!$D:$AI,IF($J62=1,"ACTIVE     GHGE, FARM GATE (kg CO2e/kg)","GHGE, processor gate (kg CO2e/kg)"),INDIRECT($K62)),GETPIVOTDATA(IF($J62=1,"Average of ACTIVE     GHGE, FARM GATE (kg CO2e/kg)","Average of GHGE, processor gate (kg CO2e/kg)"),'Pivot Table_GHG'!$A$3,"SUB TYPE",$B62))</f>
        <v>0.11785933500000001</v>
      </c>
      <c r="S62" s="221">
        <f ca="1">IF($P62="PROXY",DSTDEV('literature entries'!$D:$AI,IF($J62=1,"ACTIVE     GHGE, FARM GATE (kg CO2e/kg)","GHGE, processor gate (kg CO2e/kg)"),INDIRECT($K62)),GETPIVOTDATA(IF($J62=1,"StdDev of ACTIVE     GHGE, FARM GATE (kg CO2e/kg)","StdDev of GHGE, processor gate (kg CO2e/kg)"),'Pivot Table_GHG'!$A$3,"SUB TYPE",$B62))</f>
        <v>2.2400930695955514E-3</v>
      </c>
      <c r="T62" s="101"/>
      <c r="U62" s="102"/>
      <c r="W62" s="248" t="s">
        <v>3353</v>
      </c>
      <c r="X62" s="246">
        <f ca="1">IF($W62="DIRECT",M62,DCOUNT('literature entries'!$D:$AI,IF($J62=1,"ACTIVE     CED, FARM GATE (MJ/kg)","CED, processor gate (MJ/kg)"),INDIRECT($W62)))</f>
        <v>18</v>
      </c>
      <c r="Y62" s="246">
        <f ca="1">IF($W62="DIRECT","",DAVERAGE('literature entries'!$D:$AI,IF($J62=1,"ACTIVE     CED, FARM GATE (MJ/kg)","CED, processor gate (MJ/kg)"),INDIRECT($W62)))</f>
        <v>3.4024371788383845</v>
      </c>
      <c r="Z62" s="246">
        <f ca="1">IF($W62="DIRECT",$O62,DSTDEV('literature entries'!$D:$AI,IF($J62=1,"ACTIVE     CED, FARM GATE (MJ/kg)","CED, processor gate (MJ/kg)"),INDIRECT($W62)))</f>
        <v>2.1745212778414005</v>
      </c>
      <c r="AA62" s="246">
        <f t="shared" ca="1" si="7"/>
        <v>0.29548969955677828</v>
      </c>
      <c r="AB62" s="254" t="s">
        <v>3353</v>
      </c>
      <c r="AC62" s="247">
        <f ca="1">IF($AB62="DIRECT",Q62,DCOUNT('literature entries'!$D:$AI,IF($J62=1,"ACTIVE     GHGE, FARM GATE (kg CO2e/kg)","GHGE, processor gate (kg CO2e/kg)"),INDIRECT($AB62)))</f>
        <v>26</v>
      </c>
      <c r="AD62" s="247">
        <f ca="1">IF($AB62="DIRECT","",DAVERAGE('literature entries'!$D:$AI,IF($J62=1,"ACTIVE     GHGE, FARM GATE (kg CO2e/kg)","GHGE, processor gate (kg CO2e/kg)"),INDIRECT($AB62)))</f>
        <v>0.41363324622377629</v>
      </c>
      <c r="AE62" s="247">
        <f ca="1">IF($AB62="DIRECT",$S62,DSTDEV('literature entries'!$D:$AI,IF($J62=1,"ACTIVE     GHGE, FARM GATE (kg CO2e/kg)","GHGE, processor gate (kg CO2e/kg)"),INDIRECT($AB62)))</f>
        <v>0.30904772338148734</v>
      </c>
      <c r="AF62" s="247">
        <f t="shared" ca="1" si="8"/>
        <v>8.8059070429025721E-2</v>
      </c>
    </row>
    <row r="63" spans="1:32" s="21" customFormat="1" ht="17" thickBot="1" x14ac:dyDescent="0.25">
      <c r="A63" s="129">
        <v>402398000</v>
      </c>
      <c r="B63" s="130" t="s">
        <v>2341</v>
      </c>
      <c r="C63" s="131" t="s">
        <v>2342</v>
      </c>
      <c r="D63" s="131"/>
      <c r="E63" s="131">
        <v>440</v>
      </c>
      <c r="F63" s="126">
        <f t="shared" ca="1" si="0"/>
        <v>2.7966429423000005</v>
      </c>
      <c r="G63" s="127">
        <f t="shared" ca="1" si="1"/>
        <v>0.20232551808636362</v>
      </c>
      <c r="H63" s="132">
        <v>1.0900000000000001</v>
      </c>
      <c r="I63" s="133" t="s">
        <v>2724</v>
      </c>
      <c r="J63" s="91">
        <v>1</v>
      </c>
      <c r="K63" s="90" t="s">
        <v>2457</v>
      </c>
      <c r="L63" s="152" t="str">
        <f>IF(ISERROR(GETPIVOTDATA(IF($J63=1,"Count of ACTIVE     CED, FARM GATE (MJ/kg)","Count of CED, processor gate (MJ/kg)"),'Pivot Table_CED'!$A$3,"SUB TYPE",$B63)),"PROXY",IF(GETPIVOTDATA(IF($J63=1,"Count of ACTIVE     CED, FARM GATE (MJ/kg)","Count of CED, processor gate (MJ/kg)"),'Pivot Table_CED'!$A$3,"SUB TYPE",$B63)=0,"PROXY","DB value"))</f>
        <v>PROXY</v>
      </c>
      <c r="M63" s="134">
        <f ca="1">IF($L63="PROXY",DCOUNT('literature entries'!$D:$AI,IF($J63=1,"ACTIVE     CED, FARM GATE (MJ/kg)","CED, processor gate (MJ/kg)"),INDIRECT($K63)),GETPIVOTDATA(IF($J63=1,"Count of ACTIVE     CED, FARM GATE (MJ/kg)","Count of CED, processor gate (MJ/kg)"),'Pivot Table_CED'!$A$3,"SUB TYPE",$B63))</f>
        <v>10</v>
      </c>
      <c r="N63" s="135">
        <f ca="1">IF($L63="PROXY",DAVERAGE('literature entries'!$D:$AI,IF($J63=1,"ACTIVE     CED, FARM GATE (MJ/kg)","CED, processor gate (MJ/kg)"),INDIRECT($K63)),GETPIVOTDATA(IF($J63=1,"Average of ACTIVE     CED, FARM GATE (MJ/kg)","Average of CED, processor gate (MJ/kg)"),'Pivot Table_CED'!$A$3,"SUB TYPE",$B63))</f>
        <v>2.5657274700000001</v>
      </c>
      <c r="O63" s="135">
        <f ca="1">IF($L63="PROXY",DSTDEV('literature entries'!D:AI,IF($J63=1,"ACTIVE     CED, FARM GATE (MJ/kg)","CED, processor gate (MJ/kg)"),INDIRECT($K63)),GETPIVOTDATA(IF($J63=1,"StdDev of ACTIVE     CED, FARM GATE (MJ/kg)","StdDev of CED, processor gate (MJ/kg)"),'Pivot Table_CED'!$A$3,"SUB TYPE",$B63))</f>
        <v>1.5197673074222315</v>
      </c>
      <c r="P63" s="152" t="str">
        <f>IF(ISERROR(GETPIVOTDATA(IF($J63=1,"Count of ACTIVE     GHGE, FARM GATE (kg CO2e/kg)","Count of GHGE, processor gate (kg CO2e/kg)"),'Pivot Table_GHG'!$A$3,"SUB TYPE",$B63)),"PROXY",IF(GETPIVOTDATA(IF($J63=1,"Count of ACTIVE     GHGE, FARM GATE (kg CO2e/kg)","Count of GHGE, processor gate (kg CO2e/kg)"),'Pivot Table_GHG'!$A$3,"SUB TYPE",$B63)=0,"PROXY","DB value"))</f>
        <v>PROXY</v>
      </c>
      <c r="Q63" s="141">
        <f ca="1">IF($P63="PROXY",DCOUNT('literature entries'!$D:$AI,IF($J63=1,"ACTIVE     GHGE, FARM GATE (kg CO2e/kg)","GHGE, processor gate (kg CO2e/kg)"),INDIRECT($K63)),GETPIVOTDATA(IF($J63=1,"ACTIVE     GHGE, FARM GATE (kg CO2e/kg)","Count of GHGE, processor gate (kg CO2e/kg)"),'Pivot Table_GHG'!$A$3,"SUB TYPE",$B63))</f>
        <v>22</v>
      </c>
      <c r="R63" s="221">
        <f ca="1">IF($P63="PROXY",DAVERAGE('literature entries'!$D:$AI,IF($J63=1,"ACTIVE     GHGE, FARM GATE (kg CO2e/kg)","GHGE, processor gate (kg CO2e/kg)"),INDIRECT($K63)),GETPIVOTDATA(IF($J63=1,"Average of ACTIVE     GHGE, FARM GATE (kg CO2e/kg)","Average of GHGE, processor gate (kg CO2e/kg)"),'Pivot Table_GHG'!$A$3,"SUB TYPE",$B63))</f>
        <v>0.18561974136363635</v>
      </c>
      <c r="S63" s="221">
        <f ca="1">IF($P63="PROXY",DSTDEV('literature entries'!$D:$AI,IF($J63=1,"ACTIVE     GHGE, FARM GATE (kg CO2e/kg)","GHGE, processor gate (kg CO2e/kg)"),INDIRECT($K63)),GETPIVOTDATA(IF($J63=1,"StdDev of ACTIVE     GHGE, FARM GATE (kg CO2e/kg)","StdDev of GHGE, processor gate (kg CO2e/kg)"),'Pivot Table_GHG'!$A$3,"SUB TYPE",$B63))</f>
        <v>9.7833632177637575E-2</v>
      </c>
      <c r="T63" s="101"/>
      <c r="U63" s="102"/>
      <c r="W63" s="248" t="str">
        <f ca="1">IF(L63="PROXY",IF(M63&gt;=5,K63,"need group"),IF(M63&gt;=5,"DIRECT","need group"))</f>
        <v>greens</v>
      </c>
      <c r="X63" s="246">
        <f ca="1">IF($W63="DIRECT",M63,DCOUNT('literature entries'!$D:$AI,IF($J63=1,"ACTIVE     CED, FARM GATE (MJ/kg)","CED, processor gate (MJ/kg)"),INDIRECT($W63)))</f>
        <v>10</v>
      </c>
      <c r="Y63" s="246">
        <f ca="1">IF($W63="DIRECT","",DAVERAGE('literature entries'!$D:$AI,IF($J63=1,"ACTIVE     CED, FARM GATE (MJ/kg)","CED, processor gate (MJ/kg)"),INDIRECT($W63)))</f>
        <v>2.5657274700000001</v>
      </c>
      <c r="Z63" s="246">
        <f ca="1">IF($W63="DIRECT",$O63,DSTDEV('literature entries'!$D:$AI,IF($J63=1,"ACTIVE     CED, FARM GATE (MJ/kg)","CED, processor gate (MJ/kg)"),INDIRECT($W63)))</f>
        <v>1.5197673074222315</v>
      </c>
      <c r="AA63" s="246">
        <f t="shared" ca="1" si="7"/>
        <v>1.5197673074222315</v>
      </c>
      <c r="AB63" s="254" t="str">
        <f ca="1">IF(P63="PROXY",IF(Q63&gt;=5,K63,"need group"),IF(Q63&gt;=5,"DIRECT","need group"))</f>
        <v>greens</v>
      </c>
      <c r="AC63" s="247">
        <f ca="1">IF($AB63="DIRECT",Q63,DCOUNT('literature entries'!$D:$AI,IF($J63=1,"ACTIVE     GHGE, FARM GATE (kg CO2e/kg)","GHGE, processor gate (kg CO2e/kg)"),INDIRECT($AB63)))</f>
        <v>22</v>
      </c>
      <c r="AD63" s="247">
        <f ca="1">IF($AB63="DIRECT","",DAVERAGE('literature entries'!$D:$AI,IF($J63=1,"ACTIVE     GHGE, FARM GATE (kg CO2e/kg)","GHGE, processor gate (kg CO2e/kg)"),INDIRECT($AB63)))</f>
        <v>0.18561974136363635</v>
      </c>
      <c r="AE63" s="247">
        <f ca="1">IF($AB63="DIRECT",$S63,DSTDEV('literature entries'!$D:$AI,IF($J63=1,"ACTIVE     GHGE, FARM GATE (kg CO2e/kg)","GHGE, processor gate (kg CO2e/kg)"),INDIRECT($AB63)))</f>
        <v>9.7833632177637575E-2</v>
      </c>
      <c r="AF63" s="247">
        <f t="shared" ca="1" si="8"/>
        <v>9.7833632177637575E-2</v>
      </c>
    </row>
    <row r="64" spans="1:32" s="21" customFormat="1" thickBot="1" x14ac:dyDescent="0.25">
      <c r="A64" s="129">
        <v>500061000</v>
      </c>
      <c r="B64" s="130" t="s">
        <v>771</v>
      </c>
      <c r="C64" s="131" t="s">
        <v>1843</v>
      </c>
      <c r="D64" s="131"/>
      <c r="E64" s="131">
        <v>3819</v>
      </c>
      <c r="F64" s="126">
        <f t="shared" ca="1" si="0"/>
        <v>7.0366931620699296</v>
      </c>
      <c r="G64" s="127">
        <f t="shared" ca="1" si="1"/>
        <v>0.79725707346951868</v>
      </c>
      <c r="H64" s="132">
        <v>1.64</v>
      </c>
      <c r="I64" s="132" t="s">
        <v>2724</v>
      </c>
      <c r="J64" s="91">
        <v>1</v>
      </c>
      <c r="K64" s="90"/>
      <c r="L64" s="152" t="str">
        <f>IF(ISERROR(GETPIVOTDATA(IF($J64=1,"Count of ACTIVE     CED, FARM GATE (MJ/kg)","Count of CED, processor gate (MJ/kg)"),'Pivot Table_CED'!$A$3,"SUB TYPE",$B64)),"PROXY",IF(GETPIVOTDATA(IF($J64=1,"Count of ACTIVE     CED, FARM GATE (MJ/kg)","Count of CED, processor gate (MJ/kg)"),'Pivot Table_CED'!$A$3,"SUB TYPE",$B64)=0,"PROXY","DB value"))</f>
        <v>DB value</v>
      </c>
      <c r="M64" s="134">
        <f ca="1">IF($L64="PROXY",DCOUNT('literature entries'!$D:$AI,IF($J64=1,"ACTIVE     CED, FARM GATE (MJ/kg)","CED, processor gate (MJ/kg)"),INDIRECT($K64)),GETPIVOTDATA(IF($J64=1,"Count of ACTIVE     CED, FARM GATE (MJ/kg)","Count of CED, processor gate (MJ/kg)"),'Pivot Table_CED'!$A$3,"SUB TYPE",$B64))</f>
        <v>13</v>
      </c>
      <c r="N64" s="135">
        <f ca="1">IF($L64="PROXY",DAVERAGE('literature entries'!$D:$AI,IF($J64=1,"ACTIVE     CED, FARM GATE (MJ/kg)","CED, processor gate (MJ/kg)"),INDIRECT($K64)),GETPIVOTDATA(IF($J64=1,"Average of ACTIVE     CED, FARM GATE (MJ/kg)","Average of CED, processor gate (MJ/kg)"),'Pivot Table_CED'!$A$3,"SUB TYPE",$B64))</f>
        <v>4.290666562237762</v>
      </c>
      <c r="O64" s="135">
        <f ca="1">IF($L64="PROXY",DSTDEV('literature entries'!D:AI,IF($J64=1,"ACTIVE     CED, FARM GATE (MJ/kg)","CED, processor gate (MJ/kg)"),INDIRECT($K64)),GETPIVOTDATA(IF($J64=1,"StdDev of ACTIVE     CED, FARM GATE (MJ/kg)","StdDev of CED, processor gate (MJ/kg)"),'Pivot Table_CED'!$A$3,"SUB TYPE",$B64))</f>
        <v>1.8641381933984171</v>
      </c>
      <c r="P64" s="152" t="str">
        <f>IF(ISERROR(GETPIVOTDATA(IF($J64=1,"Count of ACTIVE     GHGE, FARM GATE (kg CO2e/kg)","Count of GHGE, processor gate (kg CO2e/kg)"),'Pivot Table_GHG'!$A$3,"SUB TYPE",$B64)),"PROXY",IF(GETPIVOTDATA(IF($J64=1,"Count of ACTIVE     GHGE, FARM GATE (kg CO2e/kg)","Count of GHGE, processor gate (kg CO2e/kg)"),'Pivot Table_GHG'!$A$3,"SUB TYPE",$B64)=0,"PROXY","DB value"))</f>
        <v>DB value</v>
      </c>
      <c r="Q64" s="141">
        <f ca="1">IF($P64="PROXY",DCOUNT('literature entries'!$D:$AI,IF($J64=1,"ACTIVE     GHGE, FARM GATE (kg CO2e/kg)","GHGE, processor gate (kg CO2e/kg)"),INDIRECT($K64)),GETPIVOTDATA(IF($J64=1,"ACTIVE     GHGE, FARM GATE (kg CO2e/kg)","Count of GHGE, processor gate (kg CO2e/kg)"),'Pivot Table_GHG'!$A$3,"SUB TYPE",$B64))</f>
        <v>17</v>
      </c>
      <c r="R64" s="221">
        <f ca="1">IF($P64="PROXY",DAVERAGE('literature entries'!$D:$AI,IF($J64=1,"ACTIVE     GHGE, FARM GATE (kg CO2e/kg)","GHGE, processor gate (kg CO2e/kg)"),INDIRECT($K64)),GETPIVOTDATA(IF($J64=1,"Average of ACTIVE     GHGE, FARM GATE (kg CO2e/kg)","Average of GHGE, processor gate (kg CO2e/kg)"),'Pivot Table_GHG'!$A$3,"SUB TYPE",$B64))</f>
        <v>0.48613236187165776</v>
      </c>
      <c r="S64" s="221">
        <f ca="1">IF($P64="PROXY",DSTDEV('literature entries'!$D:$AI,IF($J64=1,"ACTIVE     GHGE, FARM GATE (kg CO2e/kg)","GHGE, processor gate (kg CO2e/kg)"),INDIRECT($K64)),GETPIVOTDATA(IF($J64=1,"StdDev of ACTIVE     GHGE, FARM GATE (kg CO2e/kg)","StdDev of GHGE, processor gate (kg CO2e/kg)"),'Pivot Table_GHG'!$A$3,"SUB TYPE",$B64))</f>
        <v>0.35138775912544246</v>
      </c>
      <c r="T64" s="101"/>
      <c r="U64" s="102"/>
      <c r="W64" s="248" t="str">
        <f ca="1">IF(L64="PROXY",IF(M64&gt;=5,K64,"need group"),IF(M64&gt;=5,"DIRECT","need group"))</f>
        <v>DIRECT</v>
      </c>
      <c r="X64" s="246">
        <f ca="1">IF($W64="DIRECT",M64,DCOUNT('literature entries'!$D:$AI,IF($J64=1,"ACTIVE     CED, FARM GATE (MJ/kg)","CED, processor gate (MJ/kg)"),INDIRECT($W64)))</f>
        <v>13</v>
      </c>
      <c r="Y64" s="246" t="str">
        <f ca="1">IF($W64="DIRECT","",DAVERAGE('literature entries'!$D:$AI,IF($J64=1,"ACTIVE     CED, FARM GATE (MJ/kg)","CED, processor gate (MJ/kg)"),INDIRECT($W64)))</f>
        <v/>
      </c>
      <c r="Z64" s="246">
        <f ca="1">IF($W64="DIRECT",$O64,DSTDEV('literature entries'!$D:$AI,IF($J64=1,"ACTIVE     CED, FARM GATE (MJ/kg)","CED, processor gate (MJ/kg)"),INDIRECT($W64)))</f>
        <v>1.8641381933984171</v>
      </c>
      <c r="AA64" s="246">
        <f t="shared" ca="1" si="7"/>
        <v>1.8641381933984171</v>
      </c>
      <c r="AB64" s="254" t="str">
        <f ca="1">IF(P64="PROXY",IF(Q64&gt;=5,K64,"need group"),IF(Q64&gt;=5,"DIRECT","need group"))</f>
        <v>DIRECT</v>
      </c>
      <c r="AC64" s="247">
        <f ca="1">IF($AB64="DIRECT",Q64,DCOUNT('literature entries'!$D:$AI,IF($J64=1,"ACTIVE     GHGE, FARM GATE (kg CO2e/kg)","GHGE, processor gate (kg CO2e/kg)"),INDIRECT($AB64)))</f>
        <v>17</v>
      </c>
      <c r="AD64" s="247" t="str">
        <f ca="1">IF($AB64="DIRECT","",DAVERAGE('literature entries'!$D:$AI,IF($J64=1,"ACTIVE     GHGE, FARM GATE (kg CO2e/kg)","GHGE, processor gate (kg CO2e/kg)"),INDIRECT($AB64)))</f>
        <v/>
      </c>
      <c r="AE64" s="247">
        <f ca="1">IF($AB64="DIRECT",$S64,DSTDEV('literature entries'!$D:$AI,IF($J64=1,"ACTIVE     GHGE, FARM GATE (kg CO2e/kg)","GHGE, processor gate (kg CO2e/kg)"),INDIRECT($AB64)))</f>
        <v>0.35138775912544246</v>
      </c>
      <c r="AF64" s="247">
        <f t="shared" ca="1" si="8"/>
        <v>0.35138775912544246</v>
      </c>
    </row>
    <row r="65" spans="1:32" s="21" customFormat="1" thickBot="1" x14ac:dyDescent="0.25">
      <c r="A65" s="129">
        <v>500064000</v>
      </c>
      <c r="B65" s="130" t="s">
        <v>1846</v>
      </c>
      <c r="C65" s="131" t="s">
        <v>1847</v>
      </c>
      <c r="D65" s="131"/>
      <c r="E65" s="131">
        <v>91</v>
      </c>
      <c r="F65" s="126">
        <f t="shared" ca="1" si="0"/>
        <v>4.1846426691306826</v>
      </c>
      <c r="G65" s="127">
        <f t="shared" ca="1" si="1"/>
        <v>0.48985035283264472</v>
      </c>
      <c r="H65" s="132">
        <v>1.1100000000000001</v>
      </c>
      <c r="I65" s="132" t="s">
        <v>2724</v>
      </c>
      <c r="J65" s="91">
        <v>1</v>
      </c>
      <c r="K65" s="90" t="s">
        <v>2464</v>
      </c>
      <c r="L65" s="152" t="str">
        <f>IF(ISERROR(GETPIVOTDATA(IF($J65=1,"Count of ACTIVE     CED, FARM GATE (MJ/kg)","Count of CED, processor gate (MJ/kg)"),'Pivot Table_CED'!$A$3,"SUB TYPE",$B65)),"PROXY",IF(GETPIVOTDATA(IF($J65=1,"Count of ACTIVE     CED, FARM GATE (MJ/kg)","Count of CED, processor gate (MJ/kg)"),'Pivot Table_CED'!$A$3,"SUB TYPE",$B65)=0,"PROXY","DB value"))</f>
        <v>PROXY</v>
      </c>
      <c r="M65" s="134">
        <f ca="1">IF($L65="PROXY",DCOUNT('literature entries'!$D:$AI,IF($J65=1,"ACTIVE     CED, FARM GATE (MJ/kg)","CED, processor gate (MJ/kg)"),INDIRECT($K65)),GETPIVOTDATA(IF($J65=1,"Count of ACTIVE     CED, FARM GATE (MJ/kg)","Count of CED, processor gate (MJ/kg)"),'Pivot Table_CED'!$A$3,"SUB TYPE",$B65))</f>
        <v>16</v>
      </c>
      <c r="N65" s="135">
        <f ca="1">IF($L65="PROXY",DAVERAGE('literature entries'!$D:$AI,IF($J65=1,"ACTIVE     CED, FARM GATE (MJ/kg)","CED, processor gate (MJ/kg)"),INDIRECT($K65)),GETPIVOTDATA(IF($J65=1,"Average of ACTIVE     CED, FARM GATE (MJ/kg)","Average of CED, processor gate (MJ/kg)"),'Pivot Table_CED'!$A$3,"SUB TYPE",$B65))</f>
        <v>3.7699483505681823</v>
      </c>
      <c r="O65" s="135">
        <f ca="1">IF($L65="PROXY",DSTDEV('literature entries'!D:AI,IF($J65=1,"ACTIVE     CED, FARM GATE (MJ/kg)","CED, processor gate (MJ/kg)"),INDIRECT($K65)),GETPIVOTDATA(IF($J65=1,"StdDev of ACTIVE     CED, FARM GATE (MJ/kg)","StdDev of CED, processor gate (MJ/kg)"),'Pivot Table_CED'!$A$3,"SUB TYPE",$B65))</f>
        <v>2.015180177657335</v>
      </c>
      <c r="P65" s="152" t="str">
        <f>IF(ISERROR(GETPIVOTDATA(IF($J65=1,"Count of ACTIVE     GHGE, FARM GATE (kg CO2e/kg)","Count of GHGE, processor gate (kg CO2e/kg)"),'Pivot Table_GHG'!$A$3,"SUB TYPE",$B65)),"PROXY",IF(GETPIVOTDATA(IF($J65=1,"Count of ACTIVE     GHGE, FARM GATE (kg CO2e/kg)","Count of GHGE, processor gate (kg CO2e/kg)"),'Pivot Table_GHG'!$A$3,"SUB TYPE",$B65)=0,"PROXY","DB value"))</f>
        <v>PROXY</v>
      </c>
      <c r="Q65" s="141">
        <f ca="1">IF($P65="PROXY",DCOUNT('literature entries'!$D:$AI,IF($J65=1,"ACTIVE     GHGE, FARM GATE (kg CO2e/kg)","GHGE, processor gate (kg CO2e/kg)"),INDIRECT($K65)),GETPIVOTDATA(IF($J65=1,"ACTIVE     GHGE, FARM GATE (kg CO2e/kg)","Count of GHGE, processor gate (kg CO2e/kg)"),'Pivot Table_GHG'!$A$3,"SUB TYPE",$B65))</f>
        <v>22</v>
      </c>
      <c r="R65" s="221">
        <f ca="1">IF($P65="PROXY",DAVERAGE('literature entries'!$D:$AI,IF($J65=1,"ACTIVE     GHGE, FARM GATE (kg CO2e/kg)","GHGE, processor gate (kg CO2e/kg)"),INDIRECT($K65)),GETPIVOTDATA(IF($J65=1,"Average of ACTIVE     GHGE, FARM GATE (kg CO2e/kg)","Average of GHGE, processor gate (kg CO2e/kg)"),'Pivot Table_GHG'!$A$3,"SUB TYPE",$B65))</f>
        <v>0.44130662417355376</v>
      </c>
      <c r="S65" s="221">
        <f ca="1">IF($P65="PROXY",DSTDEV('literature entries'!$D:$AI,IF($J65=1,"ACTIVE     GHGE, FARM GATE (kg CO2e/kg)","GHGE, processor gate (kg CO2e/kg)"),INDIRECT($K65)),GETPIVOTDATA(IF($J65=1,"StdDev of ACTIVE     GHGE, FARM GATE (kg CO2e/kg)","StdDev of GHGE, processor gate (kg CO2e/kg)"),'Pivot Table_GHG'!$A$3,"SUB TYPE",$B65))</f>
        <v>0.32291425498521459</v>
      </c>
      <c r="T65" s="101"/>
      <c r="U65" s="102"/>
      <c r="W65" s="248" t="str">
        <f ca="1">IF(L65="PROXY",IF(M65&gt;=5,K65,"need group"),IF(M65&gt;=5,"DIRECT","need group"))</f>
        <v>brassica</v>
      </c>
      <c r="X65" s="246">
        <f ca="1">IF($W65="DIRECT",M65,DCOUNT('literature entries'!$D:$AI,IF($J65=1,"ACTIVE     CED, FARM GATE (MJ/kg)","CED, processor gate (MJ/kg)"),INDIRECT($W65)))</f>
        <v>16</v>
      </c>
      <c r="Y65" s="246">
        <f ca="1">IF($W65="DIRECT","",DAVERAGE('literature entries'!$D:$AI,IF($J65=1,"ACTIVE     CED, FARM GATE (MJ/kg)","CED, processor gate (MJ/kg)"),INDIRECT($W65)))</f>
        <v>3.7699483505681823</v>
      </c>
      <c r="Z65" s="246">
        <f ca="1">IF($W65="DIRECT",$O65,DSTDEV('literature entries'!$D:$AI,IF($J65=1,"ACTIVE     CED, FARM GATE (MJ/kg)","CED, processor gate (MJ/kg)"),INDIRECT($W65)))</f>
        <v>2.015180177657335</v>
      </c>
      <c r="AA65" s="246">
        <f t="shared" ca="1" si="7"/>
        <v>2.015180177657335</v>
      </c>
      <c r="AB65" s="254" t="str">
        <f ca="1">IF(P65="PROXY",IF(Q65&gt;=5,K65,"need group"),IF(Q65&gt;=5,"DIRECT","need group"))</f>
        <v>brassica</v>
      </c>
      <c r="AC65" s="247">
        <f ca="1">IF($AB65="DIRECT",Q65,DCOUNT('literature entries'!$D:$AI,IF($J65=1,"ACTIVE     GHGE, FARM GATE (kg CO2e/kg)","GHGE, processor gate (kg CO2e/kg)"),INDIRECT($AB65)))</f>
        <v>22</v>
      </c>
      <c r="AD65" s="247">
        <f ca="1">IF($AB65="DIRECT","",DAVERAGE('literature entries'!$D:$AI,IF($J65=1,"ACTIVE     GHGE, FARM GATE (kg CO2e/kg)","GHGE, processor gate (kg CO2e/kg)"),INDIRECT($AB65)))</f>
        <v>0.44130662417355376</v>
      </c>
      <c r="AE65" s="247">
        <f ca="1">IF($AB65="DIRECT",$S65,DSTDEV('literature entries'!$D:$AI,IF($J65=1,"ACTIVE     GHGE, FARM GATE (kg CO2e/kg)","GHGE, processor gate (kg CO2e/kg)"),INDIRECT($AB65)))</f>
        <v>0.32291425498521459</v>
      </c>
      <c r="AF65" s="247">
        <f t="shared" ca="1" si="8"/>
        <v>0.32291425498521459</v>
      </c>
    </row>
    <row r="66" spans="1:32" s="21" customFormat="1" thickBot="1" x14ac:dyDescent="0.25">
      <c r="A66" s="129">
        <v>500069000</v>
      </c>
      <c r="B66" s="130" t="s">
        <v>1853</v>
      </c>
      <c r="C66" s="131" t="s">
        <v>1760</v>
      </c>
      <c r="D66" s="131"/>
      <c r="E66" s="131">
        <v>3033</v>
      </c>
      <c r="F66" s="126">
        <f t="shared" ca="1" si="0"/>
        <v>1.375</v>
      </c>
      <c r="G66" s="127">
        <f t="shared" ca="1" si="1"/>
        <v>0.21875</v>
      </c>
      <c r="H66" s="132">
        <v>1.25</v>
      </c>
      <c r="I66" s="132" t="s">
        <v>2724</v>
      </c>
      <c r="J66" s="91">
        <v>1</v>
      </c>
      <c r="K66" s="90"/>
      <c r="L66" s="152" t="str">
        <f>IF(ISERROR(GETPIVOTDATA(IF($J66=1,"Count of ACTIVE     CED, FARM GATE (MJ/kg)","Count of CED, processor gate (MJ/kg)"),'Pivot Table_CED'!$A$3,"SUB TYPE",$B66)),"PROXY",IF(GETPIVOTDATA(IF($J66=1,"Count of ACTIVE     CED, FARM GATE (MJ/kg)","Count of CED, processor gate (MJ/kg)"),'Pivot Table_CED'!$A$3,"SUB TYPE",$B66)=0,"PROXY","DB value"))</f>
        <v>DB value</v>
      </c>
      <c r="M66" s="134">
        <f ca="1">IF($L66="PROXY",DCOUNT('literature entries'!$D:$AI,IF($J66=1,"ACTIVE     CED, FARM GATE (MJ/kg)","CED, processor gate (MJ/kg)"),INDIRECT($K66)),GETPIVOTDATA(IF($J66=1,"Count of ACTIVE     CED, FARM GATE (MJ/kg)","Count of CED, processor gate (MJ/kg)"),'Pivot Table_CED'!$A$3,"SUB TYPE",$B66))</f>
        <v>1</v>
      </c>
      <c r="N66" s="135">
        <f ca="1">IF($L66="PROXY",DAVERAGE('literature entries'!$D:$AI,IF($J66=1,"ACTIVE     CED, FARM GATE (MJ/kg)","CED, processor gate (MJ/kg)"),INDIRECT($K66)),GETPIVOTDATA(IF($J66=1,"Average of ACTIVE     CED, FARM GATE (MJ/kg)","Average of CED, processor gate (MJ/kg)"),'Pivot Table_CED'!$A$3,"SUB TYPE",$B66))</f>
        <v>1.1000000000000001</v>
      </c>
      <c r="O66" s="135">
        <f ca="1">IF($L66="PROXY",DSTDEV('literature entries'!D:AI,IF($J66=1,"ACTIVE     CED, FARM GATE (MJ/kg)","CED, processor gate (MJ/kg)"),INDIRECT($K66)),GETPIVOTDATA(IF($J66=1,"StdDev of ACTIVE     CED, FARM GATE (MJ/kg)","StdDev of CED, processor gate (MJ/kg)"),'Pivot Table_CED'!$A$3,"SUB TYPE",$B66))</f>
        <v>0</v>
      </c>
      <c r="P66" s="152" t="str">
        <f>IF(ISERROR(GETPIVOTDATA(IF($J66=1,"Count of ACTIVE     GHGE, FARM GATE (kg CO2e/kg)","Count of GHGE, processor gate (kg CO2e/kg)"),'Pivot Table_GHG'!$A$3,"SUB TYPE",$B66)),"PROXY",IF(GETPIVOTDATA(IF($J66=1,"Count of ACTIVE     GHGE, FARM GATE (kg CO2e/kg)","Count of GHGE, processor gate (kg CO2e/kg)"),'Pivot Table_GHG'!$A$3,"SUB TYPE",$B66)=0,"PROXY","DB value"))</f>
        <v>DB value</v>
      </c>
      <c r="Q66" s="141">
        <f ca="1">IF($P66="PROXY",DCOUNT('literature entries'!$D:$AI,IF($J66=1,"ACTIVE     GHGE, FARM GATE (kg CO2e/kg)","GHGE, processor gate (kg CO2e/kg)"),INDIRECT($K66)),GETPIVOTDATA(IF($J66=1,"ACTIVE     GHGE, FARM GATE (kg CO2e/kg)","Count of GHGE, processor gate (kg CO2e/kg)"),'Pivot Table_GHG'!$A$3,"SUB TYPE",$B66))</f>
        <v>2</v>
      </c>
      <c r="R66" s="221">
        <f ca="1">IF($P66="PROXY",DAVERAGE('literature entries'!$D:$AI,IF($J66=1,"ACTIVE     GHGE, FARM GATE (kg CO2e/kg)","GHGE, processor gate (kg CO2e/kg)"),INDIRECT($K66)),GETPIVOTDATA(IF($J66=1,"Average of ACTIVE     GHGE, FARM GATE (kg CO2e/kg)","Average of GHGE, processor gate (kg CO2e/kg)"),'Pivot Table_GHG'!$A$3,"SUB TYPE",$B66))</f>
        <v>0.17499999999999999</v>
      </c>
      <c r="S66" s="221">
        <f ca="1">IF($P66="PROXY",DSTDEV('literature entries'!$D:$AI,IF($J66=1,"ACTIVE     GHGE, FARM GATE (kg CO2e/kg)","GHGE, processor gate (kg CO2e/kg)"),INDIRECT($K66)),GETPIVOTDATA(IF($J66=1,"StdDev of ACTIVE     GHGE, FARM GATE (kg CO2e/kg)","StdDev of GHGE, processor gate (kg CO2e/kg)"),'Pivot Table_GHG'!$A$3,"SUB TYPE",$B66))</f>
        <v>7.7781745930520271E-2</v>
      </c>
      <c r="T66" s="101"/>
      <c r="U66" s="102"/>
      <c r="W66" s="248" t="s">
        <v>2464</v>
      </c>
      <c r="X66" s="246">
        <f ca="1">IF($W66="DIRECT",M66,DCOUNT('literature entries'!$D:$AI,IF($J66=1,"ACTIVE     CED, FARM GATE (MJ/kg)","CED, processor gate (MJ/kg)"),INDIRECT($W66)))</f>
        <v>16</v>
      </c>
      <c r="Y66" s="246">
        <f ca="1">IF($W66="DIRECT","",DAVERAGE('literature entries'!$D:$AI,IF($J66=1,"ACTIVE     CED, FARM GATE (MJ/kg)","CED, processor gate (MJ/kg)"),INDIRECT($W66)))</f>
        <v>3.7699483505681823</v>
      </c>
      <c r="Z66" s="246">
        <f ca="1">IF($W66="DIRECT",$O66,DSTDEV('literature entries'!$D:$AI,IF($J66=1,"ACTIVE     CED, FARM GATE (MJ/kg)","CED, processor gate (MJ/kg)"),INDIRECT($W66)))</f>
        <v>2.015180177657335</v>
      </c>
      <c r="AA66" s="246">
        <f t="shared" ca="1" si="7"/>
        <v>0.5879916617661306</v>
      </c>
      <c r="AB66" s="254" t="s">
        <v>2464</v>
      </c>
      <c r="AC66" s="247">
        <f ca="1">IF($AB66="DIRECT",Q66,DCOUNT('literature entries'!$D:$AI,IF($J66=1,"ACTIVE     GHGE, FARM GATE (kg CO2e/kg)","GHGE, processor gate (kg CO2e/kg)"),INDIRECT($AB66)))</f>
        <v>22</v>
      </c>
      <c r="AD66" s="247">
        <f ca="1">IF($AB66="DIRECT","",DAVERAGE('literature entries'!$D:$AI,IF($J66=1,"ACTIVE     GHGE, FARM GATE (kg CO2e/kg)","GHGE, processor gate (kg CO2e/kg)"),INDIRECT($AB66)))</f>
        <v>0.44130662417355376</v>
      </c>
      <c r="AE66" s="247">
        <f ca="1">IF($AB66="DIRECT",$S66,DSTDEV('literature entries'!$D:$AI,IF($J66=1,"ACTIVE     GHGE, FARM GATE (kg CO2e/kg)","GHGE, processor gate (kg CO2e/kg)"),INDIRECT($AB66)))</f>
        <v>0.32291425498521459</v>
      </c>
      <c r="AF66" s="247">
        <f t="shared" ca="1" si="8"/>
        <v>0.12805154404432581</v>
      </c>
    </row>
    <row r="67" spans="1:32" s="21" customFormat="1" ht="17" thickBot="1" x14ac:dyDescent="0.25">
      <c r="A67" s="129">
        <v>500071000</v>
      </c>
      <c r="B67" s="130" t="s">
        <v>1856</v>
      </c>
      <c r="C67" s="131" t="s">
        <v>1760</v>
      </c>
      <c r="D67" s="131"/>
      <c r="E67" s="131">
        <v>240</v>
      </c>
      <c r="F67" s="126">
        <f t="shared" ca="1" si="0"/>
        <v>0.52707649769999987</v>
      </c>
      <c r="G67" s="127">
        <f t="shared" ca="1" si="1"/>
        <v>0.13435964189999999</v>
      </c>
      <c r="H67" s="132">
        <v>1.1399999999999999</v>
      </c>
      <c r="I67" s="133" t="s">
        <v>2724</v>
      </c>
      <c r="J67" s="91">
        <v>1</v>
      </c>
      <c r="K67" s="90" t="s">
        <v>3267</v>
      </c>
      <c r="L67" s="152" t="str">
        <f>IF(ISERROR(GETPIVOTDATA(IF($J67=1,"Count of ACTIVE     CED, FARM GATE (MJ/kg)","Count of CED, processor gate (MJ/kg)"),'Pivot Table_CED'!$A$3,"SUB TYPE",$B67)),"PROXY",IF(GETPIVOTDATA(IF($J67=1,"Count of ACTIVE     CED, FARM GATE (MJ/kg)","Count of CED, processor gate (MJ/kg)"),'Pivot Table_CED'!$A$3,"SUB TYPE",$B67)=0,"PROXY","DB value"))</f>
        <v>PROXY</v>
      </c>
      <c r="M67" s="134">
        <f ca="1">IF($L67="PROXY",DCOUNT('literature entries'!$D:$AI,IF($J67=1,"ACTIVE     CED, FARM GATE (MJ/kg)","CED, processor gate (MJ/kg)"),INDIRECT($K67)),GETPIVOTDATA(IF($J67=1,"Count of ACTIVE     CED, FARM GATE (MJ/kg)","Count of CED, processor gate (MJ/kg)"),'Pivot Table_CED'!$A$3,"SUB TYPE",$B67))</f>
        <v>2</v>
      </c>
      <c r="N67" s="135">
        <f ca="1">IF($L67="PROXY",DAVERAGE('literature entries'!$D:$AI,IF($J67=1,"ACTIVE     CED, FARM GATE (MJ/kg)","CED, processor gate (MJ/kg)"),INDIRECT($K67)),GETPIVOTDATA(IF($J67=1,"Average of ACTIVE     CED, FARM GATE (MJ/kg)","Average of CED, processor gate (MJ/kg)"),'Pivot Table_CED'!$A$3,"SUB TYPE",$B67))</f>
        <v>0.46234780499999995</v>
      </c>
      <c r="O67" s="135">
        <f ca="1">IF($L67="PROXY",DSTDEV('literature entries'!D:AI,IF($J67=1,"ACTIVE     CED, FARM GATE (MJ/kg)","CED, processor gate (MJ/kg)"),INDIRECT($K67)),GETPIVOTDATA(IF($J67=1,"StdDev of ACTIVE     CED, FARM GATE (MJ/kg)","StdDev of CED, processor gate (MJ/kg)"),'Pivot Table_CED'!$A$3,"SUB TYPE",$B67))</f>
        <v>0.14723359720196788</v>
      </c>
      <c r="P67" s="152" t="str">
        <f>IF(ISERROR(GETPIVOTDATA(IF($J67=1,"Count of ACTIVE     GHGE, FARM GATE (kg CO2e/kg)","Count of GHGE, processor gate (kg CO2e/kg)"),'Pivot Table_GHG'!$A$3,"SUB TYPE",$B67)),"PROXY",IF(GETPIVOTDATA(IF($J67=1,"Count of ACTIVE     GHGE, FARM GATE (kg CO2e/kg)","Count of GHGE, processor gate (kg CO2e/kg)"),'Pivot Table_GHG'!$A$3,"SUB TYPE",$B67)=0,"PROXY","DB value"))</f>
        <v>PROXY</v>
      </c>
      <c r="Q67" s="141">
        <f ca="1">IF($P67="PROXY",DCOUNT('literature entries'!$D:$AI,IF($J67=1,"ACTIVE     GHGE, FARM GATE (kg CO2e/kg)","GHGE, processor gate (kg CO2e/kg)"),INDIRECT($K67)),GETPIVOTDATA(IF($J67=1,"ACTIVE     GHGE, FARM GATE (kg CO2e/kg)","Count of GHGE, processor gate (kg CO2e/kg)"),'Pivot Table_GHG'!$A$3,"SUB TYPE",$B67))</f>
        <v>2</v>
      </c>
      <c r="R67" s="221">
        <f ca="1">IF($P67="PROXY",DAVERAGE('literature entries'!$D:$AI,IF($J67=1,"ACTIVE     GHGE, FARM GATE (kg CO2e/kg)","GHGE, processor gate (kg CO2e/kg)"),INDIRECT($K67)),GETPIVOTDATA(IF($J67=1,"Average of ACTIVE     GHGE, FARM GATE (kg CO2e/kg)","Average of GHGE, processor gate (kg CO2e/kg)"),'Pivot Table_GHG'!$A$3,"SUB TYPE",$B67))</f>
        <v>0.11785933500000001</v>
      </c>
      <c r="S67" s="221">
        <f ca="1">IF($P67="PROXY",DSTDEV('literature entries'!$D:$AI,IF($J67=1,"ACTIVE     GHGE, FARM GATE (kg CO2e/kg)","GHGE, processor gate (kg CO2e/kg)"),INDIRECT($K67)),GETPIVOTDATA(IF($J67=1,"StdDev of ACTIVE     GHGE, FARM GATE (kg CO2e/kg)","StdDev of GHGE, processor gate (kg CO2e/kg)"),'Pivot Table_GHG'!$A$3,"SUB TYPE",$B67))</f>
        <v>2.2400930695955514E-3</v>
      </c>
      <c r="T67" s="101"/>
      <c r="U67" s="102"/>
      <c r="W67" s="248" t="s">
        <v>3353</v>
      </c>
      <c r="X67" s="246">
        <f ca="1">IF($W67="DIRECT",M67,DCOUNT('literature entries'!$D:$AI,IF($J67=1,"ACTIVE     CED, FARM GATE (MJ/kg)","CED, processor gate (MJ/kg)"),INDIRECT($W67)))</f>
        <v>18</v>
      </c>
      <c r="Y67" s="246">
        <f ca="1">IF($W67="DIRECT","",DAVERAGE('literature entries'!$D:$AI,IF($J67=1,"ACTIVE     CED, FARM GATE (MJ/kg)","CED, processor gate (MJ/kg)"),INDIRECT($W67)))</f>
        <v>3.4024371788383845</v>
      </c>
      <c r="Z67" s="246">
        <f ca="1">IF($W67="DIRECT",$O67,DSTDEV('literature entries'!$D:$AI,IF($J67=1,"ACTIVE     CED, FARM GATE (MJ/kg)","CED, processor gate (MJ/kg)"),INDIRECT($W67)))</f>
        <v>2.1745212778414005</v>
      </c>
      <c r="AA67" s="246">
        <f t="shared" ca="1" si="7"/>
        <v>0.29548969955677828</v>
      </c>
      <c r="AB67" s="254" t="s">
        <v>3353</v>
      </c>
      <c r="AC67" s="247">
        <f ca="1">IF($AB67="DIRECT",Q67,DCOUNT('literature entries'!$D:$AI,IF($J67=1,"ACTIVE     GHGE, FARM GATE (kg CO2e/kg)","GHGE, processor gate (kg CO2e/kg)"),INDIRECT($AB67)))</f>
        <v>26</v>
      </c>
      <c r="AD67" s="247">
        <f ca="1">IF($AB67="DIRECT","",DAVERAGE('literature entries'!$D:$AI,IF($J67=1,"ACTIVE     GHGE, FARM GATE (kg CO2e/kg)","GHGE, processor gate (kg CO2e/kg)"),INDIRECT($AB67)))</f>
        <v>0.41363324622377629</v>
      </c>
      <c r="AE67" s="247">
        <f ca="1">IF($AB67="DIRECT",$S67,DSTDEV('literature entries'!$D:$AI,IF($J67=1,"ACTIVE     GHGE, FARM GATE (kg CO2e/kg)","GHGE, processor gate (kg CO2e/kg)"),INDIRECT($AB67)))</f>
        <v>0.30904772338148734</v>
      </c>
      <c r="AF67" s="247">
        <f t="shared" ca="1" si="8"/>
        <v>8.8059070429025721E-2</v>
      </c>
    </row>
    <row r="68" spans="1:32" s="21" customFormat="1" ht="17" thickBot="1" x14ac:dyDescent="0.25">
      <c r="A68" s="129">
        <v>500072000</v>
      </c>
      <c r="B68" s="130" t="s">
        <v>1855</v>
      </c>
      <c r="C68" s="131" t="s">
        <v>1760</v>
      </c>
      <c r="D68" s="131"/>
      <c r="E68" s="131">
        <v>240</v>
      </c>
      <c r="F68" s="126">
        <f t="shared" ref="F68:F131" ca="1" si="9">N68*H68+T68</f>
        <v>0.49933562939999998</v>
      </c>
      <c r="G68" s="127">
        <f t="shared" ref="G68:G131" ca="1" si="10">R68*H68+U68</f>
        <v>0.12728808180000001</v>
      </c>
      <c r="H68" s="132">
        <v>1.08</v>
      </c>
      <c r="I68" s="133" t="s">
        <v>2724</v>
      </c>
      <c r="J68" s="91">
        <v>1</v>
      </c>
      <c r="K68" s="90" t="s">
        <v>3267</v>
      </c>
      <c r="L68" s="152" t="str">
        <f>IF(ISERROR(GETPIVOTDATA(IF($J68=1,"Count of ACTIVE     CED, FARM GATE (MJ/kg)","Count of CED, processor gate (MJ/kg)"),'Pivot Table_CED'!$A$3,"SUB TYPE",$B68)),"PROXY",IF(GETPIVOTDATA(IF($J68=1,"Count of ACTIVE     CED, FARM GATE (MJ/kg)","Count of CED, processor gate (MJ/kg)"),'Pivot Table_CED'!$A$3,"SUB TYPE",$B68)=0,"PROXY","DB value"))</f>
        <v>PROXY</v>
      </c>
      <c r="M68" s="134">
        <f ca="1">IF($L68="PROXY",DCOUNT('literature entries'!$D:$AI,IF($J68=1,"ACTIVE     CED, FARM GATE (MJ/kg)","CED, processor gate (MJ/kg)"),INDIRECT($K68)),GETPIVOTDATA(IF($J68=1,"Count of ACTIVE     CED, FARM GATE (MJ/kg)","Count of CED, processor gate (MJ/kg)"),'Pivot Table_CED'!$A$3,"SUB TYPE",$B68))</f>
        <v>2</v>
      </c>
      <c r="N68" s="135">
        <f ca="1">IF($L68="PROXY",DAVERAGE('literature entries'!$D:$AI,IF($J68=1,"ACTIVE     CED, FARM GATE (MJ/kg)","CED, processor gate (MJ/kg)"),INDIRECT($K68)),GETPIVOTDATA(IF($J68=1,"Average of ACTIVE     CED, FARM GATE (MJ/kg)","Average of CED, processor gate (MJ/kg)"),'Pivot Table_CED'!$A$3,"SUB TYPE",$B68))</f>
        <v>0.46234780499999995</v>
      </c>
      <c r="O68" s="135">
        <f ca="1">IF($L68="PROXY",DSTDEV('literature entries'!D:AI,IF($J68=1,"ACTIVE     CED, FARM GATE (MJ/kg)","CED, processor gate (MJ/kg)"),INDIRECT($K68)),GETPIVOTDATA(IF($J68=1,"StdDev of ACTIVE     CED, FARM GATE (MJ/kg)","StdDev of CED, processor gate (MJ/kg)"),'Pivot Table_CED'!$A$3,"SUB TYPE",$B68))</f>
        <v>0.14723359720196788</v>
      </c>
      <c r="P68" s="152" t="str">
        <f>IF(ISERROR(GETPIVOTDATA(IF($J68=1,"Count of ACTIVE     GHGE, FARM GATE (kg CO2e/kg)","Count of GHGE, processor gate (kg CO2e/kg)"),'Pivot Table_GHG'!$A$3,"SUB TYPE",$B68)),"PROXY",IF(GETPIVOTDATA(IF($J68=1,"Count of ACTIVE     GHGE, FARM GATE (kg CO2e/kg)","Count of GHGE, processor gate (kg CO2e/kg)"),'Pivot Table_GHG'!$A$3,"SUB TYPE",$B68)=0,"PROXY","DB value"))</f>
        <v>PROXY</v>
      </c>
      <c r="Q68" s="141">
        <f ca="1">IF($P68="PROXY",DCOUNT('literature entries'!$D:$AI,IF($J68=1,"ACTIVE     GHGE, FARM GATE (kg CO2e/kg)","GHGE, processor gate (kg CO2e/kg)"),INDIRECT($K68)),GETPIVOTDATA(IF($J68=1,"ACTIVE     GHGE, FARM GATE (kg CO2e/kg)","Count of GHGE, processor gate (kg CO2e/kg)"),'Pivot Table_GHG'!$A$3,"SUB TYPE",$B68))</f>
        <v>2</v>
      </c>
      <c r="R68" s="221">
        <f ca="1">IF($P68="PROXY",DAVERAGE('literature entries'!$D:$AI,IF($J68=1,"ACTIVE     GHGE, FARM GATE (kg CO2e/kg)","GHGE, processor gate (kg CO2e/kg)"),INDIRECT($K68)),GETPIVOTDATA(IF($J68=1,"Average of ACTIVE     GHGE, FARM GATE (kg CO2e/kg)","Average of GHGE, processor gate (kg CO2e/kg)"),'Pivot Table_GHG'!$A$3,"SUB TYPE",$B68))</f>
        <v>0.11785933500000001</v>
      </c>
      <c r="S68" s="221">
        <f ca="1">IF($P68="PROXY",DSTDEV('literature entries'!$D:$AI,IF($J68=1,"ACTIVE     GHGE, FARM GATE (kg CO2e/kg)","GHGE, processor gate (kg CO2e/kg)"),INDIRECT($K68)),GETPIVOTDATA(IF($J68=1,"StdDev of ACTIVE     GHGE, FARM GATE (kg CO2e/kg)","StdDev of GHGE, processor gate (kg CO2e/kg)"),'Pivot Table_GHG'!$A$3,"SUB TYPE",$B68))</f>
        <v>2.2400930695955514E-3</v>
      </c>
      <c r="T68" s="101"/>
      <c r="U68" s="102"/>
      <c r="W68" s="248" t="s">
        <v>3353</v>
      </c>
      <c r="X68" s="246">
        <f ca="1">IF($W68="DIRECT",M68,DCOUNT('literature entries'!$D:$AI,IF($J68=1,"ACTIVE     CED, FARM GATE (MJ/kg)","CED, processor gate (MJ/kg)"),INDIRECT($W68)))</f>
        <v>18</v>
      </c>
      <c r="Y68" s="246">
        <f ca="1">IF($W68="DIRECT","",DAVERAGE('literature entries'!$D:$AI,IF($J68=1,"ACTIVE     CED, FARM GATE (MJ/kg)","CED, processor gate (MJ/kg)"),INDIRECT($W68)))</f>
        <v>3.4024371788383845</v>
      </c>
      <c r="Z68" s="246">
        <f ca="1">IF($W68="DIRECT",$O68,DSTDEV('literature entries'!$D:$AI,IF($J68=1,"ACTIVE     CED, FARM GATE (MJ/kg)","CED, processor gate (MJ/kg)"),INDIRECT($W68)))</f>
        <v>2.1745212778414005</v>
      </c>
      <c r="AA68" s="246">
        <f t="shared" ca="1" si="7"/>
        <v>0.29548969955677828</v>
      </c>
      <c r="AB68" s="254" t="s">
        <v>3353</v>
      </c>
      <c r="AC68" s="247">
        <f ca="1">IF($AB68="DIRECT",Q68,DCOUNT('literature entries'!$D:$AI,IF($J68=1,"ACTIVE     GHGE, FARM GATE (kg CO2e/kg)","GHGE, processor gate (kg CO2e/kg)"),INDIRECT($AB68)))</f>
        <v>26</v>
      </c>
      <c r="AD68" s="247">
        <f ca="1">IF($AB68="DIRECT","",DAVERAGE('literature entries'!$D:$AI,IF($J68=1,"ACTIVE     GHGE, FARM GATE (kg CO2e/kg)","GHGE, processor gate (kg CO2e/kg)"),INDIRECT($AB68)))</f>
        <v>0.41363324622377629</v>
      </c>
      <c r="AE68" s="247">
        <f ca="1">IF($AB68="DIRECT",$S68,DSTDEV('literature entries'!$D:$AI,IF($J68=1,"ACTIVE     GHGE, FARM GATE (kg CO2e/kg)","GHGE, processor gate (kg CO2e/kg)"),INDIRECT($AB68)))</f>
        <v>0.30904772338148734</v>
      </c>
      <c r="AF68" s="247">
        <f t="shared" ca="1" si="8"/>
        <v>8.8059070429025721E-2</v>
      </c>
    </row>
    <row r="69" spans="1:32" s="21" customFormat="1" thickBot="1" x14ac:dyDescent="0.25">
      <c r="A69" s="129">
        <v>500083000</v>
      </c>
      <c r="B69" s="130" t="s">
        <v>875</v>
      </c>
      <c r="C69" s="131" t="s">
        <v>1843</v>
      </c>
      <c r="D69" s="131" t="s">
        <v>1871</v>
      </c>
      <c r="E69" s="131">
        <v>1217</v>
      </c>
      <c r="F69" s="126">
        <f t="shared" ca="1" si="9"/>
        <v>4.4038506239999995</v>
      </c>
      <c r="G69" s="127">
        <f t="shared" ca="1" si="10"/>
        <v>0.93396956159999989</v>
      </c>
      <c r="H69" s="132">
        <v>2.56</v>
      </c>
      <c r="I69" s="132" t="s">
        <v>2724</v>
      </c>
      <c r="J69" s="91">
        <v>1</v>
      </c>
      <c r="K69" s="90"/>
      <c r="L69" s="152" t="str">
        <f>IF(ISERROR(GETPIVOTDATA(IF($J69=1,"Count of ACTIVE     CED, FARM GATE (MJ/kg)","Count of CED, processor gate (MJ/kg)"),'Pivot Table_CED'!$A$3,"SUB TYPE",$B69)),"PROXY",IF(GETPIVOTDATA(IF($J69=1,"Count of ACTIVE     CED, FARM GATE (MJ/kg)","Count of CED, processor gate (MJ/kg)"),'Pivot Table_CED'!$A$3,"SUB TYPE",$B69)=0,"PROXY","DB value"))</f>
        <v>DB value</v>
      </c>
      <c r="M69" s="134">
        <f ca="1">IF($L69="PROXY",DCOUNT('literature entries'!$D:$AI,IF($J69=1,"ACTIVE     CED, FARM GATE (MJ/kg)","CED, processor gate (MJ/kg)"),INDIRECT($K69)),GETPIVOTDATA(IF($J69=1,"Count of ACTIVE     CED, FARM GATE (MJ/kg)","Count of CED, processor gate (MJ/kg)"),'Pivot Table_CED'!$A$3,"SUB TYPE",$B69))</f>
        <v>2</v>
      </c>
      <c r="N69" s="135">
        <f ca="1">IF($L69="PROXY",DAVERAGE('literature entries'!$D:$AI,IF($J69=1,"ACTIVE     CED, FARM GATE (MJ/kg)","CED, processor gate (MJ/kg)"),INDIRECT($K69)),GETPIVOTDATA(IF($J69=1,"Average of ACTIVE     CED, FARM GATE (MJ/kg)","Average of CED, processor gate (MJ/kg)"),'Pivot Table_CED'!$A$3,"SUB TYPE",$B69))</f>
        <v>1.7202541499999999</v>
      </c>
      <c r="O69" s="135">
        <f ca="1">IF($L69="PROXY",DSTDEV('literature entries'!D:AI,IF($J69=1,"ACTIVE     CED, FARM GATE (MJ/kg)","CED, processor gate (MJ/kg)"),INDIRECT($K69)),GETPIVOTDATA(IF($J69=1,"StdDev of ACTIVE     CED, FARM GATE (MJ/kg)","StdDev of CED, processor gate (MJ/kg)"),'Pivot Table_CED'!$A$3,"SUB TYPE",$B69))</f>
        <v>0.39761667895223496</v>
      </c>
      <c r="P69" s="152" t="str">
        <f>IF(ISERROR(GETPIVOTDATA(IF($J69=1,"Count of ACTIVE     GHGE, FARM GATE (kg CO2e/kg)","Count of GHGE, processor gate (kg CO2e/kg)"),'Pivot Table_GHG'!$A$3,"SUB TYPE",$B69)),"PROXY",IF(GETPIVOTDATA(IF($J69=1,"Count of ACTIVE     GHGE, FARM GATE (kg CO2e/kg)","Count of GHGE, processor gate (kg CO2e/kg)"),'Pivot Table_GHG'!$A$3,"SUB TYPE",$B69)=0,"PROXY","DB value"))</f>
        <v>DB value</v>
      </c>
      <c r="Q69" s="141">
        <f ca="1">IF($P69="PROXY",DCOUNT('literature entries'!$D:$AI,IF($J69=1,"ACTIVE     GHGE, FARM GATE (kg CO2e/kg)","GHGE, processor gate (kg CO2e/kg)"),INDIRECT($K69)),GETPIVOTDATA(IF($J69=1,"ACTIVE     GHGE, FARM GATE (kg CO2e/kg)","Count of GHGE, processor gate (kg CO2e/kg)"),'Pivot Table_GHG'!$A$3,"SUB TYPE",$B69))</f>
        <v>3</v>
      </c>
      <c r="R69" s="221">
        <f ca="1">IF($P69="PROXY",DAVERAGE('literature entries'!$D:$AI,IF($J69=1,"ACTIVE     GHGE, FARM GATE (kg CO2e/kg)","GHGE, processor gate (kg CO2e/kg)"),INDIRECT($K69)),GETPIVOTDATA(IF($J69=1,"Average of ACTIVE     GHGE, FARM GATE (kg CO2e/kg)","Average of GHGE, processor gate (kg CO2e/kg)"),'Pivot Table_GHG'!$A$3,"SUB TYPE",$B69))</f>
        <v>0.36483185999999995</v>
      </c>
      <c r="S69" s="221">
        <f ca="1">IF($P69="PROXY",DSTDEV('literature entries'!$D:$AI,IF($J69=1,"ACTIVE     GHGE, FARM GATE (kg CO2e/kg)","GHGE, processor gate (kg CO2e/kg)"),INDIRECT($K69)),GETPIVOTDATA(IF($J69=1,"StdDev of ACTIVE     GHGE, FARM GATE (kg CO2e/kg)","StdDev of GHGE, processor gate (kg CO2e/kg)"),'Pivot Table_GHG'!$A$3,"SUB TYPE",$B69))</f>
        <v>8.5380681561765842E-2</v>
      </c>
      <c r="T69" s="101"/>
      <c r="U69" s="102"/>
      <c r="W69" s="248" t="s">
        <v>2464</v>
      </c>
      <c r="X69" s="246">
        <f ca="1">IF($W69="DIRECT",M69,DCOUNT('literature entries'!$D:$AI,IF($J69=1,"ACTIVE     CED, FARM GATE (MJ/kg)","CED, processor gate (MJ/kg)"),INDIRECT($W69)))</f>
        <v>16</v>
      </c>
      <c r="Y69" s="246">
        <f ca="1">IF($W69="DIRECT","",DAVERAGE('literature entries'!$D:$AI,IF($J69=1,"ACTIVE     CED, FARM GATE (MJ/kg)","CED, processor gate (MJ/kg)"),INDIRECT($W69)))</f>
        <v>3.7699483505681823</v>
      </c>
      <c r="Z69" s="246">
        <f ca="1">IF($W69="DIRECT",$O69,DSTDEV('literature entries'!$D:$AI,IF($J69=1,"ACTIVE     CED, FARM GATE (MJ/kg)","CED, processor gate (MJ/kg)"),INDIRECT($W69)))</f>
        <v>2.015180177657335</v>
      </c>
      <c r="AA69" s="246">
        <f t="shared" ca="1" si="7"/>
        <v>0.91954099665325673</v>
      </c>
      <c r="AB69" s="254" t="s">
        <v>2464</v>
      </c>
      <c r="AC69" s="247">
        <f ca="1">IF($AB69="DIRECT",Q69,DCOUNT('literature entries'!$D:$AI,IF($J69=1,"ACTIVE     GHGE, FARM GATE (kg CO2e/kg)","GHGE, processor gate (kg CO2e/kg)"),INDIRECT($AB69)))</f>
        <v>22</v>
      </c>
      <c r="AD69" s="247">
        <f ca="1">IF($AB69="DIRECT","",DAVERAGE('literature entries'!$D:$AI,IF($J69=1,"ACTIVE     GHGE, FARM GATE (kg CO2e/kg)","GHGE, processor gate (kg CO2e/kg)"),INDIRECT($AB69)))</f>
        <v>0.44130662417355376</v>
      </c>
      <c r="AE69" s="247">
        <f ca="1">IF($AB69="DIRECT",$S69,DSTDEV('literature entries'!$D:$AI,IF($J69=1,"ACTIVE     GHGE, FARM GATE (kg CO2e/kg)","GHGE, processor gate (kg CO2e/kg)"),INDIRECT($AB69)))</f>
        <v>0.32291425498521459</v>
      </c>
      <c r="AF69" s="247">
        <f t="shared" ca="1" si="8"/>
        <v>0.26695590279750459</v>
      </c>
    </row>
    <row r="70" spans="1:32" s="21" customFormat="1" ht="17" thickBot="1" x14ac:dyDescent="0.25">
      <c r="A70" s="129">
        <v>600347000</v>
      </c>
      <c r="B70" s="130" t="s">
        <v>2270</v>
      </c>
      <c r="C70" s="131" t="s">
        <v>2271</v>
      </c>
      <c r="D70" s="131"/>
      <c r="E70" s="131">
        <v>6346</v>
      </c>
      <c r="F70" s="126">
        <f t="shared" ca="1" si="9"/>
        <v>2.7156750000000001</v>
      </c>
      <c r="G70" s="127">
        <f t="shared" ca="1" si="10"/>
        <v>1.15428</v>
      </c>
      <c r="H70" s="132">
        <v>1</v>
      </c>
      <c r="I70" s="133" t="s">
        <v>594</v>
      </c>
      <c r="J70" s="91">
        <v>1</v>
      </c>
      <c r="K70" s="90"/>
      <c r="L70" s="152" t="str">
        <f>IF(ISERROR(GETPIVOTDATA(IF($J70=1,"Count of ACTIVE     CED, FARM GATE (MJ/kg)","Count of CED, processor gate (MJ/kg)"),'Pivot Table_CED'!$A$3,"SUB TYPE",$B70)),"PROXY",IF(GETPIVOTDATA(IF($J70=1,"Count of ACTIVE     CED, FARM GATE (MJ/kg)","Count of CED, processor gate (MJ/kg)"),'Pivot Table_CED'!$A$3,"SUB TYPE",$B70)=0,"PROXY","DB value"))</f>
        <v>DB value</v>
      </c>
      <c r="M70" s="134">
        <f ca="1">IF($L70="PROXY",DCOUNT('literature entries'!$D:$AI,IF($J70=1,"ACTIVE     CED, FARM GATE (MJ/kg)","CED, processor gate (MJ/kg)"),INDIRECT($K70)),GETPIVOTDATA(IF($J70=1,"Count of ACTIVE     CED, FARM GATE (MJ/kg)","Count of CED, processor gate (MJ/kg)"),'Pivot Table_CED'!$A$3,"SUB TYPE",$B70))</f>
        <v>4</v>
      </c>
      <c r="N70" s="135">
        <f ca="1">IF($L70="PROXY",DAVERAGE('literature entries'!$D:$AI,IF($J70=1,"ACTIVE     CED, FARM GATE (MJ/kg)","CED, processor gate (MJ/kg)"),INDIRECT($K70)),GETPIVOTDATA(IF($J70=1,"Average of ACTIVE     CED, FARM GATE (MJ/kg)","Average of CED, processor gate (MJ/kg)"),'Pivot Table_CED'!$A$3,"SUB TYPE",$B70))</f>
        <v>2.7156750000000001</v>
      </c>
      <c r="O70" s="135">
        <f ca="1">IF($L70="PROXY",DSTDEV('literature entries'!D:AI,IF($J70=1,"ACTIVE     CED, FARM GATE (MJ/kg)","CED, processor gate (MJ/kg)"),INDIRECT($K70)),GETPIVOTDATA(IF($J70=1,"StdDev of ACTIVE     CED, FARM GATE (MJ/kg)","StdDev of CED, processor gate (MJ/kg)"),'Pivot Table_CED'!$A$3,"SUB TYPE",$B70))</f>
        <v>1.0677965579485011</v>
      </c>
      <c r="P70" s="152" t="str">
        <f>IF(ISERROR(GETPIVOTDATA(IF($J70=1,"Count of ACTIVE     GHGE, FARM GATE (kg CO2e/kg)","Count of GHGE, processor gate (kg CO2e/kg)"),'Pivot Table_GHG'!$A$3,"SUB TYPE",$B70)),"PROXY",IF(GETPIVOTDATA(IF($J70=1,"Count of ACTIVE     GHGE, FARM GATE (kg CO2e/kg)","Count of GHGE, processor gate (kg CO2e/kg)"),'Pivot Table_GHG'!$A$3,"SUB TYPE",$B70)=0,"PROXY","DB value"))</f>
        <v>DB value</v>
      </c>
      <c r="Q70" s="141">
        <f ca="1">IF($P70="PROXY",DCOUNT('literature entries'!$D:$AI,IF($J70=1,"ACTIVE     GHGE, FARM GATE (kg CO2e/kg)","GHGE, processor gate (kg CO2e/kg)"),INDIRECT($K70)),GETPIVOTDATA(IF($J70=1,"ACTIVE     GHGE, FARM GATE (kg CO2e/kg)","Count of GHGE, processor gate (kg CO2e/kg)"),'Pivot Table_GHG'!$A$3,"SUB TYPE",$B70))</f>
        <v>4</v>
      </c>
      <c r="R70" s="221">
        <f ca="1">IF($P70="PROXY",DAVERAGE('literature entries'!$D:$AI,IF($J70=1,"ACTIVE     GHGE, FARM GATE (kg CO2e/kg)","GHGE, processor gate (kg CO2e/kg)"),INDIRECT($K70)),GETPIVOTDATA(IF($J70=1,"Average of ACTIVE     GHGE, FARM GATE (kg CO2e/kg)","Average of GHGE, processor gate (kg CO2e/kg)"),'Pivot Table_GHG'!$A$3,"SUB TYPE",$B70))</f>
        <v>1.15428</v>
      </c>
      <c r="S70" s="221">
        <f ca="1">IF($P70="PROXY",DSTDEV('literature entries'!$D:$AI,IF($J70=1,"ACTIVE     GHGE, FARM GATE (kg CO2e/kg)","GHGE, processor gate (kg CO2e/kg)"),INDIRECT($K70)),GETPIVOTDATA(IF($J70=1,"StdDev of ACTIVE     GHGE, FARM GATE (kg CO2e/kg)","StdDev of GHGE, processor gate (kg CO2e/kg)"),'Pivot Table_GHG'!$A$3,"SUB TYPE",$B70))</f>
        <v>1.7655963975193576</v>
      </c>
      <c r="T70" s="101"/>
      <c r="U70" s="102"/>
      <c r="W70" s="248" t="s">
        <v>3355</v>
      </c>
      <c r="X70" s="246">
        <f ca="1">IF($W70="DIRECT",M70,DCOUNT('literature entries'!$D:$AI,IF($J70=1,"ACTIVE     CED, FARM GATE (MJ/kg)","CED, processor gate (MJ/kg)"),INDIRECT($W70)))</f>
        <v>19</v>
      </c>
      <c r="Y70" s="246">
        <f ca="1">IF($W70="DIRECT","",DAVERAGE('literature entries'!$D:$AI,IF($J70=1,"ACTIVE     CED, FARM GATE (MJ/kg)","CED, processor gate (MJ/kg)"),INDIRECT($W70)))</f>
        <v>3.1899535894736837</v>
      </c>
      <c r="Z70" s="246">
        <f ca="1">IF($W70="DIRECT",$O70,DSTDEV('literature entries'!$D:$AI,IF($J70=1,"ACTIVE     CED, FARM GATE (MJ/kg)","CED, processor gate (MJ/kg)"),INDIRECT($W70)))</f>
        <v>1.8390624775878359</v>
      </c>
      <c r="AA70" s="246">
        <f t="shared" ca="1" si="7"/>
        <v>1.5656328074187953</v>
      </c>
      <c r="AB70" s="254" t="s">
        <v>3355</v>
      </c>
      <c r="AC70" s="247">
        <f ca="1">IF($AB70="DIRECT",Q70,DCOUNT('literature entries'!$D:$AI,IF($J70=1,"ACTIVE     GHGE, FARM GATE (kg CO2e/kg)","GHGE, processor gate (kg CO2e/kg)"),INDIRECT($AB70)))</f>
        <v>29</v>
      </c>
      <c r="AD70" s="247">
        <f ca="1">IF($AB70="DIRECT","",DAVERAGE('literature entries'!$D:$AI,IF($J70=1,"ACTIVE     GHGE, FARM GATE (kg CO2e/kg)","GHGE, processor gate (kg CO2e/kg)"),INDIRECT($AB70)))</f>
        <v>0.73083219793103427</v>
      </c>
      <c r="AE70" s="247">
        <f ca="1">IF($AB70="DIRECT",$S70,DSTDEV('literature entries'!$D:$AI,IF($J70=1,"ACTIVE     GHGE, FARM GATE (kg CO2e/kg)","GHGE, processor gate (kg CO2e/kg)"),INDIRECT($AB70)))</f>
        <v>0.90386671550847975</v>
      </c>
      <c r="AF70" s="247">
        <f t="shared" ca="1" si="8"/>
        <v>1.4275715757060576</v>
      </c>
    </row>
    <row r="71" spans="1:32" s="21" customFormat="1" ht="17" thickBot="1" x14ac:dyDescent="0.25">
      <c r="A71" s="129">
        <v>600348000</v>
      </c>
      <c r="B71" s="130" t="s">
        <v>2266</v>
      </c>
      <c r="C71" s="136" t="s">
        <v>2267</v>
      </c>
      <c r="D71" s="131"/>
      <c r="E71" s="131">
        <v>29542</v>
      </c>
      <c r="F71" s="126">
        <f t="shared" ca="1" si="9"/>
        <v>2.9633449999999999</v>
      </c>
      <c r="G71" s="127">
        <f t="shared" ca="1" si="10"/>
        <v>0.40566000000000002</v>
      </c>
      <c r="H71" s="133">
        <v>1</v>
      </c>
      <c r="I71" s="133" t="s">
        <v>2724</v>
      </c>
      <c r="J71" s="91">
        <v>2</v>
      </c>
      <c r="K71" s="90" t="s">
        <v>3286</v>
      </c>
      <c r="L71" s="152" t="str">
        <f>IF(ISERROR(GETPIVOTDATA(IF($J71=1,"Count of ACTIVE     CED, FARM GATE (MJ/kg)","Count of CED, processor gate (MJ/kg)"),'Pivot Table_CED'!$A$3,"SUB TYPE",$B71)),"PROXY",IF(GETPIVOTDATA(IF($J71=1,"Count of ACTIVE     CED, FARM GATE (MJ/kg)","Count of CED, processor gate (MJ/kg)"),'Pivot Table_CED'!$A$3,"SUB TYPE",$B71)=0,"PROXY","DB value"))</f>
        <v>PROXY</v>
      </c>
      <c r="M71" s="134">
        <f ca="1">IF($L71="PROXY",DCOUNT('literature entries'!$D:$AI,IF($J71=1,"ACTIVE     CED, FARM GATE (MJ/kg)","CED, processor gate (MJ/kg)"),INDIRECT($K71)),GETPIVOTDATA(IF($J71=1,"Count of ACTIVE     CED, FARM GATE (MJ/kg)","Count of CED, processor gate (MJ/kg)"),'Pivot Table_CED'!$A$3,"SUB TYPE",$B71))</f>
        <v>1</v>
      </c>
      <c r="N71" s="135">
        <f ca="1">IF($L71="PROXY",DAVERAGE('literature entries'!$D:$AI,IF($J71=1,"ACTIVE     CED, FARM GATE (MJ/kg)","CED, processor gate (MJ/kg)"),INDIRECT($K71)),GETPIVOTDATA(IF($J71=1,"Average of ACTIVE     CED, FARM GATE (MJ/kg)","Average of CED, processor gate (MJ/kg)"),'Pivot Table_CED'!$A$3,"SUB TYPE",$B71))</f>
        <v>2.9633449999999999</v>
      </c>
      <c r="O71" s="135" t="e">
        <f ca="1">IF($L71="PROXY",DSTDEV('literature entries'!D:AI,IF($J71=1,"ACTIVE     CED, FARM GATE (MJ/kg)","CED, processor gate (MJ/kg)"),INDIRECT($K71)),GETPIVOTDATA(IF($J71=1,"StdDev of ACTIVE     CED, FARM GATE (MJ/kg)","StdDev of CED, processor gate (MJ/kg)"),'Pivot Table_CED'!$A$3,"SUB TYPE",$B71))</f>
        <v>#DIV/0!</v>
      </c>
      <c r="P71" s="152" t="str">
        <f>IF(ISERROR(GETPIVOTDATA(IF($J71=1,"Count of ACTIVE     GHGE, FARM GATE (kg CO2e/kg)","Count of GHGE, processor gate (kg CO2e/kg)"),'Pivot Table_GHG'!$A$3,"SUB TYPE",$B71)),"PROXY",IF(GETPIVOTDATA(IF($J71=1,"Count of ACTIVE     GHGE, FARM GATE (kg CO2e/kg)","Count of GHGE, processor gate (kg CO2e/kg)"),'Pivot Table_GHG'!$A$3,"SUB TYPE",$B71)=0,"PROXY","DB value"))</f>
        <v>PROXY</v>
      </c>
      <c r="Q71" s="141">
        <f ca="1">IF($P71="PROXY",DCOUNT('literature entries'!$D:$AI,IF($J71=1,"ACTIVE     GHGE, FARM GATE (kg CO2e/kg)","GHGE, processor gate (kg CO2e/kg)"),INDIRECT($K71)),GETPIVOTDATA(IF($J71=1,"ACTIVE     GHGE, FARM GATE (kg CO2e/kg)","Count of GHGE, processor gate (kg CO2e/kg)"),'Pivot Table_GHG'!$A$3,"SUB TYPE",$B71))</f>
        <v>1</v>
      </c>
      <c r="R71" s="221">
        <f ca="1">IF($P71="PROXY",DAVERAGE('literature entries'!$D:$AI,IF($J71=1,"ACTIVE     GHGE, FARM GATE (kg CO2e/kg)","GHGE, processor gate (kg CO2e/kg)"),INDIRECT($K71)),GETPIVOTDATA(IF($J71=1,"Average of ACTIVE     GHGE, FARM GATE (kg CO2e/kg)","Average of GHGE, processor gate (kg CO2e/kg)"),'Pivot Table_GHG'!$A$3,"SUB TYPE",$B71))</f>
        <v>0.40566000000000002</v>
      </c>
      <c r="S71" s="221" t="e">
        <f ca="1">IF($P71="PROXY",DSTDEV('literature entries'!$D:$AI,IF($J71=1,"ACTIVE     GHGE, FARM GATE (kg CO2e/kg)","GHGE, processor gate (kg CO2e/kg)"),INDIRECT($K71)),GETPIVOTDATA(IF($J71=1,"StdDev of ACTIVE     GHGE, FARM GATE (kg CO2e/kg)","StdDev of GHGE, processor gate (kg CO2e/kg)"),'Pivot Table_GHG'!$A$3,"SUB TYPE",$B71))</f>
        <v>#DIV/0!</v>
      </c>
      <c r="T71" s="101"/>
      <c r="U71" s="102"/>
      <c r="W71" s="248" t="s">
        <v>3358</v>
      </c>
      <c r="X71" s="246">
        <f ca="1">IF($W71="DIRECT",M71,DCOUNT('literature entries'!$D:$AI,IF($J71=1,"ACTIVE     CED, FARM GATE (MJ/kg)","CED, processor gate (MJ/kg)"),INDIRECT($W71)))</f>
        <v>9</v>
      </c>
      <c r="Y71" s="246">
        <f ca="1">IF($W71="DIRECT","",DAVERAGE('literature entries'!$D:$AI,IF($J71=1,"ACTIVE     CED, FARM GATE (MJ/kg)","CED, processor gate (MJ/kg)"),INDIRECT($W71)))</f>
        <v>3.7933851999999999</v>
      </c>
      <c r="Z71" s="246">
        <f ca="1">IF($W71="DIRECT",$O71,DSTDEV('literature entries'!$D:$AI,IF($J71=1,"ACTIVE     CED, FARM GATE (MJ/kg)","CED, processor gate (MJ/kg)"),INDIRECT($W71)))</f>
        <v>1.2312612173276687</v>
      </c>
      <c r="AA71" s="246">
        <f t="shared" ca="1" si="7"/>
        <v>0.96184583945280866</v>
      </c>
      <c r="AB71" s="254" t="s">
        <v>3358</v>
      </c>
      <c r="AC71" s="247">
        <f ca="1">IF($AB71="DIRECT",Q71,DCOUNT('literature entries'!$D:$AI,IF($J71=1,"ACTIVE     GHGE, FARM GATE (kg CO2e/kg)","GHGE, processor gate (kg CO2e/kg)"),INDIRECT($AB71)))</f>
        <v>9</v>
      </c>
      <c r="AD71" s="247">
        <f ca="1">IF($AB71="DIRECT","",DAVERAGE('literature entries'!$D:$AI,IF($J71=1,"ACTIVE     GHGE, FARM GATE (kg CO2e/kg)","GHGE, processor gate (kg CO2e/kg)"),INDIRECT($AB71)))</f>
        <v>0.43042331</v>
      </c>
      <c r="AE71" s="247">
        <f ca="1">IF($AB71="DIRECT",$S71,DSTDEV('literature entries'!$D:$AI,IF($J71=1,"ACTIVE     GHGE, FARM GATE (kg CO2e/kg)","GHGE, processor gate (kg CO2e/kg)"),INDIRECT($AB71)))</f>
        <v>7.2682317360146784E-2</v>
      </c>
      <c r="AF71" s="247">
        <f t="shared" ca="1" si="8"/>
        <v>6.8500725158953751E-2</v>
      </c>
    </row>
    <row r="72" spans="1:32" s="21" customFormat="1" ht="17" thickBot="1" x14ac:dyDescent="0.25">
      <c r="A72" s="129">
        <v>600349000</v>
      </c>
      <c r="B72" s="130" t="s">
        <v>2272</v>
      </c>
      <c r="C72" s="131" t="s">
        <v>2273</v>
      </c>
      <c r="D72" s="131"/>
      <c r="E72" s="131">
        <v>1094</v>
      </c>
      <c r="F72" s="126">
        <f t="shared" ca="1" si="9"/>
        <v>1.682897205</v>
      </c>
      <c r="G72" s="127">
        <f t="shared" ca="1" si="10"/>
        <v>0.25832333333333329</v>
      </c>
      <c r="H72" s="132">
        <v>1</v>
      </c>
      <c r="I72" s="133" t="s">
        <v>594</v>
      </c>
      <c r="J72" s="91">
        <v>2</v>
      </c>
      <c r="K72" s="90"/>
      <c r="L72" s="152" t="str">
        <f>IF(ISERROR(GETPIVOTDATA(IF($J72=1,"Count of ACTIVE     CED, FARM GATE (MJ/kg)","Count of CED, processor gate (MJ/kg)"),'Pivot Table_CED'!$A$3,"SUB TYPE",$B72)),"PROXY",IF(GETPIVOTDATA(IF($J72=1,"Count of ACTIVE     CED, FARM GATE (MJ/kg)","Count of CED, processor gate (MJ/kg)"),'Pivot Table_CED'!$A$3,"SUB TYPE",$B72)=0,"PROXY","DB value"))</f>
        <v>DB value</v>
      </c>
      <c r="M72" s="134">
        <f ca="1">IF($L72="PROXY",DCOUNT('literature entries'!$D:$AI,IF($J72=1,"ACTIVE     CED, FARM GATE (MJ/kg)","CED, processor gate (MJ/kg)"),INDIRECT($K72)),GETPIVOTDATA(IF($J72=1,"Count of ACTIVE     CED, FARM GATE (MJ/kg)","Count of CED, processor gate (MJ/kg)"),'Pivot Table_CED'!$A$3,"SUB TYPE",$B72))</f>
        <v>2</v>
      </c>
      <c r="N72" s="135">
        <f ca="1">IF($L72="PROXY",DAVERAGE('literature entries'!$D:$AI,IF($J72=1,"ACTIVE     CED, FARM GATE (MJ/kg)","CED, processor gate (MJ/kg)"),INDIRECT($K72)),GETPIVOTDATA(IF($J72=1,"Average of ACTIVE     CED, FARM GATE (MJ/kg)","Average of CED, processor gate (MJ/kg)"),'Pivot Table_CED'!$A$3,"SUB TYPE",$B72))</f>
        <v>1.682897205</v>
      </c>
      <c r="O72" s="135">
        <f ca="1">IF($L72="PROXY",DSTDEV('literature entries'!D:AI,IF($J72=1,"ACTIVE     CED, FARM GATE (MJ/kg)","CED, processor gate (MJ/kg)"),INDIRECT($K72)),GETPIVOTDATA(IF($J72=1,"StdDev of ACTIVE     CED, FARM GATE (MJ/kg)","StdDev of CED, processor gate (MJ/kg)"),'Pivot Table_CED'!$A$3,"SUB TYPE",$B72))</f>
        <v>0.11297474034395312</v>
      </c>
      <c r="P72" s="152" t="str">
        <f>IF(ISERROR(GETPIVOTDATA(IF($J72=1,"Count of ACTIVE     GHGE, FARM GATE (kg CO2e/kg)","Count of GHGE, processor gate (kg CO2e/kg)"),'Pivot Table_GHG'!$A$3,"SUB TYPE",$B72)),"PROXY",IF(GETPIVOTDATA(IF($J72=1,"Count of ACTIVE     GHGE, FARM GATE (kg CO2e/kg)","Count of GHGE, processor gate (kg CO2e/kg)"),'Pivot Table_GHG'!$A$3,"SUB TYPE",$B72)=0,"PROXY","DB value"))</f>
        <v>DB value</v>
      </c>
      <c r="Q72" s="141">
        <f ca="1">IF($P72="PROXY",DCOUNT('literature entries'!$D:$AI,IF($J72=1,"ACTIVE     GHGE, FARM GATE (kg CO2e/kg)","GHGE, processor gate (kg CO2e/kg)"),INDIRECT($K72)),GETPIVOTDATA(IF($J72=1,"ACTIVE     GHGE, FARM GATE (kg CO2e/kg)","Count of GHGE, processor gate (kg CO2e/kg)"),'Pivot Table_GHG'!$A$3,"SUB TYPE",$B72))</f>
        <v>3</v>
      </c>
      <c r="R72" s="221">
        <f ca="1">IF($P72="PROXY",DAVERAGE('literature entries'!$D:$AI,IF($J72=1,"ACTIVE     GHGE, FARM GATE (kg CO2e/kg)","GHGE, processor gate (kg CO2e/kg)"),INDIRECT($K72)),GETPIVOTDATA(IF($J72=1,"Average of ACTIVE     GHGE, FARM GATE (kg CO2e/kg)","Average of GHGE, processor gate (kg CO2e/kg)"),'Pivot Table_GHG'!$A$3,"SUB TYPE",$B72))</f>
        <v>0.25832333333333329</v>
      </c>
      <c r="S72" s="221">
        <f ca="1">IF($P72="PROXY",DSTDEV('literature entries'!$D:$AI,IF($J72=1,"ACTIVE     GHGE, FARM GATE (kg CO2e/kg)","GHGE, processor gate (kg CO2e/kg)"),INDIRECT($K72)),GETPIVOTDATA(IF($J72=1,"StdDev of ACTIVE     GHGE, FARM GATE (kg CO2e/kg)","StdDev of GHGE, processor gate (kg CO2e/kg)"),'Pivot Table_GHG'!$A$3,"SUB TYPE",$B72))</f>
        <v>0.16877969200509091</v>
      </c>
      <c r="T72" s="101"/>
      <c r="U72" s="102"/>
      <c r="W72" s="256" t="s">
        <v>3367</v>
      </c>
      <c r="X72" s="246"/>
      <c r="Y72" s="246"/>
      <c r="Z72" s="246">
        <v>0</v>
      </c>
      <c r="AA72" s="246">
        <v>0</v>
      </c>
      <c r="AB72" s="256" t="s">
        <v>3367</v>
      </c>
      <c r="AC72" s="247"/>
      <c r="AD72" s="247"/>
      <c r="AE72" s="247">
        <v>0</v>
      </c>
      <c r="AF72" s="247">
        <v>0</v>
      </c>
    </row>
    <row r="73" spans="1:32" s="21" customFormat="1" ht="17" thickBot="1" x14ac:dyDescent="0.25">
      <c r="A73" s="129">
        <v>600350000</v>
      </c>
      <c r="B73" s="130" t="s">
        <v>2268</v>
      </c>
      <c r="C73" s="131" t="s">
        <v>1731</v>
      </c>
      <c r="D73" s="131" t="s">
        <v>2269</v>
      </c>
      <c r="E73" s="131">
        <v>50809</v>
      </c>
      <c r="F73" s="126">
        <f t="shared" ca="1" si="9"/>
        <v>7.6164500000000004</v>
      </c>
      <c r="G73" s="127">
        <f t="shared" ca="1" si="10"/>
        <v>0.80688000000000004</v>
      </c>
      <c r="H73" s="136">
        <v>1</v>
      </c>
      <c r="I73" s="133" t="s">
        <v>628</v>
      </c>
      <c r="J73" s="91">
        <v>2</v>
      </c>
      <c r="K73" s="90"/>
      <c r="L73" s="152" t="str">
        <f>IF(ISERROR(GETPIVOTDATA(IF($J73=1,"Count of ACTIVE     CED, FARM GATE (MJ/kg)","Count of CED, processor gate (MJ/kg)"),'Pivot Table_CED'!$A$3,"SUB TYPE",$B73)),"PROXY",IF(GETPIVOTDATA(IF($J73=1,"Count of ACTIVE     CED, FARM GATE (MJ/kg)","Count of CED, processor gate (MJ/kg)"),'Pivot Table_CED'!$A$3,"SUB TYPE",$B73)=0,"PROXY","DB value"))</f>
        <v>DB value</v>
      </c>
      <c r="M73" s="134">
        <f ca="1">IF($L73="PROXY",DCOUNT('literature entries'!$D:$AI,IF($J73=1,"ACTIVE     CED, FARM GATE (MJ/kg)","CED, processor gate (MJ/kg)"),INDIRECT($K73)),GETPIVOTDATA(IF($J73=1,"Count of ACTIVE     CED, FARM GATE (MJ/kg)","Count of CED, processor gate (MJ/kg)"),'Pivot Table_CED'!$A$3,"SUB TYPE",$B73))</f>
        <v>2</v>
      </c>
      <c r="N73" s="135">
        <f ca="1">IF($L73="PROXY",DAVERAGE('literature entries'!$D:$AI,IF($J73=1,"ACTIVE     CED, FARM GATE (MJ/kg)","CED, processor gate (MJ/kg)"),INDIRECT($K73)),GETPIVOTDATA(IF($J73=1,"Average of ACTIVE     CED, FARM GATE (MJ/kg)","Average of CED, processor gate (MJ/kg)"),'Pivot Table_CED'!$A$3,"SUB TYPE",$B73))</f>
        <v>7.6164500000000004</v>
      </c>
      <c r="O73" s="135">
        <f ca="1">IF($L73="PROXY",DSTDEV('literature entries'!D:AI,IF($J73=1,"ACTIVE     CED, FARM GATE (MJ/kg)","CED, processor gate (MJ/kg)"),INDIRECT($K73)),GETPIVOTDATA(IF($J73=1,"StdDev of ACTIVE     CED, FARM GATE (MJ/kg)","StdDev of CED, processor gate (MJ/kg)"),'Pivot Table_CED'!$A$3,"SUB TYPE",$B73))</f>
        <v>1.6030817836280169</v>
      </c>
      <c r="P73" s="152" t="str">
        <f>IF(ISERROR(GETPIVOTDATA(IF($J73=1,"Count of ACTIVE     GHGE, FARM GATE (kg CO2e/kg)","Count of GHGE, processor gate (kg CO2e/kg)"),'Pivot Table_GHG'!$A$3,"SUB TYPE",$B73)),"PROXY",IF(GETPIVOTDATA(IF($J73=1,"Count of ACTIVE     GHGE, FARM GATE (kg CO2e/kg)","Count of GHGE, processor gate (kg CO2e/kg)"),'Pivot Table_GHG'!$A$3,"SUB TYPE",$B73)=0,"PROXY","DB value"))</f>
        <v>DB value</v>
      </c>
      <c r="Q73" s="141">
        <f ca="1">IF($P73="PROXY",DCOUNT('literature entries'!$D:$AI,IF($J73=1,"ACTIVE     GHGE, FARM GATE (kg CO2e/kg)","GHGE, processor gate (kg CO2e/kg)"),INDIRECT($K73)),GETPIVOTDATA(IF($J73=1,"ACTIVE     GHGE, FARM GATE (kg CO2e/kg)","Count of GHGE, processor gate (kg CO2e/kg)"),'Pivot Table_GHG'!$A$3,"SUB TYPE",$B73))</f>
        <v>1</v>
      </c>
      <c r="R73" s="221">
        <f ca="1">IF($P73="PROXY",DAVERAGE('literature entries'!$D:$AI,IF($J73=1,"ACTIVE     GHGE, FARM GATE (kg CO2e/kg)","GHGE, processor gate (kg CO2e/kg)"),INDIRECT($K73)),GETPIVOTDATA(IF($J73=1,"Average of ACTIVE     GHGE, FARM GATE (kg CO2e/kg)","Average of GHGE, processor gate (kg CO2e/kg)"),'Pivot Table_GHG'!$A$3,"SUB TYPE",$B73))</f>
        <v>0.80688000000000004</v>
      </c>
      <c r="S73" s="221" t="e">
        <f ca="1">IF($P73="PROXY",DSTDEV('literature entries'!$D:$AI,IF($J73=1,"ACTIVE     GHGE, FARM GATE (kg CO2e/kg)","GHGE, processor gate (kg CO2e/kg)"),INDIRECT($K73)),GETPIVOTDATA(IF($J73=1,"StdDev of ACTIVE     GHGE, FARM GATE (kg CO2e/kg)","StdDev of GHGE, processor gate (kg CO2e/kg)"),'Pivot Table_GHG'!$A$3,"SUB TYPE",$B73))</f>
        <v>#DIV/0!</v>
      </c>
      <c r="T73" s="101"/>
      <c r="U73" s="102"/>
      <c r="W73" s="248" t="s">
        <v>3354</v>
      </c>
      <c r="X73" s="246">
        <f ca="1">IF($W73="DIRECT",M73,DCOUNT('literature entries'!$D:$AI,IF($J73=1,"ACTIVE     CED, FARM GATE (MJ/kg)","CED, processor gate (MJ/kg)"),INDIRECT($W73)))</f>
        <v>16</v>
      </c>
      <c r="Y73" s="246">
        <f ca="1">IF($W73="DIRECT","",DAVERAGE('literature entries'!$D:$AI,IF($J73=1,"ACTIVE     CED, FARM GATE (MJ/kg)","CED, processor gate (MJ/kg)"),INDIRECT($W73)))</f>
        <v>11.873325197282607</v>
      </c>
      <c r="Z73" s="246">
        <f ca="1">IF($W73="DIRECT",$O73,DSTDEV('literature entries'!$D:$AI,IF($J73=1,"ACTIVE     CED, FARM GATE (MJ/kg)","CED, processor gate (MJ/kg)"),INDIRECT($W73)))</f>
        <v>5.663275464099641</v>
      </c>
      <c r="AA73" s="246">
        <f t="shared" ref="AA73:AA104" ca="1" si="11">IF($W73="DIRECT",$O73,$Z73/$Y73*$N73)</f>
        <v>3.6328537871104212</v>
      </c>
      <c r="AB73" s="254" t="s">
        <v>3354</v>
      </c>
      <c r="AC73" s="247">
        <f ca="1">IF($AB73="DIRECT",Q73,DCOUNT('literature entries'!$D:$AI,IF($J73=1,"ACTIVE     GHGE, FARM GATE (kg CO2e/kg)","GHGE, processor gate (kg CO2e/kg)"),INDIRECT($AB73)))</f>
        <v>19</v>
      </c>
      <c r="AD73" s="247">
        <f ca="1">IF($AB73="DIRECT","",DAVERAGE('literature entries'!$D:$AI,IF($J73=1,"ACTIVE     GHGE, FARM GATE (kg CO2e/kg)","GHGE, processor gate (kg CO2e/kg)"),INDIRECT($AB73)))</f>
        <v>3.6074757576297722</v>
      </c>
      <c r="AE73" s="247">
        <f ca="1">IF($AB73="DIRECT",$S73,DSTDEV('literature entries'!$D:$AI,IF($J73=1,"ACTIVE     GHGE, FARM GATE (kg CO2e/kg)","GHGE, processor gate (kg CO2e/kg)"),INDIRECT($AB73)))</f>
        <v>2.5306182127862726</v>
      </c>
      <c r="AF73" s="247">
        <f t="shared" ref="AF73:AF104" ca="1" si="12">IF($AB73="DIRECT",$S73,$AE73/$AD73*$R73)</f>
        <v>0.56602049763311102</v>
      </c>
    </row>
    <row r="74" spans="1:32" s="21" customFormat="1" thickBot="1" x14ac:dyDescent="0.25">
      <c r="A74" s="129">
        <v>601043000</v>
      </c>
      <c r="B74" s="130" t="s">
        <v>1805</v>
      </c>
      <c r="C74" s="131" t="s">
        <v>1790</v>
      </c>
      <c r="D74" s="131" t="s">
        <v>1806</v>
      </c>
      <c r="E74" s="131">
        <v>5924</v>
      </c>
      <c r="F74" s="126">
        <f t="shared" ca="1" si="9"/>
        <v>5.785499999999999</v>
      </c>
      <c r="G74" s="127">
        <f t="shared" ca="1" si="10"/>
        <v>0.75417333333333336</v>
      </c>
      <c r="H74" s="132">
        <v>1.1399999999999999</v>
      </c>
      <c r="I74" s="132" t="s">
        <v>2724</v>
      </c>
      <c r="J74" s="91">
        <v>1</v>
      </c>
      <c r="K74" s="90"/>
      <c r="L74" s="152" t="str">
        <f>IF(ISERROR(GETPIVOTDATA(IF($J74=1,"Count of ACTIVE     CED, FARM GATE (MJ/kg)","Count of CED, processor gate (MJ/kg)"),'Pivot Table_CED'!$A$3,"SUB TYPE",$B74)),"PROXY",IF(GETPIVOTDATA(IF($J74=1,"Count of ACTIVE     CED, FARM GATE (MJ/kg)","Count of CED, processor gate (MJ/kg)"),'Pivot Table_CED'!$A$3,"SUB TYPE",$B74)=0,"PROXY","DB value"))</f>
        <v>DB value</v>
      </c>
      <c r="M74" s="134">
        <f ca="1">IF($L74="PROXY",DCOUNT('literature entries'!$D:$AI,IF($J74=1,"ACTIVE     CED, FARM GATE (MJ/kg)","CED, processor gate (MJ/kg)"),INDIRECT($K74)),GETPIVOTDATA(IF($J74=1,"Count of ACTIVE     CED, FARM GATE (MJ/kg)","Count of CED, processor gate (MJ/kg)"),'Pivot Table_CED'!$A$3,"SUB TYPE",$B74))</f>
        <v>2</v>
      </c>
      <c r="N74" s="135">
        <f ca="1">IF($L74="PROXY",DAVERAGE('literature entries'!$D:$AI,IF($J74=1,"ACTIVE     CED, FARM GATE (MJ/kg)","CED, processor gate (MJ/kg)"),INDIRECT($K74)),GETPIVOTDATA(IF($J74=1,"Average of ACTIVE     CED, FARM GATE (MJ/kg)","Average of CED, processor gate (MJ/kg)"),'Pivot Table_CED'!$A$3,"SUB TYPE",$B74))</f>
        <v>5.0749999999999993</v>
      </c>
      <c r="O74" s="135">
        <f ca="1">IF($L74="PROXY",DSTDEV('literature entries'!D:AI,IF($J74=1,"ACTIVE     CED, FARM GATE (MJ/kg)","CED, processor gate (MJ/kg)"),INDIRECT($K74)),GETPIVOTDATA(IF($J74=1,"StdDev of ACTIVE     CED, FARM GATE (MJ/kg)","StdDev of CED, processor gate (MJ/kg)"),'Pivot Table_CED'!$A$3,"SUB TYPE",$B74))</f>
        <v>1.4495689014324273</v>
      </c>
      <c r="P74" s="152" t="str">
        <f>IF(ISERROR(GETPIVOTDATA(IF($J74=1,"Count of ACTIVE     GHGE, FARM GATE (kg CO2e/kg)","Count of GHGE, processor gate (kg CO2e/kg)"),'Pivot Table_GHG'!$A$3,"SUB TYPE",$B74)),"PROXY",IF(GETPIVOTDATA(IF($J74=1,"Count of ACTIVE     GHGE, FARM GATE (kg CO2e/kg)","Count of GHGE, processor gate (kg CO2e/kg)"),'Pivot Table_GHG'!$A$3,"SUB TYPE",$B74)=0,"PROXY","DB value"))</f>
        <v>DB value</v>
      </c>
      <c r="Q74" s="141">
        <f ca="1">IF($P74="PROXY",DCOUNT('literature entries'!$D:$AI,IF($J74=1,"ACTIVE     GHGE, FARM GATE (kg CO2e/kg)","GHGE, processor gate (kg CO2e/kg)"),INDIRECT($K74)),GETPIVOTDATA(IF($J74=1,"ACTIVE     GHGE, FARM GATE (kg CO2e/kg)","Count of GHGE, processor gate (kg CO2e/kg)"),'Pivot Table_GHG'!$A$3,"SUB TYPE",$B74))</f>
        <v>9</v>
      </c>
      <c r="R74" s="221">
        <f ca="1">IF($P74="PROXY",DAVERAGE('literature entries'!$D:$AI,IF($J74=1,"ACTIVE     GHGE, FARM GATE (kg CO2e/kg)","GHGE, processor gate (kg CO2e/kg)"),INDIRECT($K74)),GETPIVOTDATA(IF($J74=1,"Average of ACTIVE     GHGE, FARM GATE (kg CO2e/kg)","Average of GHGE, processor gate (kg CO2e/kg)"),'Pivot Table_GHG'!$A$3,"SUB TYPE",$B74))</f>
        <v>0.66155555555555567</v>
      </c>
      <c r="S74" s="221">
        <f ca="1">IF($P74="PROXY",DSTDEV('literature entries'!$D:$AI,IF($J74=1,"ACTIVE     GHGE, FARM GATE (kg CO2e/kg)","GHGE, processor gate (kg CO2e/kg)"),INDIRECT($K74)),GETPIVOTDATA(IF($J74=1,"StdDev of ACTIVE     GHGE, FARM GATE (kg CO2e/kg)","StdDev of GHGE, processor gate (kg CO2e/kg)"),'Pivot Table_GHG'!$A$3,"SUB TYPE",$B74))</f>
        <v>0.92540506146107593</v>
      </c>
      <c r="T74" s="101"/>
      <c r="U74" s="102"/>
      <c r="W74" s="248" t="s">
        <v>3361</v>
      </c>
      <c r="X74" s="246">
        <f ca="1">IF($W74="DIRECT",M74,DCOUNT('literature entries'!$D:$AI,IF($J74=1,"ACTIVE     CED, FARM GATE (MJ/kg)","CED, processor gate (MJ/kg)"),INDIRECT($W74)))</f>
        <v>60</v>
      </c>
      <c r="Y74" s="246">
        <f ca="1">IF($W74="DIRECT","",DAVERAGE('literature entries'!$D:$AI,IF($J74=1,"ACTIVE     CED, FARM GATE (MJ/kg)","CED, processor gate (MJ/kg)"),INDIRECT($W74)))</f>
        <v>3.4907536756076811</v>
      </c>
      <c r="Z74" s="246">
        <f ca="1">IF($W74="DIRECT",$O74,DSTDEV('literature entries'!$D:$AI,IF($J74=1,"ACTIVE     CED, FARM GATE (MJ/kg)","CED, processor gate (MJ/kg)"),INDIRECT($W74)))</f>
        <v>2.8914615487691551</v>
      </c>
      <c r="AA74" s="246">
        <f t="shared" ca="1" si="11"/>
        <v>4.203724674858055</v>
      </c>
      <c r="AB74" s="254" t="str">
        <f ca="1">IF(P74="PROXY",IF(Q74&gt;=5,K74,"need group"),IF(Q74&gt;=5,"DIRECT","need group"))</f>
        <v>DIRECT</v>
      </c>
      <c r="AC74" s="247">
        <f ca="1">IF($AB74="DIRECT",Q74,DCOUNT('literature entries'!$D:$AI,IF($J74=1,"ACTIVE     GHGE, FARM GATE (kg CO2e/kg)","GHGE, processor gate (kg CO2e/kg)"),INDIRECT($AB74)))</f>
        <v>9</v>
      </c>
      <c r="AD74" s="247" t="str">
        <f ca="1">IF($AB74="DIRECT","",DAVERAGE('literature entries'!$D:$AI,IF($J74=1,"ACTIVE     GHGE, FARM GATE (kg CO2e/kg)","GHGE, processor gate (kg CO2e/kg)"),INDIRECT($AB74)))</f>
        <v/>
      </c>
      <c r="AE74" s="247">
        <f ca="1">IF($AB74="DIRECT",$S74,DSTDEV('literature entries'!$D:$AI,IF($J74=1,"ACTIVE     GHGE, FARM GATE (kg CO2e/kg)","GHGE, processor gate (kg CO2e/kg)"),INDIRECT($AB74)))</f>
        <v>0.92540506146107593</v>
      </c>
      <c r="AF74" s="247">
        <f t="shared" ca="1" si="12"/>
        <v>0.92540506146107593</v>
      </c>
    </row>
    <row r="75" spans="1:32" s="21" customFormat="1" ht="17" thickBot="1" x14ac:dyDescent="0.25">
      <c r="A75" s="129">
        <v>601257000</v>
      </c>
      <c r="B75" s="130" t="s">
        <v>2128</v>
      </c>
      <c r="C75" s="131" t="s">
        <v>2129</v>
      </c>
      <c r="D75" s="131"/>
      <c r="E75" s="131">
        <v>385</v>
      </c>
      <c r="F75" s="126">
        <f t="shared" ca="1" si="9"/>
        <v>5.3794999999999993</v>
      </c>
      <c r="G75" s="127">
        <f t="shared" ca="1" si="10"/>
        <v>0.70124888888888903</v>
      </c>
      <c r="H75" s="132">
        <v>1.06</v>
      </c>
      <c r="I75" s="133" t="s">
        <v>2724</v>
      </c>
      <c r="J75" s="91">
        <v>1</v>
      </c>
      <c r="K75" s="219" t="s">
        <v>3272</v>
      </c>
      <c r="L75" s="152" t="str">
        <f>IF(ISERROR(GETPIVOTDATA(IF($J75=1,"Count of ACTIVE     CED, FARM GATE (MJ/kg)","Count of CED, processor gate (MJ/kg)"),'Pivot Table_CED'!$A$3,"SUB TYPE",$B75)),"PROXY",IF(GETPIVOTDATA(IF($J75=1,"Count of ACTIVE     CED, FARM GATE (MJ/kg)","Count of CED, processor gate (MJ/kg)"),'Pivot Table_CED'!$A$3,"SUB TYPE",$B75)=0,"PROXY","DB value"))</f>
        <v>PROXY</v>
      </c>
      <c r="M75" s="134">
        <f ca="1">IF($L75="PROXY",DCOUNT('literature entries'!$D:$AI,IF($J75=1,"ACTIVE     CED, FARM GATE (MJ/kg)","CED, processor gate (MJ/kg)"),INDIRECT($K75)),GETPIVOTDATA(IF($J75=1,"Count of ACTIVE     CED, FARM GATE (MJ/kg)","Count of CED, processor gate (MJ/kg)"),'Pivot Table_CED'!$A$3,"SUB TYPE",$B75))</f>
        <v>2</v>
      </c>
      <c r="N75" s="135">
        <f ca="1">IF($L75="PROXY",DAVERAGE('literature entries'!$D:$AI,IF($J75=1,"ACTIVE     CED, FARM GATE (MJ/kg)","CED, processor gate (MJ/kg)"),INDIRECT($K75)),GETPIVOTDATA(IF($J75=1,"Average of ACTIVE     CED, FARM GATE (MJ/kg)","Average of CED, processor gate (MJ/kg)"),'Pivot Table_CED'!$A$3,"SUB TYPE",$B75))</f>
        <v>5.0749999999999993</v>
      </c>
      <c r="O75" s="135">
        <f ca="1">IF($L75="PROXY",DSTDEV('literature entries'!D:AI,IF($J75=1,"ACTIVE     CED, FARM GATE (MJ/kg)","CED, processor gate (MJ/kg)"),INDIRECT($K75)),GETPIVOTDATA(IF($J75=1,"StdDev of ACTIVE     CED, FARM GATE (MJ/kg)","StdDev of CED, processor gate (MJ/kg)"),'Pivot Table_CED'!$A$3,"SUB TYPE",$B75))</f>
        <v>1.4495689014324273</v>
      </c>
      <c r="P75" s="152" t="str">
        <f>IF(ISERROR(GETPIVOTDATA(IF($J75=1,"Count of ACTIVE     GHGE, FARM GATE (kg CO2e/kg)","Count of GHGE, processor gate (kg CO2e/kg)"),'Pivot Table_GHG'!$A$3,"SUB TYPE",$B75)),"PROXY",IF(GETPIVOTDATA(IF($J75=1,"Count of ACTIVE     GHGE, FARM GATE (kg CO2e/kg)","Count of GHGE, processor gate (kg CO2e/kg)"),'Pivot Table_GHG'!$A$3,"SUB TYPE",$B75)=0,"PROXY","DB value"))</f>
        <v>PROXY</v>
      </c>
      <c r="Q75" s="141">
        <f ca="1">IF($P75="PROXY",DCOUNT('literature entries'!$D:$AI,IF($J75=1,"ACTIVE     GHGE, FARM GATE (kg CO2e/kg)","GHGE, processor gate (kg CO2e/kg)"),INDIRECT($K75)),GETPIVOTDATA(IF($J75=1,"ACTIVE     GHGE, FARM GATE (kg CO2e/kg)","Count of GHGE, processor gate (kg CO2e/kg)"),'Pivot Table_GHG'!$A$3,"SUB TYPE",$B75))</f>
        <v>9</v>
      </c>
      <c r="R75" s="221">
        <f ca="1">IF($P75="PROXY",DAVERAGE('literature entries'!$D:$AI,IF($J75=1,"ACTIVE     GHGE, FARM GATE (kg CO2e/kg)","GHGE, processor gate (kg CO2e/kg)"),INDIRECT($K75)),GETPIVOTDATA(IF($J75=1,"Average of ACTIVE     GHGE, FARM GATE (kg CO2e/kg)","Average of GHGE, processor gate (kg CO2e/kg)"),'Pivot Table_GHG'!$A$3,"SUB TYPE",$B75))</f>
        <v>0.66155555555555567</v>
      </c>
      <c r="S75" s="221">
        <f ca="1">IF($P75="PROXY",DSTDEV('literature entries'!$D:$AI,IF($J75=1,"ACTIVE     GHGE, FARM GATE (kg CO2e/kg)","GHGE, processor gate (kg CO2e/kg)"),INDIRECT($K75)),GETPIVOTDATA(IF($J75=1,"StdDev of ACTIVE     GHGE, FARM GATE (kg CO2e/kg)","StdDev of GHGE, processor gate (kg CO2e/kg)"),'Pivot Table_GHG'!$A$3,"SUB TYPE",$B75))</f>
        <v>0.92540506146107593</v>
      </c>
      <c r="T75" s="101"/>
      <c r="U75" s="102"/>
      <c r="W75" s="248" t="s">
        <v>3361</v>
      </c>
      <c r="X75" s="246">
        <f ca="1">IF($W75="DIRECT",M75,DCOUNT('literature entries'!$D:$AI,IF($J75=1,"ACTIVE     CED, FARM GATE (MJ/kg)","CED, processor gate (MJ/kg)"),INDIRECT($W75)))</f>
        <v>60</v>
      </c>
      <c r="Y75" s="246">
        <f ca="1">IF($W75="DIRECT","",DAVERAGE('literature entries'!$D:$AI,IF($J75=1,"ACTIVE     CED, FARM GATE (MJ/kg)","CED, processor gate (MJ/kg)"),INDIRECT($W75)))</f>
        <v>3.4907536756076811</v>
      </c>
      <c r="Z75" s="246">
        <f ca="1">IF($W75="DIRECT",$O75,DSTDEV('literature entries'!$D:$AI,IF($J75=1,"ACTIVE     CED, FARM GATE (MJ/kg)","CED, processor gate (MJ/kg)"),INDIRECT($W75)))</f>
        <v>2.8914615487691551</v>
      </c>
      <c r="AA75" s="246">
        <f t="shared" ca="1" si="11"/>
        <v>4.203724674858055</v>
      </c>
      <c r="AB75" s="254" t="s">
        <v>3361</v>
      </c>
      <c r="AC75" s="247">
        <f ca="1">IF($AB75="DIRECT",Q75,DCOUNT('literature entries'!$D:$AI,IF($J75=1,"ACTIVE     GHGE, FARM GATE (kg CO2e/kg)","GHGE, processor gate (kg CO2e/kg)"),INDIRECT($AB75)))</f>
        <v>130</v>
      </c>
      <c r="AD75" s="247">
        <f ca="1">IF($AB75="DIRECT","",DAVERAGE('literature entries'!$D:$AI,IF($J75=1,"ACTIVE     GHGE, FARM GATE (kg CO2e/kg)","GHGE, processor gate (kg CO2e/kg)"),INDIRECT($AB75)))</f>
        <v>0.57143231537198591</v>
      </c>
      <c r="AE75" s="247">
        <f ca="1">IF($AB75="DIRECT",$S75,DSTDEV('literature entries'!$D:$AI,IF($J75=1,"ACTIVE     GHGE, FARM GATE (kg CO2e/kg)","GHGE, processor gate (kg CO2e/kg)"),INDIRECT($AB75)))</f>
        <v>0.97567296151555694</v>
      </c>
      <c r="AF75" s="247">
        <f t="shared" ca="1" si="12"/>
        <v>1.1295508684624906</v>
      </c>
    </row>
    <row r="76" spans="1:32" s="21" customFormat="1" ht="17" thickBot="1" x14ac:dyDescent="0.25">
      <c r="A76" s="129">
        <v>602031000</v>
      </c>
      <c r="B76" s="130" t="s">
        <v>1789</v>
      </c>
      <c r="C76" s="131" t="s">
        <v>1790</v>
      </c>
      <c r="D76" s="131" t="s">
        <v>1788</v>
      </c>
      <c r="E76" s="131">
        <v>6</v>
      </c>
      <c r="F76" s="126">
        <f t="shared" ca="1" si="9"/>
        <v>5.0749999999999993</v>
      </c>
      <c r="G76" s="127">
        <f t="shared" ca="1" si="10"/>
        <v>0.66155555555555567</v>
      </c>
      <c r="H76" s="224">
        <v>1</v>
      </c>
      <c r="I76" s="225" t="s">
        <v>594</v>
      </c>
      <c r="J76" s="103">
        <v>1</v>
      </c>
      <c r="K76" s="219" t="s">
        <v>3272</v>
      </c>
      <c r="L76" s="152" t="str">
        <f>IF(ISERROR(GETPIVOTDATA(IF($J76=1,"Count of ACTIVE     CED, FARM GATE (MJ/kg)","Count of CED, processor gate (MJ/kg)"),'Pivot Table_CED'!$A$3,"SUB TYPE",$B76)),"PROXY",IF(GETPIVOTDATA(IF($J76=1,"Count of ACTIVE     CED, FARM GATE (MJ/kg)","Count of CED, processor gate (MJ/kg)"),'Pivot Table_CED'!$A$3,"SUB TYPE",$B76)=0,"PROXY","DB value"))</f>
        <v>PROXY</v>
      </c>
      <c r="M76" s="134">
        <f ca="1">IF($L76="PROXY",DCOUNT('literature entries'!$D:$AI,IF($J76=1,"ACTIVE     CED, FARM GATE (MJ/kg)","CED, processor gate (MJ/kg)"),INDIRECT($K76)),GETPIVOTDATA(IF($J76=1,"Count of ACTIVE     CED, FARM GATE (MJ/kg)","Count of CED, processor gate (MJ/kg)"),'Pivot Table_CED'!$A$3,"SUB TYPE",$B76))</f>
        <v>2</v>
      </c>
      <c r="N76" s="135">
        <f ca="1">IF($L76="PROXY",DAVERAGE('literature entries'!$D:$AI,IF($J76=1,"ACTIVE     CED, FARM GATE (MJ/kg)","CED, processor gate (MJ/kg)"),INDIRECT($K76)),GETPIVOTDATA(IF($J76=1,"Average of ACTIVE     CED, FARM GATE (MJ/kg)","Average of CED, processor gate (MJ/kg)"),'Pivot Table_CED'!$A$3,"SUB TYPE",$B76))</f>
        <v>5.0749999999999993</v>
      </c>
      <c r="O76" s="135">
        <f ca="1">IF($L76="PROXY",DSTDEV('literature entries'!D:AI,IF($J76=1,"ACTIVE     CED, FARM GATE (MJ/kg)","CED, processor gate (MJ/kg)"),INDIRECT($K76)),GETPIVOTDATA(IF($J76=1,"StdDev of ACTIVE     CED, FARM GATE (MJ/kg)","StdDev of CED, processor gate (MJ/kg)"),'Pivot Table_CED'!$A$3,"SUB TYPE",$B76))</f>
        <v>1.4495689014324273</v>
      </c>
      <c r="P76" s="152" t="str">
        <f>IF(ISERROR(GETPIVOTDATA(IF($J76=1,"Count of ACTIVE     GHGE, FARM GATE (kg CO2e/kg)","Count of GHGE, processor gate (kg CO2e/kg)"),'Pivot Table_GHG'!$A$3,"SUB TYPE",$B76)),"PROXY",IF(GETPIVOTDATA(IF($J76=1,"Count of ACTIVE     GHGE, FARM GATE (kg CO2e/kg)","Count of GHGE, processor gate (kg CO2e/kg)"),'Pivot Table_GHG'!$A$3,"SUB TYPE",$B76)=0,"PROXY","DB value"))</f>
        <v>PROXY</v>
      </c>
      <c r="Q76" s="141">
        <f ca="1">IF($P76="PROXY",DCOUNT('literature entries'!$D:$AI,IF($J76=1,"ACTIVE     GHGE, FARM GATE (kg CO2e/kg)","GHGE, processor gate (kg CO2e/kg)"),INDIRECT($K76)),GETPIVOTDATA(IF($J76=1,"ACTIVE     GHGE, FARM GATE (kg CO2e/kg)","Count of GHGE, processor gate (kg CO2e/kg)"),'Pivot Table_GHG'!$A$3,"SUB TYPE",$B76))</f>
        <v>9</v>
      </c>
      <c r="R76" s="221">
        <f ca="1">IF($P76="PROXY",DAVERAGE('literature entries'!$D:$AI,IF($J76=1,"ACTIVE     GHGE, FARM GATE (kg CO2e/kg)","GHGE, processor gate (kg CO2e/kg)"),INDIRECT($K76)),GETPIVOTDATA(IF($J76=1,"Average of ACTIVE     GHGE, FARM GATE (kg CO2e/kg)","Average of GHGE, processor gate (kg CO2e/kg)"),'Pivot Table_GHG'!$A$3,"SUB TYPE",$B76))</f>
        <v>0.66155555555555567</v>
      </c>
      <c r="S76" s="221">
        <f ca="1">IF($P76="PROXY",DSTDEV('literature entries'!$D:$AI,IF($J76=1,"ACTIVE     GHGE, FARM GATE (kg CO2e/kg)","GHGE, processor gate (kg CO2e/kg)"),INDIRECT($K76)),GETPIVOTDATA(IF($J76=1,"StdDev of ACTIVE     GHGE, FARM GATE (kg CO2e/kg)","StdDev of GHGE, processor gate (kg CO2e/kg)"),'Pivot Table_GHG'!$A$3,"SUB TYPE",$B76))</f>
        <v>0.92540506146107593</v>
      </c>
      <c r="T76" s="101"/>
      <c r="U76" s="102"/>
      <c r="W76" s="248" t="s">
        <v>3361</v>
      </c>
      <c r="X76" s="246">
        <f ca="1">IF($W76="DIRECT",M76,DCOUNT('literature entries'!$D:$AI,IF($J76=1,"ACTIVE     CED, FARM GATE (MJ/kg)","CED, processor gate (MJ/kg)"),INDIRECT($W76)))</f>
        <v>60</v>
      </c>
      <c r="Y76" s="246">
        <f ca="1">IF($W76="DIRECT","",DAVERAGE('literature entries'!$D:$AI,IF($J76=1,"ACTIVE     CED, FARM GATE (MJ/kg)","CED, processor gate (MJ/kg)"),INDIRECT($W76)))</f>
        <v>3.4907536756076811</v>
      </c>
      <c r="Z76" s="246">
        <f ca="1">IF($W76="DIRECT",$O76,DSTDEV('literature entries'!$D:$AI,IF($J76=1,"ACTIVE     CED, FARM GATE (MJ/kg)","CED, processor gate (MJ/kg)"),INDIRECT($W76)))</f>
        <v>2.8914615487691551</v>
      </c>
      <c r="AA76" s="246">
        <f t="shared" ca="1" si="11"/>
        <v>4.203724674858055</v>
      </c>
      <c r="AB76" s="254" t="s">
        <v>3361</v>
      </c>
      <c r="AC76" s="247">
        <f ca="1">IF($AB76="DIRECT",Q76,DCOUNT('literature entries'!$D:$AI,IF($J76=1,"ACTIVE     GHGE, FARM GATE (kg CO2e/kg)","GHGE, processor gate (kg CO2e/kg)"),INDIRECT($AB76)))</f>
        <v>130</v>
      </c>
      <c r="AD76" s="247">
        <f ca="1">IF($AB76="DIRECT","",DAVERAGE('literature entries'!$D:$AI,IF($J76=1,"ACTIVE     GHGE, FARM GATE (kg CO2e/kg)","GHGE, processor gate (kg CO2e/kg)"),INDIRECT($AB76)))</f>
        <v>0.57143231537198591</v>
      </c>
      <c r="AE76" s="247">
        <f ca="1">IF($AB76="DIRECT",$S76,DSTDEV('literature entries'!$D:$AI,IF($J76=1,"ACTIVE     GHGE, FARM GATE (kg CO2e/kg)","GHGE, processor gate (kg CO2e/kg)"),INDIRECT($AB76)))</f>
        <v>0.97567296151555694</v>
      </c>
      <c r="AF76" s="247">
        <f t="shared" ca="1" si="12"/>
        <v>1.1295508684624906</v>
      </c>
    </row>
    <row r="77" spans="1:32" s="21" customFormat="1" ht="17" thickBot="1" x14ac:dyDescent="0.25">
      <c r="A77" s="129">
        <v>602033000</v>
      </c>
      <c r="B77" s="130" t="s">
        <v>1793</v>
      </c>
      <c r="C77" s="131" t="s">
        <v>1794</v>
      </c>
      <c r="D77" s="131" t="s">
        <v>1792</v>
      </c>
      <c r="E77" s="131">
        <v>96</v>
      </c>
      <c r="F77" s="126">
        <f t="shared" ca="1" si="9"/>
        <v>5.0749999999999993</v>
      </c>
      <c r="G77" s="127">
        <f t="shared" ca="1" si="10"/>
        <v>0.66155555555555567</v>
      </c>
      <c r="H77" s="132">
        <v>1</v>
      </c>
      <c r="I77" s="133" t="s">
        <v>594</v>
      </c>
      <c r="J77" s="91">
        <v>1</v>
      </c>
      <c r="K77" s="219" t="s">
        <v>3272</v>
      </c>
      <c r="L77" s="152" t="str">
        <f>IF(ISERROR(GETPIVOTDATA(IF($J77=1,"Count of ACTIVE     CED, FARM GATE (MJ/kg)","Count of CED, processor gate (MJ/kg)"),'Pivot Table_CED'!$A$3,"SUB TYPE",$B77)),"PROXY",IF(GETPIVOTDATA(IF($J77=1,"Count of ACTIVE     CED, FARM GATE (MJ/kg)","Count of CED, processor gate (MJ/kg)"),'Pivot Table_CED'!$A$3,"SUB TYPE",$B77)=0,"PROXY","DB value"))</f>
        <v>PROXY</v>
      </c>
      <c r="M77" s="134">
        <f ca="1">IF($L77="PROXY",DCOUNT('literature entries'!$D:$AI,IF($J77=1,"ACTIVE     CED, FARM GATE (MJ/kg)","CED, processor gate (MJ/kg)"),INDIRECT($K77)),GETPIVOTDATA(IF($J77=1,"Count of ACTIVE     CED, FARM GATE (MJ/kg)","Count of CED, processor gate (MJ/kg)"),'Pivot Table_CED'!$A$3,"SUB TYPE",$B77))</f>
        <v>2</v>
      </c>
      <c r="N77" s="135">
        <f ca="1">IF($L77="PROXY",DAVERAGE('literature entries'!$D:$AI,IF($J77=1,"ACTIVE     CED, FARM GATE (MJ/kg)","CED, processor gate (MJ/kg)"),INDIRECT($K77)),GETPIVOTDATA(IF($J77=1,"Average of ACTIVE     CED, FARM GATE (MJ/kg)","Average of CED, processor gate (MJ/kg)"),'Pivot Table_CED'!$A$3,"SUB TYPE",$B77))</f>
        <v>5.0749999999999993</v>
      </c>
      <c r="O77" s="135">
        <f ca="1">IF($L77="PROXY",DSTDEV('literature entries'!D:AI,IF($J77=1,"ACTIVE     CED, FARM GATE (MJ/kg)","CED, processor gate (MJ/kg)"),INDIRECT($K77)),GETPIVOTDATA(IF($J77=1,"StdDev of ACTIVE     CED, FARM GATE (MJ/kg)","StdDev of CED, processor gate (MJ/kg)"),'Pivot Table_CED'!$A$3,"SUB TYPE",$B77))</f>
        <v>1.4495689014324273</v>
      </c>
      <c r="P77" s="152" t="str">
        <f>IF(ISERROR(GETPIVOTDATA(IF($J77=1,"Count of ACTIVE     GHGE, FARM GATE (kg CO2e/kg)","Count of GHGE, processor gate (kg CO2e/kg)"),'Pivot Table_GHG'!$A$3,"SUB TYPE",$B77)),"PROXY",IF(GETPIVOTDATA(IF($J77=1,"Count of ACTIVE     GHGE, FARM GATE (kg CO2e/kg)","Count of GHGE, processor gate (kg CO2e/kg)"),'Pivot Table_GHG'!$A$3,"SUB TYPE",$B77)=0,"PROXY","DB value"))</f>
        <v>PROXY</v>
      </c>
      <c r="Q77" s="141">
        <f ca="1">IF($P77="PROXY",DCOUNT('literature entries'!$D:$AI,IF($J77=1,"ACTIVE     GHGE, FARM GATE (kg CO2e/kg)","GHGE, processor gate (kg CO2e/kg)"),INDIRECT($K77)),GETPIVOTDATA(IF($J77=1,"ACTIVE     GHGE, FARM GATE (kg CO2e/kg)","Count of GHGE, processor gate (kg CO2e/kg)"),'Pivot Table_GHG'!$A$3,"SUB TYPE",$B77))</f>
        <v>9</v>
      </c>
      <c r="R77" s="221">
        <f ca="1">IF($P77="PROXY",DAVERAGE('literature entries'!$D:$AI,IF($J77=1,"ACTIVE     GHGE, FARM GATE (kg CO2e/kg)","GHGE, processor gate (kg CO2e/kg)"),INDIRECT($K77)),GETPIVOTDATA(IF($J77=1,"Average of ACTIVE     GHGE, FARM GATE (kg CO2e/kg)","Average of GHGE, processor gate (kg CO2e/kg)"),'Pivot Table_GHG'!$A$3,"SUB TYPE",$B77))</f>
        <v>0.66155555555555567</v>
      </c>
      <c r="S77" s="221">
        <f ca="1">IF($P77="PROXY",DSTDEV('literature entries'!$D:$AI,IF($J77=1,"ACTIVE     GHGE, FARM GATE (kg CO2e/kg)","GHGE, processor gate (kg CO2e/kg)"),INDIRECT($K77)),GETPIVOTDATA(IF($J77=1,"StdDev of ACTIVE     GHGE, FARM GATE (kg CO2e/kg)","StdDev of GHGE, processor gate (kg CO2e/kg)"),'Pivot Table_GHG'!$A$3,"SUB TYPE",$B77))</f>
        <v>0.92540506146107593</v>
      </c>
      <c r="T77" s="101"/>
      <c r="U77" s="102"/>
      <c r="W77" s="248" t="s">
        <v>3361</v>
      </c>
      <c r="X77" s="246">
        <f ca="1">IF($W77="DIRECT",M77,DCOUNT('literature entries'!$D:$AI,IF($J77=1,"ACTIVE     CED, FARM GATE (MJ/kg)","CED, processor gate (MJ/kg)"),INDIRECT($W77)))</f>
        <v>60</v>
      </c>
      <c r="Y77" s="246">
        <f ca="1">IF($W77="DIRECT","",DAVERAGE('literature entries'!$D:$AI,IF($J77=1,"ACTIVE     CED, FARM GATE (MJ/kg)","CED, processor gate (MJ/kg)"),INDIRECT($W77)))</f>
        <v>3.4907536756076811</v>
      </c>
      <c r="Z77" s="246">
        <f ca="1">IF($W77="DIRECT",$O77,DSTDEV('literature entries'!$D:$AI,IF($J77=1,"ACTIVE     CED, FARM GATE (MJ/kg)","CED, processor gate (MJ/kg)"),INDIRECT($W77)))</f>
        <v>2.8914615487691551</v>
      </c>
      <c r="AA77" s="246">
        <f t="shared" ca="1" si="11"/>
        <v>4.203724674858055</v>
      </c>
      <c r="AB77" s="254" t="s">
        <v>3361</v>
      </c>
      <c r="AC77" s="247">
        <f ca="1">IF($AB77="DIRECT",Q77,DCOUNT('literature entries'!$D:$AI,IF($J77=1,"ACTIVE     GHGE, FARM GATE (kg CO2e/kg)","GHGE, processor gate (kg CO2e/kg)"),INDIRECT($AB77)))</f>
        <v>130</v>
      </c>
      <c r="AD77" s="247">
        <f ca="1">IF($AB77="DIRECT","",DAVERAGE('literature entries'!$D:$AI,IF($J77=1,"ACTIVE     GHGE, FARM GATE (kg CO2e/kg)","GHGE, processor gate (kg CO2e/kg)"),INDIRECT($AB77)))</f>
        <v>0.57143231537198591</v>
      </c>
      <c r="AE77" s="247">
        <f ca="1">IF($AB77="DIRECT",$S77,DSTDEV('literature entries'!$D:$AI,IF($J77=1,"ACTIVE     GHGE, FARM GATE (kg CO2e/kg)","GHGE, processor gate (kg CO2e/kg)"),INDIRECT($AB77)))</f>
        <v>0.97567296151555694</v>
      </c>
      <c r="AF77" s="247">
        <f t="shared" ca="1" si="12"/>
        <v>1.1295508684624906</v>
      </c>
    </row>
    <row r="78" spans="1:32" s="21" customFormat="1" ht="17" thickBot="1" x14ac:dyDescent="0.25">
      <c r="A78" s="129">
        <v>602037000</v>
      </c>
      <c r="B78" s="130" t="s">
        <v>1797</v>
      </c>
      <c r="C78" s="131" t="s">
        <v>1794</v>
      </c>
      <c r="D78" s="131"/>
      <c r="E78" s="131">
        <v>1465</v>
      </c>
      <c r="F78" s="126">
        <f t="shared" ca="1" si="9"/>
        <v>5.0749999999999993</v>
      </c>
      <c r="G78" s="127">
        <f t="shared" ca="1" si="10"/>
        <v>0.66155555555555567</v>
      </c>
      <c r="H78" s="132">
        <v>1</v>
      </c>
      <c r="I78" s="133" t="s">
        <v>594</v>
      </c>
      <c r="J78" s="91">
        <v>1</v>
      </c>
      <c r="K78" s="219" t="s">
        <v>3272</v>
      </c>
      <c r="L78" s="152" t="str">
        <f>IF(ISERROR(GETPIVOTDATA(IF($J78=1,"Count of ACTIVE     CED, FARM GATE (MJ/kg)","Count of CED, processor gate (MJ/kg)"),'Pivot Table_CED'!$A$3,"SUB TYPE",$B78)),"PROXY",IF(GETPIVOTDATA(IF($J78=1,"Count of ACTIVE     CED, FARM GATE (MJ/kg)","Count of CED, processor gate (MJ/kg)"),'Pivot Table_CED'!$A$3,"SUB TYPE",$B78)=0,"PROXY","DB value"))</f>
        <v>PROXY</v>
      </c>
      <c r="M78" s="134">
        <f ca="1">IF($L78="PROXY",DCOUNT('literature entries'!$D:$AI,IF($J78=1,"ACTIVE     CED, FARM GATE (MJ/kg)","CED, processor gate (MJ/kg)"),INDIRECT($K78)),GETPIVOTDATA(IF($J78=1,"Count of ACTIVE     CED, FARM GATE (MJ/kg)","Count of CED, processor gate (MJ/kg)"),'Pivot Table_CED'!$A$3,"SUB TYPE",$B78))</f>
        <v>2</v>
      </c>
      <c r="N78" s="135">
        <f ca="1">IF($L78="PROXY",DAVERAGE('literature entries'!$D:$AI,IF($J78=1,"ACTIVE     CED, FARM GATE (MJ/kg)","CED, processor gate (MJ/kg)"),INDIRECT($K78)),GETPIVOTDATA(IF($J78=1,"Average of ACTIVE     CED, FARM GATE (MJ/kg)","Average of CED, processor gate (MJ/kg)"),'Pivot Table_CED'!$A$3,"SUB TYPE",$B78))</f>
        <v>5.0749999999999993</v>
      </c>
      <c r="O78" s="135">
        <f ca="1">IF($L78="PROXY",DSTDEV('literature entries'!D:AI,IF($J78=1,"ACTIVE     CED, FARM GATE (MJ/kg)","CED, processor gate (MJ/kg)"),INDIRECT($K78)),GETPIVOTDATA(IF($J78=1,"StdDev of ACTIVE     CED, FARM GATE (MJ/kg)","StdDev of CED, processor gate (MJ/kg)"),'Pivot Table_CED'!$A$3,"SUB TYPE",$B78))</f>
        <v>1.4495689014324273</v>
      </c>
      <c r="P78" s="152" t="str">
        <f>IF(ISERROR(GETPIVOTDATA(IF($J78=1,"Count of ACTIVE     GHGE, FARM GATE (kg CO2e/kg)","Count of GHGE, processor gate (kg CO2e/kg)"),'Pivot Table_GHG'!$A$3,"SUB TYPE",$B78)),"PROXY",IF(GETPIVOTDATA(IF($J78=1,"Count of ACTIVE     GHGE, FARM GATE (kg CO2e/kg)","Count of GHGE, processor gate (kg CO2e/kg)"),'Pivot Table_GHG'!$A$3,"SUB TYPE",$B78)=0,"PROXY","DB value"))</f>
        <v>PROXY</v>
      </c>
      <c r="Q78" s="141">
        <f ca="1">IF($P78="PROXY",DCOUNT('literature entries'!$D:$AI,IF($J78=1,"ACTIVE     GHGE, FARM GATE (kg CO2e/kg)","GHGE, processor gate (kg CO2e/kg)"),INDIRECT($K78)),GETPIVOTDATA(IF($J78=1,"ACTIVE     GHGE, FARM GATE (kg CO2e/kg)","Count of GHGE, processor gate (kg CO2e/kg)"),'Pivot Table_GHG'!$A$3,"SUB TYPE",$B78))</f>
        <v>9</v>
      </c>
      <c r="R78" s="221">
        <f ca="1">IF($P78="PROXY",DAVERAGE('literature entries'!$D:$AI,IF($J78=1,"ACTIVE     GHGE, FARM GATE (kg CO2e/kg)","GHGE, processor gate (kg CO2e/kg)"),INDIRECT($K78)),GETPIVOTDATA(IF($J78=1,"Average of ACTIVE     GHGE, FARM GATE (kg CO2e/kg)","Average of GHGE, processor gate (kg CO2e/kg)"),'Pivot Table_GHG'!$A$3,"SUB TYPE",$B78))</f>
        <v>0.66155555555555567</v>
      </c>
      <c r="S78" s="221">
        <f ca="1">IF($P78="PROXY",DSTDEV('literature entries'!$D:$AI,IF($J78=1,"ACTIVE     GHGE, FARM GATE (kg CO2e/kg)","GHGE, processor gate (kg CO2e/kg)"),INDIRECT($K78)),GETPIVOTDATA(IF($J78=1,"StdDev of ACTIVE     GHGE, FARM GATE (kg CO2e/kg)","StdDev of GHGE, processor gate (kg CO2e/kg)"),'Pivot Table_GHG'!$A$3,"SUB TYPE",$B78))</f>
        <v>0.92540506146107593</v>
      </c>
      <c r="T78" s="101"/>
      <c r="U78" s="102"/>
      <c r="W78" s="248" t="s">
        <v>3361</v>
      </c>
      <c r="X78" s="246">
        <f ca="1">IF($W78="DIRECT",M78,DCOUNT('literature entries'!$D:$AI,IF($J78=1,"ACTIVE     CED, FARM GATE (MJ/kg)","CED, processor gate (MJ/kg)"),INDIRECT($W78)))</f>
        <v>60</v>
      </c>
      <c r="Y78" s="246">
        <f ca="1">IF($W78="DIRECT","",DAVERAGE('literature entries'!$D:$AI,IF($J78=1,"ACTIVE     CED, FARM GATE (MJ/kg)","CED, processor gate (MJ/kg)"),INDIRECT($W78)))</f>
        <v>3.4907536756076811</v>
      </c>
      <c r="Z78" s="246">
        <f ca="1">IF($W78="DIRECT",$O78,DSTDEV('literature entries'!$D:$AI,IF($J78=1,"ACTIVE     CED, FARM GATE (MJ/kg)","CED, processor gate (MJ/kg)"),INDIRECT($W78)))</f>
        <v>2.8914615487691551</v>
      </c>
      <c r="AA78" s="246">
        <f t="shared" ca="1" si="11"/>
        <v>4.203724674858055</v>
      </c>
      <c r="AB78" s="254" t="s">
        <v>3361</v>
      </c>
      <c r="AC78" s="247">
        <f ca="1">IF($AB78="DIRECT",Q78,DCOUNT('literature entries'!$D:$AI,IF($J78=1,"ACTIVE     GHGE, FARM GATE (kg CO2e/kg)","GHGE, processor gate (kg CO2e/kg)"),INDIRECT($AB78)))</f>
        <v>130</v>
      </c>
      <c r="AD78" s="247">
        <f ca="1">IF($AB78="DIRECT","",DAVERAGE('literature entries'!$D:$AI,IF($J78=1,"ACTIVE     GHGE, FARM GATE (kg CO2e/kg)","GHGE, processor gate (kg CO2e/kg)"),INDIRECT($AB78)))</f>
        <v>0.57143231537198591</v>
      </c>
      <c r="AE78" s="247">
        <f ca="1">IF($AB78="DIRECT",$S78,DSTDEV('literature entries'!$D:$AI,IF($J78=1,"ACTIVE     GHGE, FARM GATE (kg CO2e/kg)","GHGE, processor gate (kg CO2e/kg)"),INDIRECT($AB78)))</f>
        <v>0.97567296151555694</v>
      </c>
      <c r="AF78" s="247">
        <f t="shared" ca="1" si="12"/>
        <v>1.1295508684624906</v>
      </c>
    </row>
    <row r="79" spans="1:32" s="21" customFormat="1" ht="17" thickBot="1" x14ac:dyDescent="0.25">
      <c r="A79" s="129">
        <v>602255000</v>
      </c>
      <c r="B79" s="130" t="s">
        <v>2134</v>
      </c>
      <c r="C79" s="131" t="s">
        <v>2135</v>
      </c>
      <c r="D79" s="131"/>
      <c r="E79" s="131">
        <v>4944</v>
      </c>
      <c r="F79" s="126">
        <f t="shared" ca="1" si="9"/>
        <v>3.5</v>
      </c>
      <c r="G79" s="127">
        <f t="shared" ca="1" si="10"/>
        <v>1.3299999999999998</v>
      </c>
      <c r="H79" s="132">
        <v>1</v>
      </c>
      <c r="I79" s="133" t="s">
        <v>628</v>
      </c>
      <c r="J79" s="91">
        <v>1</v>
      </c>
      <c r="K79" s="219"/>
      <c r="L79" s="152" t="str">
        <f>IF(ISERROR(GETPIVOTDATA(IF($J79=1,"Count of ACTIVE     CED, FARM GATE (MJ/kg)","Count of CED, processor gate (MJ/kg)"),'Pivot Table_CED'!$A$3,"SUB TYPE",$B79)),"PROXY",IF(GETPIVOTDATA(IF($J79=1,"Count of ACTIVE     CED, FARM GATE (MJ/kg)","Count of CED, processor gate (MJ/kg)"),'Pivot Table_CED'!$A$3,"SUB TYPE",$B79)=0,"PROXY","DB value"))</f>
        <v>DB value</v>
      </c>
      <c r="M79" s="134">
        <f ca="1">IF($L79="PROXY",DCOUNT('literature entries'!$D:$AI,IF($J79=1,"ACTIVE     CED, FARM GATE (MJ/kg)","CED, processor gate (MJ/kg)"),INDIRECT($K79)),GETPIVOTDATA(IF($J79=1,"Count of ACTIVE     CED, FARM GATE (MJ/kg)","Count of CED, processor gate (MJ/kg)"),'Pivot Table_CED'!$A$3,"SUB TYPE",$B79))</f>
        <v>1</v>
      </c>
      <c r="N79" s="135">
        <f ca="1">IF($L79="PROXY",DAVERAGE('literature entries'!$D:$AI,IF($J79=1,"ACTIVE     CED, FARM GATE (MJ/kg)","CED, processor gate (MJ/kg)"),INDIRECT($K79)),GETPIVOTDATA(IF($J79=1,"Average of ACTIVE     CED, FARM GATE (MJ/kg)","Average of CED, processor gate (MJ/kg)"),'Pivot Table_CED'!$A$3,"SUB TYPE",$B79))</f>
        <v>3.5</v>
      </c>
      <c r="O79" s="135">
        <f ca="1">IF($L79="PROXY",DSTDEV('literature entries'!D:AI,IF($J79=1,"ACTIVE     CED, FARM GATE (MJ/kg)","CED, processor gate (MJ/kg)"),INDIRECT($K79)),GETPIVOTDATA(IF($J79=1,"StdDev of ACTIVE     CED, FARM GATE (MJ/kg)","StdDev of CED, processor gate (MJ/kg)"),'Pivot Table_CED'!$A$3,"SUB TYPE",$B79))</f>
        <v>0</v>
      </c>
      <c r="P79" s="152" t="str">
        <f>IF(ISERROR(GETPIVOTDATA(IF($J79=1,"Count of ACTIVE     GHGE, FARM GATE (kg CO2e/kg)","Count of GHGE, processor gate (kg CO2e/kg)"),'Pivot Table_GHG'!$A$3,"SUB TYPE",$B79)),"PROXY",IF(GETPIVOTDATA(IF($J79=1,"Count of ACTIVE     GHGE, FARM GATE (kg CO2e/kg)","Count of GHGE, processor gate (kg CO2e/kg)"),'Pivot Table_GHG'!$A$3,"SUB TYPE",$B79)=0,"PROXY","DB value"))</f>
        <v>DB value</v>
      </c>
      <c r="Q79" s="141">
        <f ca="1">IF($P79="PROXY",DCOUNT('literature entries'!$D:$AI,IF($J79=1,"ACTIVE     GHGE, FARM GATE (kg CO2e/kg)","GHGE, processor gate (kg CO2e/kg)"),INDIRECT($K79)),GETPIVOTDATA(IF($J79=1,"ACTIVE     GHGE, FARM GATE (kg CO2e/kg)","Count of GHGE, processor gate (kg CO2e/kg)"),'Pivot Table_GHG'!$A$3,"SUB TYPE",$B79))</f>
        <v>6</v>
      </c>
      <c r="R79" s="221">
        <f ca="1">IF($P79="PROXY",DAVERAGE('literature entries'!$D:$AI,IF($J79=1,"ACTIVE     GHGE, FARM GATE (kg CO2e/kg)","GHGE, processor gate (kg CO2e/kg)"),INDIRECT($K79)),GETPIVOTDATA(IF($J79=1,"Average of ACTIVE     GHGE, FARM GATE (kg CO2e/kg)","Average of GHGE, processor gate (kg CO2e/kg)"),'Pivot Table_GHG'!$A$3,"SUB TYPE",$B79))</f>
        <v>1.3299999999999998</v>
      </c>
      <c r="S79" s="221">
        <f ca="1">IF($P79="PROXY",DSTDEV('literature entries'!$D:$AI,IF($J79=1,"ACTIVE     GHGE, FARM GATE (kg CO2e/kg)","GHGE, processor gate (kg CO2e/kg)"),INDIRECT($K79)),GETPIVOTDATA(IF($J79=1,"StdDev of ACTIVE     GHGE, FARM GATE (kg CO2e/kg)","StdDev of GHGE, processor gate (kg CO2e/kg)"),'Pivot Table_GHG'!$A$3,"SUB TYPE",$B79))</f>
        <v>1.5235484895466898</v>
      </c>
      <c r="T79" s="101"/>
      <c r="U79" s="102"/>
      <c r="W79" s="248" t="s">
        <v>3361</v>
      </c>
      <c r="X79" s="246">
        <f ca="1">IF($W79="DIRECT",M79,DCOUNT('literature entries'!$D:$AI,IF($J79=1,"ACTIVE     CED, FARM GATE (MJ/kg)","CED, processor gate (MJ/kg)"),INDIRECT($W79)))</f>
        <v>60</v>
      </c>
      <c r="Y79" s="246">
        <f ca="1">IF($W79="DIRECT","",DAVERAGE('literature entries'!$D:$AI,IF($J79=1,"ACTIVE     CED, FARM GATE (MJ/kg)","CED, processor gate (MJ/kg)"),INDIRECT($W79)))</f>
        <v>3.4907536756076811</v>
      </c>
      <c r="Z79" s="246">
        <f ca="1">IF($W79="DIRECT",$O79,DSTDEV('literature entries'!$D:$AI,IF($J79=1,"ACTIVE     CED, FARM GATE (MJ/kg)","CED, processor gate (MJ/kg)"),INDIRECT($W79)))</f>
        <v>2.8914615487691551</v>
      </c>
      <c r="AA79" s="246">
        <f t="shared" ca="1" si="11"/>
        <v>2.8991204654193483</v>
      </c>
      <c r="AB79" s="254" t="str">
        <f ca="1">IF(P79="PROXY",IF(Q79&gt;=5,K79,"need group"),IF(Q79&gt;=5,"DIRECT","need group"))</f>
        <v>DIRECT</v>
      </c>
      <c r="AC79" s="247">
        <f ca="1">IF($AB79="DIRECT",Q79,DCOUNT('literature entries'!$D:$AI,IF($J79=1,"ACTIVE     GHGE, FARM GATE (kg CO2e/kg)","GHGE, processor gate (kg CO2e/kg)"),INDIRECT($AB79)))</f>
        <v>6</v>
      </c>
      <c r="AD79" s="247" t="str">
        <f ca="1">IF($AB79="DIRECT","",DAVERAGE('literature entries'!$D:$AI,IF($J79=1,"ACTIVE     GHGE, FARM GATE (kg CO2e/kg)","GHGE, processor gate (kg CO2e/kg)"),INDIRECT($AB79)))</f>
        <v/>
      </c>
      <c r="AE79" s="247">
        <f ca="1">IF($AB79="DIRECT",$S79,DSTDEV('literature entries'!$D:$AI,IF($J79=1,"ACTIVE     GHGE, FARM GATE (kg CO2e/kg)","GHGE, processor gate (kg CO2e/kg)"),INDIRECT($AB79)))</f>
        <v>1.5235484895466898</v>
      </c>
      <c r="AF79" s="247">
        <f t="shared" ca="1" si="12"/>
        <v>1.5235484895466898</v>
      </c>
    </row>
    <row r="80" spans="1:32" s="21" customFormat="1" ht="17" thickBot="1" x14ac:dyDescent="0.25">
      <c r="A80" s="129">
        <v>602259000</v>
      </c>
      <c r="B80" s="130" t="s">
        <v>2131</v>
      </c>
      <c r="C80" s="131" t="s">
        <v>2132</v>
      </c>
      <c r="D80" s="131" t="s">
        <v>2133</v>
      </c>
      <c r="E80" s="131">
        <v>7</v>
      </c>
      <c r="F80" s="126">
        <f t="shared" ca="1" si="9"/>
        <v>3.2267999999999999</v>
      </c>
      <c r="G80" s="127">
        <f t="shared" ca="1" si="10"/>
        <v>1.0539000000000001</v>
      </c>
      <c r="H80" s="132">
        <v>1</v>
      </c>
      <c r="I80" s="133" t="s">
        <v>594</v>
      </c>
      <c r="J80" s="91">
        <v>1</v>
      </c>
      <c r="K80" s="220" t="s">
        <v>3273</v>
      </c>
      <c r="L80" s="152" t="str">
        <f>IF(ISERROR(GETPIVOTDATA(IF($J80=1,"Count of ACTIVE     CED, FARM GATE (MJ/kg)","Count of CED, processor gate (MJ/kg)"),'Pivot Table_CED'!$A$3,"SUB TYPE",$B80)),"PROXY",IF(GETPIVOTDATA(IF($J80=1,"Count of ACTIVE     CED, FARM GATE (MJ/kg)","Count of CED, processor gate (MJ/kg)"),'Pivot Table_CED'!$A$3,"SUB TYPE",$B80)=0,"PROXY","DB value"))</f>
        <v>PROXY</v>
      </c>
      <c r="M80" s="134">
        <f ca="1">IF($L80="PROXY",DCOUNT('literature entries'!$D:$AI,IF($J80=1,"ACTIVE     CED, FARM GATE (MJ/kg)","CED, processor gate (MJ/kg)"),INDIRECT($K80)),GETPIVOTDATA(IF($J80=1,"Count of ACTIVE     CED, FARM GATE (MJ/kg)","Count of CED, processor gate (MJ/kg)"),'Pivot Table_CED'!$A$3,"SUB TYPE",$B80))</f>
        <v>1</v>
      </c>
      <c r="N80" s="135">
        <f ca="1">IF($L80="PROXY",DAVERAGE('literature entries'!$D:$AI,IF($J80=1,"ACTIVE     CED, FARM GATE (MJ/kg)","CED, processor gate (MJ/kg)"),INDIRECT($K80)),GETPIVOTDATA(IF($J80=1,"Average of ACTIVE     CED, FARM GATE (MJ/kg)","Average of CED, processor gate (MJ/kg)"),'Pivot Table_CED'!$A$3,"SUB TYPE",$B80))</f>
        <v>3.2267999999999999</v>
      </c>
      <c r="O80" s="135" t="e">
        <f ca="1">IF($L80="PROXY",DSTDEV('literature entries'!D:AI,IF($J80=1,"ACTIVE     CED, FARM GATE (MJ/kg)","CED, processor gate (MJ/kg)"),INDIRECT($K80)),GETPIVOTDATA(IF($J80=1,"StdDev of ACTIVE     CED, FARM GATE (MJ/kg)","StdDev of CED, processor gate (MJ/kg)"),'Pivot Table_CED'!$A$3,"SUB TYPE",$B80))</f>
        <v>#DIV/0!</v>
      </c>
      <c r="P80" s="152" t="str">
        <f>IF(ISERROR(GETPIVOTDATA(IF($J80=1,"Count of ACTIVE     GHGE, FARM GATE (kg CO2e/kg)","Count of GHGE, processor gate (kg CO2e/kg)"),'Pivot Table_GHG'!$A$3,"SUB TYPE",$B80)),"PROXY",IF(GETPIVOTDATA(IF($J80=1,"Count of ACTIVE     GHGE, FARM GATE (kg CO2e/kg)","Count of GHGE, processor gate (kg CO2e/kg)"),'Pivot Table_GHG'!$A$3,"SUB TYPE",$B80)=0,"PROXY","DB value"))</f>
        <v>PROXY</v>
      </c>
      <c r="Q80" s="141">
        <f ca="1">IF($P80="PROXY",DCOUNT('literature entries'!$D:$AI,IF($J80=1,"ACTIVE     GHGE, FARM GATE (kg CO2e/kg)","GHGE, processor gate (kg CO2e/kg)"),INDIRECT($K80)),GETPIVOTDATA(IF($J80=1,"ACTIVE     GHGE, FARM GATE (kg CO2e/kg)","Count of GHGE, processor gate (kg CO2e/kg)"),'Pivot Table_GHG'!$A$3,"SUB TYPE",$B80))</f>
        <v>1</v>
      </c>
      <c r="R80" s="221">
        <f ca="1">IF($P80="PROXY",DAVERAGE('literature entries'!$D:$AI,IF($J80=1,"ACTIVE     GHGE, FARM GATE (kg CO2e/kg)","GHGE, processor gate (kg CO2e/kg)"),INDIRECT($K80)),GETPIVOTDATA(IF($J80=1,"Average of ACTIVE     GHGE, FARM GATE (kg CO2e/kg)","Average of GHGE, processor gate (kg CO2e/kg)"),'Pivot Table_GHG'!$A$3,"SUB TYPE",$B80))</f>
        <v>1.0539000000000001</v>
      </c>
      <c r="S80" s="221" t="e">
        <f ca="1">IF($P80="PROXY",DSTDEV('literature entries'!$D:$AI,IF($J80=1,"ACTIVE     GHGE, FARM GATE (kg CO2e/kg)","GHGE, processor gate (kg CO2e/kg)"),INDIRECT($K80)),GETPIVOTDATA(IF($J80=1,"StdDev of ACTIVE     GHGE, FARM GATE (kg CO2e/kg)","StdDev of GHGE, processor gate (kg CO2e/kg)"),'Pivot Table_GHG'!$A$3,"SUB TYPE",$B80))</f>
        <v>#DIV/0!</v>
      </c>
      <c r="T80" s="101"/>
      <c r="U80" s="102"/>
      <c r="W80" s="248" t="s">
        <v>3361</v>
      </c>
      <c r="X80" s="246">
        <f ca="1">IF($W80="DIRECT",M80,DCOUNT('literature entries'!$D:$AI,IF($J80=1,"ACTIVE     CED, FARM GATE (MJ/kg)","CED, processor gate (MJ/kg)"),INDIRECT($W80)))</f>
        <v>60</v>
      </c>
      <c r="Y80" s="246">
        <f ca="1">IF($W80="DIRECT","",DAVERAGE('literature entries'!$D:$AI,IF($J80=1,"ACTIVE     CED, FARM GATE (MJ/kg)","CED, processor gate (MJ/kg)"),INDIRECT($W80)))</f>
        <v>3.4907536756076811</v>
      </c>
      <c r="Z80" s="246">
        <f ca="1">IF($W80="DIRECT",$O80,DSTDEV('literature entries'!$D:$AI,IF($J80=1,"ACTIVE     CED, FARM GATE (MJ/kg)","CED, processor gate (MJ/kg)"),INDIRECT($W80)))</f>
        <v>2.8914615487691551</v>
      </c>
      <c r="AA80" s="246">
        <f t="shared" ca="1" si="11"/>
        <v>2.6728234050900439</v>
      </c>
      <c r="AB80" s="254" t="s">
        <v>3361</v>
      </c>
      <c r="AC80" s="247">
        <f ca="1">IF($AB80="DIRECT",Q80,DCOUNT('literature entries'!$D:$AI,IF($J80=1,"ACTIVE     GHGE, FARM GATE (kg CO2e/kg)","GHGE, processor gate (kg CO2e/kg)"),INDIRECT($AB80)))</f>
        <v>130</v>
      </c>
      <c r="AD80" s="247">
        <f ca="1">IF($AB80="DIRECT","",DAVERAGE('literature entries'!$D:$AI,IF($J80=1,"ACTIVE     GHGE, FARM GATE (kg CO2e/kg)","GHGE, processor gate (kg CO2e/kg)"),INDIRECT($AB80)))</f>
        <v>0.57143231537198591</v>
      </c>
      <c r="AE80" s="247">
        <f ca="1">IF($AB80="DIRECT",$S80,DSTDEV('literature entries'!$D:$AI,IF($J80=1,"ACTIVE     GHGE, FARM GATE (kg CO2e/kg)","GHGE, processor gate (kg CO2e/kg)"),INDIRECT($AB80)))</f>
        <v>0.97567296151555694</v>
      </c>
      <c r="AF80" s="247">
        <f t="shared" ca="1" si="12"/>
        <v>1.7994462449535724</v>
      </c>
    </row>
    <row r="81" spans="1:32" s="21" customFormat="1" ht="17" thickBot="1" x14ac:dyDescent="0.25">
      <c r="A81" s="129">
        <v>603030000</v>
      </c>
      <c r="B81" s="130" t="s">
        <v>1785</v>
      </c>
      <c r="C81" s="131" t="s">
        <v>1784</v>
      </c>
      <c r="D81" s="131" t="s">
        <v>1786</v>
      </c>
      <c r="E81" s="131">
        <v>770</v>
      </c>
      <c r="F81" s="126">
        <f t="shared" ca="1" si="9"/>
        <v>4.7558000000000007</v>
      </c>
      <c r="G81" s="127">
        <f t="shared" ca="1" si="10"/>
        <v>0.30778666666666665</v>
      </c>
      <c r="H81" s="132">
        <v>1</v>
      </c>
      <c r="I81" s="133" t="s">
        <v>594</v>
      </c>
      <c r="J81" s="103">
        <v>1</v>
      </c>
      <c r="K81" s="90" t="s">
        <v>3270</v>
      </c>
      <c r="L81" s="152" t="str">
        <f>IF(ISERROR(GETPIVOTDATA(IF($J81=1,"Count of ACTIVE     CED, FARM GATE (MJ/kg)","Count of CED, processor gate (MJ/kg)"),'Pivot Table_CED'!$A$3,"SUB TYPE",$B81)),"PROXY",IF(GETPIVOTDATA(IF($J81=1,"Count of ACTIVE     CED, FARM GATE (MJ/kg)","Count of CED, processor gate (MJ/kg)"),'Pivot Table_CED'!$A$3,"SUB TYPE",$B81)=0,"PROXY","DB value"))</f>
        <v>PROXY</v>
      </c>
      <c r="M81" s="134">
        <f ca="1">IF($L81="PROXY",DCOUNT('literature entries'!$D:$AI,IF($J81=1,"ACTIVE     CED, FARM GATE (MJ/kg)","CED, processor gate (MJ/kg)"),INDIRECT($K81)),GETPIVOTDATA(IF($J81=1,"Count of ACTIVE     CED, FARM GATE (MJ/kg)","Count of CED, processor gate (MJ/kg)"),'Pivot Table_CED'!$A$3,"SUB TYPE",$B81))</f>
        <v>2</v>
      </c>
      <c r="N81" s="135">
        <f ca="1">IF($L81="PROXY",DAVERAGE('literature entries'!$D:$AI,IF($J81=1,"ACTIVE     CED, FARM GATE (MJ/kg)","CED, processor gate (MJ/kg)"),INDIRECT($K81)),GETPIVOTDATA(IF($J81=1,"Average of ACTIVE     CED, FARM GATE (MJ/kg)","Average of CED, processor gate (MJ/kg)"),'Pivot Table_CED'!$A$3,"SUB TYPE",$B81))</f>
        <v>4.7558000000000007</v>
      </c>
      <c r="O81" s="135">
        <f ca="1">IF($L81="PROXY",DSTDEV('literature entries'!D:AI,IF($J81=1,"ACTIVE     CED, FARM GATE (MJ/kg)","CED, processor gate (MJ/kg)"),INDIRECT($K81)),GETPIVOTDATA(IF($J81=1,"StdDev of ACTIVE     CED, FARM GATE (MJ/kg)","StdDev of CED, processor gate (MJ/kg)"),'Pivot Table_CED'!$A$3,"SUB TYPE",$B81))</f>
        <v>3.7394635016269362</v>
      </c>
      <c r="P81" s="152" t="str">
        <f>IF(ISERROR(GETPIVOTDATA(IF($J81=1,"Count of ACTIVE     GHGE, FARM GATE (kg CO2e/kg)","Count of GHGE, processor gate (kg CO2e/kg)"),'Pivot Table_GHG'!$A$3,"SUB TYPE",$B81)),"PROXY",IF(GETPIVOTDATA(IF($J81=1,"Count of ACTIVE     GHGE, FARM GATE (kg CO2e/kg)","Count of GHGE, processor gate (kg CO2e/kg)"),'Pivot Table_GHG'!$A$3,"SUB TYPE",$B81)=0,"PROXY","DB value"))</f>
        <v>PROXY</v>
      </c>
      <c r="Q81" s="141">
        <f ca="1">IF($P81="PROXY",DCOUNT('literature entries'!$D:$AI,IF($J81=1,"ACTIVE     GHGE, FARM GATE (kg CO2e/kg)","GHGE, processor gate (kg CO2e/kg)"),INDIRECT($K81)),GETPIVOTDATA(IF($J81=1,"ACTIVE     GHGE, FARM GATE (kg CO2e/kg)","Count of GHGE, processor gate (kg CO2e/kg)"),'Pivot Table_GHG'!$A$3,"SUB TYPE",$B81))</f>
        <v>9</v>
      </c>
      <c r="R81" s="221">
        <f ca="1">IF($P81="PROXY",DAVERAGE('literature entries'!$D:$AI,IF($J81=1,"ACTIVE     GHGE, FARM GATE (kg CO2e/kg)","GHGE, processor gate (kg CO2e/kg)"),INDIRECT($K81)),GETPIVOTDATA(IF($J81=1,"Average of ACTIVE     GHGE, FARM GATE (kg CO2e/kg)","Average of GHGE, processor gate (kg CO2e/kg)"),'Pivot Table_GHG'!$A$3,"SUB TYPE",$B81))</f>
        <v>0.30778666666666665</v>
      </c>
      <c r="S81" s="221">
        <f ca="1">IF($P81="PROXY",DSTDEV('literature entries'!$D:$AI,IF($J81=1,"ACTIVE     GHGE, FARM GATE (kg CO2e/kg)","GHGE, processor gate (kg CO2e/kg)"),INDIRECT($K81)),GETPIVOTDATA(IF($J81=1,"StdDev of ACTIVE     GHGE, FARM GATE (kg CO2e/kg)","StdDev of GHGE, processor gate (kg CO2e/kg)"),'Pivot Table_GHG'!$A$3,"SUB TYPE",$B81))</f>
        <v>0.19451811637994038</v>
      </c>
      <c r="T81" s="101"/>
      <c r="U81" s="102"/>
      <c r="W81" s="200" t="s">
        <v>3355</v>
      </c>
      <c r="X81" s="246">
        <f ca="1">IF($W81="DIRECT",M81,DCOUNT('literature entries'!$D:$AI,IF($J81=1,"ACTIVE     CED, FARM GATE (MJ/kg)","CED, processor gate (MJ/kg)"),INDIRECT($W81)))</f>
        <v>19</v>
      </c>
      <c r="Y81" s="246">
        <f ca="1">IF($W81="DIRECT","",DAVERAGE('literature entries'!$D:$AI,IF($J81=1,"ACTIVE     CED, FARM GATE (MJ/kg)","CED, processor gate (MJ/kg)"),INDIRECT($W81)))</f>
        <v>3.1899535894736837</v>
      </c>
      <c r="Z81" s="246">
        <f ca="1">IF($W81="DIRECT",$O81,DSTDEV('literature entries'!$D:$AI,IF($J81=1,"ACTIVE     CED, FARM GATE (MJ/kg)","CED, processor gate (MJ/kg)"),INDIRECT($W81)))</f>
        <v>1.8390624775878359</v>
      </c>
      <c r="AA81" s="246">
        <f t="shared" ca="1" si="11"/>
        <v>2.741799554630914</v>
      </c>
      <c r="AB81" s="255" t="s">
        <v>3355</v>
      </c>
      <c r="AC81" s="247">
        <f ca="1">IF($AB81="DIRECT",Q81,DCOUNT('literature entries'!$D:$AI,IF($J81=1,"ACTIVE     GHGE, FARM GATE (kg CO2e/kg)","GHGE, processor gate (kg CO2e/kg)"),INDIRECT($AB81)))</f>
        <v>29</v>
      </c>
      <c r="AD81" s="247">
        <f ca="1">IF($AB81="DIRECT","",DAVERAGE('literature entries'!$D:$AI,IF($J81=1,"ACTIVE     GHGE, FARM GATE (kg CO2e/kg)","GHGE, processor gate (kg CO2e/kg)"),INDIRECT($AB81)))</f>
        <v>0.73083219793103427</v>
      </c>
      <c r="AE81" s="247">
        <f ca="1">IF($AB81="DIRECT",$S81,DSTDEV('literature entries'!$D:$AI,IF($J81=1,"ACTIVE     GHGE, FARM GATE (kg CO2e/kg)","GHGE, processor gate (kg CO2e/kg)"),INDIRECT($AB81)))</f>
        <v>0.90386671550847975</v>
      </c>
      <c r="AF81" s="247">
        <f t="shared" ca="1" si="12"/>
        <v>0.38065936922986487</v>
      </c>
    </row>
    <row r="82" spans="1:32" s="21" customFormat="1" ht="17" thickBot="1" x14ac:dyDescent="0.25">
      <c r="A82" s="129">
        <v>603032000</v>
      </c>
      <c r="B82" s="130" t="s">
        <v>1787</v>
      </c>
      <c r="C82" s="131" t="s">
        <v>1784</v>
      </c>
      <c r="D82" s="131" t="s">
        <v>1788</v>
      </c>
      <c r="E82" s="131">
        <v>13</v>
      </c>
      <c r="F82" s="126">
        <f t="shared" ca="1" si="9"/>
        <v>4.7558000000000007</v>
      </c>
      <c r="G82" s="127">
        <f t="shared" ca="1" si="10"/>
        <v>1.1675900000000001</v>
      </c>
      <c r="H82" s="132">
        <v>1</v>
      </c>
      <c r="I82" s="133" t="s">
        <v>594</v>
      </c>
      <c r="J82" s="103">
        <v>1</v>
      </c>
      <c r="K82" s="90" t="s">
        <v>3270</v>
      </c>
      <c r="L82" s="152" t="str">
        <f>IF(ISERROR(GETPIVOTDATA(IF($J82=1,"Count of ACTIVE     CED, FARM GATE (MJ/kg)","Count of CED, processor gate (MJ/kg)"),'Pivot Table_CED'!$A$3,"SUB TYPE",$B82)),"PROXY",IF(GETPIVOTDATA(IF($J82=1,"Count of ACTIVE     CED, FARM GATE (MJ/kg)","Count of CED, processor gate (MJ/kg)"),'Pivot Table_CED'!$A$3,"SUB TYPE",$B82)=0,"PROXY","DB value"))</f>
        <v>PROXY</v>
      </c>
      <c r="M82" s="134">
        <f ca="1">IF($L82="PROXY",DCOUNT('literature entries'!$D:$AI,IF($J82=1,"ACTIVE     CED, FARM GATE (MJ/kg)","CED, processor gate (MJ/kg)"),INDIRECT($K82)),GETPIVOTDATA(IF($J82=1,"Count of ACTIVE     CED, FARM GATE (MJ/kg)","Count of CED, processor gate (MJ/kg)"),'Pivot Table_CED'!$A$3,"SUB TYPE",$B82))</f>
        <v>2</v>
      </c>
      <c r="N82" s="135">
        <f ca="1">IF($L82="PROXY",DAVERAGE('literature entries'!$D:$AI,IF($J82=1,"ACTIVE     CED, FARM GATE (MJ/kg)","CED, processor gate (MJ/kg)"),INDIRECT($K82)),GETPIVOTDATA(IF($J82=1,"Average of ACTIVE     CED, FARM GATE (MJ/kg)","Average of CED, processor gate (MJ/kg)"),'Pivot Table_CED'!$A$3,"SUB TYPE",$B82))</f>
        <v>4.7558000000000007</v>
      </c>
      <c r="O82" s="135">
        <f ca="1">IF($L82="PROXY",DSTDEV('literature entries'!D:AI,IF($J82=1,"ACTIVE     CED, FARM GATE (MJ/kg)","CED, processor gate (MJ/kg)"),INDIRECT($K82)),GETPIVOTDATA(IF($J82=1,"StdDev of ACTIVE     CED, FARM GATE (MJ/kg)","StdDev of CED, processor gate (MJ/kg)"),'Pivot Table_CED'!$A$3,"SUB TYPE",$B82))</f>
        <v>3.7394635016269362</v>
      </c>
      <c r="P82" s="152" t="str">
        <f>IF(ISERROR(GETPIVOTDATA(IF($J82=1,"Count of ACTIVE     GHGE, FARM GATE (kg CO2e/kg)","Count of GHGE, processor gate (kg CO2e/kg)"),'Pivot Table_GHG'!$A$3,"SUB TYPE",$B82)),"PROXY",IF(GETPIVOTDATA(IF($J82=1,"Count of ACTIVE     GHGE, FARM GATE (kg CO2e/kg)","Count of GHGE, processor gate (kg CO2e/kg)"),'Pivot Table_GHG'!$A$3,"SUB TYPE",$B82)=0,"PROXY","DB value"))</f>
        <v>DB value</v>
      </c>
      <c r="Q82" s="141">
        <f ca="1">IF($P82="PROXY",DCOUNT('literature entries'!$D:$AI,IF($J82=1,"ACTIVE     GHGE, FARM GATE (kg CO2e/kg)","GHGE, processor gate (kg CO2e/kg)"),INDIRECT($K82)),GETPIVOTDATA(IF($J82=1,"ACTIVE     GHGE, FARM GATE (kg CO2e/kg)","Count of GHGE, processor gate (kg CO2e/kg)"),'Pivot Table_GHG'!$A$3,"SUB TYPE",$B82))</f>
        <v>2</v>
      </c>
      <c r="R82" s="221">
        <f ca="1">IF($P82="PROXY",DAVERAGE('literature entries'!$D:$AI,IF($J82=1,"ACTIVE     GHGE, FARM GATE (kg CO2e/kg)","GHGE, processor gate (kg CO2e/kg)"),INDIRECT($K82)),GETPIVOTDATA(IF($J82=1,"Average of ACTIVE     GHGE, FARM GATE (kg CO2e/kg)","Average of GHGE, processor gate (kg CO2e/kg)"),'Pivot Table_GHG'!$A$3,"SUB TYPE",$B82))</f>
        <v>1.1675900000000001</v>
      </c>
      <c r="S82" s="221">
        <f ca="1">IF($P82="PROXY",DSTDEV('literature entries'!$D:$AI,IF($J82=1,"ACTIVE     GHGE, FARM GATE (kg CO2e/kg)","GHGE, processor gate (kg CO2e/kg)"),INDIRECT($K82)),GETPIVOTDATA(IF($J82=1,"StdDev of ACTIVE     GHGE, FARM GATE (kg CO2e/kg)","StdDev of GHGE, processor gate (kg CO2e/kg)"),'Pivot Table_GHG'!$A$3,"SUB TYPE",$B82))</f>
        <v>0.93087779316084207</v>
      </c>
      <c r="T82" s="101"/>
      <c r="U82" s="102"/>
      <c r="W82" s="200" t="s">
        <v>3355</v>
      </c>
      <c r="X82" s="246">
        <f ca="1">IF($W82="DIRECT",M82,DCOUNT('literature entries'!$D:$AI,IF($J82=1,"ACTIVE     CED, FARM GATE (MJ/kg)","CED, processor gate (MJ/kg)"),INDIRECT($W82)))</f>
        <v>19</v>
      </c>
      <c r="Y82" s="246">
        <f ca="1">IF($W82="DIRECT","",DAVERAGE('literature entries'!$D:$AI,IF($J82=1,"ACTIVE     CED, FARM GATE (MJ/kg)","CED, processor gate (MJ/kg)"),INDIRECT($W82)))</f>
        <v>3.1899535894736837</v>
      </c>
      <c r="Z82" s="246">
        <f ca="1">IF($W82="DIRECT",$O82,DSTDEV('literature entries'!$D:$AI,IF($J82=1,"ACTIVE     CED, FARM GATE (MJ/kg)","CED, processor gate (MJ/kg)"),INDIRECT($W82)))</f>
        <v>1.8390624775878359</v>
      </c>
      <c r="AA82" s="246">
        <f t="shared" ca="1" si="11"/>
        <v>2.741799554630914</v>
      </c>
      <c r="AB82" s="255" t="s">
        <v>3355</v>
      </c>
      <c r="AC82" s="247">
        <f ca="1">IF($AB82="DIRECT",Q82,DCOUNT('literature entries'!$D:$AI,IF($J82=1,"ACTIVE     GHGE, FARM GATE (kg CO2e/kg)","GHGE, processor gate (kg CO2e/kg)"),INDIRECT($AB82)))</f>
        <v>29</v>
      </c>
      <c r="AD82" s="247">
        <f ca="1">IF($AB82="DIRECT","",DAVERAGE('literature entries'!$D:$AI,IF($J82=1,"ACTIVE     GHGE, FARM GATE (kg CO2e/kg)","GHGE, processor gate (kg CO2e/kg)"),INDIRECT($AB82)))</f>
        <v>0.73083219793103427</v>
      </c>
      <c r="AE82" s="247">
        <f ca="1">IF($AB82="DIRECT",$S82,DSTDEV('literature entries'!$D:$AI,IF($J82=1,"ACTIVE     GHGE, FARM GATE (kg CO2e/kg)","GHGE, processor gate (kg CO2e/kg)"),INDIRECT($AB82)))</f>
        <v>0.90386671550847975</v>
      </c>
      <c r="AF82" s="247">
        <f t="shared" ca="1" si="12"/>
        <v>1.4440329002309977</v>
      </c>
    </row>
    <row r="83" spans="1:32" s="21" customFormat="1" ht="17" thickBot="1" x14ac:dyDescent="0.25">
      <c r="A83" s="129">
        <v>603034000</v>
      </c>
      <c r="B83" s="130" t="s">
        <v>1791</v>
      </c>
      <c r="C83" s="131" t="s">
        <v>1784</v>
      </c>
      <c r="D83" s="131" t="s">
        <v>1792</v>
      </c>
      <c r="E83" s="131">
        <v>54</v>
      </c>
      <c r="F83" s="126">
        <f t="shared" ca="1" si="9"/>
        <v>4.7558000000000007</v>
      </c>
      <c r="G83" s="127">
        <f t="shared" ca="1" si="10"/>
        <v>0.61</v>
      </c>
      <c r="H83" s="132">
        <v>1</v>
      </c>
      <c r="I83" s="133" t="s">
        <v>594</v>
      </c>
      <c r="J83" s="91">
        <v>1</v>
      </c>
      <c r="K83" s="90" t="s">
        <v>3270</v>
      </c>
      <c r="L83" s="152" t="str">
        <f>IF(ISERROR(GETPIVOTDATA(IF($J83=1,"Count of ACTIVE     CED, FARM GATE (MJ/kg)","Count of CED, processor gate (MJ/kg)"),'Pivot Table_CED'!$A$3,"SUB TYPE",$B83)),"PROXY",IF(GETPIVOTDATA(IF($J83=1,"Count of ACTIVE     CED, FARM GATE (MJ/kg)","Count of CED, processor gate (MJ/kg)"),'Pivot Table_CED'!$A$3,"SUB TYPE",$B83)=0,"PROXY","DB value"))</f>
        <v>PROXY</v>
      </c>
      <c r="M83" s="134">
        <f ca="1">IF($L83="PROXY",DCOUNT('literature entries'!$D:$AI,IF($J83=1,"ACTIVE     CED, FARM GATE (MJ/kg)","CED, processor gate (MJ/kg)"),INDIRECT($K83)),GETPIVOTDATA(IF($J83=1,"Count of ACTIVE     CED, FARM GATE (MJ/kg)","Count of CED, processor gate (MJ/kg)"),'Pivot Table_CED'!$A$3,"SUB TYPE",$B83))</f>
        <v>2</v>
      </c>
      <c r="N83" s="135">
        <f ca="1">IF($L83="PROXY",DAVERAGE('literature entries'!$D:$AI,IF($J83=1,"ACTIVE     CED, FARM GATE (MJ/kg)","CED, processor gate (MJ/kg)"),INDIRECT($K83)),GETPIVOTDATA(IF($J83=1,"Average of ACTIVE     CED, FARM GATE (MJ/kg)","Average of CED, processor gate (MJ/kg)"),'Pivot Table_CED'!$A$3,"SUB TYPE",$B83))</f>
        <v>4.7558000000000007</v>
      </c>
      <c r="O83" s="135">
        <f ca="1">IF($L83="PROXY",DSTDEV('literature entries'!D:AI,IF($J83=1,"ACTIVE     CED, FARM GATE (MJ/kg)","CED, processor gate (MJ/kg)"),INDIRECT($K83)),GETPIVOTDATA(IF($J83=1,"StdDev of ACTIVE     CED, FARM GATE (MJ/kg)","StdDev of CED, processor gate (MJ/kg)"),'Pivot Table_CED'!$A$3,"SUB TYPE",$B83))</f>
        <v>3.7394635016269362</v>
      </c>
      <c r="P83" s="152" t="str">
        <f>IF(ISERROR(GETPIVOTDATA(IF($J83=1,"Count of ACTIVE     GHGE, FARM GATE (kg CO2e/kg)","Count of GHGE, processor gate (kg CO2e/kg)"),'Pivot Table_GHG'!$A$3,"SUB TYPE",$B83)),"PROXY",IF(GETPIVOTDATA(IF($J83=1,"Count of ACTIVE     GHGE, FARM GATE (kg CO2e/kg)","Count of GHGE, processor gate (kg CO2e/kg)"),'Pivot Table_GHG'!$A$3,"SUB TYPE",$B83)=0,"PROXY","DB value"))</f>
        <v>DB value</v>
      </c>
      <c r="Q83" s="141">
        <f ca="1">IF($P83="PROXY",DCOUNT('literature entries'!$D:$AI,IF($J83=1,"ACTIVE     GHGE, FARM GATE (kg CO2e/kg)","GHGE, processor gate (kg CO2e/kg)"),INDIRECT($K83)),GETPIVOTDATA(IF($J83=1,"ACTIVE     GHGE, FARM GATE (kg CO2e/kg)","Count of GHGE, processor gate (kg CO2e/kg)"),'Pivot Table_GHG'!$A$3,"SUB TYPE",$B83))</f>
        <v>1</v>
      </c>
      <c r="R83" s="221">
        <f ca="1">IF($P83="PROXY",DAVERAGE('literature entries'!$D:$AI,IF($J83=1,"ACTIVE     GHGE, FARM GATE (kg CO2e/kg)","GHGE, processor gate (kg CO2e/kg)"),INDIRECT($K83)),GETPIVOTDATA(IF($J83=1,"Average of ACTIVE     GHGE, FARM GATE (kg CO2e/kg)","Average of GHGE, processor gate (kg CO2e/kg)"),'Pivot Table_GHG'!$A$3,"SUB TYPE",$B83))</f>
        <v>0.61</v>
      </c>
      <c r="S83" s="221" t="e">
        <f ca="1">IF($P83="PROXY",DSTDEV('literature entries'!$D:$AI,IF($J83=1,"ACTIVE     GHGE, FARM GATE (kg CO2e/kg)","GHGE, processor gate (kg CO2e/kg)"),INDIRECT($K83)),GETPIVOTDATA(IF($J83=1,"StdDev of ACTIVE     GHGE, FARM GATE (kg CO2e/kg)","StdDev of GHGE, processor gate (kg CO2e/kg)"),'Pivot Table_GHG'!$A$3,"SUB TYPE",$B83))</f>
        <v>#DIV/0!</v>
      </c>
      <c r="T83" s="101"/>
      <c r="U83" s="102"/>
      <c r="W83" s="200" t="s">
        <v>3355</v>
      </c>
      <c r="X83" s="246">
        <f ca="1">IF($W83="DIRECT",M83,DCOUNT('literature entries'!$D:$AI,IF($J83=1,"ACTIVE     CED, FARM GATE (MJ/kg)","CED, processor gate (MJ/kg)"),INDIRECT($W83)))</f>
        <v>19</v>
      </c>
      <c r="Y83" s="246">
        <f ca="1">IF($W83="DIRECT","",DAVERAGE('literature entries'!$D:$AI,IF($J83=1,"ACTIVE     CED, FARM GATE (MJ/kg)","CED, processor gate (MJ/kg)"),INDIRECT($W83)))</f>
        <v>3.1899535894736837</v>
      </c>
      <c r="Z83" s="246">
        <f ca="1">IF($W83="DIRECT",$O83,DSTDEV('literature entries'!$D:$AI,IF($J83=1,"ACTIVE     CED, FARM GATE (MJ/kg)","CED, processor gate (MJ/kg)"),INDIRECT($W83)))</f>
        <v>1.8390624775878359</v>
      </c>
      <c r="AA83" s="246">
        <f t="shared" ca="1" si="11"/>
        <v>2.741799554630914</v>
      </c>
      <c r="AB83" s="255" t="s">
        <v>3355</v>
      </c>
      <c r="AC83" s="247">
        <f ca="1">IF($AB83="DIRECT",Q83,DCOUNT('literature entries'!$D:$AI,IF($J83=1,"ACTIVE     GHGE, FARM GATE (kg CO2e/kg)","GHGE, processor gate (kg CO2e/kg)"),INDIRECT($AB83)))</f>
        <v>29</v>
      </c>
      <c r="AD83" s="247">
        <f ca="1">IF($AB83="DIRECT","",DAVERAGE('literature entries'!$D:$AI,IF($J83=1,"ACTIVE     GHGE, FARM GATE (kg CO2e/kg)","GHGE, processor gate (kg CO2e/kg)"),INDIRECT($AB83)))</f>
        <v>0.73083219793103427</v>
      </c>
      <c r="AE83" s="247">
        <f ca="1">IF($AB83="DIRECT",$S83,DSTDEV('literature entries'!$D:$AI,IF($J83=1,"ACTIVE     GHGE, FARM GATE (kg CO2e/kg)","GHGE, processor gate (kg CO2e/kg)"),INDIRECT($AB83)))</f>
        <v>0.90386671550847975</v>
      </c>
      <c r="AF83" s="247">
        <f t="shared" ca="1" si="12"/>
        <v>0.75442584223992026</v>
      </c>
    </row>
    <row r="84" spans="1:32" s="21" customFormat="1" ht="17" thickBot="1" x14ac:dyDescent="0.25">
      <c r="A84" s="129">
        <v>603035000</v>
      </c>
      <c r="B84" s="130" t="s">
        <v>1783</v>
      </c>
      <c r="C84" s="131" t="s">
        <v>1784</v>
      </c>
      <c r="D84" s="131"/>
      <c r="E84" s="131">
        <v>1934</v>
      </c>
      <c r="F84" s="126">
        <f t="shared" ca="1" si="9"/>
        <v>4.7558000000000007</v>
      </c>
      <c r="G84" s="127">
        <f t="shared" ca="1" si="10"/>
        <v>0.30778666666666665</v>
      </c>
      <c r="H84" s="132">
        <v>1</v>
      </c>
      <c r="I84" s="133" t="s">
        <v>594</v>
      </c>
      <c r="J84" s="91">
        <v>1</v>
      </c>
      <c r="K84" s="90" t="s">
        <v>3270</v>
      </c>
      <c r="L84" s="152" t="str">
        <f>IF(ISERROR(GETPIVOTDATA(IF($J84=1,"Count of ACTIVE     CED, FARM GATE (MJ/kg)","Count of CED, processor gate (MJ/kg)"),'Pivot Table_CED'!$A$3,"SUB TYPE",$B84)),"PROXY",IF(GETPIVOTDATA(IF($J84=1,"Count of ACTIVE     CED, FARM GATE (MJ/kg)","Count of CED, processor gate (MJ/kg)"),'Pivot Table_CED'!$A$3,"SUB TYPE",$B84)=0,"PROXY","DB value"))</f>
        <v>PROXY</v>
      </c>
      <c r="M84" s="134">
        <f ca="1">IF($L84="PROXY",DCOUNT('literature entries'!$D:$AI,IF($J84=1,"ACTIVE     CED, FARM GATE (MJ/kg)","CED, processor gate (MJ/kg)"),INDIRECT($K84)),GETPIVOTDATA(IF($J84=1,"Count of ACTIVE     CED, FARM GATE (MJ/kg)","Count of CED, processor gate (MJ/kg)"),'Pivot Table_CED'!$A$3,"SUB TYPE",$B84))</f>
        <v>2</v>
      </c>
      <c r="N84" s="135">
        <f ca="1">IF($L84="PROXY",DAVERAGE('literature entries'!$D:$AI,IF($J84=1,"ACTIVE     CED, FARM GATE (MJ/kg)","CED, processor gate (MJ/kg)"),INDIRECT($K84)),GETPIVOTDATA(IF($J84=1,"Average of ACTIVE     CED, FARM GATE (MJ/kg)","Average of CED, processor gate (MJ/kg)"),'Pivot Table_CED'!$A$3,"SUB TYPE",$B84))</f>
        <v>4.7558000000000007</v>
      </c>
      <c r="O84" s="135">
        <f ca="1">IF($L84="PROXY",DSTDEV('literature entries'!D:AI,IF($J84=1,"ACTIVE     CED, FARM GATE (MJ/kg)","CED, processor gate (MJ/kg)"),INDIRECT($K84)),GETPIVOTDATA(IF($J84=1,"StdDev of ACTIVE     CED, FARM GATE (MJ/kg)","StdDev of CED, processor gate (MJ/kg)"),'Pivot Table_CED'!$A$3,"SUB TYPE",$B84))</f>
        <v>3.7394635016269362</v>
      </c>
      <c r="P84" s="152" t="str">
        <f>IF(ISERROR(GETPIVOTDATA(IF($J84=1,"Count of ACTIVE     GHGE, FARM GATE (kg CO2e/kg)","Count of GHGE, processor gate (kg CO2e/kg)"),'Pivot Table_GHG'!$A$3,"SUB TYPE",$B84)),"PROXY",IF(GETPIVOTDATA(IF($J84=1,"Count of ACTIVE     GHGE, FARM GATE (kg CO2e/kg)","Count of GHGE, processor gate (kg CO2e/kg)"),'Pivot Table_GHG'!$A$3,"SUB TYPE",$B84)=0,"PROXY","DB value"))</f>
        <v>PROXY</v>
      </c>
      <c r="Q84" s="141">
        <f ca="1">IF($P84="PROXY",DCOUNT('literature entries'!$D:$AI,IF($J84=1,"ACTIVE     GHGE, FARM GATE (kg CO2e/kg)","GHGE, processor gate (kg CO2e/kg)"),INDIRECT($K84)),GETPIVOTDATA(IF($J84=1,"ACTIVE     GHGE, FARM GATE (kg CO2e/kg)","Count of GHGE, processor gate (kg CO2e/kg)"),'Pivot Table_GHG'!$A$3,"SUB TYPE",$B84))</f>
        <v>9</v>
      </c>
      <c r="R84" s="221">
        <f ca="1">IF($P84="PROXY",DAVERAGE('literature entries'!$D:$AI,IF($J84=1,"ACTIVE     GHGE, FARM GATE (kg CO2e/kg)","GHGE, processor gate (kg CO2e/kg)"),INDIRECT($K84)),GETPIVOTDATA(IF($J84=1,"Average of ACTIVE     GHGE, FARM GATE (kg CO2e/kg)","Average of GHGE, processor gate (kg CO2e/kg)"),'Pivot Table_GHG'!$A$3,"SUB TYPE",$B84))</f>
        <v>0.30778666666666665</v>
      </c>
      <c r="S84" s="221">
        <f ca="1">IF($P84="PROXY",DSTDEV('literature entries'!$D:$AI,IF($J84=1,"ACTIVE     GHGE, FARM GATE (kg CO2e/kg)","GHGE, processor gate (kg CO2e/kg)"),INDIRECT($K84)),GETPIVOTDATA(IF($J84=1,"StdDev of ACTIVE     GHGE, FARM GATE (kg CO2e/kg)","StdDev of GHGE, processor gate (kg CO2e/kg)"),'Pivot Table_GHG'!$A$3,"SUB TYPE",$B84))</f>
        <v>0.19451811637994038</v>
      </c>
      <c r="T84" s="101"/>
      <c r="U84" s="102"/>
      <c r="W84" s="200" t="s">
        <v>3355</v>
      </c>
      <c r="X84" s="246">
        <f ca="1">IF($W84="DIRECT",M84,DCOUNT('literature entries'!$D:$AI,IF($J84=1,"ACTIVE     CED, FARM GATE (MJ/kg)","CED, processor gate (MJ/kg)"),INDIRECT($W84)))</f>
        <v>19</v>
      </c>
      <c r="Y84" s="246">
        <f ca="1">IF($W84="DIRECT","",DAVERAGE('literature entries'!$D:$AI,IF($J84=1,"ACTIVE     CED, FARM GATE (MJ/kg)","CED, processor gate (MJ/kg)"),INDIRECT($W84)))</f>
        <v>3.1899535894736837</v>
      </c>
      <c r="Z84" s="246">
        <f ca="1">IF($W84="DIRECT",$O84,DSTDEV('literature entries'!$D:$AI,IF($J84=1,"ACTIVE     CED, FARM GATE (MJ/kg)","CED, processor gate (MJ/kg)"),INDIRECT($W84)))</f>
        <v>1.8390624775878359</v>
      </c>
      <c r="AA84" s="246">
        <f t="shared" ca="1" si="11"/>
        <v>2.741799554630914</v>
      </c>
      <c r="AB84" s="255" t="s">
        <v>3355</v>
      </c>
      <c r="AC84" s="247">
        <f ca="1">IF($AB84="DIRECT",Q84,DCOUNT('literature entries'!$D:$AI,IF($J84=1,"ACTIVE     GHGE, FARM GATE (kg CO2e/kg)","GHGE, processor gate (kg CO2e/kg)"),INDIRECT($AB84)))</f>
        <v>29</v>
      </c>
      <c r="AD84" s="247">
        <f ca="1">IF($AB84="DIRECT","",DAVERAGE('literature entries'!$D:$AI,IF($J84=1,"ACTIVE     GHGE, FARM GATE (kg CO2e/kg)","GHGE, processor gate (kg CO2e/kg)"),INDIRECT($AB84)))</f>
        <v>0.73083219793103427</v>
      </c>
      <c r="AE84" s="247">
        <f ca="1">IF($AB84="DIRECT",$S84,DSTDEV('literature entries'!$D:$AI,IF($J84=1,"ACTIVE     GHGE, FARM GATE (kg CO2e/kg)","GHGE, processor gate (kg CO2e/kg)"),INDIRECT($AB84)))</f>
        <v>0.90386671550847975</v>
      </c>
      <c r="AF84" s="247">
        <f t="shared" ca="1" si="12"/>
        <v>0.38065936922986487</v>
      </c>
    </row>
    <row r="85" spans="1:32" s="21" customFormat="1" ht="17" thickBot="1" x14ac:dyDescent="0.25">
      <c r="A85" s="129">
        <v>603036000</v>
      </c>
      <c r="B85" s="130" t="s">
        <v>1795</v>
      </c>
      <c r="C85" s="131" t="s">
        <v>1784</v>
      </c>
      <c r="D85" s="131"/>
      <c r="E85" s="131">
        <v>1457</v>
      </c>
      <c r="F85" s="126">
        <f t="shared" ca="1" si="9"/>
        <v>4.7558000000000007</v>
      </c>
      <c r="G85" s="127">
        <f t="shared" ca="1" si="10"/>
        <v>0.30778666666666665</v>
      </c>
      <c r="H85" s="132">
        <v>1</v>
      </c>
      <c r="I85" s="133" t="s">
        <v>594</v>
      </c>
      <c r="J85" s="91">
        <v>1</v>
      </c>
      <c r="K85" s="90" t="s">
        <v>3270</v>
      </c>
      <c r="L85" s="152" t="str">
        <f>IF(ISERROR(GETPIVOTDATA(IF($J85=1,"Count of ACTIVE     CED, FARM GATE (MJ/kg)","Count of CED, processor gate (MJ/kg)"),'Pivot Table_CED'!$A$3,"SUB TYPE",$B85)),"PROXY",IF(GETPIVOTDATA(IF($J85=1,"Count of ACTIVE     CED, FARM GATE (MJ/kg)","Count of CED, processor gate (MJ/kg)"),'Pivot Table_CED'!$A$3,"SUB TYPE",$B85)=0,"PROXY","DB value"))</f>
        <v>PROXY</v>
      </c>
      <c r="M85" s="134">
        <f ca="1">IF($L85="PROXY",DCOUNT('literature entries'!$D:$AI,IF($J85=1,"ACTIVE     CED, FARM GATE (MJ/kg)","CED, processor gate (MJ/kg)"),INDIRECT($K85)),GETPIVOTDATA(IF($J85=1,"Count of ACTIVE     CED, FARM GATE (MJ/kg)","Count of CED, processor gate (MJ/kg)"),'Pivot Table_CED'!$A$3,"SUB TYPE",$B85))</f>
        <v>2</v>
      </c>
      <c r="N85" s="135">
        <f ca="1">IF($L85="PROXY",DAVERAGE('literature entries'!$D:$AI,IF($J85=1,"ACTIVE     CED, FARM GATE (MJ/kg)","CED, processor gate (MJ/kg)"),INDIRECT($K85)),GETPIVOTDATA(IF($J85=1,"Average of ACTIVE     CED, FARM GATE (MJ/kg)","Average of CED, processor gate (MJ/kg)"),'Pivot Table_CED'!$A$3,"SUB TYPE",$B85))</f>
        <v>4.7558000000000007</v>
      </c>
      <c r="O85" s="135">
        <f ca="1">IF($L85="PROXY",DSTDEV('literature entries'!D:AI,IF($J85=1,"ACTIVE     CED, FARM GATE (MJ/kg)","CED, processor gate (MJ/kg)"),INDIRECT($K85)),GETPIVOTDATA(IF($J85=1,"StdDev of ACTIVE     CED, FARM GATE (MJ/kg)","StdDev of CED, processor gate (MJ/kg)"),'Pivot Table_CED'!$A$3,"SUB TYPE",$B85))</f>
        <v>3.7394635016269362</v>
      </c>
      <c r="P85" s="152" t="str">
        <f>IF(ISERROR(GETPIVOTDATA(IF($J85=1,"Count of ACTIVE     GHGE, FARM GATE (kg CO2e/kg)","Count of GHGE, processor gate (kg CO2e/kg)"),'Pivot Table_GHG'!$A$3,"SUB TYPE",$B85)),"PROXY",IF(GETPIVOTDATA(IF($J85=1,"Count of ACTIVE     GHGE, FARM GATE (kg CO2e/kg)","Count of GHGE, processor gate (kg CO2e/kg)"),'Pivot Table_GHG'!$A$3,"SUB TYPE",$B85)=0,"PROXY","DB value"))</f>
        <v>PROXY</v>
      </c>
      <c r="Q85" s="141">
        <f ca="1">IF($P85="PROXY",DCOUNT('literature entries'!$D:$AI,IF($J85=1,"ACTIVE     GHGE, FARM GATE (kg CO2e/kg)","GHGE, processor gate (kg CO2e/kg)"),INDIRECT($K85)),GETPIVOTDATA(IF($J85=1,"ACTIVE     GHGE, FARM GATE (kg CO2e/kg)","Count of GHGE, processor gate (kg CO2e/kg)"),'Pivot Table_GHG'!$A$3,"SUB TYPE",$B85))</f>
        <v>9</v>
      </c>
      <c r="R85" s="221">
        <f ca="1">IF($P85="PROXY",DAVERAGE('literature entries'!$D:$AI,IF($J85=1,"ACTIVE     GHGE, FARM GATE (kg CO2e/kg)","GHGE, processor gate (kg CO2e/kg)"),INDIRECT($K85)),GETPIVOTDATA(IF($J85=1,"Average of ACTIVE     GHGE, FARM GATE (kg CO2e/kg)","Average of GHGE, processor gate (kg CO2e/kg)"),'Pivot Table_GHG'!$A$3,"SUB TYPE",$B85))</f>
        <v>0.30778666666666665</v>
      </c>
      <c r="S85" s="221">
        <f ca="1">IF($P85="PROXY",DSTDEV('literature entries'!$D:$AI,IF($J85=1,"ACTIVE     GHGE, FARM GATE (kg CO2e/kg)","GHGE, processor gate (kg CO2e/kg)"),INDIRECT($K85)),GETPIVOTDATA(IF($J85=1,"StdDev of ACTIVE     GHGE, FARM GATE (kg CO2e/kg)","StdDev of GHGE, processor gate (kg CO2e/kg)"),'Pivot Table_GHG'!$A$3,"SUB TYPE",$B85))</f>
        <v>0.19451811637994038</v>
      </c>
      <c r="T85" s="101"/>
      <c r="U85" s="102"/>
      <c r="W85" s="200" t="s">
        <v>3355</v>
      </c>
      <c r="X85" s="246">
        <f ca="1">IF($W85="DIRECT",M85,DCOUNT('literature entries'!$D:$AI,IF($J85=1,"ACTIVE     CED, FARM GATE (MJ/kg)","CED, processor gate (MJ/kg)"),INDIRECT($W85)))</f>
        <v>19</v>
      </c>
      <c r="Y85" s="246">
        <f ca="1">IF($W85="DIRECT","",DAVERAGE('literature entries'!$D:$AI,IF($J85=1,"ACTIVE     CED, FARM GATE (MJ/kg)","CED, processor gate (MJ/kg)"),INDIRECT($W85)))</f>
        <v>3.1899535894736837</v>
      </c>
      <c r="Z85" s="246">
        <f ca="1">IF($W85="DIRECT",$O85,DSTDEV('literature entries'!$D:$AI,IF($J85=1,"ACTIVE     CED, FARM GATE (MJ/kg)","CED, processor gate (MJ/kg)"),INDIRECT($W85)))</f>
        <v>1.8390624775878359</v>
      </c>
      <c r="AA85" s="246">
        <f t="shared" ca="1" si="11"/>
        <v>2.741799554630914</v>
      </c>
      <c r="AB85" s="255" t="s">
        <v>3355</v>
      </c>
      <c r="AC85" s="247">
        <f ca="1">IF($AB85="DIRECT",Q85,DCOUNT('literature entries'!$D:$AI,IF($J85=1,"ACTIVE     GHGE, FARM GATE (kg CO2e/kg)","GHGE, processor gate (kg CO2e/kg)"),INDIRECT($AB85)))</f>
        <v>29</v>
      </c>
      <c r="AD85" s="247">
        <f ca="1">IF($AB85="DIRECT","",DAVERAGE('literature entries'!$D:$AI,IF($J85=1,"ACTIVE     GHGE, FARM GATE (kg CO2e/kg)","GHGE, processor gate (kg CO2e/kg)"),INDIRECT($AB85)))</f>
        <v>0.73083219793103427</v>
      </c>
      <c r="AE85" s="247">
        <f ca="1">IF($AB85="DIRECT",$S85,DSTDEV('literature entries'!$D:$AI,IF($J85=1,"ACTIVE     GHGE, FARM GATE (kg CO2e/kg)","GHGE, processor gate (kg CO2e/kg)"),INDIRECT($AB85)))</f>
        <v>0.90386671550847975</v>
      </c>
      <c r="AF85" s="247">
        <f t="shared" ca="1" si="12"/>
        <v>0.38065936922986487</v>
      </c>
    </row>
    <row r="86" spans="1:32" s="21" customFormat="1" ht="17" thickBot="1" x14ac:dyDescent="0.25">
      <c r="A86" s="129">
        <v>603038000</v>
      </c>
      <c r="B86" s="130" t="s">
        <v>1796</v>
      </c>
      <c r="C86" s="131" t="s">
        <v>1784</v>
      </c>
      <c r="D86" s="131"/>
      <c r="E86" s="131">
        <v>278</v>
      </c>
      <c r="F86" s="126">
        <f t="shared" ca="1" si="9"/>
        <v>4.7558000000000007</v>
      </c>
      <c r="G86" s="127">
        <f t="shared" ca="1" si="10"/>
        <v>0.30778666666666665</v>
      </c>
      <c r="H86" s="132">
        <v>1</v>
      </c>
      <c r="I86" s="133" t="s">
        <v>594</v>
      </c>
      <c r="J86" s="91">
        <v>1</v>
      </c>
      <c r="K86" s="90" t="s">
        <v>3270</v>
      </c>
      <c r="L86" s="152" t="str">
        <f>IF(ISERROR(GETPIVOTDATA(IF($J86=1,"Count of ACTIVE     CED, FARM GATE (MJ/kg)","Count of CED, processor gate (MJ/kg)"),'Pivot Table_CED'!$A$3,"SUB TYPE",$B86)),"PROXY",IF(GETPIVOTDATA(IF($J86=1,"Count of ACTIVE     CED, FARM GATE (MJ/kg)","Count of CED, processor gate (MJ/kg)"),'Pivot Table_CED'!$A$3,"SUB TYPE",$B86)=0,"PROXY","DB value"))</f>
        <v>PROXY</v>
      </c>
      <c r="M86" s="134">
        <f ca="1">IF($L86="PROXY",DCOUNT('literature entries'!$D:$AI,IF($J86=1,"ACTIVE     CED, FARM GATE (MJ/kg)","CED, processor gate (MJ/kg)"),INDIRECT($K86)),GETPIVOTDATA(IF($J86=1,"Count of ACTIVE     CED, FARM GATE (MJ/kg)","Count of CED, processor gate (MJ/kg)"),'Pivot Table_CED'!$A$3,"SUB TYPE",$B86))</f>
        <v>2</v>
      </c>
      <c r="N86" s="135">
        <f ca="1">IF($L86="PROXY",DAVERAGE('literature entries'!$D:$AI,IF($J86=1,"ACTIVE     CED, FARM GATE (MJ/kg)","CED, processor gate (MJ/kg)"),INDIRECT($K86)),GETPIVOTDATA(IF($J86=1,"Average of ACTIVE     CED, FARM GATE (MJ/kg)","Average of CED, processor gate (MJ/kg)"),'Pivot Table_CED'!$A$3,"SUB TYPE",$B86))</f>
        <v>4.7558000000000007</v>
      </c>
      <c r="O86" s="135">
        <f ca="1">IF($L86="PROXY",DSTDEV('literature entries'!D:AI,IF($J86=1,"ACTIVE     CED, FARM GATE (MJ/kg)","CED, processor gate (MJ/kg)"),INDIRECT($K86)),GETPIVOTDATA(IF($J86=1,"StdDev of ACTIVE     CED, FARM GATE (MJ/kg)","StdDev of CED, processor gate (MJ/kg)"),'Pivot Table_CED'!$A$3,"SUB TYPE",$B86))</f>
        <v>3.7394635016269362</v>
      </c>
      <c r="P86" s="152" t="str">
        <f>IF(ISERROR(GETPIVOTDATA(IF($J86=1,"Count of ACTIVE     GHGE, FARM GATE (kg CO2e/kg)","Count of GHGE, processor gate (kg CO2e/kg)"),'Pivot Table_GHG'!$A$3,"SUB TYPE",$B86)),"PROXY",IF(GETPIVOTDATA(IF($J86=1,"Count of ACTIVE     GHGE, FARM GATE (kg CO2e/kg)","Count of GHGE, processor gate (kg CO2e/kg)"),'Pivot Table_GHG'!$A$3,"SUB TYPE",$B86)=0,"PROXY","DB value"))</f>
        <v>PROXY</v>
      </c>
      <c r="Q86" s="141">
        <f ca="1">IF($P86="PROXY",DCOUNT('literature entries'!$D:$AI,IF($J86=1,"ACTIVE     GHGE, FARM GATE (kg CO2e/kg)","GHGE, processor gate (kg CO2e/kg)"),INDIRECT($K86)),GETPIVOTDATA(IF($J86=1,"ACTIVE     GHGE, FARM GATE (kg CO2e/kg)","Count of GHGE, processor gate (kg CO2e/kg)"),'Pivot Table_GHG'!$A$3,"SUB TYPE",$B86))</f>
        <v>9</v>
      </c>
      <c r="R86" s="221">
        <f ca="1">IF($P86="PROXY",DAVERAGE('literature entries'!$D:$AI,IF($J86=1,"ACTIVE     GHGE, FARM GATE (kg CO2e/kg)","GHGE, processor gate (kg CO2e/kg)"),INDIRECT($K86)),GETPIVOTDATA(IF($J86=1,"Average of ACTIVE     GHGE, FARM GATE (kg CO2e/kg)","Average of GHGE, processor gate (kg CO2e/kg)"),'Pivot Table_GHG'!$A$3,"SUB TYPE",$B86))</f>
        <v>0.30778666666666665</v>
      </c>
      <c r="S86" s="221">
        <f ca="1">IF($P86="PROXY",DSTDEV('literature entries'!$D:$AI,IF($J86=1,"ACTIVE     GHGE, FARM GATE (kg CO2e/kg)","GHGE, processor gate (kg CO2e/kg)"),INDIRECT($K86)),GETPIVOTDATA(IF($J86=1,"StdDev of ACTIVE     GHGE, FARM GATE (kg CO2e/kg)","StdDev of GHGE, processor gate (kg CO2e/kg)"),'Pivot Table_GHG'!$A$3,"SUB TYPE",$B86))</f>
        <v>0.19451811637994038</v>
      </c>
      <c r="T86" s="101"/>
      <c r="U86" s="102"/>
      <c r="W86" s="200" t="s">
        <v>3355</v>
      </c>
      <c r="X86" s="246">
        <f ca="1">IF($W86="DIRECT",M86,DCOUNT('literature entries'!$D:$AI,IF($J86=1,"ACTIVE     CED, FARM GATE (MJ/kg)","CED, processor gate (MJ/kg)"),INDIRECT($W86)))</f>
        <v>19</v>
      </c>
      <c r="Y86" s="246">
        <f ca="1">IF($W86="DIRECT","",DAVERAGE('literature entries'!$D:$AI,IF($J86=1,"ACTIVE     CED, FARM GATE (MJ/kg)","CED, processor gate (MJ/kg)"),INDIRECT($W86)))</f>
        <v>3.1899535894736837</v>
      </c>
      <c r="Z86" s="246">
        <f ca="1">IF($W86="DIRECT",$O86,DSTDEV('literature entries'!$D:$AI,IF($J86=1,"ACTIVE     CED, FARM GATE (MJ/kg)","CED, processor gate (MJ/kg)"),INDIRECT($W86)))</f>
        <v>1.8390624775878359</v>
      </c>
      <c r="AA86" s="246">
        <f t="shared" ca="1" si="11"/>
        <v>2.741799554630914</v>
      </c>
      <c r="AB86" s="255" t="s">
        <v>3355</v>
      </c>
      <c r="AC86" s="247">
        <f ca="1">IF($AB86="DIRECT",Q86,DCOUNT('literature entries'!$D:$AI,IF($J86=1,"ACTIVE     GHGE, FARM GATE (kg CO2e/kg)","GHGE, processor gate (kg CO2e/kg)"),INDIRECT($AB86)))</f>
        <v>29</v>
      </c>
      <c r="AD86" s="247">
        <f ca="1">IF($AB86="DIRECT","",DAVERAGE('literature entries'!$D:$AI,IF($J86=1,"ACTIVE     GHGE, FARM GATE (kg CO2e/kg)","GHGE, processor gate (kg CO2e/kg)"),INDIRECT($AB86)))</f>
        <v>0.73083219793103427</v>
      </c>
      <c r="AE86" s="247">
        <f ca="1">IF($AB86="DIRECT",$S86,DSTDEV('literature entries'!$D:$AI,IF($J86=1,"ACTIVE     GHGE, FARM GATE (kg CO2e/kg)","GHGE, processor gate (kg CO2e/kg)"),INDIRECT($AB86)))</f>
        <v>0.90386671550847975</v>
      </c>
      <c r="AF86" s="247">
        <f t="shared" ca="1" si="12"/>
        <v>0.38065936922986487</v>
      </c>
    </row>
    <row r="87" spans="1:32" s="21" customFormat="1" ht="17" thickBot="1" x14ac:dyDescent="0.25">
      <c r="A87" s="129">
        <v>603039000</v>
      </c>
      <c r="B87" s="130" t="s">
        <v>1798</v>
      </c>
      <c r="C87" s="131" t="s">
        <v>1784</v>
      </c>
      <c r="D87" s="131" t="s">
        <v>1799</v>
      </c>
      <c r="E87" s="131">
        <v>1452</v>
      </c>
      <c r="F87" s="126">
        <f t="shared" ca="1" si="9"/>
        <v>1.3204500000000001</v>
      </c>
      <c r="G87" s="127">
        <f t="shared" ca="1" si="10"/>
        <v>1.88035</v>
      </c>
      <c r="H87" s="132">
        <v>1</v>
      </c>
      <c r="I87" s="133" t="s">
        <v>594</v>
      </c>
      <c r="J87" s="91">
        <v>1</v>
      </c>
      <c r="K87" s="90" t="s">
        <v>3274</v>
      </c>
      <c r="L87" s="152" t="str">
        <f>IF(ISERROR(GETPIVOTDATA(IF($J87=1,"Count of ACTIVE     CED, FARM GATE (MJ/kg)","Count of CED, processor gate (MJ/kg)"),'Pivot Table_CED'!$A$3,"SUB TYPE",$B87)),"PROXY",IF(GETPIVOTDATA(IF($J87=1,"Count of ACTIVE     CED, FARM GATE (MJ/kg)","Count of CED, processor gate (MJ/kg)"),'Pivot Table_CED'!$A$3,"SUB TYPE",$B87)=0,"PROXY","DB value"))</f>
        <v>PROXY</v>
      </c>
      <c r="M87" s="134">
        <f ca="1">IF($L87="PROXY",DCOUNT('literature entries'!$D:$AI,IF($J87=1,"ACTIVE     CED, FARM GATE (MJ/kg)","CED, processor gate (MJ/kg)"),INDIRECT($K87)),GETPIVOTDATA(IF($J87=1,"Count of ACTIVE     CED, FARM GATE (MJ/kg)","Count of CED, processor gate (MJ/kg)"),'Pivot Table_CED'!$A$3,"SUB TYPE",$B87))</f>
        <v>2</v>
      </c>
      <c r="N87" s="135">
        <f ca="1">IF($L87="PROXY",DAVERAGE('literature entries'!$D:$AI,IF($J87=1,"ACTIVE     CED, FARM GATE (MJ/kg)","CED, processor gate (MJ/kg)"),INDIRECT($K87)),GETPIVOTDATA(IF($J87=1,"Average of ACTIVE     CED, FARM GATE (MJ/kg)","Average of CED, processor gate (MJ/kg)"),'Pivot Table_CED'!$A$3,"SUB TYPE",$B87))</f>
        <v>1.3204500000000001</v>
      </c>
      <c r="O87" s="135">
        <f ca="1">IF($L87="PROXY",DSTDEV('literature entries'!D:AI,IF($J87=1,"ACTIVE     CED, FARM GATE (MJ/kg)","CED, processor gate (MJ/kg)"),INDIRECT($K87)),GETPIVOTDATA(IF($J87=1,"StdDev of ACTIVE     CED, FARM GATE (MJ/kg)","StdDev of CED, processor gate (MJ/kg)"),'Pivot Table_CED'!$A$3,"SUB TYPE",$B87))</f>
        <v>0.11646048686142442</v>
      </c>
      <c r="P87" s="152" t="str">
        <f>IF(ISERROR(GETPIVOTDATA(IF($J87=1,"Count of ACTIVE     GHGE, FARM GATE (kg CO2e/kg)","Count of GHGE, processor gate (kg CO2e/kg)"),'Pivot Table_GHG'!$A$3,"SUB TYPE",$B87)),"PROXY",IF(GETPIVOTDATA(IF($J87=1,"Count of ACTIVE     GHGE, FARM GATE (kg CO2e/kg)","Count of GHGE, processor gate (kg CO2e/kg)"),'Pivot Table_GHG'!$A$3,"SUB TYPE",$B87)=0,"PROXY","DB value"))</f>
        <v>PROXY</v>
      </c>
      <c r="Q87" s="141">
        <f ca="1">IF($P87="PROXY",DCOUNT('literature entries'!$D:$AI,IF($J87=1,"ACTIVE     GHGE, FARM GATE (kg CO2e/kg)","GHGE, processor gate (kg CO2e/kg)"),INDIRECT($K87)),GETPIVOTDATA(IF($J87=1,"ACTIVE     GHGE, FARM GATE (kg CO2e/kg)","Count of GHGE, processor gate (kg CO2e/kg)"),'Pivot Table_GHG'!$A$3,"SUB TYPE",$B87))</f>
        <v>2</v>
      </c>
      <c r="R87" s="221">
        <f ca="1">IF($P87="PROXY",DAVERAGE('literature entries'!$D:$AI,IF($J87=1,"ACTIVE     GHGE, FARM GATE (kg CO2e/kg)","GHGE, processor gate (kg CO2e/kg)"),INDIRECT($K87)),GETPIVOTDATA(IF($J87=1,"Average of ACTIVE     GHGE, FARM GATE (kg CO2e/kg)","Average of GHGE, processor gate (kg CO2e/kg)"),'Pivot Table_GHG'!$A$3,"SUB TYPE",$B87))</f>
        <v>1.88035</v>
      </c>
      <c r="S87" s="221">
        <f ca="1">IF($P87="PROXY",DSTDEV('literature entries'!$D:$AI,IF($J87=1,"ACTIVE     GHGE, FARM GATE (kg CO2e/kg)","GHGE, processor gate (kg CO2e/kg)"),INDIRECT($K87)),GETPIVOTDATA(IF($J87=1,"StdDev of ACTIVE     GHGE, FARM GATE (kg CO2e/kg)","StdDev of GHGE, processor gate (kg CO2e/kg)"),'Pivot Table_GHG'!$A$3,"SUB TYPE",$B87))</f>
        <v>2.059872764274532</v>
      </c>
      <c r="T87" s="101"/>
      <c r="U87" s="102"/>
      <c r="W87" s="200" t="s">
        <v>3355</v>
      </c>
      <c r="X87" s="246">
        <f ca="1">IF($W87="DIRECT",M87,DCOUNT('literature entries'!$D:$AI,IF($J87=1,"ACTIVE     CED, FARM GATE (MJ/kg)","CED, processor gate (MJ/kg)"),INDIRECT($W87)))</f>
        <v>19</v>
      </c>
      <c r="Y87" s="246">
        <f ca="1">IF($W87="DIRECT","",DAVERAGE('literature entries'!$D:$AI,IF($J87=1,"ACTIVE     CED, FARM GATE (MJ/kg)","CED, processor gate (MJ/kg)"),INDIRECT($W87)))</f>
        <v>3.1899535894736837</v>
      </c>
      <c r="Z87" s="246">
        <f ca="1">IF($W87="DIRECT",$O87,DSTDEV('literature entries'!$D:$AI,IF($J87=1,"ACTIVE     CED, FARM GATE (MJ/kg)","CED, processor gate (MJ/kg)"),INDIRECT($W87)))</f>
        <v>1.8390624775878359</v>
      </c>
      <c r="AA87" s="246">
        <f t="shared" ca="1" si="11"/>
        <v>0.76126187432448589</v>
      </c>
      <c r="AB87" s="255" t="s">
        <v>3355</v>
      </c>
      <c r="AC87" s="247">
        <f ca="1">IF($AB87="DIRECT",Q87,DCOUNT('literature entries'!$D:$AI,IF($J87=1,"ACTIVE     GHGE, FARM GATE (kg CO2e/kg)","GHGE, processor gate (kg CO2e/kg)"),INDIRECT($AB87)))</f>
        <v>29</v>
      </c>
      <c r="AD87" s="247">
        <f ca="1">IF($AB87="DIRECT","",DAVERAGE('literature entries'!$D:$AI,IF($J87=1,"ACTIVE     GHGE, FARM GATE (kg CO2e/kg)","GHGE, processor gate (kg CO2e/kg)"),INDIRECT($AB87)))</f>
        <v>0.73083219793103427</v>
      </c>
      <c r="AE87" s="247">
        <f ca="1">IF($AB87="DIRECT",$S87,DSTDEV('literature entries'!$D:$AI,IF($J87=1,"ACTIVE     GHGE, FARM GATE (kg CO2e/kg)","GHGE, processor gate (kg CO2e/kg)"),INDIRECT($AB87)))</f>
        <v>0.90386671550847975</v>
      </c>
      <c r="AF87" s="247">
        <f t="shared" ca="1" si="12"/>
        <v>2.3255485777964493</v>
      </c>
    </row>
    <row r="88" spans="1:32" s="21" customFormat="1" ht="17" thickBot="1" x14ac:dyDescent="0.25">
      <c r="A88" s="129">
        <v>603040000</v>
      </c>
      <c r="B88" s="130" t="s">
        <v>1800</v>
      </c>
      <c r="C88" s="131" t="s">
        <v>1784</v>
      </c>
      <c r="D88" s="131" t="s">
        <v>1801</v>
      </c>
      <c r="E88" s="131">
        <v>1997</v>
      </c>
      <c r="F88" s="126">
        <f t="shared" ca="1" si="9"/>
        <v>4.7558000000000007</v>
      </c>
      <c r="G88" s="127">
        <f t="shared" ca="1" si="10"/>
        <v>0.30778666666666665</v>
      </c>
      <c r="H88" s="132">
        <v>1</v>
      </c>
      <c r="I88" s="133" t="s">
        <v>594</v>
      </c>
      <c r="J88" s="91">
        <v>1</v>
      </c>
      <c r="K88" s="90" t="s">
        <v>3270</v>
      </c>
      <c r="L88" s="152" t="str">
        <f>IF(ISERROR(GETPIVOTDATA(IF($J88=1,"Count of ACTIVE     CED, FARM GATE (MJ/kg)","Count of CED, processor gate (MJ/kg)"),'Pivot Table_CED'!$A$3,"SUB TYPE",$B88)),"PROXY",IF(GETPIVOTDATA(IF($J88=1,"Count of ACTIVE     CED, FARM GATE (MJ/kg)","Count of CED, processor gate (MJ/kg)"),'Pivot Table_CED'!$A$3,"SUB TYPE",$B88)=0,"PROXY","DB value"))</f>
        <v>PROXY</v>
      </c>
      <c r="M88" s="134">
        <f ca="1">IF($L88="PROXY",DCOUNT('literature entries'!$D:$AI,IF($J88=1,"ACTIVE     CED, FARM GATE (MJ/kg)","CED, processor gate (MJ/kg)"),INDIRECT($K88)),GETPIVOTDATA(IF($J88=1,"Count of ACTIVE     CED, FARM GATE (MJ/kg)","Count of CED, processor gate (MJ/kg)"),'Pivot Table_CED'!$A$3,"SUB TYPE",$B88))</f>
        <v>2</v>
      </c>
      <c r="N88" s="135">
        <f ca="1">IF($L88="PROXY",DAVERAGE('literature entries'!$D:$AI,IF($J88=1,"ACTIVE     CED, FARM GATE (MJ/kg)","CED, processor gate (MJ/kg)"),INDIRECT($K88)),GETPIVOTDATA(IF($J88=1,"Average of ACTIVE     CED, FARM GATE (MJ/kg)","Average of CED, processor gate (MJ/kg)"),'Pivot Table_CED'!$A$3,"SUB TYPE",$B88))</f>
        <v>4.7558000000000007</v>
      </c>
      <c r="O88" s="135">
        <f ca="1">IF($L88="PROXY",DSTDEV('literature entries'!D:AI,IF($J88=1,"ACTIVE     CED, FARM GATE (MJ/kg)","CED, processor gate (MJ/kg)"),INDIRECT($K88)),GETPIVOTDATA(IF($J88=1,"StdDev of ACTIVE     CED, FARM GATE (MJ/kg)","StdDev of CED, processor gate (MJ/kg)"),'Pivot Table_CED'!$A$3,"SUB TYPE",$B88))</f>
        <v>3.7394635016269362</v>
      </c>
      <c r="P88" s="152" t="str">
        <f>IF(ISERROR(GETPIVOTDATA(IF($J88=1,"Count of ACTIVE     GHGE, FARM GATE (kg CO2e/kg)","Count of GHGE, processor gate (kg CO2e/kg)"),'Pivot Table_GHG'!$A$3,"SUB TYPE",$B88)),"PROXY",IF(GETPIVOTDATA(IF($J88=1,"Count of ACTIVE     GHGE, FARM GATE (kg CO2e/kg)","Count of GHGE, processor gate (kg CO2e/kg)"),'Pivot Table_GHG'!$A$3,"SUB TYPE",$B88)=0,"PROXY","DB value"))</f>
        <v>PROXY</v>
      </c>
      <c r="Q88" s="141">
        <f ca="1">IF($P88="PROXY",DCOUNT('literature entries'!$D:$AI,IF($J88=1,"ACTIVE     GHGE, FARM GATE (kg CO2e/kg)","GHGE, processor gate (kg CO2e/kg)"),INDIRECT($K88)),GETPIVOTDATA(IF($J88=1,"ACTIVE     GHGE, FARM GATE (kg CO2e/kg)","Count of GHGE, processor gate (kg CO2e/kg)"),'Pivot Table_GHG'!$A$3,"SUB TYPE",$B88))</f>
        <v>9</v>
      </c>
      <c r="R88" s="221">
        <f ca="1">IF($P88="PROXY",DAVERAGE('literature entries'!$D:$AI,IF($J88=1,"ACTIVE     GHGE, FARM GATE (kg CO2e/kg)","GHGE, processor gate (kg CO2e/kg)"),INDIRECT($K88)),GETPIVOTDATA(IF($J88=1,"Average of ACTIVE     GHGE, FARM GATE (kg CO2e/kg)","Average of GHGE, processor gate (kg CO2e/kg)"),'Pivot Table_GHG'!$A$3,"SUB TYPE",$B88))</f>
        <v>0.30778666666666665</v>
      </c>
      <c r="S88" s="221">
        <f ca="1">IF($P88="PROXY",DSTDEV('literature entries'!$D:$AI,IF($J88=1,"ACTIVE     GHGE, FARM GATE (kg CO2e/kg)","GHGE, processor gate (kg CO2e/kg)"),INDIRECT($K88)),GETPIVOTDATA(IF($J88=1,"StdDev of ACTIVE     GHGE, FARM GATE (kg CO2e/kg)","StdDev of GHGE, processor gate (kg CO2e/kg)"),'Pivot Table_GHG'!$A$3,"SUB TYPE",$B88))</f>
        <v>0.19451811637994038</v>
      </c>
      <c r="T88" s="101"/>
      <c r="U88" s="102"/>
      <c r="W88" s="200" t="s">
        <v>3355</v>
      </c>
      <c r="X88" s="246">
        <f ca="1">IF($W88="DIRECT",M88,DCOUNT('literature entries'!$D:$AI,IF($J88=1,"ACTIVE     CED, FARM GATE (MJ/kg)","CED, processor gate (MJ/kg)"),INDIRECT($W88)))</f>
        <v>19</v>
      </c>
      <c r="Y88" s="246">
        <f ca="1">IF($W88="DIRECT","",DAVERAGE('literature entries'!$D:$AI,IF($J88=1,"ACTIVE     CED, FARM GATE (MJ/kg)","CED, processor gate (MJ/kg)"),INDIRECT($W88)))</f>
        <v>3.1899535894736837</v>
      </c>
      <c r="Z88" s="246">
        <f ca="1">IF($W88="DIRECT",$O88,DSTDEV('literature entries'!$D:$AI,IF($J88=1,"ACTIVE     CED, FARM GATE (MJ/kg)","CED, processor gate (MJ/kg)"),INDIRECT($W88)))</f>
        <v>1.8390624775878359</v>
      </c>
      <c r="AA88" s="246">
        <f t="shared" ca="1" si="11"/>
        <v>2.741799554630914</v>
      </c>
      <c r="AB88" s="255" t="s">
        <v>3355</v>
      </c>
      <c r="AC88" s="247">
        <f ca="1">IF($AB88="DIRECT",Q88,DCOUNT('literature entries'!$D:$AI,IF($J88=1,"ACTIVE     GHGE, FARM GATE (kg CO2e/kg)","GHGE, processor gate (kg CO2e/kg)"),INDIRECT($AB88)))</f>
        <v>29</v>
      </c>
      <c r="AD88" s="247">
        <f ca="1">IF($AB88="DIRECT","",DAVERAGE('literature entries'!$D:$AI,IF($J88=1,"ACTIVE     GHGE, FARM GATE (kg CO2e/kg)","GHGE, processor gate (kg CO2e/kg)"),INDIRECT($AB88)))</f>
        <v>0.73083219793103427</v>
      </c>
      <c r="AE88" s="247">
        <f ca="1">IF($AB88="DIRECT",$S88,DSTDEV('literature entries'!$D:$AI,IF($J88=1,"ACTIVE     GHGE, FARM GATE (kg CO2e/kg)","GHGE, processor gate (kg CO2e/kg)"),INDIRECT($AB88)))</f>
        <v>0.90386671550847975</v>
      </c>
      <c r="AF88" s="247">
        <f t="shared" ca="1" si="12"/>
        <v>0.38065936922986487</v>
      </c>
    </row>
    <row r="89" spans="1:32" s="21" customFormat="1" ht="17" thickBot="1" x14ac:dyDescent="0.25">
      <c r="A89" s="129">
        <v>603041000</v>
      </c>
      <c r="B89" s="130" t="s">
        <v>1802</v>
      </c>
      <c r="C89" s="131" t="s">
        <v>1784</v>
      </c>
      <c r="D89" s="131"/>
      <c r="E89" s="131">
        <v>45</v>
      </c>
      <c r="F89" s="126">
        <f t="shared" ca="1" si="9"/>
        <v>4.7558000000000007</v>
      </c>
      <c r="G89" s="127">
        <f t="shared" ca="1" si="10"/>
        <v>0.30778666666666665</v>
      </c>
      <c r="H89" s="132">
        <v>1</v>
      </c>
      <c r="I89" s="133" t="s">
        <v>594</v>
      </c>
      <c r="J89" s="91">
        <v>1</v>
      </c>
      <c r="K89" s="90" t="s">
        <v>3270</v>
      </c>
      <c r="L89" s="152" t="str">
        <f>IF(ISERROR(GETPIVOTDATA(IF($J89=1,"Count of ACTIVE     CED, FARM GATE (MJ/kg)","Count of CED, processor gate (MJ/kg)"),'Pivot Table_CED'!$A$3,"SUB TYPE",$B89)),"PROXY",IF(GETPIVOTDATA(IF($J89=1,"Count of ACTIVE     CED, FARM GATE (MJ/kg)","Count of CED, processor gate (MJ/kg)"),'Pivot Table_CED'!$A$3,"SUB TYPE",$B89)=0,"PROXY","DB value"))</f>
        <v>PROXY</v>
      </c>
      <c r="M89" s="134">
        <f ca="1">IF($L89="PROXY",DCOUNT('literature entries'!$D:$AI,IF($J89=1,"ACTIVE     CED, FARM GATE (MJ/kg)","CED, processor gate (MJ/kg)"),INDIRECT($K89)),GETPIVOTDATA(IF($J89=1,"Count of ACTIVE     CED, FARM GATE (MJ/kg)","Count of CED, processor gate (MJ/kg)"),'Pivot Table_CED'!$A$3,"SUB TYPE",$B89))</f>
        <v>2</v>
      </c>
      <c r="N89" s="135">
        <f ca="1">IF($L89="PROXY",DAVERAGE('literature entries'!$D:$AI,IF($J89=1,"ACTIVE     CED, FARM GATE (MJ/kg)","CED, processor gate (MJ/kg)"),INDIRECT($K89)),GETPIVOTDATA(IF($J89=1,"Average of ACTIVE     CED, FARM GATE (MJ/kg)","Average of CED, processor gate (MJ/kg)"),'Pivot Table_CED'!$A$3,"SUB TYPE",$B89))</f>
        <v>4.7558000000000007</v>
      </c>
      <c r="O89" s="135">
        <f ca="1">IF($L89="PROXY",DSTDEV('literature entries'!D:AI,IF($J89=1,"ACTIVE     CED, FARM GATE (MJ/kg)","CED, processor gate (MJ/kg)"),INDIRECT($K89)),GETPIVOTDATA(IF($J89=1,"StdDev of ACTIVE     CED, FARM GATE (MJ/kg)","StdDev of CED, processor gate (MJ/kg)"),'Pivot Table_CED'!$A$3,"SUB TYPE",$B89))</f>
        <v>3.7394635016269362</v>
      </c>
      <c r="P89" s="152" t="str">
        <f>IF(ISERROR(GETPIVOTDATA(IF($J89=1,"Count of ACTIVE     GHGE, FARM GATE (kg CO2e/kg)","Count of GHGE, processor gate (kg CO2e/kg)"),'Pivot Table_GHG'!$A$3,"SUB TYPE",$B89)),"PROXY",IF(GETPIVOTDATA(IF($J89=1,"Count of ACTIVE     GHGE, FARM GATE (kg CO2e/kg)","Count of GHGE, processor gate (kg CO2e/kg)"),'Pivot Table_GHG'!$A$3,"SUB TYPE",$B89)=0,"PROXY","DB value"))</f>
        <v>PROXY</v>
      </c>
      <c r="Q89" s="141">
        <f ca="1">IF($P89="PROXY",DCOUNT('literature entries'!$D:$AI,IF($J89=1,"ACTIVE     GHGE, FARM GATE (kg CO2e/kg)","GHGE, processor gate (kg CO2e/kg)"),INDIRECT($K89)),GETPIVOTDATA(IF($J89=1,"ACTIVE     GHGE, FARM GATE (kg CO2e/kg)","Count of GHGE, processor gate (kg CO2e/kg)"),'Pivot Table_GHG'!$A$3,"SUB TYPE",$B89))</f>
        <v>9</v>
      </c>
      <c r="R89" s="221">
        <f ca="1">IF($P89="PROXY",DAVERAGE('literature entries'!$D:$AI,IF($J89=1,"ACTIVE     GHGE, FARM GATE (kg CO2e/kg)","GHGE, processor gate (kg CO2e/kg)"),INDIRECT($K89)),GETPIVOTDATA(IF($J89=1,"Average of ACTIVE     GHGE, FARM GATE (kg CO2e/kg)","Average of GHGE, processor gate (kg CO2e/kg)"),'Pivot Table_GHG'!$A$3,"SUB TYPE",$B89))</f>
        <v>0.30778666666666665</v>
      </c>
      <c r="S89" s="221">
        <f ca="1">IF($P89="PROXY",DSTDEV('literature entries'!$D:$AI,IF($J89=1,"ACTIVE     GHGE, FARM GATE (kg CO2e/kg)","GHGE, processor gate (kg CO2e/kg)"),INDIRECT($K89)),GETPIVOTDATA(IF($J89=1,"StdDev of ACTIVE     GHGE, FARM GATE (kg CO2e/kg)","StdDev of GHGE, processor gate (kg CO2e/kg)"),'Pivot Table_GHG'!$A$3,"SUB TYPE",$B89))</f>
        <v>0.19451811637994038</v>
      </c>
      <c r="T89" s="101"/>
      <c r="U89" s="102"/>
      <c r="W89" s="200" t="s">
        <v>3355</v>
      </c>
      <c r="X89" s="246">
        <f ca="1">IF($W89="DIRECT",M89,DCOUNT('literature entries'!$D:$AI,IF($J89=1,"ACTIVE     CED, FARM GATE (MJ/kg)","CED, processor gate (MJ/kg)"),INDIRECT($W89)))</f>
        <v>19</v>
      </c>
      <c r="Y89" s="246">
        <f ca="1">IF($W89="DIRECT","",DAVERAGE('literature entries'!$D:$AI,IF($J89=1,"ACTIVE     CED, FARM GATE (MJ/kg)","CED, processor gate (MJ/kg)"),INDIRECT($W89)))</f>
        <v>3.1899535894736837</v>
      </c>
      <c r="Z89" s="246">
        <f ca="1">IF($W89="DIRECT",$O89,DSTDEV('literature entries'!$D:$AI,IF($J89=1,"ACTIVE     CED, FARM GATE (MJ/kg)","CED, processor gate (MJ/kg)"),INDIRECT($W89)))</f>
        <v>1.8390624775878359</v>
      </c>
      <c r="AA89" s="246">
        <f t="shared" ca="1" si="11"/>
        <v>2.741799554630914</v>
      </c>
      <c r="AB89" s="255" t="s">
        <v>3355</v>
      </c>
      <c r="AC89" s="247">
        <f ca="1">IF($AB89="DIRECT",Q89,DCOUNT('literature entries'!$D:$AI,IF($J89=1,"ACTIVE     GHGE, FARM GATE (kg CO2e/kg)","GHGE, processor gate (kg CO2e/kg)"),INDIRECT($AB89)))</f>
        <v>29</v>
      </c>
      <c r="AD89" s="247">
        <f ca="1">IF($AB89="DIRECT","",DAVERAGE('literature entries'!$D:$AI,IF($J89=1,"ACTIVE     GHGE, FARM GATE (kg CO2e/kg)","GHGE, processor gate (kg CO2e/kg)"),INDIRECT($AB89)))</f>
        <v>0.73083219793103427</v>
      </c>
      <c r="AE89" s="247">
        <f ca="1">IF($AB89="DIRECT",$S89,DSTDEV('literature entries'!$D:$AI,IF($J89=1,"ACTIVE     GHGE, FARM GATE (kg CO2e/kg)","GHGE, processor gate (kg CO2e/kg)"),INDIRECT($AB89)))</f>
        <v>0.90386671550847975</v>
      </c>
      <c r="AF89" s="247">
        <f t="shared" ca="1" si="12"/>
        <v>0.38065936922986487</v>
      </c>
    </row>
    <row r="90" spans="1:32" s="21" customFormat="1" ht="17" thickBot="1" x14ac:dyDescent="0.25">
      <c r="A90" s="129">
        <v>603042000</v>
      </c>
      <c r="B90" s="130" t="s">
        <v>1803</v>
      </c>
      <c r="C90" s="131" t="s">
        <v>1784</v>
      </c>
      <c r="D90" s="131" t="s">
        <v>1804</v>
      </c>
      <c r="E90" s="131">
        <v>4336</v>
      </c>
      <c r="F90" s="126">
        <f t="shared" ca="1" si="9"/>
        <v>4.7558000000000007</v>
      </c>
      <c r="G90" s="127">
        <f t="shared" ca="1" si="10"/>
        <v>0.30778666666666665</v>
      </c>
      <c r="H90" s="132">
        <v>1</v>
      </c>
      <c r="I90" s="133" t="s">
        <v>594</v>
      </c>
      <c r="J90" s="91">
        <v>1</v>
      </c>
      <c r="K90" s="90" t="s">
        <v>3270</v>
      </c>
      <c r="L90" s="152" t="str">
        <f>IF(ISERROR(GETPIVOTDATA(IF($J90=1,"Count of ACTIVE     CED, FARM GATE (MJ/kg)","Count of CED, processor gate (MJ/kg)"),'Pivot Table_CED'!$A$3,"SUB TYPE",$B90)),"PROXY",IF(GETPIVOTDATA(IF($J90=1,"Count of ACTIVE     CED, FARM GATE (MJ/kg)","Count of CED, processor gate (MJ/kg)"),'Pivot Table_CED'!$A$3,"SUB TYPE",$B90)=0,"PROXY","DB value"))</f>
        <v>PROXY</v>
      </c>
      <c r="M90" s="134">
        <f ca="1">IF($L90="PROXY",DCOUNT('literature entries'!$D:$AI,IF($J90=1,"ACTIVE     CED, FARM GATE (MJ/kg)","CED, processor gate (MJ/kg)"),INDIRECT($K90)),GETPIVOTDATA(IF($J90=1,"Count of ACTIVE     CED, FARM GATE (MJ/kg)","Count of CED, processor gate (MJ/kg)"),'Pivot Table_CED'!$A$3,"SUB TYPE",$B90))</f>
        <v>2</v>
      </c>
      <c r="N90" s="135">
        <f ca="1">IF($L90="PROXY",DAVERAGE('literature entries'!$D:$AI,IF($J90=1,"ACTIVE     CED, FARM GATE (MJ/kg)","CED, processor gate (MJ/kg)"),INDIRECT($K90)),GETPIVOTDATA(IF($J90=1,"Average of ACTIVE     CED, FARM GATE (MJ/kg)","Average of CED, processor gate (MJ/kg)"),'Pivot Table_CED'!$A$3,"SUB TYPE",$B90))</f>
        <v>4.7558000000000007</v>
      </c>
      <c r="O90" s="135">
        <f ca="1">IF($L90="PROXY",DSTDEV('literature entries'!D:AI,IF($J90=1,"ACTIVE     CED, FARM GATE (MJ/kg)","CED, processor gate (MJ/kg)"),INDIRECT($K90)),GETPIVOTDATA(IF($J90=1,"StdDev of ACTIVE     CED, FARM GATE (MJ/kg)","StdDev of CED, processor gate (MJ/kg)"),'Pivot Table_CED'!$A$3,"SUB TYPE",$B90))</f>
        <v>3.7394635016269362</v>
      </c>
      <c r="P90" s="152" t="str">
        <f>IF(ISERROR(GETPIVOTDATA(IF($J90=1,"Count of ACTIVE     GHGE, FARM GATE (kg CO2e/kg)","Count of GHGE, processor gate (kg CO2e/kg)"),'Pivot Table_GHG'!$A$3,"SUB TYPE",$B90)),"PROXY",IF(GETPIVOTDATA(IF($J90=1,"Count of ACTIVE     GHGE, FARM GATE (kg CO2e/kg)","Count of GHGE, processor gate (kg CO2e/kg)"),'Pivot Table_GHG'!$A$3,"SUB TYPE",$B90)=0,"PROXY","DB value"))</f>
        <v>PROXY</v>
      </c>
      <c r="Q90" s="141">
        <f ca="1">IF($P90="PROXY",DCOUNT('literature entries'!$D:$AI,IF($J90=1,"ACTIVE     GHGE, FARM GATE (kg CO2e/kg)","GHGE, processor gate (kg CO2e/kg)"),INDIRECT($K90)),GETPIVOTDATA(IF($J90=1,"ACTIVE     GHGE, FARM GATE (kg CO2e/kg)","Count of GHGE, processor gate (kg CO2e/kg)"),'Pivot Table_GHG'!$A$3,"SUB TYPE",$B90))</f>
        <v>9</v>
      </c>
      <c r="R90" s="221">
        <f ca="1">IF($P90="PROXY",DAVERAGE('literature entries'!$D:$AI,IF($J90=1,"ACTIVE     GHGE, FARM GATE (kg CO2e/kg)","GHGE, processor gate (kg CO2e/kg)"),INDIRECT($K90)),GETPIVOTDATA(IF($J90=1,"Average of ACTIVE     GHGE, FARM GATE (kg CO2e/kg)","Average of GHGE, processor gate (kg CO2e/kg)"),'Pivot Table_GHG'!$A$3,"SUB TYPE",$B90))</f>
        <v>0.30778666666666665</v>
      </c>
      <c r="S90" s="221">
        <f ca="1">IF($P90="PROXY",DSTDEV('literature entries'!$D:$AI,IF($J90=1,"ACTIVE     GHGE, FARM GATE (kg CO2e/kg)","GHGE, processor gate (kg CO2e/kg)"),INDIRECT($K90)),GETPIVOTDATA(IF($J90=1,"StdDev of ACTIVE     GHGE, FARM GATE (kg CO2e/kg)","StdDev of GHGE, processor gate (kg CO2e/kg)"),'Pivot Table_GHG'!$A$3,"SUB TYPE",$B90))</f>
        <v>0.19451811637994038</v>
      </c>
      <c r="T90" s="101"/>
      <c r="U90" s="102"/>
      <c r="W90" s="200" t="s">
        <v>3355</v>
      </c>
      <c r="X90" s="246">
        <f ca="1">IF($W90="DIRECT",M90,DCOUNT('literature entries'!$D:$AI,IF($J90=1,"ACTIVE     CED, FARM GATE (MJ/kg)","CED, processor gate (MJ/kg)"),INDIRECT($W90)))</f>
        <v>19</v>
      </c>
      <c r="Y90" s="246">
        <f ca="1">IF($W90="DIRECT","",DAVERAGE('literature entries'!$D:$AI,IF($J90=1,"ACTIVE     CED, FARM GATE (MJ/kg)","CED, processor gate (MJ/kg)"),INDIRECT($W90)))</f>
        <v>3.1899535894736837</v>
      </c>
      <c r="Z90" s="246">
        <f ca="1">IF($W90="DIRECT",$O90,DSTDEV('literature entries'!$D:$AI,IF($J90=1,"ACTIVE     CED, FARM GATE (MJ/kg)","CED, processor gate (MJ/kg)"),INDIRECT($W90)))</f>
        <v>1.8390624775878359</v>
      </c>
      <c r="AA90" s="246">
        <f t="shared" ca="1" si="11"/>
        <v>2.741799554630914</v>
      </c>
      <c r="AB90" s="255" t="s">
        <v>3355</v>
      </c>
      <c r="AC90" s="247">
        <f ca="1">IF($AB90="DIRECT",Q90,DCOUNT('literature entries'!$D:$AI,IF($J90=1,"ACTIVE     GHGE, FARM GATE (kg CO2e/kg)","GHGE, processor gate (kg CO2e/kg)"),INDIRECT($AB90)))</f>
        <v>29</v>
      </c>
      <c r="AD90" s="247">
        <f ca="1">IF($AB90="DIRECT","",DAVERAGE('literature entries'!$D:$AI,IF($J90=1,"ACTIVE     GHGE, FARM GATE (kg CO2e/kg)","GHGE, processor gate (kg CO2e/kg)"),INDIRECT($AB90)))</f>
        <v>0.73083219793103427</v>
      </c>
      <c r="AE90" s="247">
        <f ca="1">IF($AB90="DIRECT",$S90,DSTDEV('literature entries'!$D:$AI,IF($J90=1,"ACTIVE     GHGE, FARM GATE (kg CO2e/kg)","GHGE, processor gate (kg CO2e/kg)"),INDIRECT($AB90)))</f>
        <v>0.90386671550847975</v>
      </c>
      <c r="AF90" s="247">
        <f t="shared" ca="1" si="12"/>
        <v>0.38065936922986487</v>
      </c>
    </row>
    <row r="91" spans="1:32" s="21" customFormat="1" ht="17" thickBot="1" x14ac:dyDescent="0.25">
      <c r="A91" s="129">
        <v>603098000</v>
      </c>
      <c r="B91" s="130" t="s">
        <v>1896</v>
      </c>
      <c r="C91" s="131" t="s">
        <v>1784</v>
      </c>
      <c r="D91" s="131" t="s">
        <v>1897</v>
      </c>
      <c r="E91" s="131">
        <v>358</v>
      </c>
      <c r="F91" s="126">
        <f t="shared" ca="1" si="9"/>
        <v>1.5431999999999999</v>
      </c>
      <c r="G91" s="127">
        <f t="shared" ca="1" si="10"/>
        <v>0.4914</v>
      </c>
      <c r="H91" s="132">
        <v>1</v>
      </c>
      <c r="I91" s="133" t="s">
        <v>594</v>
      </c>
      <c r="J91" s="91">
        <v>1</v>
      </c>
      <c r="K91" s="90"/>
      <c r="L91" s="152" t="str">
        <f>IF(ISERROR(GETPIVOTDATA(IF($J91=1,"Count of ACTIVE     CED, FARM GATE (MJ/kg)","Count of CED, processor gate (MJ/kg)"),'Pivot Table_CED'!$A$3,"SUB TYPE",$B91)),"PROXY",IF(GETPIVOTDATA(IF($J91=1,"Count of ACTIVE     CED, FARM GATE (MJ/kg)","Count of CED, processor gate (MJ/kg)"),'Pivot Table_CED'!$A$3,"SUB TYPE",$B91)=0,"PROXY","DB value"))</f>
        <v>DB value</v>
      </c>
      <c r="M91" s="134">
        <f ca="1">IF($L91="PROXY",DCOUNT('literature entries'!$D:$AI,IF($J91=1,"ACTIVE     CED, FARM GATE (MJ/kg)","CED, processor gate (MJ/kg)"),INDIRECT($K91)),GETPIVOTDATA(IF($J91=1,"Count of ACTIVE     CED, FARM GATE (MJ/kg)","Count of CED, processor gate (MJ/kg)"),'Pivot Table_CED'!$A$3,"SUB TYPE",$B91))</f>
        <v>1</v>
      </c>
      <c r="N91" s="135">
        <f ca="1">IF($L91="PROXY",DAVERAGE('literature entries'!$D:$AI,IF($J91=1,"ACTIVE     CED, FARM GATE (MJ/kg)","CED, processor gate (MJ/kg)"),INDIRECT($K91)),GETPIVOTDATA(IF($J91=1,"Average of ACTIVE     CED, FARM GATE (MJ/kg)","Average of CED, processor gate (MJ/kg)"),'Pivot Table_CED'!$A$3,"SUB TYPE",$B91))</f>
        <v>1.5431999999999999</v>
      </c>
      <c r="O91" s="135">
        <f ca="1">IF($L91="PROXY",DSTDEV('literature entries'!D:AI,IF($J91=1,"ACTIVE     CED, FARM GATE (MJ/kg)","CED, processor gate (MJ/kg)"),INDIRECT($K91)),GETPIVOTDATA(IF($J91=1,"StdDev of ACTIVE     CED, FARM GATE (MJ/kg)","StdDev of CED, processor gate (MJ/kg)"),'Pivot Table_CED'!$A$3,"SUB TYPE",$B91))</f>
        <v>0</v>
      </c>
      <c r="P91" s="152" t="str">
        <f>IF(ISERROR(GETPIVOTDATA(IF($J91=1,"Count of ACTIVE     GHGE, FARM GATE (kg CO2e/kg)","Count of GHGE, processor gate (kg CO2e/kg)"),'Pivot Table_GHG'!$A$3,"SUB TYPE",$B91)),"PROXY",IF(GETPIVOTDATA(IF($J91=1,"Count of ACTIVE     GHGE, FARM GATE (kg CO2e/kg)","Count of GHGE, processor gate (kg CO2e/kg)"),'Pivot Table_GHG'!$A$3,"SUB TYPE",$B91)=0,"PROXY","DB value"))</f>
        <v>DB value</v>
      </c>
      <c r="Q91" s="141">
        <f ca="1">IF($P91="PROXY",DCOUNT('literature entries'!$D:$AI,IF($J91=1,"ACTIVE     GHGE, FARM GATE (kg CO2e/kg)","GHGE, processor gate (kg CO2e/kg)"),INDIRECT($K91)),GETPIVOTDATA(IF($J91=1,"ACTIVE     GHGE, FARM GATE (kg CO2e/kg)","Count of GHGE, processor gate (kg CO2e/kg)"),'Pivot Table_GHG'!$A$3,"SUB TYPE",$B91))</f>
        <v>1</v>
      </c>
      <c r="R91" s="221">
        <f ca="1">IF($P91="PROXY",DAVERAGE('literature entries'!$D:$AI,IF($J91=1,"ACTIVE     GHGE, FARM GATE (kg CO2e/kg)","GHGE, processor gate (kg CO2e/kg)"),INDIRECT($K91)),GETPIVOTDATA(IF($J91=1,"Average of ACTIVE     GHGE, FARM GATE (kg CO2e/kg)","Average of GHGE, processor gate (kg CO2e/kg)"),'Pivot Table_GHG'!$A$3,"SUB TYPE",$B91))</f>
        <v>0.4914</v>
      </c>
      <c r="S91" s="221" t="e">
        <f ca="1">IF($P91="PROXY",DSTDEV('literature entries'!$D:$AI,IF($J91=1,"ACTIVE     GHGE, FARM GATE (kg CO2e/kg)","GHGE, processor gate (kg CO2e/kg)"),INDIRECT($K91)),GETPIVOTDATA(IF($J91=1,"StdDev of ACTIVE     GHGE, FARM GATE (kg CO2e/kg)","StdDev of GHGE, processor gate (kg CO2e/kg)"),'Pivot Table_GHG'!$A$3,"SUB TYPE",$B91))</f>
        <v>#DIV/0!</v>
      </c>
      <c r="T91" s="101"/>
      <c r="U91" s="102"/>
      <c r="W91" s="200" t="s">
        <v>3355</v>
      </c>
      <c r="X91" s="246">
        <f ca="1">IF($W91="DIRECT",M91,DCOUNT('literature entries'!$D:$AI,IF($J91=1,"ACTIVE     CED, FARM GATE (MJ/kg)","CED, processor gate (MJ/kg)"),INDIRECT($W91)))</f>
        <v>19</v>
      </c>
      <c r="Y91" s="246">
        <f ca="1">IF($W91="DIRECT","",DAVERAGE('literature entries'!$D:$AI,IF($J91=1,"ACTIVE     CED, FARM GATE (MJ/kg)","CED, processor gate (MJ/kg)"),INDIRECT($W91)))</f>
        <v>3.1899535894736837</v>
      </c>
      <c r="Z91" s="246">
        <f ca="1">IF($W91="DIRECT",$O91,DSTDEV('literature entries'!$D:$AI,IF($J91=1,"ACTIVE     CED, FARM GATE (MJ/kg)","CED, processor gate (MJ/kg)"),INDIRECT($W91)))</f>
        <v>1.8390624775878359</v>
      </c>
      <c r="AA91" s="246">
        <f t="shared" ca="1" si="11"/>
        <v>0.88968103635695894</v>
      </c>
      <c r="AB91" s="255" t="s">
        <v>3355</v>
      </c>
      <c r="AC91" s="247">
        <f ca="1">IF($AB91="DIRECT",Q91,DCOUNT('literature entries'!$D:$AI,IF($J91=1,"ACTIVE     GHGE, FARM GATE (kg CO2e/kg)","GHGE, processor gate (kg CO2e/kg)"),INDIRECT($AB91)))</f>
        <v>29</v>
      </c>
      <c r="AD91" s="247">
        <f ca="1">IF($AB91="DIRECT","",DAVERAGE('literature entries'!$D:$AI,IF($J91=1,"ACTIVE     GHGE, FARM GATE (kg CO2e/kg)","GHGE, processor gate (kg CO2e/kg)"),INDIRECT($AB91)))</f>
        <v>0.73083219793103427</v>
      </c>
      <c r="AE91" s="247">
        <f ca="1">IF($AB91="DIRECT",$S91,DSTDEV('literature entries'!$D:$AI,IF($J91=1,"ACTIVE     GHGE, FARM GATE (kg CO2e/kg)","GHGE, processor gate (kg CO2e/kg)"),INDIRECT($AB91)))</f>
        <v>0.90386671550847975</v>
      </c>
      <c r="AF91" s="247">
        <f t="shared" ca="1" si="12"/>
        <v>0.60774567028966686</v>
      </c>
    </row>
    <row r="92" spans="1:32" s="21" customFormat="1" ht="17" thickBot="1" x14ac:dyDescent="0.25">
      <c r="A92" s="129">
        <v>603182000</v>
      </c>
      <c r="B92" s="130" t="s">
        <v>2026</v>
      </c>
      <c r="C92" s="131" t="s">
        <v>2027</v>
      </c>
      <c r="D92" s="131"/>
      <c r="E92" s="131">
        <v>18678</v>
      </c>
      <c r="F92" s="126">
        <f t="shared" ca="1" si="9"/>
        <v>1.3204500000000001</v>
      </c>
      <c r="G92" s="127">
        <f t="shared" ca="1" si="10"/>
        <v>1.4</v>
      </c>
      <c r="H92" s="132">
        <v>1</v>
      </c>
      <c r="I92" s="133" t="s">
        <v>594</v>
      </c>
      <c r="J92" s="91">
        <v>1</v>
      </c>
      <c r="K92" s="90" t="s">
        <v>3274</v>
      </c>
      <c r="L92" s="152" t="str">
        <f>IF(ISERROR(GETPIVOTDATA(IF($J92=1,"Count of ACTIVE     CED, FARM GATE (MJ/kg)","Count of CED, processor gate (MJ/kg)"),'Pivot Table_CED'!$A$3,"SUB TYPE",$B92)),"PROXY",IF(GETPIVOTDATA(IF($J92=1,"Count of ACTIVE     CED, FARM GATE (MJ/kg)","Count of CED, processor gate (MJ/kg)"),'Pivot Table_CED'!$A$3,"SUB TYPE",$B92)=0,"PROXY","DB value"))</f>
        <v>PROXY</v>
      </c>
      <c r="M92" s="134">
        <f ca="1">IF($L92="PROXY",DCOUNT('literature entries'!$D:$AI,IF($J92=1,"ACTIVE     CED, FARM GATE (MJ/kg)","CED, processor gate (MJ/kg)"),INDIRECT($K92)),GETPIVOTDATA(IF($J92=1,"Count of ACTIVE     CED, FARM GATE (MJ/kg)","Count of CED, processor gate (MJ/kg)"),'Pivot Table_CED'!$A$3,"SUB TYPE",$B92))</f>
        <v>2</v>
      </c>
      <c r="N92" s="135">
        <f ca="1">IF($L92="PROXY",DAVERAGE('literature entries'!$D:$AI,IF($J92=1,"ACTIVE     CED, FARM GATE (MJ/kg)","CED, processor gate (MJ/kg)"),INDIRECT($K92)),GETPIVOTDATA(IF($J92=1,"Average of ACTIVE     CED, FARM GATE (MJ/kg)","Average of CED, processor gate (MJ/kg)"),'Pivot Table_CED'!$A$3,"SUB TYPE",$B92))</f>
        <v>1.3204500000000001</v>
      </c>
      <c r="O92" s="135">
        <f ca="1">IF($L92="PROXY",DSTDEV('literature entries'!D:AI,IF($J92=1,"ACTIVE     CED, FARM GATE (MJ/kg)","CED, processor gate (MJ/kg)"),INDIRECT($K92)),GETPIVOTDATA(IF($J92=1,"StdDev of ACTIVE     CED, FARM GATE (MJ/kg)","StdDev of CED, processor gate (MJ/kg)"),'Pivot Table_CED'!$A$3,"SUB TYPE",$B92))</f>
        <v>0.11646048686142442</v>
      </c>
      <c r="P92" s="152" t="str">
        <f>IF(ISERROR(GETPIVOTDATA(IF($J92=1,"Count of ACTIVE     GHGE, FARM GATE (kg CO2e/kg)","Count of GHGE, processor gate (kg CO2e/kg)"),'Pivot Table_GHG'!$A$3,"SUB TYPE",$B92)),"PROXY",IF(GETPIVOTDATA(IF($J92=1,"Count of ACTIVE     GHGE, FARM GATE (kg CO2e/kg)","Count of GHGE, processor gate (kg CO2e/kg)"),'Pivot Table_GHG'!$A$3,"SUB TYPE",$B92)=0,"PROXY","DB value"))</f>
        <v>DB value</v>
      </c>
      <c r="Q92" s="141">
        <f ca="1">IF($P92="PROXY",DCOUNT('literature entries'!$D:$AI,IF($J92=1,"ACTIVE     GHGE, FARM GATE (kg CO2e/kg)","GHGE, processor gate (kg CO2e/kg)"),INDIRECT($K92)),GETPIVOTDATA(IF($J92=1,"ACTIVE     GHGE, FARM GATE (kg CO2e/kg)","Count of GHGE, processor gate (kg CO2e/kg)"),'Pivot Table_GHG'!$A$3,"SUB TYPE",$B92))</f>
        <v>1</v>
      </c>
      <c r="R92" s="221">
        <f ca="1">IF($P92="PROXY",DAVERAGE('literature entries'!$D:$AI,IF($J92=1,"ACTIVE     GHGE, FARM GATE (kg CO2e/kg)","GHGE, processor gate (kg CO2e/kg)"),INDIRECT($K92)),GETPIVOTDATA(IF($J92=1,"Average of ACTIVE     GHGE, FARM GATE (kg CO2e/kg)","Average of GHGE, processor gate (kg CO2e/kg)"),'Pivot Table_GHG'!$A$3,"SUB TYPE",$B92))</f>
        <v>1.4</v>
      </c>
      <c r="S92" s="221" t="e">
        <f ca="1">IF($P92="PROXY",DSTDEV('literature entries'!$D:$AI,IF($J92=1,"ACTIVE     GHGE, FARM GATE (kg CO2e/kg)","GHGE, processor gate (kg CO2e/kg)"),INDIRECT($K92)),GETPIVOTDATA(IF($J92=1,"StdDev of ACTIVE     GHGE, FARM GATE (kg CO2e/kg)","StdDev of GHGE, processor gate (kg CO2e/kg)"),'Pivot Table_GHG'!$A$3,"SUB TYPE",$B92))</f>
        <v>#DIV/0!</v>
      </c>
      <c r="T92" s="101"/>
      <c r="U92" s="102"/>
      <c r="W92" s="200" t="s">
        <v>3355</v>
      </c>
      <c r="X92" s="246">
        <f ca="1">IF($W92="DIRECT",M92,DCOUNT('literature entries'!$D:$AI,IF($J92=1,"ACTIVE     CED, FARM GATE (MJ/kg)","CED, processor gate (MJ/kg)"),INDIRECT($W92)))</f>
        <v>19</v>
      </c>
      <c r="Y92" s="246">
        <f ca="1">IF($W92="DIRECT","",DAVERAGE('literature entries'!$D:$AI,IF($J92=1,"ACTIVE     CED, FARM GATE (MJ/kg)","CED, processor gate (MJ/kg)"),INDIRECT($W92)))</f>
        <v>3.1899535894736837</v>
      </c>
      <c r="Z92" s="246">
        <f ca="1">IF($W92="DIRECT",$O92,DSTDEV('literature entries'!$D:$AI,IF($J92=1,"ACTIVE     CED, FARM GATE (MJ/kg)","CED, processor gate (MJ/kg)"),INDIRECT($W92)))</f>
        <v>1.8390624775878359</v>
      </c>
      <c r="AA92" s="246">
        <f t="shared" ca="1" si="11"/>
        <v>0.76126187432448589</v>
      </c>
      <c r="AB92" s="255" t="s">
        <v>3355</v>
      </c>
      <c r="AC92" s="247">
        <f ca="1">IF($AB92="DIRECT",Q92,DCOUNT('literature entries'!$D:$AI,IF($J92=1,"ACTIVE     GHGE, FARM GATE (kg CO2e/kg)","GHGE, processor gate (kg CO2e/kg)"),INDIRECT($AB92)))</f>
        <v>29</v>
      </c>
      <c r="AD92" s="247">
        <f ca="1">IF($AB92="DIRECT","",DAVERAGE('literature entries'!$D:$AI,IF($J92=1,"ACTIVE     GHGE, FARM GATE (kg CO2e/kg)","GHGE, processor gate (kg CO2e/kg)"),INDIRECT($AB92)))</f>
        <v>0.73083219793103427</v>
      </c>
      <c r="AE92" s="247">
        <f ca="1">IF($AB92="DIRECT",$S92,DSTDEV('literature entries'!$D:$AI,IF($J92=1,"ACTIVE     GHGE, FARM GATE (kg CO2e/kg)","GHGE, processor gate (kg CO2e/kg)"),INDIRECT($AB92)))</f>
        <v>0.90386671550847975</v>
      </c>
      <c r="AF92" s="247">
        <f t="shared" ca="1" si="12"/>
        <v>1.7314691461244069</v>
      </c>
    </row>
    <row r="93" spans="1:32" s="21" customFormat="1" ht="17" thickBot="1" x14ac:dyDescent="0.25">
      <c r="A93" s="129">
        <v>603203000</v>
      </c>
      <c r="B93" s="130" t="s">
        <v>2053</v>
      </c>
      <c r="C93" s="131" t="s">
        <v>2054</v>
      </c>
      <c r="D93" s="131"/>
      <c r="E93" s="131">
        <v>256</v>
      </c>
      <c r="F93" s="126">
        <f t="shared" ca="1" si="9"/>
        <v>1.3204500000000001</v>
      </c>
      <c r="G93" s="127">
        <f t="shared" ca="1" si="10"/>
        <v>1.88035</v>
      </c>
      <c r="H93" s="132">
        <v>1</v>
      </c>
      <c r="I93" s="133" t="s">
        <v>594</v>
      </c>
      <c r="J93" s="91">
        <v>1</v>
      </c>
      <c r="K93" s="90"/>
      <c r="L93" s="152" t="str">
        <f>IF(ISERROR(GETPIVOTDATA(IF($J93=1,"Count of ACTIVE     CED, FARM GATE (MJ/kg)","Count of CED, processor gate (MJ/kg)"),'Pivot Table_CED'!$A$3,"SUB TYPE",$B93)),"PROXY",IF(GETPIVOTDATA(IF($J93=1,"Count of ACTIVE     CED, FARM GATE (MJ/kg)","Count of CED, processor gate (MJ/kg)"),'Pivot Table_CED'!$A$3,"SUB TYPE",$B93)=0,"PROXY","DB value"))</f>
        <v>DB value</v>
      </c>
      <c r="M93" s="134">
        <f ca="1">IF($L93="PROXY",DCOUNT('literature entries'!$D:$AI,IF($J93=1,"ACTIVE     CED, FARM GATE (MJ/kg)","CED, processor gate (MJ/kg)"),INDIRECT($K93)),GETPIVOTDATA(IF($J93=1,"Count of ACTIVE     CED, FARM GATE (MJ/kg)","Count of CED, processor gate (MJ/kg)"),'Pivot Table_CED'!$A$3,"SUB TYPE",$B93))</f>
        <v>2</v>
      </c>
      <c r="N93" s="135">
        <f ca="1">IF($L93="PROXY",DAVERAGE('literature entries'!$D:$AI,IF($J93=1,"ACTIVE     CED, FARM GATE (MJ/kg)","CED, processor gate (MJ/kg)"),INDIRECT($K93)),GETPIVOTDATA(IF($J93=1,"Average of ACTIVE     CED, FARM GATE (MJ/kg)","Average of CED, processor gate (MJ/kg)"),'Pivot Table_CED'!$A$3,"SUB TYPE",$B93))</f>
        <v>1.3204500000000001</v>
      </c>
      <c r="O93" s="135">
        <f ca="1">IF($L93="PROXY",DSTDEV('literature entries'!D:AI,IF($J93=1,"ACTIVE     CED, FARM GATE (MJ/kg)","CED, processor gate (MJ/kg)"),INDIRECT($K93)),GETPIVOTDATA(IF($J93=1,"StdDev of ACTIVE     CED, FARM GATE (MJ/kg)","StdDev of CED, processor gate (MJ/kg)"),'Pivot Table_CED'!$A$3,"SUB TYPE",$B93))</f>
        <v>0.11646048686142317</v>
      </c>
      <c r="P93" s="152" t="str">
        <f>IF(ISERROR(GETPIVOTDATA(IF($J93=1,"Count of ACTIVE     GHGE, FARM GATE (kg CO2e/kg)","Count of GHGE, processor gate (kg CO2e/kg)"),'Pivot Table_GHG'!$A$3,"SUB TYPE",$B93)),"PROXY",IF(GETPIVOTDATA(IF($J93=1,"Count of ACTIVE     GHGE, FARM GATE (kg CO2e/kg)","Count of GHGE, processor gate (kg CO2e/kg)"),'Pivot Table_GHG'!$A$3,"SUB TYPE",$B93)=0,"PROXY","DB value"))</f>
        <v>DB value</v>
      </c>
      <c r="Q93" s="141">
        <f ca="1">IF($P93="PROXY",DCOUNT('literature entries'!$D:$AI,IF($J93=1,"ACTIVE     GHGE, FARM GATE (kg CO2e/kg)","GHGE, processor gate (kg CO2e/kg)"),INDIRECT($K93)),GETPIVOTDATA(IF($J93=1,"ACTIVE     GHGE, FARM GATE (kg CO2e/kg)","Count of GHGE, processor gate (kg CO2e/kg)"),'Pivot Table_GHG'!$A$3,"SUB TYPE",$B93))</f>
        <v>2</v>
      </c>
      <c r="R93" s="221">
        <f ca="1">IF($P93="PROXY",DAVERAGE('literature entries'!$D:$AI,IF($J93=1,"ACTIVE     GHGE, FARM GATE (kg CO2e/kg)","GHGE, processor gate (kg CO2e/kg)"),INDIRECT($K93)),GETPIVOTDATA(IF($J93=1,"Average of ACTIVE     GHGE, FARM GATE (kg CO2e/kg)","Average of GHGE, processor gate (kg CO2e/kg)"),'Pivot Table_GHG'!$A$3,"SUB TYPE",$B93))</f>
        <v>1.88035</v>
      </c>
      <c r="S93" s="221">
        <f ca="1">IF($P93="PROXY",DSTDEV('literature entries'!$D:$AI,IF($J93=1,"ACTIVE     GHGE, FARM GATE (kg CO2e/kg)","GHGE, processor gate (kg CO2e/kg)"),INDIRECT($K93)),GETPIVOTDATA(IF($J93=1,"StdDev of ACTIVE     GHGE, FARM GATE (kg CO2e/kg)","StdDev of GHGE, processor gate (kg CO2e/kg)"),'Pivot Table_GHG'!$A$3,"SUB TYPE",$B93))</f>
        <v>2.059872764274532</v>
      </c>
      <c r="T93" s="107"/>
      <c r="U93" s="108"/>
      <c r="W93" s="200" t="s">
        <v>3355</v>
      </c>
      <c r="X93" s="246">
        <f ca="1">IF($W93="DIRECT",M93,DCOUNT('literature entries'!$D:$AI,IF($J93=1,"ACTIVE     CED, FARM GATE (MJ/kg)","CED, processor gate (MJ/kg)"),INDIRECT($W93)))</f>
        <v>19</v>
      </c>
      <c r="Y93" s="246">
        <f ca="1">IF($W93="DIRECT","",DAVERAGE('literature entries'!$D:$AI,IF($J93=1,"ACTIVE     CED, FARM GATE (MJ/kg)","CED, processor gate (MJ/kg)"),INDIRECT($W93)))</f>
        <v>3.1899535894736837</v>
      </c>
      <c r="Z93" s="246">
        <f ca="1">IF($W93="DIRECT",$O93,DSTDEV('literature entries'!$D:$AI,IF($J93=1,"ACTIVE     CED, FARM GATE (MJ/kg)","CED, processor gate (MJ/kg)"),INDIRECT($W93)))</f>
        <v>1.8390624775878359</v>
      </c>
      <c r="AA93" s="246">
        <f t="shared" ca="1" si="11"/>
        <v>0.76126187432448589</v>
      </c>
      <c r="AB93" s="255" t="s">
        <v>3355</v>
      </c>
      <c r="AC93" s="247">
        <f ca="1">IF($AB93="DIRECT",Q93,DCOUNT('literature entries'!$D:$AI,IF($J93=1,"ACTIVE     GHGE, FARM GATE (kg CO2e/kg)","GHGE, processor gate (kg CO2e/kg)"),INDIRECT($AB93)))</f>
        <v>29</v>
      </c>
      <c r="AD93" s="247">
        <f ca="1">IF($AB93="DIRECT","",DAVERAGE('literature entries'!$D:$AI,IF($J93=1,"ACTIVE     GHGE, FARM GATE (kg CO2e/kg)","GHGE, processor gate (kg CO2e/kg)"),INDIRECT($AB93)))</f>
        <v>0.73083219793103427</v>
      </c>
      <c r="AE93" s="247">
        <f ca="1">IF($AB93="DIRECT",$S93,DSTDEV('literature entries'!$D:$AI,IF($J93=1,"ACTIVE     GHGE, FARM GATE (kg CO2e/kg)","GHGE, processor gate (kg CO2e/kg)"),INDIRECT($AB93)))</f>
        <v>0.90386671550847975</v>
      </c>
      <c r="AF93" s="247">
        <f t="shared" ca="1" si="12"/>
        <v>2.3255485777964493</v>
      </c>
    </row>
    <row r="94" spans="1:32" s="21" customFormat="1" ht="17" thickBot="1" x14ac:dyDescent="0.25">
      <c r="A94" s="129">
        <v>603256000</v>
      </c>
      <c r="B94" s="130" t="s">
        <v>2126</v>
      </c>
      <c r="C94" s="131" t="s">
        <v>2127</v>
      </c>
      <c r="D94" s="131"/>
      <c r="E94" s="131">
        <v>135</v>
      </c>
      <c r="F94" s="126">
        <f t="shared" ca="1" si="9"/>
        <v>3.6471020222222226</v>
      </c>
      <c r="G94" s="127">
        <f t="shared" ca="1" si="10"/>
        <v>0.61730597111111107</v>
      </c>
      <c r="H94" s="132">
        <v>1</v>
      </c>
      <c r="I94" s="133" t="s">
        <v>594</v>
      </c>
      <c r="J94" s="91">
        <v>1</v>
      </c>
      <c r="K94" s="90"/>
      <c r="L94" s="152" t="str">
        <f>IF(ISERROR(GETPIVOTDATA(IF($J94=1,"Count of ACTIVE     CED, FARM GATE (MJ/kg)","Count of CED, processor gate (MJ/kg)"),'Pivot Table_CED'!$A$3,"SUB TYPE",$B94)),"PROXY",IF(GETPIVOTDATA(IF($J94=1,"Count of ACTIVE     CED, FARM GATE (MJ/kg)","Count of CED, processor gate (MJ/kg)"),'Pivot Table_CED'!$A$3,"SUB TYPE",$B94)=0,"PROXY","DB value"))</f>
        <v>DB value</v>
      </c>
      <c r="M94" s="134">
        <f ca="1">IF($L94="PROXY",DCOUNT('literature entries'!$D:$AI,IF($J94=1,"ACTIVE     CED, FARM GATE (MJ/kg)","CED, processor gate (MJ/kg)"),INDIRECT($K94)),GETPIVOTDATA(IF($J94=1,"Count of ACTIVE     CED, FARM GATE (MJ/kg)","Count of CED, processor gate (MJ/kg)"),'Pivot Table_CED'!$A$3,"SUB TYPE",$B94))</f>
        <v>9</v>
      </c>
      <c r="N94" s="135">
        <f ca="1">IF($L94="PROXY",DAVERAGE('literature entries'!$D:$AI,IF($J94=1,"ACTIVE     CED, FARM GATE (MJ/kg)","CED, processor gate (MJ/kg)"),INDIRECT($K94)),GETPIVOTDATA(IF($J94=1,"Average of ACTIVE     CED, FARM GATE (MJ/kg)","Average of CED, processor gate (MJ/kg)"),'Pivot Table_CED'!$A$3,"SUB TYPE",$B94))</f>
        <v>3.6471020222222226</v>
      </c>
      <c r="O94" s="135">
        <f ca="1">IF($L94="PROXY",DSTDEV('literature entries'!D:AI,IF($J94=1,"ACTIVE     CED, FARM GATE (MJ/kg)","CED, processor gate (MJ/kg)"),INDIRECT($K94)),GETPIVOTDATA(IF($J94=1,"StdDev of ACTIVE     CED, FARM GATE (MJ/kg)","StdDev of CED, processor gate (MJ/kg)"),'Pivot Table_CED'!$A$3,"SUB TYPE",$B94))</f>
        <v>1.8053178483626884</v>
      </c>
      <c r="P94" s="152" t="str">
        <f>IF(ISERROR(GETPIVOTDATA(IF($J94=1,"Count of ACTIVE     GHGE, FARM GATE (kg CO2e/kg)","Count of GHGE, processor gate (kg CO2e/kg)"),'Pivot Table_GHG'!$A$3,"SUB TYPE",$B94)),"PROXY",IF(GETPIVOTDATA(IF($J94=1,"Count of ACTIVE     GHGE, FARM GATE (kg CO2e/kg)","Count of GHGE, processor gate (kg CO2e/kg)"),'Pivot Table_GHG'!$A$3,"SUB TYPE",$B94)=0,"PROXY","DB value"))</f>
        <v>DB value</v>
      </c>
      <c r="Q94" s="141">
        <f ca="1">IF($P94="PROXY",DCOUNT('literature entries'!$D:$AI,IF($J94=1,"ACTIVE     GHGE, FARM GATE (kg CO2e/kg)","GHGE, processor gate (kg CO2e/kg)"),INDIRECT($K94)),GETPIVOTDATA(IF($J94=1,"ACTIVE     GHGE, FARM GATE (kg CO2e/kg)","Count of GHGE, processor gate (kg CO2e/kg)"),'Pivot Table_GHG'!$A$3,"SUB TYPE",$B94))</f>
        <v>9</v>
      </c>
      <c r="R94" s="221">
        <f ca="1">IF($P94="PROXY",DAVERAGE('literature entries'!$D:$AI,IF($J94=1,"ACTIVE     GHGE, FARM GATE (kg CO2e/kg)","GHGE, processor gate (kg CO2e/kg)"),INDIRECT($K94)),GETPIVOTDATA(IF($J94=1,"Average of ACTIVE     GHGE, FARM GATE (kg CO2e/kg)","Average of GHGE, processor gate (kg CO2e/kg)"),'Pivot Table_GHG'!$A$3,"SUB TYPE",$B94))</f>
        <v>0.61730597111111107</v>
      </c>
      <c r="S94" s="221">
        <f ca="1">IF($P94="PROXY",DSTDEV('literature entries'!$D:$AI,IF($J94=1,"ACTIVE     GHGE, FARM GATE (kg CO2e/kg)","GHGE, processor gate (kg CO2e/kg)"),INDIRECT($K94)),GETPIVOTDATA(IF($J94=1,"StdDev of ACTIVE     GHGE, FARM GATE (kg CO2e/kg)","StdDev of GHGE, processor gate (kg CO2e/kg)"),'Pivot Table_GHG'!$A$3,"SUB TYPE",$B94))</f>
        <v>0.55525554108424213</v>
      </c>
      <c r="T94" s="101"/>
      <c r="U94" s="102"/>
      <c r="W94" s="248" t="str">
        <f ca="1">IF(L94="PROXY",IF(M94&gt;=5,K94,"need group"),IF(M94&gt;=5,"DIRECT","need group"))</f>
        <v>DIRECT</v>
      </c>
      <c r="X94" s="246">
        <f ca="1">IF($W94="DIRECT",M94,DCOUNT('literature entries'!$D:$AI,IF($J94=1,"ACTIVE     CED, FARM GATE (MJ/kg)","CED, processor gate (MJ/kg)"),INDIRECT($W94)))</f>
        <v>9</v>
      </c>
      <c r="Y94" s="246" t="str">
        <f ca="1">IF($W94="DIRECT","",DAVERAGE('literature entries'!$D:$AI,IF($J94=1,"ACTIVE     CED, FARM GATE (MJ/kg)","CED, processor gate (MJ/kg)"),INDIRECT($W94)))</f>
        <v/>
      </c>
      <c r="Z94" s="246">
        <f ca="1">IF($W94="DIRECT",$O94,DSTDEV('literature entries'!$D:$AI,IF($J94=1,"ACTIVE     CED, FARM GATE (MJ/kg)","CED, processor gate (MJ/kg)"),INDIRECT($W94)))</f>
        <v>1.8053178483626884</v>
      </c>
      <c r="AA94" s="246">
        <f t="shared" ca="1" si="11"/>
        <v>1.8053178483626884</v>
      </c>
      <c r="AB94" s="254" t="str">
        <f ca="1">IF(P94="PROXY",IF(Q94&gt;=5,K94,"need group"),IF(Q94&gt;=5,"DIRECT","need group"))</f>
        <v>DIRECT</v>
      </c>
      <c r="AC94" s="247">
        <f ca="1">IF($AB94="DIRECT",Q94,DCOUNT('literature entries'!$D:$AI,IF($J94=1,"ACTIVE     GHGE, FARM GATE (kg CO2e/kg)","GHGE, processor gate (kg CO2e/kg)"),INDIRECT($AB94)))</f>
        <v>9</v>
      </c>
      <c r="AD94" s="247" t="str">
        <f ca="1">IF($AB94="DIRECT","",DAVERAGE('literature entries'!$D:$AI,IF($J94=1,"ACTIVE     GHGE, FARM GATE (kg CO2e/kg)","GHGE, processor gate (kg CO2e/kg)"),INDIRECT($AB94)))</f>
        <v/>
      </c>
      <c r="AE94" s="247">
        <f ca="1">IF($AB94="DIRECT",$S94,DSTDEV('literature entries'!$D:$AI,IF($J94=1,"ACTIVE     GHGE, FARM GATE (kg CO2e/kg)","GHGE, processor gate (kg CO2e/kg)"),INDIRECT($AB94)))</f>
        <v>0.55525554108424213</v>
      </c>
      <c r="AF94" s="247">
        <f t="shared" ca="1" si="12"/>
        <v>0.55525554108424213</v>
      </c>
    </row>
    <row r="95" spans="1:32" s="21" customFormat="1" ht="17" thickBot="1" x14ac:dyDescent="0.25">
      <c r="A95" s="129">
        <v>603258000</v>
      </c>
      <c r="B95" s="130" t="s">
        <v>2130</v>
      </c>
      <c r="C95" s="131" t="s">
        <v>2127</v>
      </c>
      <c r="D95" s="131"/>
      <c r="E95" s="131">
        <v>22</v>
      </c>
      <c r="F95" s="126">
        <f t="shared" ca="1" si="9"/>
        <v>3.2267999999999999</v>
      </c>
      <c r="G95" s="127">
        <f t="shared" ca="1" si="10"/>
        <v>1.0539000000000001</v>
      </c>
      <c r="H95" s="132">
        <v>1</v>
      </c>
      <c r="I95" s="133" t="s">
        <v>594</v>
      </c>
      <c r="J95" s="91">
        <v>1</v>
      </c>
      <c r="K95" s="90"/>
      <c r="L95" s="152" t="str">
        <f>IF(ISERROR(GETPIVOTDATA(IF($J95=1,"Count of ACTIVE     CED, FARM GATE (MJ/kg)","Count of CED, processor gate (MJ/kg)"),'Pivot Table_CED'!$A$3,"SUB TYPE",$B95)),"PROXY",IF(GETPIVOTDATA(IF($J95=1,"Count of ACTIVE     CED, FARM GATE (MJ/kg)","Count of CED, processor gate (MJ/kg)"),'Pivot Table_CED'!$A$3,"SUB TYPE",$B95)=0,"PROXY","DB value"))</f>
        <v>DB value</v>
      </c>
      <c r="M95" s="134">
        <f ca="1">IF($L95="PROXY",DCOUNT('literature entries'!$D:$AI,IF($J95=1,"ACTIVE     CED, FARM GATE (MJ/kg)","CED, processor gate (MJ/kg)"),INDIRECT($K95)),GETPIVOTDATA(IF($J95=1,"Count of ACTIVE     CED, FARM GATE (MJ/kg)","Count of CED, processor gate (MJ/kg)"),'Pivot Table_CED'!$A$3,"SUB TYPE",$B95))</f>
        <v>1</v>
      </c>
      <c r="N95" s="135">
        <f ca="1">IF($L95="PROXY",DAVERAGE('literature entries'!$D:$AI,IF($J95=1,"ACTIVE     CED, FARM GATE (MJ/kg)","CED, processor gate (MJ/kg)"),INDIRECT($K95)),GETPIVOTDATA(IF($J95=1,"Average of ACTIVE     CED, FARM GATE (MJ/kg)","Average of CED, processor gate (MJ/kg)"),'Pivot Table_CED'!$A$3,"SUB TYPE",$B95))</f>
        <v>3.2267999999999999</v>
      </c>
      <c r="O95" s="135">
        <f ca="1">IF($L95="PROXY",DSTDEV('literature entries'!D:AI,IF($J95=1,"ACTIVE     CED, FARM GATE (MJ/kg)","CED, processor gate (MJ/kg)"),INDIRECT($K95)),GETPIVOTDATA(IF($J95=1,"StdDev of ACTIVE     CED, FARM GATE (MJ/kg)","StdDev of CED, processor gate (MJ/kg)"),'Pivot Table_CED'!$A$3,"SUB TYPE",$B95))</f>
        <v>0</v>
      </c>
      <c r="P95" s="152" t="str">
        <f>IF(ISERROR(GETPIVOTDATA(IF($J95=1,"Count of ACTIVE     GHGE, FARM GATE (kg CO2e/kg)","Count of GHGE, processor gate (kg CO2e/kg)"),'Pivot Table_GHG'!$A$3,"SUB TYPE",$B95)),"PROXY",IF(GETPIVOTDATA(IF($J95=1,"Count of ACTIVE     GHGE, FARM GATE (kg CO2e/kg)","Count of GHGE, processor gate (kg CO2e/kg)"),'Pivot Table_GHG'!$A$3,"SUB TYPE",$B95)=0,"PROXY","DB value"))</f>
        <v>DB value</v>
      </c>
      <c r="Q95" s="141">
        <f ca="1">IF($P95="PROXY",DCOUNT('literature entries'!$D:$AI,IF($J95=1,"ACTIVE     GHGE, FARM GATE (kg CO2e/kg)","GHGE, processor gate (kg CO2e/kg)"),INDIRECT($K95)),GETPIVOTDATA(IF($J95=1,"ACTIVE     GHGE, FARM GATE (kg CO2e/kg)","Count of GHGE, processor gate (kg CO2e/kg)"),'Pivot Table_GHG'!$A$3,"SUB TYPE",$B95))</f>
        <v>1</v>
      </c>
      <c r="R95" s="221">
        <f ca="1">IF($P95="PROXY",DAVERAGE('literature entries'!$D:$AI,IF($J95=1,"ACTIVE     GHGE, FARM GATE (kg CO2e/kg)","GHGE, processor gate (kg CO2e/kg)"),INDIRECT($K95)),GETPIVOTDATA(IF($J95=1,"Average of ACTIVE     GHGE, FARM GATE (kg CO2e/kg)","Average of GHGE, processor gate (kg CO2e/kg)"),'Pivot Table_GHG'!$A$3,"SUB TYPE",$B95))</f>
        <v>1.0539000000000001</v>
      </c>
      <c r="S95" s="221" t="e">
        <f ca="1">IF($P95="PROXY",DSTDEV('literature entries'!$D:$AI,IF($J95=1,"ACTIVE     GHGE, FARM GATE (kg CO2e/kg)","GHGE, processor gate (kg CO2e/kg)"),INDIRECT($K95)),GETPIVOTDATA(IF($J95=1,"StdDev of ACTIVE     GHGE, FARM GATE (kg CO2e/kg)","StdDev of GHGE, processor gate (kg CO2e/kg)"),'Pivot Table_GHG'!$A$3,"SUB TYPE",$B95))</f>
        <v>#DIV/0!</v>
      </c>
      <c r="T95" s="101"/>
      <c r="U95" s="102"/>
      <c r="W95" s="200" t="s">
        <v>3355</v>
      </c>
      <c r="X95" s="246">
        <f ca="1">IF($W95="DIRECT",M95,DCOUNT('literature entries'!$D:$AI,IF($J95=1,"ACTIVE     CED, FARM GATE (MJ/kg)","CED, processor gate (MJ/kg)"),INDIRECT($W95)))</f>
        <v>19</v>
      </c>
      <c r="Y95" s="246">
        <f ca="1">IF($W95="DIRECT","",DAVERAGE('literature entries'!$D:$AI,IF($J95=1,"ACTIVE     CED, FARM GATE (MJ/kg)","CED, processor gate (MJ/kg)"),INDIRECT($W95)))</f>
        <v>3.1899535894736837</v>
      </c>
      <c r="Z95" s="246">
        <f ca="1">IF($W95="DIRECT",$O95,DSTDEV('literature entries'!$D:$AI,IF($J95=1,"ACTIVE     CED, FARM GATE (MJ/kg)","CED, processor gate (MJ/kg)"),INDIRECT($W95)))</f>
        <v>1.8390624775878359</v>
      </c>
      <c r="AA95" s="246">
        <f t="shared" ca="1" si="11"/>
        <v>1.8603050596919617</v>
      </c>
      <c r="AB95" s="255" t="s">
        <v>3355</v>
      </c>
      <c r="AC95" s="247">
        <f ca="1">IF($AB95="DIRECT",Q95,DCOUNT('literature entries'!$D:$AI,IF($J95=1,"ACTIVE     GHGE, FARM GATE (kg CO2e/kg)","GHGE, processor gate (kg CO2e/kg)"),INDIRECT($AB95)))</f>
        <v>29</v>
      </c>
      <c r="AD95" s="247">
        <f ca="1">IF($AB95="DIRECT","",DAVERAGE('literature entries'!$D:$AI,IF($J95=1,"ACTIVE     GHGE, FARM GATE (kg CO2e/kg)","GHGE, processor gate (kg CO2e/kg)"),INDIRECT($AB95)))</f>
        <v>0.73083219793103427</v>
      </c>
      <c r="AE95" s="247">
        <f ca="1">IF($AB95="DIRECT",$S95,DSTDEV('literature entries'!$D:$AI,IF($J95=1,"ACTIVE     GHGE, FARM GATE (kg CO2e/kg)","GHGE, processor gate (kg CO2e/kg)"),INDIRECT($AB95)))</f>
        <v>0.90386671550847975</v>
      </c>
      <c r="AF95" s="247">
        <f t="shared" ca="1" si="12"/>
        <v>1.3034252379289377</v>
      </c>
    </row>
    <row r="96" spans="1:32" s="21" customFormat="1" ht="17" thickBot="1" x14ac:dyDescent="0.25">
      <c r="A96" s="129">
        <v>801374000</v>
      </c>
      <c r="B96" s="130" t="s">
        <v>2309</v>
      </c>
      <c r="C96" s="131" t="s">
        <v>2310</v>
      </c>
      <c r="D96" s="139"/>
      <c r="E96" s="131">
        <v>644</v>
      </c>
      <c r="F96" s="126">
        <f t="shared" ca="1" si="9"/>
        <v>2.629282857142857</v>
      </c>
      <c r="G96" s="127">
        <f t="shared" ca="1" si="10"/>
        <v>0.47037382857142856</v>
      </c>
      <c r="H96" s="132">
        <v>1.1000000000000001</v>
      </c>
      <c r="I96" s="140" t="s">
        <v>839</v>
      </c>
      <c r="J96" s="91">
        <v>1</v>
      </c>
      <c r="K96" s="90" t="s">
        <v>839</v>
      </c>
      <c r="L96" s="152" t="str">
        <f>IF(ISERROR(GETPIVOTDATA(IF($J96=1,"Count of ACTIVE     CED, FARM GATE (MJ/kg)","Count of CED, processor gate (MJ/kg)"),'Pivot Table_CED'!$A$3,"SUB TYPE",$B96)),"PROXY",IF(GETPIVOTDATA(IF($J96=1,"Count of ACTIVE     CED, FARM GATE (MJ/kg)","Count of CED, processor gate (MJ/kg)"),'Pivot Table_CED'!$A$3,"SUB TYPE",$B96)=0,"PROXY","DB value"))</f>
        <v>PROXY</v>
      </c>
      <c r="M96" s="134">
        <f ca="1">IF($L96="PROXY",DCOUNT('literature entries'!$D:$AI,IF($J96=1,"ACTIVE     CED, FARM GATE (MJ/kg)","CED, processor gate (MJ/kg)"),INDIRECT($K96)),GETPIVOTDATA(IF($J96=1,"Count of ACTIVE     CED, FARM GATE (MJ/kg)","Count of CED, processor gate (MJ/kg)"),'Pivot Table_CED'!$A$3,"SUB TYPE",$B96))</f>
        <v>7</v>
      </c>
      <c r="N96" s="135">
        <f ca="1">IF($L96="PROXY",DAVERAGE('literature entries'!$D:$AI,IF($J96=1,"ACTIVE     CED, FARM GATE (MJ/kg)","CED, processor gate (MJ/kg)"),INDIRECT($K96)),GETPIVOTDATA(IF($J96=1,"Average of ACTIVE     CED, FARM GATE (MJ/kg)","Average of CED, processor gate (MJ/kg)"),'Pivot Table_CED'!$A$3,"SUB TYPE",$B96))</f>
        <v>2.3902571428571426</v>
      </c>
      <c r="O96" s="135">
        <f ca="1">IF($L96="PROXY",DSTDEV('literature entries'!D:AI,IF($J96=1,"ACTIVE     CED, FARM GATE (MJ/kg)","CED, processor gate (MJ/kg)"),INDIRECT($K96)),GETPIVOTDATA(IF($J96=1,"StdDev of ACTIVE     CED, FARM GATE (MJ/kg)","StdDev of CED, processor gate (MJ/kg)"),'Pivot Table_CED'!$A$3,"SUB TYPE",$B96))</f>
        <v>1.1507929655345519</v>
      </c>
      <c r="P96" s="152" t="str">
        <f>IF(ISERROR(GETPIVOTDATA(IF($J96=1,"Count of ACTIVE     GHGE, FARM GATE (kg CO2e/kg)","Count of GHGE, processor gate (kg CO2e/kg)"),'Pivot Table_GHG'!$A$3,"SUB TYPE",$B96)),"PROXY",IF(GETPIVOTDATA(IF($J96=1,"Count of ACTIVE     GHGE, FARM GATE (kg CO2e/kg)","Count of GHGE, processor gate (kg CO2e/kg)"),'Pivot Table_GHG'!$A$3,"SUB TYPE",$B96)=0,"PROXY","DB value"))</f>
        <v>PROXY</v>
      </c>
      <c r="Q96" s="141">
        <f ca="1">IF($P96="PROXY",DCOUNT('literature entries'!$D:$AI,IF($J96=1,"ACTIVE     GHGE, FARM GATE (kg CO2e/kg)","GHGE, processor gate (kg CO2e/kg)"),INDIRECT($K96)),GETPIVOTDATA(IF($J96=1,"ACTIVE     GHGE, FARM GATE (kg CO2e/kg)","Count of GHGE, processor gate (kg CO2e/kg)"),'Pivot Table_GHG'!$A$3,"SUB TYPE",$B96))</f>
        <v>25</v>
      </c>
      <c r="R96" s="221">
        <f ca="1">IF($P96="PROXY",DAVERAGE('literature entries'!$D:$AI,IF($J96=1,"ACTIVE     GHGE, FARM GATE (kg CO2e/kg)","GHGE, processor gate (kg CO2e/kg)"),INDIRECT($K96)),GETPIVOTDATA(IF($J96=1,"Average of ACTIVE     GHGE, FARM GATE (kg CO2e/kg)","Average of GHGE, processor gate (kg CO2e/kg)"),'Pivot Table_GHG'!$A$3,"SUB TYPE",$B96))</f>
        <v>0.4276125714285714</v>
      </c>
      <c r="S96" s="221">
        <f ca="1">IF($P96="PROXY",DSTDEV('literature entries'!$D:$AI,IF($J96=1,"ACTIVE     GHGE, FARM GATE (kg CO2e/kg)","GHGE, processor gate (kg CO2e/kg)"),INDIRECT($K96)),GETPIVOTDATA(IF($J96=1,"StdDev of ACTIVE     GHGE, FARM GATE (kg CO2e/kg)","StdDev of GHGE, processor gate (kg CO2e/kg)"),'Pivot Table_GHG'!$A$3,"SUB TYPE",$B96))</f>
        <v>1.0810218335279169</v>
      </c>
      <c r="T96" s="101"/>
      <c r="U96" s="102"/>
      <c r="W96" s="248" t="str">
        <f ca="1">IF(L96="PROXY",IF(M96&gt;=5,K96,"need group"),IF(M96&gt;=5,"DIRECT","need group"))</f>
        <v>tomato</v>
      </c>
      <c r="X96" s="246">
        <f ca="1">IF($W96="DIRECT",M96,DCOUNT('literature entries'!$D:$AI,IF($J96=1,"ACTIVE     CED, FARM GATE (MJ/kg)","CED, processor gate (MJ/kg)"),INDIRECT($W96)))</f>
        <v>7</v>
      </c>
      <c r="Y96" s="246">
        <f ca="1">IF($W96="DIRECT","",DAVERAGE('literature entries'!$D:$AI,IF($J96=1,"ACTIVE     CED, FARM GATE (MJ/kg)","CED, processor gate (MJ/kg)"),INDIRECT($W96)))</f>
        <v>2.3902571428571426</v>
      </c>
      <c r="Z96" s="246">
        <f ca="1">IF($W96="DIRECT",$O96,DSTDEV('literature entries'!$D:$AI,IF($J96=1,"ACTIVE     CED, FARM GATE (MJ/kg)","CED, processor gate (MJ/kg)"),INDIRECT($W96)))</f>
        <v>1.1507929655345519</v>
      </c>
      <c r="AA96" s="246">
        <f t="shared" ca="1" si="11"/>
        <v>1.1507929655345519</v>
      </c>
      <c r="AB96" s="254" t="str">
        <f ca="1">IF(P96="PROXY",IF(Q96&gt;=5,K96,"need group"),IF(Q96&gt;=5,"DIRECT","need group"))</f>
        <v>tomato</v>
      </c>
      <c r="AC96" s="247">
        <f ca="1">IF($AB96="DIRECT",Q96,DCOUNT('literature entries'!$D:$AI,IF($J96=1,"ACTIVE     GHGE, FARM GATE (kg CO2e/kg)","GHGE, processor gate (kg CO2e/kg)"),INDIRECT($AB96)))</f>
        <v>25</v>
      </c>
      <c r="AD96" s="247">
        <f ca="1">IF($AB96="DIRECT","",DAVERAGE('literature entries'!$D:$AI,IF($J96=1,"ACTIVE     GHGE, FARM GATE (kg CO2e/kg)","GHGE, processor gate (kg CO2e/kg)"),INDIRECT($AB96)))</f>
        <v>0.4276125714285714</v>
      </c>
      <c r="AE96" s="247">
        <f ca="1">IF($AB96="DIRECT",$S96,DSTDEV('literature entries'!$D:$AI,IF($J96=1,"ACTIVE     GHGE, FARM GATE (kg CO2e/kg)","GHGE, processor gate (kg CO2e/kg)"),INDIRECT($AB96)))</f>
        <v>1.0810218335279169</v>
      </c>
      <c r="AF96" s="247">
        <f t="shared" ca="1" si="12"/>
        <v>1.0810218335279169</v>
      </c>
    </row>
    <row r="97" spans="1:32" s="21" customFormat="1" thickBot="1" x14ac:dyDescent="0.25">
      <c r="A97" s="129">
        <v>801375000</v>
      </c>
      <c r="B97" s="130" t="s">
        <v>2311</v>
      </c>
      <c r="C97" s="131" t="s">
        <v>2312</v>
      </c>
      <c r="D97" s="139"/>
      <c r="E97" s="131">
        <v>23505</v>
      </c>
      <c r="F97" s="126">
        <f t="shared" ca="1" si="9"/>
        <v>2.629282857142857</v>
      </c>
      <c r="G97" s="127">
        <f t="shared" ca="1" si="10"/>
        <v>0.47037382857142856</v>
      </c>
      <c r="H97" s="132">
        <v>1.1000000000000001</v>
      </c>
      <c r="I97" s="132" t="s">
        <v>2724</v>
      </c>
      <c r="J97" s="91">
        <v>1</v>
      </c>
      <c r="K97" s="90"/>
      <c r="L97" s="152" t="str">
        <f>IF(ISERROR(GETPIVOTDATA(IF($J97=1,"Count of ACTIVE     CED, FARM GATE (MJ/kg)","Count of CED, processor gate (MJ/kg)"),'Pivot Table_CED'!$A$3,"SUB TYPE",$B97)),"PROXY",IF(GETPIVOTDATA(IF($J97=1,"Count of ACTIVE     CED, FARM GATE (MJ/kg)","Count of CED, processor gate (MJ/kg)"),'Pivot Table_CED'!$A$3,"SUB TYPE",$B97)=0,"PROXY","DB value"))</f>
        <v>DB value</v>
      </c>
      <c r="M97" s="134">
        <f ca="1">IF($L97="PROXY",DCOUNT('literature entries'!$D:$AI,IF($J97=1,"ACTIVE     CED, FARM GATE (MJ/kg)","CED, processor gate (MJ/kg)"),INDIRECT($K97)),GETPIVOTDATA(IF($J97=1,"Count of ACTIVE     CED, FARM GATE (MJ/kg)","Count of CED, processor gate (MJ/kg)"),'Pivot Table_CED'!$A$3,"SUB TYPE",$B97))</f>
        <v>7</v>
      </c>
      <c r="N97" s="135">
        <f ca="1">IF($L97="PROXY",DAVERAGE('literature entries'!$D:$AI,IF($J97=1,"ACTIVE     CED, FARM GATE (MJ/kg)","CED, processor gate (MJ/kg)"),INDIRECT($K97)),GETPIVOTDATA(IF($J97=1,"Average of ACTIVE     CED, FARM GATE (MJ/kg)","Average of CED, processor gate (MJ/kg)"),'Pivot Table_CED'!$A$3,"SUB TYPE",$B97))</f>
        <v>2.3902571428571426</v>
      </c>
      <c r="O97" s="135">
        <f ca="1">IF($L97="PROXY",DSTDEV('literature entries'!D:AI,IF($J97=1,"ACTIVE     CED, FARM GATE (MJ/kg)","CED, processor gate (MJ/kg)"),INDIRECT($K97)),GETPIVOTDATA(IF($J97=1,"StdDev of ACTIVE     CED, FARM GATE (MJ/kg)","StdDev of CED, processor gate (MJ/kg)"),'Pivot Table_CED'!$A$3,"SUB TYPE",$B97))</f>
        <v>1.1507929655345519</v>
      </c>
      <c r="P97" s="152" t="str">
        <f>IF(ISERROR(GETPIVOTDATA(IF($J97=1,"Count of ACTIVE     GHGE, FARM GATE (kg CO2e/kg)","Count of GHGE, processor gate (kg CO2e/kg)"),'Pivot Table_GHG'!$A$3,"SUB TYPE",$B97)),"PROXY",IF(GETPIVOTDATA(IF($J97=1,"Count of ACTIVE     GHGE, FARM GATE (kg CO2e/kg)","Count of GHGE, processor gate (kg CO2e/kg)"),'Pivot Table_GHG'!$A$3,"SUB TYPE",$B97)=0,"PROXY","DB value"))</f>
        <v>DB value</v>
      </c>
      <c r="Q97" s="141">
        <f ca="1">IF($P97="PROXY",DCOUNT('literature entries'!$D:$AI,IF($J97=1,"ACTIVE     GHGE, FARM GATE (kg CO2e/kg)","GHGE, processor gate (kg CO2e/kg)"),INDIRECT($K97)),GETPIVOTDATA(IF($J97=1,"ACTIVE     GHGE, FARM GATE (kg CO2e/kg)","Count of GHGE, processor gate (kg CO2e/kg)"),'Pivot Table_GHG'!$A$3,"SUB TYPE",$B97))</f>
        <v>25</v>
      </c>
      <c r="R97" s="221">
        <f ca="1">IF($P97="PROXY",DAVERAGE('literature entries'!$D:$AI,IF($J97=1,"ACTIVE     GHGE, FARM GATE (kg CO2e/kg)","GHGE, processor gate (kg CO2e/kg)"),INDIRECT($K97)),GETPIVOTDATA(IF($J97=1,"Average of ACTIVE     GHGE, FARM GATE (kg CO2e/kg)","Average of GHGE, processor gate (kg CO2e/kg)"),'Pivot Table_GHG'!$A$3,"SUB TYPE",$B97))</f>
        <v>0.4276125714285714</v>
      </c>
      <c r="S97" s="221">
        <f ca="1">IF($P97="PROXY",DSTDEV('literature entries'!$D:$AI,IF($J97=1,"ACTIVE     GHGE, FARM GATE (kg CO2e/kg)","GHGE, processor gate (kg CO2e/kg)"),INDIRECT($K97)),GETPIVOTDATA(IF($J97=1,"StdDev of ACTIVE     GHGE, FARM GATE (kg CO2e/kg)","StdDev of GHGE, processor gate (kg CO2e/kg)"),'Pivot Table_GHG'!$A$3,"SUB TYPE",$B97))</f>
        <v>1.0810218335279169</v>
      </c>
      <c r="T97" s="101"/>
      <c r="U97" s="102"/>
      <c r="W97" s="248" t="str">
        <f ca="1">IF(L97="PROXY",IF(M97&gt;=5,K97,"need group"),IF(M97&gt;=5,"DIRECT","need group"))</f>
        <v>DIRECT</v>
      </c>
      <c r="X97" s="246">
        <f ca="1">IF($W97="DIRECT",M97,DCOUNT('literature entries'!$D:$AI,IF($J97=1,"ACTIVE     CED, FARM GATE (MJ/kg)","CED, processor gate (MJ/kg)"),INDIRECT($W97)))</f>
        <v>7</v>
      </c>
      <c r="Y97" s="246" t="str">
        <f ca="1">IF($W97="DIRECT","",DAVERAGE('literature entries'!$D:$AI,IF($J97=1,"ACTIVE     CED, FARM GATE (MJ/kg)","CED, processor gate (MJ/kg)"),INDIRECT($W97)))</f>
        <v/>
      </c>
      <c r="Z97" s="246">
        <f ca="1">IF($W97="DIRECT",$O97,DSTDEV('literature entries'!$D:$AI,IF($J97=1,"ACTIVE     CED, FARM GATE (MJ/kg)","CED, processor gate (MJ/kg)"),INDIRECT($W97)))</f>
        <v>1.1507929655345519</v>
      </c>
      <c r="AA97" s="246">
        <f t="shared" ca="1" si="11"/>
        <v>1.1507929655345519</v>
      </c>
      <c r="AB97" s="254" t="str">
        <f ca="1">IF(P97="PROXY",IF(Q97&gt;=5,K97,"need group"),IF(Q97&gt;=5,"DIRECT","need group"))</f>
        <v>DIRECT</v>
      </c>
      <c r="AC97" s="247">
        <f ca="1">IF($AB97="DIRECT",Q97,DCOUNT('literature entries'!$D:$AI,IF($J97=1,"ACTIVE     GHGE, FARM GATE (kg CO2e/kg)","GHGE, processor gate (kg CO2e/kg)"),INDIRECT($AB97)))</f>
        <v>25</v>
      </c>
      <c r="AD97" s="247" t="str">
        <f ca="1">IF($AB97="DIRECT","",DAVERAGE('literature entries'!$D:$AI,IF($J97=1,"ACTIVE     GHGE, FARM GATE (kg CO2e/kg)","GHGE, processor gate (kg CO2e/kg)"),INDIRECT($AB97)))</f>
        <v/>
      </c>
      <c r="AE97" s="247">
        <f ca="1">IF($AB97="DIRECT",$S97,DSTDEV('literature entries'!$D:$AI,IF($J97=1,"ACTIVE     GHGE, FARM GATE (kg CO2e/kg)","GHGE, processor gate (kg CO2e/kg)"),INDIRECT($AB97)))</f>
        <v>1.0810218335279169</v>
      </c>
      <c r="AF97" s="247">
        <f t="shared" ca="1" si="12"/>
        <v>1.0810218335279169</v>
      </c>
    </row>
    <row r="98" spans="1:32" s="21" customFormat="1" ht="17" thickBot="1" x14ac:dyDescent="0.25">
      <c r="A98" s="129">
        <v>801376000</v>
      </c>
      <c r="B98" s="130" t="s">
        <v>2316</v>
      </c>
      <c r="C98" s="131" t="s">
        <v>2317</v>
      </c>
      <c r="D98" s="139"/>
      <c r="E98" s="131">
        <v>7988</v>
      </c>
      <c r="F98" s="126">
        <f t="shared" ca="1" si="9"/>
        <v>1.4378</v>
      </c>
      <c r="G98" s="127">
        <f t="shared" ca="1" si="10"/>
        <v>0.11840000000000001</v>
      </c>
      <c r="H98" s="132">
        <v>1</v>
      </c>
      <c r="I98" s="140" t="s">
        <v>628</v>
      </c>
      <c r="J98" s="91">
        <v>2</v>
      </c>
      <c r="K98" s="90"/>
      <c r="L98" s="152" t="str">
        <f>IF(ISERROR(GETPIVOTDATA(IF($J98=1,"Count of ACTIVE     CED, FARM GATE (MJ/kg)","Count of CED, processor gate (MJ/kg)"),'Pivot Table_CED'!$A$3,"SUB TYPE",$B98)),"PROXY",IF(GETPIVOTDATA(IF($J98=1,"Count of ACTIVE     CED, FARM GATE (MJ/kg)","Count of CED, processor gate (MJ/kg)"),'Pivot Table_CED'!$A$3,"SUB TYPE",$B98)=0,"PROXY","DB value"))</f>
        <v>DB value</v>
      </c>
      <c r="M98" s="134">
        <f ca="1">IF($L98="PROXY",DCOUNT('literature entries'!$D:$AI,IF($J98=1,"ACTIVE     CED, FARM GATE (MJ/kg)","CED, processor gate (MJ/kg)"),INDIRECT($K98)),GETPIVOTDATA(IF($J98=1,"Count of ACTIVE     CED, FARM GATE (MJ/kg)","Count of CED, processor gate (MJ/kg)"),'Pivot Table_CED'!$A$3,"SUB TYPE",$B98))</f>
        <v>1</v>
      </c>
      <c r="N98" s="135">
        <f ca="1">IF($L98="PROXY",DAVERAGE('literature entries'!$D:$AI,IF($J98=1,"ACTIVE     CED, FARM GATE (MJ/kg)","CED, processor gate (MJ/kg)"),INDIRECT($K98)),GETPIVOTDATA(IF($J98=1,"Average of ACTIVE     CED, FARM GATE (MJ/kg)","Average of CED, processor gate (MJ/kg)"),'Pivot Table_CED'!$A$3,"SUB TYPE",$B98))</f>
        <v>1.4378</v>
      </c>
      <c r="O98" s="135">
        <f ca="1">IF($L98="PROXY",DSTDEV('literature entries'!D:AI,IF($J98=1,"ACTIVE     CED, FARM GATE (MJ/kg)","CED, processor gate (MJ/kg)"),INDIRECT($K98)),GETPIVOTDATA(IF($J98=1,"StdDev of ACTIVE     CED, FARM GATE (MJ/kg)","StdDev of CED, processor gate (MJ/kg)"),'Pivot Table_CED'!$A$3,"SUB TYPE",$B98))</f>
        <v>0</v>
      </c>
      <c r="P98" s="152" t="str">
        <f>IF(ISERROR(GETPIVOTDATA(IF($J98=1,"Count of ACTIVE     GHGE, FARM GATE (kg CO2e/kg)","Count of GHGE, processor gate (kg CO2e/kg)"),'Pivot Table_GHG'!$A$3,"SUB TYPE",$B98)),"PROXY",IF(GETPIVOTDATA(IF($J98=1,"Count of ACTIVE     GHGE, FARM GATE (kg CO2e/kg)","Count of GHGE, processor gate (kg CO2e/kg)"),'Pivot Table_GHG'!$A$3,"SUB TYPE",$B98)=0,"PROXY","DB value"))</f>
        <v>DB value</v>
      </c>
      <c r="Q98" s="141">
        <f ca="1">IF($P98="PROXY",DCOUNT('literature entries'!$D:$AI,IF($J98=1,"ACTIVE     GHGE, FARM GATE (kg CO2e/kg)","GHGE, processor gate (kg CO2e/kg)"),INDIRECT($K98)),GETPIVOTDATA(IF($J98=1,"ACTIVE     GHGE, FARM GATE (kg CO2e/kg)","Count of GHGE, processor gate (kg CO2e/kg)"),'Pivot Table_GHG'!$A$3,"SUB TYPE",$B98))</f>
        <v>1</v>
      </c>
      <c r="R98" s="221">
        <f ca="1">IF($P98="PROXY",DAVERAGE('literature entries'!$D:$AI,IF($J98=1,"ACTIVE     GHGE, FARM GATE (kg CO2e/kg)","GHGE, processor gate (kg CO2e/kg)"),INDIRECT($K98)),GETPIVOTDATA(IF($J98=1,"Average of ACTIVE     GHGE, FARM GATE (kg CO2e/kg)","Average of GHGE, processor gate (kg CO2e/kg)"),'Pivot Table_GHG'!$A$3,"SUB TYPE",$B98))</f>
        <v>0.11840000000000001</v>
      </c>
      <c r="S98" s="221" t="e">
        <f ca="1">IF($P98="PROXY",DSTDEV('literature entries'!$D:$AI,IF($J98=1,"ACTIVE     GHGE, FARM GATE (kg CO2e/kg)","GHGE, processor gate (kg CO2e/kg)"),INDIRECT($K98)),GETPIVOTDATA(IF($J98=1,"StdDev of ACTIVE     GHGE, FARM GATE (kg CO2e/kg)","StdDev of GHGE, processor gate (kg CO2e/kg)"),'Pivot Table_GHG'!$A$3,"SUB TYPE",$B98))</f>
        <v>#DIV/0!</v>
      </c>
      <c r="T98" s="101"/>
      <c r="U98" s="102"/>
      <c r="W98" s="248" t="s">
        <v>3356</v>
      </c>
      <c r="X98" s="246">
        <f ca="1">IF($W98="DIRECT",M98,DCOUNT('literature entries'!$D:$AI,IF($J98=1,"ACTIVE     CED, FARM GATE (MJ/kg)","CED, processor gate (MJ/kg)"),INDIRECT($W98)))</f>
        <v>10</v>
      </c>
      <c r="Y98" s="246">
        <f ca="1">IF($W98="DIRECT","",DAVERAGE('literature entries'!$D:$AI,IF($J98=1,"ACTIVE     CED, FARM GATE (MJ/kg)","CED, processor gate (MJ/kg)"),INDIRECT($W98)))</f>
        <v>8.7758181999999998</v>
      </c>
      <c r="Z98" s="246">
        <f ca="1">IF($W98="DIRECT",$O98,DSTDEV('literature entries'!$D:$AI,IF($J98=1,"ACTIVE     CED, FARM GATE (MJ/kg)","CED, processor gate (MJ/kg)"),INDIRECT($W98)))</f>
        <v>4.7192764543736505</v>
      </c>
      <c r="AA98" s="246">
        <f t="shared" ca="1" si="11"/>
        <v>0.77319009253159265</v>
      </c>
      <c r="AB98" s="254" t="s">
        <v>3356</v>
      </c>
      <c r="AC98" s="247">
        <f ca="1">IF($AB98="DIRECT",Q98,DCOUNT('literature entries'!$D:$AI,IF($J98=1,"ACTIVE     GHGE, FARM GATE (kg CO2e/kg)","GHGE, processor gate (kg CO2e/kg)"),INDIRECT($AB98)))</f>
        <v>12</v>
      </c>
      <c r="AD98" s="247">
        <f ca="1">IF($AB98="DIRECT","",DAVERAGE('literature entries'!$D:$AI,IF($J98=1,"ACTIVE     GHGE, FARM GATE (kg CO2e/kg)","GHGE, processor gate (kg CO2e/kg)"),INDIRECT($AB98)))</f>
        <v>0.97445476190476166</v>
      </c>
      <c r="AE98" s="247">
        <f ca="1">IF($AB98="DIRECT",$S98,DSTDEV('literature entries'!$D:$AI,IF($J98=1,"ACTIVE     GHGE, FARM GATE (kg CO2e/kg)","GHGE, processor gate (kg CO2e/kg)"),INDIRECT($AB98)))</f>
        <v>0.80082742576445587</v>
      </c>
      <c r="AF98" s="247">
        <f t="shared" ca="1" si="12"/>
        <v>9.7303611124205908E-2</v>
      </c>
    </row>
    <row r="99" spans="1:32" s="21" customFormat="1" ht="17" thickBot="1" x14ac:dyDescent="0.25">
      <c r="A99" s="129">
        <v>801377000</v>
      </c>
      <c r="B99" s="130" t="s">
        <v>2318</v>
      </c>
      <c r="C99" s="131" t="s">
        <v>2319</v>
      </c>
      <c r="D99" s="139"/>
      <c r="E99" s="131">
        <v>19602</v>
      </c>
      <c r="F99" s="126">
        <f t="shared" ca="1" si="9"/>
        <v>10.581235249999999</v>
      </c>
      <c r="G99" s="127">
        <f t="shared" ca="1" si="10"/>
        <v>1.1474857142857142</v>
      </c>
      <c r="H99" s="132">
        <v>1</v>
      </c>
      <c r="I99" s="140" t="s">
        <v>628</v>
      </c>
      <c r="J99" s="91">
        <v>2</v>
      </c>
      <c r="K99" s="90"/>
      <c r="L99" s="152" t="str">
        <f>IF(ISERROR(GETPIVOTDATA(IF($J99=1,"Count of ACTIVE     CED, FARM GATE (MJ/kg)","Count of CED, processor gate (MJ/kg)"),'Pivot Table_CED'!$A$3,"SUB TYPE",$B99)),"PROXY",IF(GETPIVOTDATA(IF($J99=1,"Count of ACTIVE     CED, FARM GATE (MJ/kg)","Count of CED, processor gate (MJ/kg)"),'Pivot Table_CED'!$A$3,"SUB TYPE",$B99)=0,"PROXY","DB value"))</f>
        <v>DB value</v>
      </c>
      <c r="M99" s="134">
        <f ca="1">IF($L99="PROXY",DCOUNT('literature entries'!$D:$AI,IF($J99=1,"ACTIVE     CED, FARM GATE (MJ/kg)","CED, processor gate (MJ/kg)"),INDIRECT($K99)),GETPIVOTDATA(IF($J99=1,"Count of ACTIVE     CED, FARM GATE (MJ/kg)","Count of CED, processor gate (MJ/kg)"),'Pivot Table_CED'!$A$3,"SUB TYPE",$B99))</f>
        <v>8</v>
      </c>
      <c r="N99" s="135">
        <f ca="1">IF($L99="PROXY",DAVERAGE('literature entries'!$D:$AI,IF($J99=1,"ACTIVE     CED, FARM GATE (MJ/kg)","CED, processor gate (MJ/kg)"),INDIRECT($K99)),GETPIVOTDATA(IF($J99=1,"Average of ACTIVE     CED, FARM GATE (MJ/kg)","Average of CED, processor gate (MJ/kg)"),'Pivot Table_CED'!$A$3,"SUB TYPE",$B99))</f>
        <v>10.581235249999999</v>
      </c>
      <c r="O99" s="135">
        <f ca="1">IF($L99="PROXY",DSTDEV('literature entries'!D:AI,IF($J99=1,"ACTIVE     CED, FARM GATE (MJ/kg)","CED, processor gate (MJ/kg)"),INDIRECT($K99)),GETPIVOTDATA(IF($J99=1,"StdDev of ACTIVE     CED, FARM GATE (MJ/kg)","StdDev of CED, processor gate (MJ/kg)"),'Pivot Table_CED'!$A$3,"SUB TYPE",$B99))</f>
        <v>3.1630868434178518</v>
      </c>
      <c r="P99" s="152" t="str">
        <f>IF(ISERROR(GETPIVOTDATA(IF($J99=1,"Count of ACTIVE     GHGE, FARM GATE (kg CO2e/kg)","Count of GHGE, processor gate (kg CO2e/kg)"),'Pivot Table_GHG'!$A$3,"SUB TYPE",$B99)),"PROXY",IF(GETPIVOTDATA(IF($J99=1,"Count of ACTIVE     GHGE, FARM GATE (kg CO2e/kg)","Count of GHGE, processor gate (kg CO2e/kg)"),'Pivot Table_GHG'!$A$3,"SUB TYPE",$B99)=0,"PROXY","DB value"))</f>
        <v>DB value</v>
      </c>
      <c r="Q99" s="141">
        <f ca="1">IF($P99="PROXY",DCOUNT('literature entries'!$D:$AI,IF($J99=1,"ACTIVE     GHGE, FARM GATE (kg CO2e/kg)","GHGE, processor gate (kg CO2e/kg)"),INDIRECT($K99)),GETPIVOTDATA(IF($J99=1,"ACTIVE     GHGE, FARM GATE (kg CO2e/kg)","Count of GHGE, processor gate (kg CO2e/kg)"),'Pivot Table_GHG'!$A$3,"SUB TYPE",$B99))</f>
        <v>10</v>
      </c>
      <c r="R99" s="221">
        <f ca="1">IF($P99="PROXY",DAVERAGE('literature entries'!$D:$AI,IF($J99=1,"ACTIVE     GHGE, FARM GATE (kg CO2e/kg)","GHGE, processor gate (kg CO2e/kg)"),INDIRECT($K99)),GETPIVOTDATA(IF($J99=1,"Average of ACTIVE     GHGE, FARM GATE (kg CO2e/kg)","Average of GHGE, processor gate (kg CO2e/kg)"),'Pivot Table_GHG'!$A$3,"SUB TYPE",$B99))</f>
        <v>1.1474857142857142</v>
      </c>
      <c r="S99" s="221">
        <f ca="1">IF($P99="PROXY",DSTDEV('literature entries'!$D:$AI,IF($J99=1,"ACTIVE     GHGE, FARM GATE (kg CO2e/kg)","GHGE, processor gate (kg CO2e/kg)"),INDIRECT($K99)),GETPIVOTDATA(IF($J99=1,"StdDev of ACTIVE     GHGE, FARM GATE (kg CO2e/kg)","StdDev of GHGE, processor gate (kg CO2e/kg)"),'Pivot Table_GHG'!$A$3,"SUB TYPE",$B99))</f>
        <v>0.7643459059519967</v>
      </c>
      <c r="T99" s="101"/>
      <c r="U99" s="102"/>
      <c r="W99" s="248" t="str">
        <f ca="1">IF(L99="PROXY",IF(M99&gt;=5,K99,"need group"),IF(M99&gt;=5,"DIRECT","need group"))</f>
        <v>DIRECT</v>
      </c>
      <c r="X99" s="246">
        <f ca="1">IF($W99="DIRECT",M99,DCOUNT('literature entries'!$D:$AI,IF($J99=1,"ACTIVE     CED, FARM GATE (MJ/kg)","CED, processor gate (MJ/kg)"),INDIRECT($W99)))</f>
        <v>8</v>
      </c>
      <c r="Y99" s="246" t="str">
        <f ca="1">IF($W99="DIRECT","",DAVERAGE('literature entries'!$D:$AI,IF($J99=1,"ACTIVE     CED, FARM GATE (MJ/kg)","CED, processor gate (MJ/kg)"),INDIRECT($W99)))</f>
        <v/>
      </c>
      <c r="Z99" s="246">
        <f ca="1">IF($W99="DIRECT",$O99,DSTDEV('literature entries'!$D:$AI,IF($J99=1,"ACTIVE     CED, FARM GATE (MJ/kg)","CED, processor gate (MJ/kg)"),INDIRECT($W99)))</f>
        <v>3.1630868434178518</v>
      </c>
      <c r="AA99" s="246">
        <f t="shared" ca="1" si="11"/>
        <v>3.1630868434178518</v>
      </c>
      <c r="AB99" s="254" t="str">
        <f ca="1">IF(P99="PROXY",IF(Q99&gt;=5,K99,"need group"),IF(Q99&gt;=5,"DIRECT","need group"))</f>
        <v>DIRECT</v>
      </c>
      <c r="AC99" s="247">
        <f ca="1">IF($AB99="DIRECT",Q99,DCOUNT('literature entries'!$D:$AI,IF($J99=1,"ACTIVE     GHGE, FARM GATE (kg CO2e/kg)","GHGE, processor gate (kg CO2e/kg)"),INDIRECT($AB99)))</f>
        <v>10</v>
      </c>
      <c r="AD99" s="247" t="str">
        <f ca="1">IF($AB99="DIRECT","",DAVERAGE('literature entries'!$D:$AI,IF($J99=1,"ACTIVE     GHGE, FARM GATE (kg CO2e/kg)","GHGE, processor gate (kg CO2e/kg)"),INDIRECT($AB99)))</f>
        <v/>
      </c>
      <c r="AE99" s="247">
        <f ca="1">IF($AB99="DIRECT",$S99,DSTDEV('literature entries'!$D:$AI,IF($J99=1,"ACTIVE     GHGE, FARM GATE (kg CO2e/kg)","GHGE, processor gate (kg CO2e/kg)"),INDIRECT($AB99)))</f>
        <v>0.7643459059519967</v>
      </c>
      <c r="AF99" s="247">
        <f t="shared" ca="1" si="12"/>
        <v>0.7643459059519967</v>
      </c>
    </row>
    <row r="100" spans="1:32" s="21" customFormat="1" ht="17" thickBot="1" x14ac:dyDescent="0.25">
      <c r="A100" s="129">
        <v>801378000</v>
      </c>
      <c r="B100" s="130" t="s">
        <v>2313</v>
      </c>
      <c r="C100" s="131" t="s">
        <v>2314</v>
      </c>
      <c r="D100" s="139"/>
      <c r="E100" s="131">
        <v>1281</v>
      </c>
      <c r="F100" s="126">
        <f t="shared" ca="1" si="9"/>
        <v>40.825591999999993</v>
      </c>
      <c r="G100" s="127">
        <f t="shared" ca="1" si="10"/>
        <v>7.303622719999999</v>
      </c>
      <c r="H100" s="132">
        <v>17.079999999999998</v>
      </c>
      <c r="I100" s="140" t="s">
        <v>2724</v>
      </c>
      <c r="J100" s="91">
        <v>1</v>
      </c>
      <c r="K100" s="90" t="s">
        <v>839</v>
      </c>
      <c r="L100" s="152" t="str">
        <f>IF(ISERROR(GETPIVOTDATA(IF($J100=1,"Count of ACTIVE     CED, FARM GATE (MJ/kg)","Count of CED, processor gate (MJ/kg)"),'Pivot Table_CED'!$A$3,"SUB TYPE",$B100)),"PROXY",IF(GETPIVOTDATA(IF($J100=1,"Count of ACTIVE     CED, FARM GATE (MJ/kg)","Count of CED, processor gate (MJ/kg)"),'Pivot Table_CED'!$A$3,"SUB TYPE",$B100)=0,"PROXY","DB value"))</f>
        <v>PROXY</v>
      </c>
      <c r="M100" s="134">
        <f ca="1">IF($L100="PROXY",DCOUNT('literature entries'!$D:$AI,IF($J100=1,"ACTIVE     CED, FARM GATE (MJ/kg)","CED, processor gate (MJ/kg)"),INDIRECT($K100)),GETPIVOTDATA(IF($J100=1,"Count of ACTIVE     CED, FARM GATE (MJ/kg)","Count of CED, processor gate (MJ/kg)"),'Pivot Table_CED'!$A$3,"SUB TYPE",$B100))</f>
        <v>7</v>
      </c>
      <c r="N100" s="135">
        <f ca="1">IF($L100="PROXY",DAVERAGE('literature entries'!$D:$AI,IF($J100=1,"ACTIVE     CED, FARM GATE (MJ/kg)","CED, processor gate (MJ/kg)"),INDIRECT($K100)),GETPIVOTDATA(IF($J100=1,"Average of ACTIVE     CED, FARM GATE (MJ/kg)","Average of CED, processor gate (MJ/kg)"),'Pivot Table_CED'!$A$3,"SUB TYPE",$B100))</f>
        <v>2.3902571428571426</v>
      </c>
      <c r="O100" s="135">
        <f ca="1">IF($L100="PROXY",DSTDEV('literature entries'!D:AI,IF($J100=1,"ACTIVE     CED, FARM GATE (MJ/kg)","CED, processor gate (MJ/kg)"),INDIRECT($K100)),GETPIVOTDATA(IF($J100=1,"StdDev of ACTIVE     CED, FARM GATE (MJ/kg)","StdDev of CED, processor gate (MJ/kg)"),'Pivot Table_CED'!$A$3,"SUB TYPE",$B100))</f>
        <v>1.1507929655345519</v>
      </c>
      <c r="P100" s="152" t="str">
        <f>IF(ISERROR(GETPIVOTDATA(IF($J100=1,"Count of ACTIVE     GHGE, FARM GATE (kg CO2e/kg)","Count of GHGE, processor gate (kg CO2e/kg)"),'Pivot Table_GHG'!$A$3,"SUB TYPE",$B100)),"PROXY",IF(GETPIVOTDATA(IF($J100=1,"Count of ACTIVE     GHGE, FARM GATE (kg CO2e/kg)","Count of GHGE, processor gate (kg CO2e/kg)"),'Pivot Table_GHG'!$A$3,"SUB TYPE",$B100)=0,"PROXY","DB value"))</f>
        <v>PROXY</v>
      </c>
      <c r="Q100" s="141">
        <f ca="1">IF($P100="PROXY",DCOUNT('literature entries'!$D:$AI,IF($J100=1,"ACTIVE     GHGE, FARM GATE (kg CO2e/kg)","GHGE, processor gate (kg CO2e/kg)"),INDIRECT($K100)),GETPIVOTDATA(IF($J100=1,"ACTIVE     GHGE, FARM GATE (kg CO2e/kg)","Count of GHGE, processor gate (kg CO2e/kg)"),'Pivot Table_GHG'!$A$3,"SUB TYPE",$B100))</f>
        <v>25</v>
      </c>
      <c r="R100" s="221">
        <f ca="1">IF($P100="PROXY",DAVERAGE('literature entries'!$D:$AI,IF($J100=1,"ACTIVE     GHGE, FARM GATE (kg CO2e/kg)","GHGE, processor gate (kg CO2e/kg)"),INDIRECT($K100)),GETPIVOTDATA(IF($J100=1,"Average of ACTIVE     GHGE, FARM GATE (kg CO2e/kg)","Average of GHGE, processor gate (kg CO2e/kg)"),'Pivot Table_GHG'!$A$3,"SUB TYPE",$B100))</f>
        <v>0.4276125714285714</v>
      </c>
      <c r="S100" s="221">
        <f ca="1">IF($P100="PROXY",DSTDEV('literature entries'!$D:$AI,IF($J100=1,"ACTIVE     GHGE, FARM GATE (kg CO2e/kg)","GHGE, processor gate (kg CO2e/kg)"),INDIRECT($K100)),GETPIVOTDATA(IF($J100=1,"StdDev of ACTIVE     GHGE, FARM GATE (kg CO2e/kg)","StdDev of GHGE, processor gate (kg CO2e/kg)"),'Pivot Table_GHG'!$A$3,"SUB TYPE",$B100))</f>
        <v>1.0810218335279169</v>
      </c>
      <c r="T100" s="101"/>
      <c r="U100" s="102"/>
      <c r="W100" s="248" t="str">
        <f ca="1">IF(L100="PROXY",IF(M100&gt;=5,K100,"need group"),IF(M100&gt;=5,"DIRECT","need group"))</f>
        <v>tomato</v>
      </c>
      <c r="X100" s="246">
        <f ca="1">IF($W100="DIRECT",M100,DCOUNT('literature entries'!$D:$AI,IF($J100=1,"ACTIVE     CED, FARM GATE (MJ/kg)","CED, processor gate (MJ/kg)"),INDIRECT($W100)))</f>
        <v>7</v>
      </c>
      <c r="Y100" s="246">
        <f ca="1">IF($W100="DIRECT","",DAVERAGE('literature entries'!$D:$AI,IF($J100=1,"ACTIVE     CED, FARM GATE (MJ/kg)","CED, processor gate (MJ/kg)"),INDIRECT($W100)))</f>
        <v>2.3902571428571426</v>
      </c>
      <c r="Z100" s="246">
        <f ca="1">IF($W100="DIRECT",$O100,DSTDEV('literature entries'!$D:$AI,IF($J100=1,"ACTIVE     CED, FARM GATE (MJ/kg)","CED, processor gate (MJ/kg)"),INDIRECT($W100)))</f>
        <v>1.1507929655345519</v>
      </c>
      <c r="AA100" s="246">
        <f t="shared" ca="1" si="11"/>
        <v>1.1507929655345519</v>
      </c>
      <c r="AB100" s="254" t="str">
        <f ca="1">IF(P100="PROXY",IF(Q100&gt;=5,K100,"need group"),IF(Q100&gt;=5,"DIRECT","need group"))</f>
        <v>tomato</v>
      </c>
      <c r="AC100" s="247">
        <f ca="1">IF($AB100="DIRECT",Q100,DCOUNT('literature entries'!$D:$AI,IF($J100=1,"ACTIVE     GHGE, FARM GATE (kg CO2e/kg)","GHGE, processor gate (kg CO2e/kg)"),INDIRECT($AB100)))</f>
        <v>25</v>
      </c>
      <c r="AD100" s="247">
        <f ca="1">IF($AB100="DIRECT","",DAVERAGE('literature entries'!$D:$AI,IF($J100=1,"ACTIVE     GHGE, FARM GATE (kg CO2e/kg)","GHGE, processor gate (kg CO2e/kg)"),INDIRECT($AB100)))</f>
        <v>0.4276125714285714</v>
      </c>
      <c r="AE100" s="247">
        <f ca="1">IF($AB100="DIRECT",$S100,DSTDEV('literature entries'!$D:$AI,IF($J100=1,"ACTIVE     GHGE, FARM GATE (kg CO2e/kg)","GHGE, processor gate (kg CO2e/kg)"),INDIRECT($AB100)))</f>
        <v>1.0810218335279169</v>
      </c>
      <c r="AF100" s="247">
        <f t="shared" ca="1" si="12"/>
        <v>1.0810218335279169</v>
      </c>
    </row>
    <row r="101" spans="1:32" s="21" customFormat="1" ht="17" thickBot="1" x14ac:dyDescent="0.25">
      <c r="A101" s="129">
        <v>801379000</v>
      </c>
      <c r="B101" s="130" t="s">
        <v>2315</v>
      </c>
      <c r="C101" s="131" t="s">
        <v>1742</v>
      </c>
      <c r="D101" s="139"/>
      <c r="E101" s="131">
        <v>1025</v>
      </c>
      <c r="F101" s="126">
        <f t="shared" ca="1" si="9"/>
        <v>2.5558650000000003</v>
      </c>
      <c r="G101" s="127">
        <f t="shared" ca="1" si="10"/>
        <v>0.153306</v>
      </c>
      <c r="H101" s="132">
        <v>1.53</v>
      </c>
      <c r="I101" s="140" t="s">
        <v>2724</v>
      </c>
      <c r="J101" s="91">
        <v>2</v>
      </c>
      <c r="K101" s="90"/>
      <c r="L101" s="152" t="str">
        <f>IF(ISERROR(GETPIVOTDATA(IF($J101=1,"Count of ACTIVE     CED, FARM GATE (MJ/kg)","Count of CED, processor gate (MJ/kg)"),'Pivot Table_CED'!$A$3,"SUB TYPE",$B101)),"PROXY",IF(GETPIVOTDATA(IF($J101=1,"Count of ACTIVE     CED, FARM GATE (MJ/kg)","Count of CED, processor gate (MJ/kg)"),'Pivot Table_CED'!$A$3,"SUB TYPE",$B101)=0,"PROXY","DB value"))</f>
        <v>DB value</v>
      </c>
      <c r="M101" s="134">
        <f ca="1">IF($L101="PROXY",DCOUNT('literature entries'!$D:$AI,IF($J101=1,"ACTIVE     CED, FARM GATE (MJ/kg)","CED, processor gate (MJ/kg)"),INDIRECT($K101)),GETPIVOTDATA(IF($J101=1,"Count of ACTIVE     CED, FARM GATE (MJ/kg)","Count of CED, processor gate (MJ/kg)"),'Pivot Table_CED'!$A$3,"SUB TYPE",$B101))</f>
        <v>1</v>
      </c>
      <c r="N101" s="135">
        <f ca="1">IF($L101="PROXY",DAVERAGE('literature entries'!$D:$AI,IF($J101=1,"ACTIVE     CED, FARM GATE (MJ/kg)","CED, processor gate (MJ/kg)"),INDIRECT($K101)),GETPIVOTDATA(IF($J101=1,"Average of ACTIVE     CED, FARM GATE (MJ/kg)","Average of CED, processor gate (MJ/kg)"),'Pivot Table_CED'!$A$3,"SUB TYPE",$B101))</f>
        <v>1.6705000000000001</v>
      </c>
      <c r="O101" s="135">
        <f ca="1">IF($L101="PROXY",DSTDEV('literature entries'!D:AI,IF($J101=1,"ACTIVE     CED, FARM GATE (MJ/kg)","CED, processor gate (MJ/kg)"),INDIRECT($K101)),GETPIVOTDATA(IF($J101=1,"StdDev of ACTIVE     CED, FARM GATE (MJ/kg)","StdDev of CED, processor gate (MJ/kg)"),'Pivot Table_CED'!$A$3,"SUB TYPE",$B101))</f>
        <v>0</v>
      </c>
      <c r="P101" s="152" t="str">
        <f>IF(ISERROR(GETPIVOTDATA(IF($J101=1,"Count of ACTIVE     GHGE, FARM GATE (kg CO2e/kg)","Count of GHGE, processor gate (kg CO2e/kg)"),'Pivot Table_GHG'!$A$3,"SUB TYPE",$B101)),"PROXY",IF(GETPIVOTDATA(IF($J101=1,"Count of ACTIVE     GHGE, FARM GATE (kg CO2e/kg)","Count of GHGE, processor gate (kg CO2e/kg)"),'Pivot Table_GHG'!$A$3,"SUB TYPE",$B101)=0,"PROXY","DB value"))</f>
        <v>DB value</v>
      </c>
      <c r="Q101" s="141">
        <f ca="1">IF($P101="PROXY",DCOUNT('literature entries'!$D:$AI,IF($J101=1,"ACTIVE     GHGE, FARM GATE (kg CO2e/kg)","GHGE, processor gate (kg CO2e/kg)"),INDIRECT($K101)),GETPIVOTDATA(IF($J101=1,"ACTIVE     GHGE, FARM GATE (kg CO2e/kg)","Count of GHGE, processor gate (kg CO2e/kg)"),'Pivot Table_GHG'!$A$3,"SUB TYPE",$B101))</f>
        <v>1</v>
      </c>
      <c r="R101" s="221">
        <f ca="1">IF($P101="PROXY",DAVERAGE('literature entries'!$D:$AI,IF($J101=1,"ACTIVE     GHGE, FARM GATE (kg CO2e/kg)","GHGE, processor gate (kg CO2e/kg)"),INDIRECT($K101)),GETPIVOTDATA(IF($J101=1,"Average of ACTIVE     GHGE, FARM GATE (kg CO2e/kg)","Average of GHGE, processor gate (kg CO2e/kg)"),'Pivot Table_GHG'!$A$3,"SUB TYPE",$B101))</f>
        <v>0.1002</v>
      </c>
      <c r="S101" s="221" t="e">
        <f ca="1">IF($P101="PROXY",DSTDEV('literature entries'!$D:$AI,IF($J101=1,"ACTIVE     GHGE, FARM GATE (kg CO2e/kg)","GHGE, processor gate (kg CO2e/kg)"),INDIRECT($K101)),GETPIVOTDATA(IF($J101=1,"StdDev of ACTIVE     GHGE, FARM GATE (kg CO2e/kg)","StdDev of GHGE, processor gate (kg CO2e/kg)"),'Pivot Table_GHG'!$A$3,"SUB TYPE",$B101))</f>
        <v>#DIV/0!</v>
      </c>
      <c r="T101" s="101"/>
      <c r="U101" s="102"/>
      <c r="W101" s="248" t="s">
        <v>3356</v>
      </c>
      <c r="X101" s="246">
        <f ca="1">IF($W101="DIRECT",M101,DCOUNT('literature entries'!$D:$AI,IF($J101=1,"ACTIVE     CED, FARM GATE (MJ/kg)","CED, processor gate (MJ/kg)"),INDIRECT($W101)))</f>
        <v>10</v>
      </c>
      <c r="Y101" s="246">
        <f ca="1">IF($W101="DIRECT","",DAVERAGE('literature entries'!$D:$AI,IF($J101=1,"ACTIVE     CED, FARM GATE (MJ/kg)","CED, processor gate (MJ/kg)"),INDIRECT($W101)))</f>
        <v>8.7758181999999998</v>
      </c>
      <c r="Z101" s="246">
        <f ca="1">IF($W101="DIRECT",$O101,DSTDEV('literature entries'!$D:$AI,IF($J101=1,"ACTIVE     CED, FARM GATE (MJ/kg)","CED, processor gate (MJ/kg)"),INDIRECT($W101)))</f>
        <v>4.7192764543736505</v>
      </c>
      <c r="AA101" s="246">
        <f t="shared" ca="1" si="11"/>
        <v>0.89832664457784506</v>
      </c>
      <c r="AB101" s="254" t="s">
        <v>3356</v>
      </c>
      <c r="AC101" s="247">
        <f ca="1">IF($AB101="DIRECT",Q101,DCOUNT('literature entries'!$D:$AI,IF($J101=1,"ACTIVE     GHGE, FARM GATE (kg CO2e/kg)","GHGE, processor gate (kg CO2e/kg)"),INDIRECT($AB101)))</f>
        <v>12</v>
      </c>
      <c r="AD101" s="247">
        <f ca="1">IF($AB101="DIRECT","",DAVERAGE('literature entries'!$D:$AI,IF($J101=1,"ACTIVE     GHGE, FARM GATE (kg CO2e/kg)","GHGE, processor gate (kg CO2e/kg)"),INDIRECT($AB101)))</f>
        <v>0.97445476190476166</v>
      </c>
      <c r="AE101" s="247">
        <f ca="1">IF($AB101="DIRECT",$S101,DSTDEV('literature entries'!$D:$AI,IF($J101=1,"ACTIVE     GHGE, FARM GATE (kg CO2e/kg)","GHGE, processor gate (kg CO2e/kg)"),INDIRECT($AB101)))</f>
        <v>0.80082742576445587</v>
      </c>
      <c r="AF101" s="247">
        <f t="shared" ca="1" si="12"/>
        <v>8.2346468198018843E-2</v>
      </c>
    </row>
    <row r="102" spans="1:32" s="21" customFormat="1" thickBot="1" x14ac:dyDescent="0.25">
      <c r="A102" s="129">
        <v>802148000</v>
      </c>
      <c r="B102" s="130" t="s">
        <v>884</v>
      </c>
      <c r="C102" s="131" t="s">
        <v>1973</v>
      </c>
      <c r="D102" s="131"/>
      <c r="E102" s="131">
        <v>180</v>
      </c>
      <c r="F102" s="126">
        <f t="shared" ca="1" si="9"/>
        <v>2.9400162857142855</v>
      </c>
      <c r="G102" s="127">
        <f t="shared" ca="1" si="10"/>
        <v>0.52596346285714279</v>
      </c>
      <c r="H102" s="132">
        <v>1.23</v>
      </c>
      <c r="I102" s="132" t="s">
        <v>2724</v>
      </c>
      <c r="J102" s="103">
        <v>1</v>
      </c>
      <c r="K102" s="90" t="s">
        <v>3275</v>
      </c>
      <c r="L102" s="152" t="str">
        <f>IF(ISERROR(GETPIVOTDATA(IF($J102=1,"Count of ACTIVE     CED, FARM GATE (MJ/kg)","Count of CED, processor gate (MJ/kg)"),'Pivot Table_CED'!$A$3,"SUB TYPE",$B102)),"PROXY",IF(GETPIVOTDATA(IF($J102=1,"Count of ACTIVE     CED, FARM GATE (MJ/kg)","Count of CED, processor gate (MJ/kg)"),'Pivot Table_CED'!$A$3,"SUB TYPE",$B102)=0,"PROXY","DB value"))</f>
        <v>PROXY</v>
      </c>
      <c r="M102" s="134">
        <f ca="1">IF($L102="PROXY",DCOUNT('literature entries'!$D:$AI,IF($J102=1,"ACTIVE     CED, FARM GATE (MJ/kg)","CED, processor gate (MJ/kg)"),INDIRECT($K102)),GETPIVOTDATA(IF($J102=1,"Count of ACTIVE     CED, FARM GATE (MJ/kg)","Count of CED, processor gate (MJ/kg)"),'Pivot Table_CED'!$A$3,"SUB TYPE",$B102))</f>
        <v>7</v>
      </c>
      <c r="N102" s="135">
        <f ca="1">IF($L102="PROXY",DAVERAGE('literature entries'!$D:$AI,IF($J102=1,"ACTIVE     CED, FARM GATE (MJ/kg)","CED, processor gate (MJ/kg)"),INDIRECT($K102)),GETPIVOTDATA(IF($J102=1,"Average of ACTIVE     CED, FARM GATE (MJ/kg)","Average of CED, processor gate (MJ/kg)"),'Pivot Table_CED'!$A$3,"SUB TYPE",$B102))</f>
        <v>2.3902571428571426</v>
      </c>
      <c r="O102" s="135">
        <f ca="1">IF($L102="PROXY",DSTDEV('literature entries'!D:AI,IF($J102=1,"ACTIVE     CED, FARM GATE (MJ/kg)","CED, processor gate (MJ/kg)"),INDIRECT($K102)),GETPIVOTDATA(IF($J102=1,"StdDev of ACTIVE     CED, FARM GATE (MJ/kg)","StdDev of CED, processor gate (MJ/kg)"),'Pivot Table_CED'!$A$3,"SUB TYPE",$B102))</f>
        <v>1.1507929655345519</v>
      </c>
      <c r="P102" s="152" t="str">
        <f>IF(ISERROR(GETPIVOTDATA(IF($J102=1,"Count of ACTIVE     GHGE, FARM GATE (kg CO2e/kg)","Count of GHGE, processor gate (kg CO2e/kg)"),'Pivot Table_GHG'!$A$3,"SUB TYPE",$B102)),"PROXY",IF(GETPIVOTDATA(IF($J102=1,"Count of ACTIVE     GHGE, FARM GATE (kg CO2e/kg)","Count of GHGE, processor gate (kg CO2e/kg)"),'Pivot Table_GHG'!$A$3,"SUB TYPE",$B102)=0,"PROXY","DB value"))</f>
        <v>PROXY</v>
      </c>
      <c r="Q102" s="141">
        <f ca="1">IF($P102="PROXY",DCOUNT('literature entries'!$D:$AI,IF($J102=1,"ACTIVE     GHGE, FARM GATE (kg CO2e/kg)","GHGE, processor gate (kg CO2e/kg)"),INDIRECT($K102)),GETPIVOTDATA(IF($J102=1,"ACTIVE     GHGE, FARM GATE (kg CO2e/kg)","Count of GHGE, processor gate (kg CO2e/kg)"),'Pivot Table_GHG'!$A$3,"SUB TYPE",$B102))</f>
        <v>25</v>
      </c>
      <c r="R102" s="221">
        <f ca="1">IF($P102="PROXY",DAVERAGE('literature entries'!$D:$AI,IF($J102=1,"ACTIVE     GHGE, FARM GATE (kg CO2e/kg)","GHGE, processor gate (kg CO2e/kg)"),INDIRECT($K102)),GETPIVOTDATA(IF($J102=1,"Average of ACTIVE     GHGE, FARM GATE (kg CO2e/kg)","Average of GHGE, processor gate (kg CO2e/kg)"),'Pivot Table_GHG'!$A$3,"SUB TYPE",$B102))</f>
        <v>0.4276125714285714</v>
      </c>
      <c r="S102" s="221">
        <f ca="1">IF($P102="PROXY",DSTDEV('literature entries'!$D:$AI,IF($J102=1,"ACTIVE     GHGE, FARM GATE (kg CO2e/kg)","GHGE, processor gate (kg CO2e/kg)"),INDIRECT($K102)),GETPIVOTDATA(IF($J102=1,"StdDev of ACTIVE     GHGE, FARM GATE (kg CO2e/kg)","StdDev of GHGE, processor gate (kg CO2e/kg)"),'Pivot Table_GHG'!$A$3,"SUB TYPE",$B102))</f>
        <v>1.0810218335279169</v>
      </c>
      <c r="T102" s="101"/>
      <c r="U102" s="102"/>
      <c r="W102" s="248" t="str">
        <f ca="1">IF(L102="PROXY",IF(M102&gt;=5,K102,"need group"),IF(M102&gt;=5,"DIRECT","need group"))</f>
        <v>nightshades</v>
      </c>
      <c r="X102" s="246">
        <f ca="1">IF($W102="DIRECT",M102,DCOUNT('literature entries'!$D:$AI,IF($J102=1,"ACTIVE     CED, FARM GATE (MJ/kg)","CED, processor gate (MJ/kg)"),INDIRECT($W102)))</f>
        <v>7</v>
      </c>
      <c r="Y102" s="246">
        <f ca="1">IF($W102="DIRECT","",DAVERAGE('literature entries'!$D:$AI,IF($J102=1,"ACTIVE     CED, FARM GATE (MJ/kg)","CED, processor gate (MJ/kg)"),INDIRECT($W102)))</f>
        <v>2.3902571428571426</v>
      </c>
      <c r="Z102" s="246">
        <f ca="1">IF($W102="DIRECT",$O102,DSTDEV('literature entries'!$D:$AI,IF($J102=1,"ACTIVE     CED, FARM GATE (MJ/kg)","CED, processor gate (MJ/kg)"),INDIRECT($W102)))</f>
        <v>1.1507929655345519</v>
      </c>
      <c r="AA102" s="246">
        <f t="shared" ca="1" si="11"/>
        <v>1.1507929655345519</v>
      </c>
      <c r="AB102" s="254" t="str">
        <f ca="1">IF(P102="PROXY",IF(Q102&gt;=5,K102,"need group"),IF(Q102&gt;=5,"DIRECT","need group"))</f>
        <v>nightshades</v>
      </c>
      <c r="AC102" s="247">
        <f ca="1">IF($AB102="DIRECT",Q102,DCOUNT('literature entries'!$D:$AI,IF($J102=1,"ACTIVE     GHGE, FARM GATE (kg CO2e/kg)","GHGE, processor gate (kg CO2e/kg)"),INDIRECT($AB102)))</f>
        <v>25</v>
      </c>
      <c r="AD102" s="247">
        <f ca="1">IF($AB102="DIRECT","",DAVERAGE('literature entries'!$D:$AI,IF($J102=1,"ACTIVE     GHGE, FARM GATE (kg CO2e/kg)","GHGE, processor gate (kg CO2e/kg)"),INDIRECT($AB102)))</f>
        <v>0.4276125714285714</v>
      </c>
      <c r="AE102" s="247">
        <f ca="1">IF($AB102="DIRECT",$S102,DSTDEV('literature entries'!$D:$AI,IF($J102=1,"ACTIVE     GHGE, FARM GATE (kg CO2e/kg)","GHGE, processor gate (kg CO2e/kg)"),INDIRECT($AB102)))</f>
        <v>1.0810218335279169</v>
      </c>
      <c r="AF102" s="247">
        <f t="shared" ca="1" si="12"/>
        <v>1.0810218335279169</v>
      </c>
    </row>
    <row r="103" spans="1:32" s="21" customFormat="1" thickBot="1" x14ac:dyDescent="0.25">
      <c r="A103" s="129">
        <v>802234000</v>
      </c>
      <c r="B103" s="130" t="s">
        <v>2096</v>
      </c>
      <c r="C103" s="131" t="s">
        <v>2097</v>
      </c>
      <c r="D103" s="131"/>
      <c r="E103" s="131">
        <v>271</v>
      </c>
      <c r="F103" s="126">
        <f t="shared" ca="1" si="9"/>
        <v>2.7726982857142852</v>
      </c>
      <c r="G103" s="127">
        <f t="shared" ca="1" si="10"/>
        <v>0.4960305828571428</v>
      </c>
      <c r="H103" s="132">
        <v>1.1599999999999999</v>
      </c>
      <c r="I103" s="132" t="s">
        <v>2724</v>
      </c>
      <c r="J103" s="91">
        <v>1</v>
      </c>
      <c r="K103" s="90" t="s">
        <v>3275</v>
      </c>
      <c r="L103" s="152" t="str">
        <f>IF(ISERROR(GETPIVOTDATA(IF($J103=1,"Count of ACTIVE     CED, FARM GATE (MJ/kg)","Count of CED, processor gate (MJ/kg)"),'Pivot Table_CED'!$A$3,"SUB TYPE",$B103)),"PROXY",IF(GETPIVOTDATA(IF($J103=1,"Count of ACTIVE     CED, FARM GATE (MJ/kg)","Count of CED, processor gate (MJ/kg)"),'Pivot Table_CED'!$A$3,"SUB TYPE",$B103)=0,"PROXY","DB value"))</f>
        <v>PROXY</v>
      </c>
      <c r="M103" s="134">
        <f ca="1">IF($L103="PROXY",DCOUNT('literature entries'!$D:$AI,IF($J103=1,"ACTIVE     CED, FARM GATE (MJ/kg)","CED, processor gate (MJ/kg)"),INDIRECT($K103)),GETPIVOTDATA(IF($J103=1,"Count of ACTIVE     CED, FARM GATE (MJ/kg)","Count of CED, processor gate (MJ/kg)"),'Pivot Table_CED'!$A$3,"SUB TYPE",$B103))</f>
        <v>7</v>
      </c>
      <c r="N103" s="135">
        <f ca="1">IF($L103="PROXY",DAVERAGE('literature entries'!$D:$AI,IF($J103=1,"ACTIVE     CED, FARM GATE (MJ/kg)","CED, processor gate (MJ/kg)"),INDIRECT($K103)),GETPIVOTDATA(IF($J103=1,"Average of ACTIVE     CED, FARM GATE (MJ/kg)","Average of CED, processor gate (MJ/kg)"),'Pivot Table_CED'!$A$3,"SUB TYPE",$B103))</f>
        <v>2.3902571428571426</v>
      </c>
      <c r="O103" s="135">
        <f ca="1">IF($L103="PROXY",DSTDEV('literature entries'!D:AI,IF($J103=1,"ACTIVE     CED, FARM GATE (MJ/kg)","CED, processor gate (MJ/kg)"),INDIRECT($K103)),GETPIVOTDATA(IF($J103=1,"StdDev of ACTIVE     CED, FARM GATE (MJ/kg)","StdDev of CED, processor gate (MJ/kg)"),'Pivot Table_CED'!$A$3,"SUB TYPE",$B103))</f>
        <v>1.1507929655345519</v>
      </c>
      <c r="P103" s="152" t="str">
        <f>IF(ISERROR(GETPIVOTDATA(IF($J103=1,"Count of ACTIVE     GHGE, FARM GATE (kg CO2e/kg)","Count of GHGE, processor gate (kg CO2e/kg)"),'Pivot Table_GHG'!$A$3,"SUB TYPE",$B103)),"PROXY",IF(GETPIVOTDATA(IF($J103=1,"Count of ACTIVE     GHGE, FARM GATE (kg CO2e/kg)","Count of GHGE, processor gate (kg CO2e/kg)"),'Pivot Table_GHG'!$A$3,"SUB TYPE",$B103)=0,"PROXY","DB value"))</f>
        <v>PROXY</v>
      </c>
      <c r="Q103" s="141">
        <f ca="1">IF($P103="PROXY",DCOUNT('literature entries'!$D:$AI,IF($J103=1,"ACTIVE     GHGE, FARM GATE (kg CO2e/kg)","GHGE, processor gate (kg CO2e/kg)"),INDIRECT($K103)),GETPIVOTDATA(IF($J103=1,"ACTIVE     GHGE, FARM GATE (kg CO2e/kg)","Count of GHGE, processor gate (kg CO2e/kg)"),'Pivot Table_GHG'!$A$3,"SUB TYPE",$B103))</f>
        <v>25</v>
      </c>
      <c r="R103" s="221">
        <f ca="1">IF($P103="PROXY",DAVERAGE('literature entries'!$D:$AI,IF($J103=1,"ACTIVE     GHGE, FARM GATE (kg CO2e/kg)","GHGE, processor gate (kg CO2e/kg)"),INDIRECT($K103)),GETPIVOTDATA(IF($J103=1,"Average of ACTIVE     GHGE, FARM GATE (kg CO2e/kg)","Average of GHGE, processor gate (kg CO2e/kg)"),'Pivot Table_GHG'!$A$3,"SUB TYPE",$B103))</f>
        <v>0.4276125714285714</v>
      </c>
      <c r="S103" s="221">
        <f ca="1">IF($P103="PROXY",DSTDEV('literature entries'!$D:$AI,IF($J103=1,"ACTIVE     GHGE, FARM GATE (kg CO2e/kg)","GHGE, processor gate (kg CO2e/kg)"),INDIRECT($K103)),GETPIVOTDATA(IF($J103=1,"StdDev of ACTIVE     GHGE, FARM GATE (kg CO2e/kg)","StdDev of GHGE, processor gate (kg CO2e/kg)"),'Pivot Table_GHG'!$A$3,"SUB TYPE",$B103))</f>
        <v>1.0810218335279169</v>
      </c>
      <c r="T103" s="101"/>
      <c r="U103" s="102"/>
      <c r="W103" s="248" t="str">
        <f ca="1">IF(L103="PROXY",IF(M103&gt;=5,K103,"need group"),IF(M103&gt;=5,"DIRECT","need group"))</f>
        <v>nightshades</v>
      </c>
      <c r="X103" s="246">
        <f ca="1">IF($W103="DIRECT",M103,DCOUNT('literature entries'!$D:$AI,IF($J103=1,"ACTIVE     CED, FARM GATE (MJ/kg)","CED, processor gate (MJ/kg)"),INDIRECT($W103)))</f>
        <v>7</v>
      </c>
      <c r="Y103" s="246">
        <f ca="1">IF($W103="DIRECT","",DAVERAGE('literature entries'!$D:$AI,IF($J103=1,"ACTIVE     CED, FARM GATE (MJ/kg)","CED, processor gate (MJ/kg)"),INDIRECT($W103)))</f>
        <v>2.3902571428571426</v>
      </c>
      <c r="Z103" s="246">
        <f ca="1">IF($W103="DIRECT",$O103,DSTDEV('literature entries'!$D:$AI,IF($J103=1,"ACTIVE     CED, FARM GATE (MJ/kg)","CED, processor gate (MJ/kg)"),INDIRECT($W103)))</f>
        <v>1.1507929655345519</v>
      </c>
      <c r="AA103" s="246">
        <f t="shared" ca="1" si="11"/>
        <v>1.1507929655345519</v>
      </c>
      <c r="AB103" s="254" t="str">
        <f ca="1">IF(P103="PROXY",IF(Q103&gt;=5,K103,"need group"),IF(Q103&gt;=5,"DIRECT","need group"))</f>
        <v>nightshades</v>
      </c>
      <c r="AC103" s="247">
        <f ca="1">IF($AB103="DIRECT",Q103,DCOUNT('literature entries'!$D:$AI,IF($J103=1,"ACTIVE     GHGE, FARM GATE (kg CO2e/kg)","GHGE, processor gate (kg CO2e/kg)"),INDIRECT($AB103)))</f>
        <v>25</v>
      </c>
      <c r="AD103" s="247">
        <f ca="1">IF($AB103="DIRECT","",DAVERAGE('literature entries'!$D:$AI,IF($J103=1,"ACTIVE     GHGE, FARM GATE (kg CO2e/kg)","GHGE, processor gate (kg CO2e/kg)"),INDIRECT($AB103)))</f>
        <v>0.4276125714285714</v>
      </c>
      <c r="AE103" s="247">
        <f ca="1">IF($AB103="DIRECT",$S103,DSTDEV('literature entries'!$D:$AI,IF($J103=1,"ACTIVE     GHGE, FARM GATE (kg CO2e/kg)","GHGE, processor gate (kg CO2e/kg)"),INDIRECT($AB103)))</f>
        <v>1.0810218335279169</v>
      </c>
      <c r="AF103" s="247">
        <f t="shared" ca="1" si="12"/>
        <v>1.0810218335279169</v>
      </c>
    </row>
    <row r="104" spans="1:32" s="21" customFormat="1" thickBot="1" x14ac:dyDescent="0.25">
      <c r="A104" s="129">
        <v>802270000</v>
      </c>
      <c r="B104" s="130" t="s">
        <v>2152</v>
      </c>
      <c r="C104" s="131" t="s">
        <v>2153</v>
      </c>
      <c r="D104" s="131" t="s">
        <v>2154</v>
      </c>
      <c r="E104" s="131">
        <v>8602</v>
      </c>
      <c r="F104" s="126">
        <f t="shared" ca="1" si="9"/>
        <v>6.8807999999999998</v>
      </c>
      <c r="G104" s="127">
        <f t="shared" ca="1" si="10"/>
        <v>0.52459999999999996</v>
      </c>
      <c r="H104" s="132">
        <v>1.22</v>
      </c>
      <c r="I104" s="132" t="s">
        <v>2724</v>
      </c>
      <c r="J104" s="91">
        <v>1</v>
      </c>
      <c r="K104" s="90"/>
      <c r="L104" s="152" t="str">
        <f>IF(ISERROR(GETPIVOTDATA(IF($J104=1,"Count of ACTIVE     CED, FARM GATE (MJ/kg)","Count of CED, processor gate (MJ/kg)"),'Pivot Table_CED'!$A$3,"SUB TYPE",$B104)),"PROXY",IF(GETPIVOTDATA(IF($J104=1,"Count of ACTIVE     CED, FARM GATE (MJ/kg)","Count of CED, processor gate (MJ/kg)"),'Pivot Table_CED'!$A$3,"SUB TYPE",$B104)=0,"PROXY","DB value"))</f>
        <v>DB value</v>
      </c>
      <c r="M104" s="134">
        <f ca="1">IF($L104="PROXY",DCOUNT('literature entries'!$D:$AI,IF($J104=1,"ACTIVE     CED, FARM GATE (MJ/kg)","CED, processor gate (MJ/kg)"),INDIRECT($K104)),GETPIVOTDATA(IF($J104=1,"Count of ACTIVE     CED, FARM GATE (MJ/kg)","Count of CED, processor gate (MJ/kg)"),'Pivot Table_CED'!$A$3,"SUB TYPE",$B104))</f>
        <v>1</v>
      </c>
      <c r="N104" s="135">
        <f ca="1">IF($L104="PROXY",DAVERAGE('literature entries'!$D:$AI,IF($J104=1,"ACTIVE     CED, FARM GATE (MJ/kg)","CED, processor gate (MJ/kg)"),INDIRECT($K104)),GETPIVOTDATA(IF($J104=1,"Average of ACTIVE     CED, FARM GATE (MJ/kg)","Average of CED, processor gate (MJ/kg)"),'Pivot Table_CED'!$A$3,"SUB TYPE",$B104))</f>
        <v>5.64</v>
      </c>
      <c r="O104" s="135">
        <f ca="1">IF($L104="PROXY",DSTDEV('literature entries'!D:AI,IF($J104=1,"ACTIVE     CED, FARM GATE (MJ/kg)","CED, processor gate (MJ/kg)"),INDIRECT($K104)),GETPIVOTDATA(IF($J104=1,"StdDev of ACTIVE     CED, FARM GATE (MJ/kg)","StdDev of CED, processor gate (MJ/kg)"),'Pivot Table_CED'!$A$3,"SUB TYPE",$B104))</f>
        <v>0</v>
      </c>
      <c r="P104" s="152" t="str">
        <f>IF(ISERROR(GETPIVOTDATA(IF($J104=1,"Count of ACTIVE     GHGE, FARM GATE (kg CO2e/kg)","Count of GHGE, processor gate (kg CO2e/kg)"),'Pivot Table_GHG'!$A$3,"SUB TYPE",$B104)),"PROXY",IF(GETPIVOTDATA(IF($J104=1,"Count of ACTIVE     GHGE, FARM GATE (kg CO2e/kg)","Count of GHGE, processor gate (kg CO2e/kg)"),'Pivot Table_GHG'!$A$3,"SUB TYPE",$B104)=0,"PROXY","DB value"))</f>
        <v>DB value</v>
      </c>
      <c r="Q104" s="141">
        <f ca="1">IF($P104="PROXY",DCOUNT('literature entries'!$D:$AI,IF($J104=1,"ACTIVE     GHGE, FARM GATE (kg CO2e/kg)","GHGE, processor gate (kg CO2e/kg)"),INDIRECT($K104)),GETPIVOTDATA(IF($J104=1,"ACTIVE     GHGE, FARM GATE (kg CO2e/kg)","Count of GHGE, processor gate (kg CO2e/kg)"),'Pivot Table_GHG'!$A$3,"SUB TYPE",$B104))</f>
        <v>2</v>
      </c>
      <c r="R104" s="221">
        <f ca="1">IF($P104="PROXY",DAVERAGE('literature entries'!$D:$AI,IF($J104=1,"ACTIVE     GHGE, FARM GATE (kg CO2e/kg)","GHGE, processor gate (kg CO2e/kg)"),INDIRECT($K104)),GETPIVOTDATA(IF($J104=1,"Average of ACTIVE     GHGE, FARM GATE (kg CO2e/kg)","Average of GHGE, processor gate (kg CO2e/kg)"),'Pivot Table_GHG'!$A$3,"SUB TYPE",$B104))</f>
        <v>0.43</v>
      </c>
      <c r="S104" s="221">
        <f ca="1">IF($P104="PROXY",DSTDEV('literature entries'!$D:$AI,IF($J104=1,"ACTIVE     GHGE, FARM GATE (kg CO2e/kg)","GHGE, processor gate (kg CO2e/kg)"),INDIRECT($K104)),GETPIVOTDATA(IF($J104=1,"StdDev of ACTIVE     GHGE, FARM GATE (kg CO2e/kg)","StdDev of GHGE, processor gate (kg CO2e/kg)"),'Pivot Table_GHG'!$A$3,"SUB TYPE",$B104))</f>
        <v>0.22627416997969527</v>
      </c>
      <c r="T104" s="101"/>
      <c r="U104" s="102"/>
      <c r="W104" s="248" t="s">
        <v>3275</v>
      </c>
      <c r="X104" s="246">
        <f ca="1">IF($W104="DIRECT",M104,DCOUNT('literature entries'!$D:$AI,IF($J104=1,"ACTIVE     CED, FARM GATE (MJ/kg)","CED, processor gate (MJ/kg)"),INDIRECT($W104)))</f>
        <v>7</v>
      </c>
      <c r="Y104" s="246">
        <f ca="1">IF($W104="DIRECT","",DAVERAGE('literature entries'!$D:$AI,IF($J104=1,"ACTIVE     CED, FARM GATE (MJ/kg)","CED, processor gate (MJ/kg)"),INDIRECT($W104)))</f>
        <v>2.3902571428571426</v>
      </c>
      <c r="Z104" s="246">
        <f ca="1">IF($W104="DIRECT",$O104,DSTDEV('literature entries'!$D:$AI,IF($J104=1,"ACTIVE     CED, FARM GATE (MJ/kg)","CED, processor gate (MJ/kg)"),INDIRECT($W104)))</f>
        <v>1.1507929655345519</v>
      </c>
      <c r="AA104" s="246">
        <f t="shared" ca="1" si="11"/>
        <v>2.7153866457466687</v>
      </c>
      <c r="AB104" s="254" t="s">
        <v>3275</v>
      </c>
      <c r="AC104" s="247">
        <f ca="1">IF($AB104="DIRECT",Q104,DCOUNT('literature entries'!$D:$AI,IF($J104=1,"ACTIVE     GHGE, FARM GATE (kg CO2e/kg)","GHGE, processor gate (kg CO2e/kg)"),INDIRECT($AB104)))</f>
        <v>25</v>
      </c>
      <c r="AD104" s="247">
        <f ca="1">IF($AB104="DIRECT","",DAVERAGE('literature entries'!$D:$AI,IF($J104=1,"ACTIVE     GHGE, FARM GATE (kg CO2e/kg)","GHGE, processor gate (kg CO2e/kg)"),INDIRECT($AB104)))</f>
        <v>0.4276125714285714</v>
      </c>
      <c r="AE104" s="247">
        <f ca="1">IF($AB104="DIRECT",$S104,DSTDEV('literature entries'!$D:$AI,IF($J104=1,"ACTIVE     GHGE, FARM GATE (kg CO2e/kg)","GHGE, processor gate (kg CO2e/kg)"),INDIRECT($AB104)))</f>
        <v>1.0810218335279169</v>
      </c>
      <c r="AF104" s="247">
        <f t="shared" ca="1" si="12"/>
        <v>1.0870573492824713</v>
      </c>
    </row>
    <row r="105" spans="1:32" s="21" customFormat="1" ht="17" thickBot="1" x14ac:dyDescent="0.25">
      <c r="A105" s="129">
        <v>802271000</v>
      </c>
      <c r="B105" s="130" t="s">
        <v>2155</v>
      </c>
      <c r="C105" s="131" t="s">
        <v>2156</v>
      </c>
      <c r="D105" s="131" t="s">
        <v>2154</v>
      </c>
      <c r="E105" s="131">
        <v>5298</v>
      </c>
      <c r="F105" s="126">
        <f t="shared" ca="1" si="9"/>
        <v>68.796719999999993</v>
      </c>
      <c r="G105" s="127">
        <f t="shared" ca="1" si="10"/>
        <v>5.2451400000000001</v>
      </c>
      <c r="H105" s="136">
        <v>12.198</v>
      </c>
      <c r="I105" s="133" t="s">
        <v>2737</v>
      </c>
      <c r="J105" s="91">
        <v>1</v>
      </c>
      <c r="K105" s="90" t="s">
        <v>3276</v>
      </c>
      <c r="L105" s="152" t="str">
        <f>IF(ISERROR(GETPIVOTDATA(IF($J105=1,"Count of ACTIVE     CED, FARM GATE (MJ/kg)","Count of CED, processor gate (MJ/kg)"),'Pivot Table_CED'!$A$3,"SUB TYPE",$B105)),"PROXY",IF(GETPIVOTDATA(IF($J105=1,"Count of ACTIVE     CED, FARM GATE (MJ/kg)","Count of CED, processor gate (MJ/kg)"),'Pivot Table_CED'!$A$3,"SUB TYPE",$B105)=0,"PROXY","DB value"))</f>
        <v>PROXY</v>
      </c>
      <c r="M105" s="134">
        <f ca="1">IF($L105="PROXY",DCOUNT('literature entries'!$D:$AI,IF($J105=1,"ACTIVE     CED, FARM GATE (MJ/kg)","CED, processor gate (MJ/kg)"),INDIRECT($K105)),GETPIVOTDATA(IF($J105=1,"Count of ACTIVE     CED, FARM GATE (MJ/kg)","Count of CED, processor gate (MJ/kg)"),'Pivot Table_CED'!$A$3,"SUB TYPE",$B105))</f>
        <v>1</v>
      </c>
      <c r="N105" s="135">
        <f ca="1">IF($L105="PROXY",DAVERAGE('literature entries'!$D:$AI,IF($J105=1,"ACTIVE     CED, FARM GATE (MJ/kg)","CED, processor gate (MJ/kg)"),INDIRECT($K105)),GETPIVOTDATA(IF($J105=1,"Average of ACTIVE     CED, FARM GATE (MJ/kg)","Average of CED, processor gate (MJ/kg)"),'Pivot Table_CED'!$A$3,"SUB TYPE",$B105))</f>
        <v>5.64</v>
      </c>
      <c r="O105" s="135" t="e">
        <f ca="1">IF($L105="PROXY",DSTDEV('literature entries'!D:AI,IF($J105=1,"ACTIVE     CED, FARM GATE (MJ/kg)","CED, processor gate (MJ/kg)"),INDIRECT($K105)),GETPIVOTDATA(IF($J105=1,"StdDev of ACTIVE     CED, FARM GATE (MJ/kg)","StdDev of CED, processor gate (MJ/kg)"),'Pivot Table_CED'!$A$3,"SUB TYPE",$B105))</f>
        <v>#DIV/0!</v>
      </c>
      <c r="P105" s="152" t="str">
        <f>IF(ISERROR(GETPIVOTDATA(IF($J105=1,"Count of ACTIVE     GHGE, FARM GATE (kg CO2e/kg)","Count of GHGE, processor gate (kg CO2e/kg)"),'Pivot Table_GHG'!$A$3,"SUB TYPE",$B105)),"PROXY",IF(GETPIVOTDATA(IF($J105=1,"Count of ACTIVE     GHGE, FARM GATE (kg CO2e/kg)","Count of GHGE, processor gate (kg CO2e/kg)"),'Pivot Table_GHG'!$A$3,"SUB TYPE",$B105)=0,"PROXY","DB value"))</f>
        <v>PROXY</v>
      </c>
      <c r="Q105" s="141">
        <f ca="1">IF($P105="PROXY",DCOUNT('literature entries'!$D:$AI,IF($J105=1,"ACTIVE     GHGE, FARM GATE (kg CO2e/kg)","GHGE, processor gate (kg CO2e/kg)"),INDIRECT($K105)),GETPIVOTDATA(IF($J105=1,"ACTIVE     GHGE, FARM GATE (kg CO2e/kg)","Count of GHGE, processor gate (kg CO2e/kg)"),'Pivot Table_GHG'!$A$3,"SUB TYPE",$B105))</f>
        <v>2</v>
      </c>
      <c r="R105" s="221">
        <f ca="1">IF($P105="PROXY",DAVERAGE('literature entries'!$D:$AI,IF($J105=1,"ACTIVE     GHGE, FARM GATE (kg CO2e/kg)","GHGE, processor gate (kg CO2e/kg)"),INDIRECT($K105)),GETPIVOTDATA(IF($J105=1,"Average of ACTIVE     GHGE, FARM GATE (kg CO2e/kg)","Average of GHGE, processor gate (kg CO2e/kg)"),'Pivot Table_GHG'!$A$3,"SUB TYPE",$B105))</f>
        <v>0.43</v>
      </c>
      <c r="S105" s="221">
        <f ca="1">IF($P105="PROXY",DSTDEV('literature entries'!$D:$AI,IF($J105=1,"ACTIVE     GHGE, FARM GATE (kg CO2e/kg)","GHGE, processor gate (kg CO2e/kg)"),INDIRECT($K105)),GETPIVOTDATA(IF($J105=1,"StdDev of ACTIVE     GHGE, FARM GATE (kg CO2e/kg)","StdDev of GHGE, processor gate (kg CO2e/kg)"),'Pivot Table_GHG'!$A$3,"SUB TYPE",$B105))</f>
        <v>0.22627416997969527</v>
      </c>
      <c r="T105" s="101"/>
      <c r="U105" s="102"/>
      <c r="W105" s="248" t="s">
        <v>3275</v>
      </c>
      <c r="X105" s="246">
        <f ca="1">IF($W105="DIRECT",M105,DCOUNT('literature entries'!$D:$AI,IF($J105=1,"ACTIVE     CED, FARM GATE (MJ/kg)","CED, processor gate (MJ/kg)"),INDIRECT($W105)))</f>
        <v>7</v>
      </c>
      <c r="Y105" s="246">
        <f ca="1">IF($W105="DIRECT","",DAVERAGE('literature entries'!$D:$AI,IF($J105=1,"ACTIVE     CED, FARM GATE (MJ/kg)","CED, processor gate (MJ/kg)"),INDIRECT($W105)))</f>
        <v>2.3902571428571426</v>
      </c>
      <c r="Z105" s="246">
        <f ca="1">IF($W105="DIRECT",$O105,DSTDEV('literature entries'!$D:$AI,IF($J105=1,"ACTIVE     CED, FARM GATE (MJ/kg)","CED, processor gate (MJ/kg)"),INDIRECT($W105)))</f>
        <v>1.1507929655345519</v>
      </c>
      <c r="AA105" s="246">
        <f t="shared" ref="AA105:AA136" ca="1" si="13">IF($W105="DIRECT",$O105,$Z105/$Y105*$N105)</f>
        <v>2.7153866457466687</v>
      </c>
      <c r="AB105" s="254" t="s">
        <v>3275</v>
      </c>
      <c r="AC105" s="247">
        <f ca="1">IF($AB105="DIRECT",Q105,DCOUNT('literature entries'!$D:$AI,IF($J105=1,"ACTIVE     GHGE, FARM GATE (kg CO2e/kg)","GHGE, processor gate (kg CO2e/kg)"),INDIRECT($AB105)))</f>
        <v>25</v>
      </c>
      <c r="AD105" s="247">
        <f ca="1">IF($AB105="DIRECT","",DAVERAGE('literature entries'!$D:$AI,IF($J105=1,"ACTIVE     GHGE, FARM GATE (kg CO2e/kg)","GHGE, processor gate (kg CO2e/kg)"),INDIRECT($AB105)))</f>
        <v>0.4276125714285714</v>
      </c>
      <c r="AE105" s="247">
        <f ca="1">IF($AB105="DIRECT",$S105,DSTDEV('literature entries'!$D:$AI,IF($J105=1,"ACTIVE     GHGE, FARM GATE (kg CO2e/kg)","GHGE, processor gate (kg CO2e/kg)"),INDIRECT($AB105)))</f>
        <v>1.0810218335279169</v>
      </c>
      <c r="AF105" s="247">
        <f t="shared" ref="AF105:AF136" ca="1" si="14">IF($AB105="DIRECT",$S105,$AE105/$AD105*$R105)</f>
        <v>1.0870573492824713</v>
      </c>
    </row>
    <row r="106" spans="1:32" s="21" customFormat="1" ht="17" thickBot="1" x14ac:dyDescent="0.25">
      <c r="A106" s="129">
        <v>802272000</v>
      </c>
      <c r="B106" s="130" t="s">
        <v>2159</v>
      </c>
      <c r="C106" s="131" t="s">
        <v>2160</v>
      </c>
      <c r="D106" s="131"/>
      <c r="E106" s="131">
        <v>26399</v>
      </c>
      <c r="F106" s="126">
        <f t="shared" ca="1" si="9"/>
        <v>6.8243999999999998</v>
      </c>
      <c r="G106" s="127">
        <f t="shared" ca="1" si="10"/>
        <v>0.79859999999999998</v>
      </c>
      <c r="H106" s="132">
        <v>1.21</v>
      </c>
      <c r="I106" s="133" t="s">
        <v>2724</v>
      </c>
      <c r="J106" s="91">
        <v>1</v>
      </c>
      <c r="K106" s="90" t="s">
        <v>3276</v>
      </c>
      <c r="L106" s="152" t="str">
        <f>IF(ISERROR(GETPIVOTDATA(IF($J106=1,"Count of ACTIVE     CED, FARM GATE (MJ/kg)","Count of CED, processor gate (MJ/kg)"),'Pivot Table_CED'!$A$3,"SUB TYPE",$B106)),"PROXY",IF(GETPIVOTDATA(IF($J106=1,"Count of ACTIVE     CED, FARM GATE (MJ/kg)","Count of CED, processor gate (MJ/kg)"),'Pivot Table_CED'!$A$3,"SUB TYPE",$B106)=0,"PROXY","DB value"))</f>
        <v>PROXY</v>
      </c>
      <c r="M106" s="134">
        <f ca="1">IF($L106="PROXY",DCOUNT('literature entries'!$D:$AI,IF($J106=1,"ACTIVE     CED, FARM GATE (MJ/kg)","CED, processor gate (MJ/kg)"),INDIRECT($K106)),GETPIVOTDATA(IF($J106=1,"Count of ACTIVE     CED, FARM GATE (MJ/kg)","Count of CED, processor gate (MJ/kg)"),'Pivot Table_CED'!$A$3,"SUB TYPE",$B106))</f>
        <v>1</v>
      </c>
      <c r="N106" s="135">
        <f ca="1">IF($L106="PROXY",DAVERAGE('literature entries'!$D:$AI,IF($J106=1,"ACTIVE     CED, FARM GATE (MJ/kg)","CED, processor gate (MJ/kg)"),INDIRECT($K106)),GETPIVOTDATA(IF($J106=1,"Average of ACTIVE     CED, FARM GATE (MJ/kg)","Average of CED, processor gate (MJ/kg)"),'Pivot Table_CED'!$A$3,"SUB TYPE",$B106))</f>
        <v>5.64</v>
      </c>
      <c r="O106" s="135" t="e">
        <f ca="1">IF($L106="PROXY",DSTDEV('literature entries'!D:AI,IF($J106=1,"ACTIVE     CED, FARM GATE (MJ/kg)","CED, processor gate (MJ/kg)"),INDIRECT($K106)),GETPIVOTDATA(IF($J106=1,"StdDev of ACTIVE     CED, FARM GATE (MJ/kg)","StdDev of CED, processor gate (MJ/kg)"),'Pivot Table_CED'!$A$3,"SUB TYPE",$B106))</f>
        <v>#DIV/0!</v>
      </c>
      <c r="P106" s="152" t="str">
        <f>IF(ISERROR(GETPIVOTDATA(IF($J106=1,"Count of ACTIVE     GHGE, FARM GATE (kg CO2e/kg)","Count of GHGE, processor gate (kg CO2e/kg)"),'Pivot Table_GHG'!$A$3,"SUB TYPE",$B106)),"PROXY",IF(GETPIVOTDATA(IF($J106=1,"Count of ACTIVE     GHGE, FARM GATE (kg CO2e/kg)","Count of GHGE, processor gate (kg CO2e/kg)"),'Pivot Table_GHG'!$A$3,"SUB TYPE",$B106)=0,"PROXY","DB value"))</f>
        <v>DB value</v>
      </c>
      <c r="Q106" s="141">
        <f ca="1">IF($P106="PROXY",DCOUNT('literature entries'!$D:$AI,IF($J106=1,"ACTIVE     GHGE, FARM GATE (kg CO2e/kg)","GHGE, processor gate (kg CO2e/kg)"),INDIRECT($K106)),GETPIVOTDATA(IF($J106=1,"ACTIVE     GHGE, FARM GATE (kg CO2e/kg)","Count of GHGE, processor gate (kg CO2e/kg)"),'Pivot Table_GHG'!$A$3,"SUB TYPE",$B106))</f>
        <v>1</v>
      </c>
      <c r="R106" s="221">
        <f ca="1">IF($P106="PROXY",DAVERAGE('literature entries'!$D:$AI,IF($J106=1,"ACTIVE     GHGE, FARM GATE (kg CO2e/kg)","GHGE, processor gate (kg CO2e/kg)"),INDIRECT($K106)),GETPIVOTDATA(IF($J106=1,"Average of ACTIVE     GHGE, FARM GATE (kg CO2e/kg)","Average of GHGE, processor gate (kg CO2e/kg)"),'Pivot Table_GHG'!$A$3,"SUB TYPE",$B106))</f>
        <v>0.66</v>
      </c>
      <c r="S106" s="221" t="e">
        <f ca="1">IF($P106="PROXY",DSTDEV('literature entries'!$D:$AI,IF($J106=1,"ACTIVE     GHGE, FARM GATE (kg CO2e/kg)","GHGE, processor gate (kg CO2e/kg)"),INDIRECT($K106)),GETPIVOTDATA(IF($J106=1,"StdDev of ACTIVE     GHGE, FARM GATE (kg CO2e/kg)","StdDev of GHGE, processor gate (kg CO2e/kg)"),'Pivot Table_GHG'!$A$3,"SUB TYPE",$B106))</f>
        <v>#DIV/0!</v>
      </c>
      <c r="T106" s="101"/>
      <c r="U106" s="102"/>
      <c r="W106" s="248" t="s">
        <v>3275</v>
      </c>
      <c r="X106" s="246">
        <f ca="1">IF($W106="DIRECT",M106,DCOUNT('literature entries'!$D:$AI,IF($J106=1,"ACTIVE     CED, FARM GATE (MJ/kg)","CED, processor gate (MJ/kg)"),INDIRECT($W106)))</f>
        <v>7</v>
      </c>
      <c r="Y106" s="246">
        <f ca="1">IF($W106="DIRECT","",DAVERAGE('literature entries'!$D:$AI,IF($J106=1,"ACTIVE     CED, FARM GATE (MJ/kg)","CED, processor gate (MJ/kg)"),INDIRECT($W106)))</f>
        <v>2.3902571428571426</v>
      </c>
      <c r="Z106" s="246">
        <f ca="1">IF($W106="DIRECT",$O106,DSTDEV('literature entries'!$D:$AI,IF($J106=1,"ACTIVE     CED, FARM GATE (MJ/kg)","CED, processor gate (MJ/kg)"),INDIRECT($W106)))</f>
        <v>1.1507929655345519</v>
      </c>
      <c r="AA106" s="246">
        <f t="shared" ca="1" si="13"/>
        <v>2.7153866457466687</v>
      </c>
      <c r="AB106" s="254" t="s">
        <v>3275</v>
      </c>
      <c r="AC106" s="247">
        <f ca="1">IF($AB106="DIRECT",Q106,DCOUNT('literature entries'!$D:$AI,IF($J106=1,"ACTIVE     GHGE, FARM GATE (kg CO2e/kg)","GHGE, processor gate (kg CO2e/kg)"),INDIRECT($AB106)))</f>
        <v>25</v>
      </c>
      <c r="AD106" s="247">
        <f ca="1">IF($AB106="DIRECT","",DAVERAGE('literature entries'!$D:$AI,IF($J106=1,"ACTIVE     GHGE, FARM GATE (kg CO2e/kg)","GHGE, processor gate (kg CO2e/kg)"),INDIRECT($AB106)))</f>
        <v>0.4276125714285714</v>
      </c>
      <c r="AE106" s="247">
        <f ca="1">IF($AB106="DIRECT",$S106,DSTDEV('literature entries'!$D:$AI,IF($J106=1,"ACTIVE     GHGE, FARM GATE (kg CO2e/kg)","GHGE, processor gate (kg CO2e/kg)"),INDIRECT($AB106)))</f>
        <v>1.0810218335279169</v>
      </c>
      <c r="AF106" s="247">
        <f t="shared" ca="1" si="14"/>
        <v>1.6685066291312354</v>
      </c>
    </row>
    <row r="107" spans="1:32" s="21" customFormat="1" ht="17" thickBot="1" x14ac:dyDescent="0.25">
      <c r="A107" s="129">
        <v>802273000</v>
      </c>
      <c r="B107" s="130" t="s">
        <v>2161</v>
      </c>
      <c r="C107" s="131" t="s">
        <v>2162</v>
      </c>
      <c r="D107" s="131"/>
      <c r="E107" s="131">
        <v>12647</v>
      </c>
      <c r="F107" s="126">
        <f t="shared" ca="1" si="9"/>
        <v>57.217799999999997</v>
      </c>
      <c r="G107" s="127">
        <f t="shared" ca="1" si="10"/>
        <v>4.3623500000000002</v>
      </c>
      <c r="H107" s="132">
        <v>10.145</v>
      </c>
      <c r="I107" s="133" t="s">
        <v>2737</v>
      </c>
      <c r="J107" s="103">
        <v>1</v>
      </c>
      <c r="K107" s="90" t="s">
        <v>3276</v>
      </c>
      <c r="L107" s="152" t="str">
        <f>IF(ISERROR(GETPIVOTDATA(IF($J107=1,"Count of ACTIVE     CED, FARM GATE (MJ/kg)","Count of CED, processor gate (MJ/kg)"),'Pivot Table_CED'!$A$3,"SUB TYPE",$B107)),"PROXY",IF(GETPIVOTDATA(IF($J107=1,"Count of ACTIVE     CED, FARM GATE (MJ/kg)","Count of CED, processor gate (MJ/kg)"),'Pivot Table_CED'!$A$3,"SUB TYPE",$B107)=0,"PROXY","DB value"))</f>
        <v>PROXY</v>
      </c>
      <c r="M107" s="134">
        <f ca="1">IF($L107="PROXY",DCOUNT('literature entries'!$D:$AI,IF($J107=1,"ACTIVE     CED, FARM GATE (MJ/kg)","CED, processor gate (MJ/kg)"),INDIRECT($K107)),GETPIVOTDATA(IF($J107=1,"Count of ACTIVE     CED, FARM GATE (MJ/kg)","Count of CED, processor gate (MJ/kg)"),'Pivot Table_CED'!$A$3,"SUB TYPE",$B107))</f>
        <v>1</v>
      </c>
      <c r="N107" s="135">
        <f ca="1">IF($L107="PROXY",DAVERAGE('literature entries'!$D:$AI,IF($J107=1,"ACTIVE     CED, FARM GATE (MJ/kg)","CED, processor gate (MJ/kg)"),INDIRECT($K107)),GETPIVOTDATA(IF($J107=1,"Average of ACTIVE     CED, FARM GATE (MJ/kg)","Average of CED, processor gate (MJ/kg)"),'Pivot Table_CED'!$A$3,"SUB TYPE",$B107))</f>
        <v>5.64</v>
      </c>
      <c r="O107" s="135" t="e">
        <f ca="1">IF($L107="PROXY",DSTDEV('literature entries'!D:AI,IF($J107=1,"ACTIVE     CED, FARM GATE (MJ/kg)","CED, processor gate (MJ/kg)"),INDIRECT($K107)),GETPIVOTDATA(IF($J107=1,"StdDev of ACTIVE     CED, FARM GATE (MJ/kg)","StdDev of CED, processor gate (MJ/kg)"),'Pivot Table_CED'!$A$3,"SUB TYPE",$B107))</f>
        <v>#DIV/0!</v>
      </c>
      <c r="P107" s="152" t="str">
        <f>IF(ISERROR(GETPIVOTDATA(IF($J107=1,"Count of ACTIVE     GHGE, FARM GATE (kg CO2e/kg)","Count of GHGE, processor gate (kg CO2e/kg)"),'Pivot Table_GHG'!$A$3,"SUB TYPE",$B107)),"PROXY",IF(GETPIVOTDATA(IF($J107=1,"Count of ACTIVE     GHGE, FARM GATE (kg CO2e/kg)","Count of GHGE, processor gate (kg CO2e/kg)"),'Pivot Table_GHG'!$A$3,"SUB TYPE",$B107)=0,"PROXY","DB value"))</f>
        <v>PROXY</v>
      </c>
      <c r="Q107" s="141">
        <f ca="1">IF($P107="PROXY",DCOUNT('literature entries'!$D:$AI,IF($J107=1,"ACTIVE     GHGE, FARM GATE (kg CO2e/kg)","GHGE, processor gate (kg CO2e/kg)"),INDIRECT($K107)),GETPIVOTDATA(IF($J107=1,"ACTIVE     GHGE, FARM GATE (kg CO2e/kg)","Count of GHGE, processor gate (kg CO2e/kg)"),'Pivot Table_GHG'!$A$3,"SUB TYPE",$B107))</f>
        <v>2</v>
      </c>
      <c r="R107" s="221">
        <f ca="1">IF($P107="PROXY",DAVERAGE('literature entries'!$D:$AI,IF($J107=1,"ACTIVE     GHGE, FARM GATE (kg CO2e/kg)","GHGE, processor gate (kg CO2e/kg)"),INDIRECT($K107)),GETPIVOTDATA(IF($J107=1,"Average of ACTIVE     GHGE, FARM GATE (kg CO2e/kg)","Average of GHGE, processor gate (kg CO2e/kg)"),'Pivot Table_GHG'!$A$3,"SUB TYPE",$B107))</f>
        <v>0.43</v>
      </c>
      <c r="S107" s="221">
        <f ca="1">IF($P107="PROXY",DSTDEV('literature entries'!$D:$AI,IF($J107=1,"ACTIVE     GHGE, FARM GATE (kg CO2e/kg)","GHGE, processor gate (kg CO2e/kg)"),INDIRECT($K107)),GETPIVOTDATA(IF($J107=1,"StdDev of ACTIVE     GHGE, FARM GATE (kg CO2e/kg)","StdDev of GHGE, processor gate (kg CO2e/kg)"),'Pivot Table_GHG'!$A$3,"SUB TYPE",$B107))</f>
        <v>0.22627416997969527</v>
      </c>
      <c r="T107" s="101"/>
      <c r="U107" s="102"/>
      <c r="W107" s="248" t="s">
        <v>3275</v>
      </c>
      <c r="X107" s="246">
        <f ca="1">IF($W107="DIRECT",M107,DCOUNT('literature entries'!$D:$AI,IF($J107=1,"ACTIVE     CED, FARM GATE (MJ/kg)","CED, processor gate (MJ/kg)"),INDIRECT($W107)))</f>
        <v>7</v>
      </c>
      <c r="Y107" s="246">
        <f ca="1">IF($W107="DIRECT","",DAVERAGE('literature entries'!$D:$AI,IF($J107=1,"ACTIVE     CED, FARM GATE (MJ/kg)","CED, processor gate (MJ/kg)"),INDIRECT($W107)))</f>
        <v>2.3902571428571426</v>
      </c>
      <c r="Z107" s="246">
        <f ca="1">IF($W107="DIRECT",$O107,DSTDEV('literature entries'!$D:$AI,IF($J107=1,"ACTIVE     CED, FARM GATE (MJ/kg)","CED, processor gate (MJ/kg)"),INDIRECT($W107)))</f>
        <v>1.1507929655345519</v>
      </c>
      <c r="AA107" s="246">
        <f t="shared" ca="1" si="13"/>
        <v>2.7153866457466687</v>
      </c>
      <c r="AB107" s="254" t="s">
        <v>3275</v>
      </c>
      <c r="AC107" s="247">
        <f ca="1">IF($AB107="DIRECT",Q107,DCOUNT('literature entries'!$D:$AI,IF($J107=1,"ACTIVE     GHGE, FARM GATE (kg CO2e/kg)","GHGE, processor gate (kg CO2e/kg)"),INDIRECT($AB107)))</f>
        <v>25</v>
      </c>
      <c r="AD107" s="247">
        <f ca="1">IF($AB107="DIRECT","",DAVERAGE('literature entries'!$D:$AI,IF($J107=1,"ACTIVE     GHGE, FARM GATE (kg CO2e/kg)","GHGE, processor gate (kg CO2e/kg)"),INDIRECT($AB107)))</f>
        <v>0.4276125714285714</v>
      </c>
      <c r="AE107" s="247">
        <f ca="1">IF($AB107="DIRECT",$S107,DSTDEV('literature entries'!$D:$AI,IF($J107=1,"ACTIVE     GHGE, FARM GATE (kg CO2e/kg)","GHGE, processor gate (kg CO2e/kg)"),INDIRECT($AB107)))</f>
        <v>1.0810218335279169</v>
      </c>
      <c r="AF107" s="247">
        <f t="shared" ca="1" si="14"/>
        <v>1.0870573492824713</v>
      </c>
    </row>
    <row r="108" spans="1:32" s="21" customFormat="1" thickBot="1" x14ac:dyDescent="0.25">
      <c r="A108" s="129">
        <v>901075000</v>
      </c>
      <c r="B108" s="130" t="s">
        <v>1859</v>
      </c>
      <c r="C108" s="131" t="s">
        <v>1860</v>
      </c>
      <c r="D108" s="131" t="s">
        <v>1861</v>
      </c>
      <c r="E108" s="131">
        <v>1292</v>
      </c>
      <c r="F108" s="126">
        <f t="shared" ca="1" si="9"/>
        <v>2.8615999999999997</v>
      </c>
      <c r="G108" s="127">
        <f t="shared" ca="1" si="10"/>
        <v>0.49</v>
      </c>
      <c r="H108" s="132">
        <v>1.96</v>
      </c>
      <c r="I108" s="132" t="s">
        <v>2724</v>
      </c>
      <c r="J108" s="103">
        <v>1</v>
      </c>
      <c r="K108" s="90" t="s">
        <v>862</v>
      </c>
      <c r="L108" s="152" t="str">
        <f>IF(ISERROR(GETPIVOTDATA(IF($J108=1,"Count of ACTIVE     CED, FARM GATE (MJ/kg)","Count of CED, processor gate (MJ/kg)"),'Pivot Table_CED'!$A$3,"SUB TYPE",$B108)),"PROXY",IF(GETPIVOTDATA(IF($J108=1,"Count of ACTIVE     CED, FARM GATE (MJ/kg)","Count of CED, processor gate (MJ/kg)"),'Pivot Table_CED'!$A$3,"SUB TYPE",$B108)=0,"PROXY","DB value"))</f>
        <v>PROXY</v>
      </c>
      <c r="M108" s="134">
        <f ca="1">IF($L108="PROXY",DCOUNT('literature entries'!$D:$AI,IF($J108=1,"ACTIVE     CED, FARM GATE (MJ/kg)","CED, processor gate (MJ/kg)"),INDIRECT($K108)),GETPIVOTDATA(IF($J108=1,"Count of ACTIVE     CED, FARM GATE (MJ/kg)","Count of CED, processor gate (MJ/kg)"),'Pivot Table_CED'!$A$3,"SUB TYPE",$B108))</f>
        <v>1</v>
      </c>
      <c r="N108" s="135">
        <f ca="1">IF($L108="PROXY",DAVERAGE('literature entries'!$D:$AI,IF($J108=1,"ACTIVE     CED, FARM GATE (MJ/kg)","CED, processor gate (MJ/kg)"),INDIRECT($K108)),GETPIVOTDATA(IF($J108=1,"Average of ACTIVE     CED, FARM GATE (MJ/kg)","Average of CED, processor gate (MJ/kg)"),'Pivot Table_CED'!$A$3,"SUB TYPE",$B108))</f>
        <v>1.46</v>
      </c>
      <c r="O108" s="135" t="e">
        <f ca="1">IF($L108="PROXY",DSTDEV('literature entries'!D:AI,IF($J108=1,"ACTIVE     CED, FARM GATE (MJ/kg)","CED, processor gate (MJ/kg)"),INDIRECT($K108)),GETPIVOTDATA(IF($J108=1,"StdDev of ACTIVE     CED, FARM GATE (MJ/kg)","StdDev of CED, processor gate (MJ/kg)"),'Pivot Table_CED'!$A$3,"SUB TYPE",$B108))</f>
        <v>#DIV/0!</v>
      </c>
      <c r="P108" s="152" t="str">
        <f>IF(ISERROR(GETPIVOTDATA(IF($J108=1,"Count of ACTIVE     GHGE, FARM GATE (kg CO2e/kg)","Count of GHGE, processor gate (kg CO2e/kg)"),'Pivot Table_GHG'!$A$3,"SUB TYPE",$B108)),"PROXY",IF(GETPIVOTDATA(IF($J108=1,"Count of ACTIVE     GHGE, FARM GATE (kg CO2e/kg)","Count of GHGE, processor gate (kg CO2e/kg)"),'Pivot Table_GHG'!$A$3,"SUB TYPE",$B108)=0,"PROXY","DB value"))</f>
        <v>DB value</v>
      </c>
      <c r="Q108" s="141">
        <f ca="1">IF($P108="PROXY",DCOUNT('literature entries'!$D:$AI,IF($J108=1,"ACTIVE     GHGE, FARM GATE (kg CO2e/kg)","GHGE, processor gate (kg CO2e/kg)"),INDIRECT($K108)),GETPIVOTDATA(IF($J108=1,"ACTIVE     GHGE, FARM GATE (kg CO2e/kg)","Count of GHGE, processor gate (kg CO2e/kg)"),'Pivot Table_GHG'!$A$3,"SUB TYPE",$B108))</f>
        <v>1</v>
      </c>
      <c r="R108" s="221">
        <f ca="1">IF($P108="PROXY",DAVERAGE('literature entries'!$D:$AI,IF($J108=1,"ACTIVE     GHGE, FARM GATE (kg CO2e/kg)","GHGE, processor gate (kg CO2e/kg)"),INDIRECT($K108)),GETPIVOTDATA(IF($J108=1,"Average of ACTIVE     GHGE, FARM GATE (kg CO2e/kg)","Average of GHGE, processor gate (kg CO2e/kg)"),'Pivot Table_GHG'!$A$3,"SUB TYPE",$B108))</f>
        <v>0.25</v>
      </c>
      <c r="S108" s="221" t="e">
        <f ca="1">IF($P108="PROXY",DSTDEV('literature entries'!$D:$AI,IF($J108=1,"ACTIVE     GHGE, FARM GATE (kg CO2e/kg)","GHGE, processor gate (kg CO2e/kg)"),INDIRECT($K108)),GETPIVOTDATA(IF($J108=1,"StdDev of ACTIVE     GHGE, FARM GATE (kg CO2e/kg)","StdDev of GHGE, processor gate (kg CO2e/kg)"),'Pivot Table_GHG'!$A$3,"SUB TYPE",$B108))</f>
        <v>#DIV/0!</v>
      </c>
      <c r="T108" s="101"/>
      <c r="U108" s="102"/>
      <c r="W108" s="248" t="s">
        <v>3370</v>
      </c>
      <c r="X108" s="246">
        <f ca="1">IF($W108="DIRECT",M108,DCOUNT('literature entries'!$D:$AI,IF($J108=1,"ACTIVE     CED, FARM GATE (MJ/kg)","CED, processor gate (MJ/kg)"),INDIRECT($W108)))</f>
        <v>4</v>
      </c>
      <c r="Y108" s="246">
        <f ca="1">IF($W108="DIRECT","",DAVERAGE('literature entries'!$D:$AI,IF($J108=1,"ACTIVE     CED, FARM GATE (MJ/kg)","CED, processor gate (MJ/kg)"),INDIRECT($W108)))</f>
        <v>1.2949999999999999</v>
      </c>
      <c r="Z108" s="246">
        <f ca="1">IF($W108="DIRECT",$O108,DSTDEV('literature entries'!$D:$AI,IF($J108=1,"ACTIVE     CED, FARM GATE (MJ/kg)","CED, processor gate (MJ/kg)"),INDIRECT($W108)))</f>
        <v>0.49568134925574941</v>
      </c>
      <c r="AA108" s="246">
        <f t="shared" ca="1" si="13"/>
        <v>0.55883766016478309</v>
      </c>
      <c r="AB108" s="254" t="s">
        <v>3370</v>
      </c>
      <c r="AC108" s="247">
        <f ca="1">IF($AB108="DIRECT",Q108,DCOUNT('literature entries'!$D:$AI,IF($J108=1,"ACTIVE     GHGE, FARM GATE (kg CO2e/kg)","GHGE, processor gate (kg CO2e/kg)"),INDIRECT($AB108)))</f>
        <v>21</v>
      </c>
      <c r="AD108" s="247">
        <f ca="1">IF($AB108="DIRECT","",DAVERAGE('literature entries'!$D:$AI,IF($J108=1,"ACTIVE     GHGE, FARM GATE (kg CO2e/kg)","GHGE, processor gate (kg CO2e/kg)"),INDIRECT($AB108)))</f>
        <v>0.34849476190476181</v>
      </c>
      <c r="AE108" s="247">
        <f ca="1">IF($AB108="DIRECT",$S108,DSTDEV('literature entries'!$D:$AI,IF($J108=1,"ACTIVE     GHGE, FARM GATE (kg CO2e/kg)","GHGE, processor gate (kg CO2e/kg)"),INDIRECT($AB108)))</f>
        <v>0.48066612900868155</v>
      </c>
      <c r="AF108" s="247">
        <f t="shared" ca="1" si="14"/>
        <v>0.34481589219699671</v>
      </c>
    </row>
    <row r="109" spans="1:32" s="21" customFormat="1" thickBot="1" x14ac:dyDescent="0.25">
      <c r="A109" s="129">
        <v>901187000</v>
      </c>
      <c r="B109" s="130" t="s">
        <v>2034</v>
      </c>
      <c r="C109" s="131" t="s">
        <v>2023</v>
      </c>
      <c r="D109" s="131"/>
      <c r="E109" s="131">
        <v>171</v>
      </c>
      <c r="F109" s="126">
        <f t="shared" ca="1" si="9"/>
        <v>3.1681999999999997</v>
      </c>
      <c r="G109" s="127">
        <f t="shared" ca="1" si="10"/>
        <v>0.28427000000000002</v>
      </c>
      <c r="H109" s="132">
        <v>2.17</v>
      </c>
      <c r="I109" s="132" t="s">
        <v>2724</v>
      </c>
      <c r="J109" s="103">
        <v>1</v>
      </c>
      <c r="K109" s="90"/>
      <c r="L109" s="152" t="str">
        <f>IF(ISERROR(GETPIVOTDATA(IF($J109=1,"Count of ACTIVE     CED, FARM GATE (MJ/kg)","Count of CED, processor gate (MJ/kg)"),'Pivot Table_CED'!$A$3,"SUB TYPE",$B109)),"PROXY",IF(GETPIVOTDATA(IF($J109=1,"Count of ACTIVE     CED, FARM GATE (MJ/kg)","Count of CED, processor gate (MJ/kg)"),'Pivot Table_CED'!$A$3,"SUB TYPE",$B109)=0,"PROXY","DB value"))</f>
        <v>DB value</v>
      </c>
      <c r="M109" s="134">
        <f ca="1">IF($L109="PROXY",DCOUNT('literature entries'!$D:$AI,IF($J109=1,"ACTIVE     CED, FARM GATE (MJ/kg)","CED, processor gate (MJ/kg)"),INDIRECT($K109)),GETPIVOTDATA(IF($J109=1,"Count of ACTIVE     CED, FARM GATE (MJ/kg)","Count of CED, processor gate (MJ/kg)"),'Pivot Table_CED'!$A$3,"SUB TYPE",$B109))</f>
        <v>1</v>
      </c>
      <c r="N109" s="135">
        <f ca="1">IF($L109="PROXY",DAVERAGE('literature entries'!$D:$AI,IF($J109=1,"ACTIVE     CED, FARM GATE (MJ/kg)","CED, processor gate (MJ/kg)"),INDIRECT($K109)),GETPIVOTDATA(IF($J109=1,"Average of ACTIVE     CED, FARM GATE (MJ/kg)","Average of CED, processor gate (MJ/kg)"),'Pivot Table_CED'!$A$3,"SUB TYPE",$B109))</f>
        <v>1.46</v>
      </c>
      <c r="O109" s="135">
        <f ca="1">IF($L109="PROXY",DSTDEV('literature entries'!D:AI,IF($J109=1,"ACTIVE     CED, FARM GATE (MJ/kg)","CED, processor gate (MJ/kg)"),INDIRECT($K109)),GETPIVOTDATA(IF($J109=1,"StdDev of ACTIVE     CED, FARM GATE (MJ/kg)","StdDev of CED, processor gate (MJ/kg)"),'Pivot Table_CED'!$A$3,"SUB TYPE",$B109))</f>
        <v>0</v>
      </c>
      <c r="P109" s="152" t="str">
        <f>IF(ISERROR(GETPIVOTDATA(IF($J109=1,"Count of ACTIVE     GHGE, FARM GATE (kg CO2e/kg)","Count of GHGE, processor gate (kg CO2e/kg)"),'Pivot Table_GHG'!$A$3,"SUB TYPE",$B109)),"PROXY",IF(GETPIVOTDATA(IF($J109=1,"Count of ACTIVE     GHGE, FARM GATE (kg CO2e/kg)","Count of GHGE, processor gate (kg CO2e/kg)"),'Pivot Table_GHG'!$A$3,"SUB TYPE",$B109)=0,"PROXY","DB value"))</f>
        <v>DB value</v>
      </c>
      <c r="Q109" s="141">
        <f ca="1">IF($P109="PROXY",DCOUNT('literature entries'!$D:$AI,IF($J109=1,"ACTIVE     GHGE, FARM GATE (kg CO2e/kg)","GHGE, processor gate (kg CO2e/kg)"),INDIRECT($K109)),GETPIVOTDATA(IF($J109=1,"ACTIVE     GHGE, FARM GATE (kg CO2e/kg)","Count of GHGE, processor gate (kg CO2e/kg)"),'Pivot Table_GHG'!$A$3,"SUB TYPE",$B109))</f>
        <v>1</v>
      </c>
      <c r="R109" s="221">
        <f ca="1">IF($P109="PROXY",DAVERAGE('literature entries'!$D:$AI,IF($J109=1,"ACTIVE     GHGE, FARM GATE (kg CO2e/kg)","GHGE, processor gate (kg CO2e/kg)"),INDIRECT($K109)),GETPIVOTDATA(IF($J109=1,"Average of ACTIVE     GHGE, FARM GATE (kg CO2e/kg)","Average of GHGE, processor gate (kg CO2e/kg)"),'Pivot Table_GHG'!$A$3,"SUB TYPE",$B109))</f>
        <v>0.13100000000000001</v>
      </c>
      <c r="S109" s="221" t="e">
        <f ca="1">IF($P109="PROXY",DSTDEV('literature entries'!$D:$AI,IF($J109=1,"ACTIVE     GHGE, FARM GATE (kg CO2e/kg)","GHGE, processor gate (kg CO2e/kg)"),INDIRECT($K109)),GETPIVOTDATA(IF($J109=1,"StdDev of ACTIVE     GHGE, FARM GATE (kg CO2e/kg)","StdDev of GHGE, processor gate (kg CO2e/kg)"),'Pivot Table_GHG'!$A$3,"SUB TYPE",$B109))</f>
        <v>#DIV/0!</v>
      </c>
      <c r="T109" s="101"/>
      <c r="U109" s="102"/>
      <c r="W109" s="248" t="s">
        <v>3370</v>
      </c>
      <c r="X109" s="246">
        <f ca="1">IF($W109="DIRECT",M109,DCOUNT('literature entries'!$D:$AI,IF($J109=1,"ACTIVE     CED, FARM GATE (MJ/kg)","CED, processor gate (MJ/kg)"),INDIRECT($W109)))</f>
        <v>4</v>
      </c>
      <c r="Y109" s="246">
        <f ca="1">IF($W109="DIRECT","",DAVERAGE('literature entries'!$D:$AI,IF($J109=1,"ACTIVE     CED, FARM GATE (MJ/kg)","CED, processor gate (MJ/kg)"),INDIRECT($W109)))</f>
        <v>1.2949999999999999</v>
      </c>
      <c r="Z109" s="246">
        <f ca="1">IF($W109="DIRECT",$O109,DSTDEV('literature entries'!$D:$AI,IF($J109=1,"ACTIVE     CED, FARM GATE (MJ/kg)","CED, processor gate (MJ/kg)"),INDIRECT($W109)))</f>
        <v>0.49568134925574941</v>
      </c>
      <c r="AA109" s="246">
        <f t="shared" ca="1" si="13"/>
        <v>0.55883766016478309</v>
      </c>
      <c r="AB109" s="254" t="s">
        <v>3370</v>
      </c>
      <c r="AC109" s="247">
        <f ca="1">IF($AB109="DIRECT",Q109,DCOUNT('literature entries'!$D:$AI,IF($J109=1,"ACTIVE     GHGE, FARM GATE (kg CO2e/kg)","GHGE, processor gate (kg CO2e/kg)"),INDIRECT($AB109)))</f>
        <v>21</v>
      </c>
      <c r="AD109" s="247">
        <f ca="1">IF($AB109="DIRECT","",DAVERAGE('literature entries'!$D:$AI,IF($J109=1,"ACTIVE     GHGE, FARM GATE (kg CO2e/kg)","GHGE, processor gate (kg CO2e/kg)"),INDIRECT($AB109)))</f>
        <v>0.34849476190476181</v>
      </c>
      <c r="AE109" s="247">
        <f ca="1">IF($AB109="DIRECT",$S109,DSTDEV('literature entries'!$D:$AI,IF($J109=1,"ACTIVE     GHGE, FARM GATE (kg CO2e/kg)","GHGE, processor gate (kg CO2e/kg)"),INDIRECT($AB109)))</f>
        <v>0.48066612900868155</v>
      </c>
      <c r="AF109" s="247">
        <f t="shared" ca="1" si="14"/>
        <v>0.18068352751122629</v>
      </c>
    </row>
    <row r="110" spans="1:32" s="21" customFormat="1" thickBot="1" x14ac:dyDescent="0.25">
      <c r="A110" s="129">
        <v>901399000</v>
      </c>
      <c r="B110" s="130" t="s">
        <v>2343</v>
      </c>
      <c r="C110" s="131" t="s">
        <v>2344</v>
      </c>
      <c r="D110" s="131" t="s">
        <v>2345</v>
      </c>
      <c r="E110" s="131">
        <v>1250</v>
      </c>
      <c r="F110" s="126">
        <f t="shared" ca="1" si="9"/>
        <v>2.8031999999999999</v>
      </c>
      <c r="G110" s="127">
        <f t="shared" ca="1" si="10"/>
        <v>1.9456</v>
      </c>
      <c r="H110" s="132">
        <v>1.92</v>
      </c>
      <c r="I110" s="132" t="s">
        <v>2724</v>
      </c>
      <c r="J110" s="91">
        <v>1</v>
      </c>
      <c r="K110" s="90" t="s">
        <v>862</v>
      </c>
      <c r="L110" s="152" t="str">
        <f>IF(ISERROR(GETPIVOTDATA(IF($J110=1,"Count of ACTIVE     CED, FARM GATE (MJ/kg)","Count of CED, processor gate (MJ/kg)"),'Pivot Table_CED'!$A$3,"SUB TYPE",$B110)),"PROXY",IF(GETPIVOTDATA(IF($J110=1,"Count of ACTIVE     CED, FARM GATE (MJ/kg)","Count of CED, processor gate (MJ/kg)"),'Pivot Table_CED'!$A$3,"SUB TYPE",$B110)=0,"PROXY","DB value"))</f>
        <v>PROXY</v>
      </c>
      <c r="M110" s="134">
        <f ca="1">IF($L110="PROXY",DCOUNT('literature entries'!$D:$AI,IF($J110=1,"ACTIVE     CED, FARM GATE (MJ/kg)","CED, processor gate (MJ/kg)"),INDIRECT($K110)),GETPIVOTDATA(IF($J110=1,"Count of ACTIVE     CED, FARM GATE (MJ/kg)","Count of CED, processor gate (MJ/kg)"),'Pivot Table_CED'!$A$3,"SUB TYPE",$B110))</f>
        <v>1</v>
      </c>
      <c r="N110" s="135">
        <f ca="1">IF($L110="PROXY",DAVERAGE('literature entries'!$D:$AI,IF($J110=1,"ACTIVE     CED, FARM GATE (MJ/kg)","CED, processor gate (MJ/kg)"),INDIRECT($K110)),GETPIVOTDATA(IF($J110=1,"Average of ACTIVE     CED, FARM GATE (MJ/kg)","Average of CED, processor gate (MJ/kg)"),'Pivot Table_CED'!$A$3,"SUB TYPE",$B110))</f>
        <v>1.46</v>
      </c>
      <c r="O110" s="135" t="e">
        <f ca="1">IF($L110="PROXY",DSTDEV('literature entries'!D:AI,IF($J110=1,"ACTIVE     CED, FARM GATE (MJ/kg)","CED, processor gate (MJ/kg)"),INDIRECT($K110)),GETPIVOTDATA(IF($J110=1,"StdDev of ACTIVE     CED, FARM GATE (MJ/kg)","StdDev of CED, processor gate (MJ/kg)"),'Pivot Table_CED'!$A$3,"SUB TYPE",$B110))</f>
        <v>#DIV/0!</v>
      </c>
      <c r="P110" s="152" t="str">
        <f>IF(ISERROR(GETPIVOTDATA(IF($J110=1,"Count of ACTIVE     GHGE, FARM GATE (kg CO2e/kg)","Count of GHGE, processor gate (kg CO2e/kg)"),'Pivot Table_GHG'!$A$3,"SUB TYPE",$B110)),"PROXY",IF(GETPIVOTDATA(IF($J110=1,"Count of ACTIVE     GHGE, FARM GATE (kg CO2e/kg)","Count of GHGE, processor gate (kg CO2e/kg)"),'Pivot Table_GHG'!$A$3,"SUB TYPE",$B110)=0,"PROXY","DB value"))</f>
        <v>DB value</v>
      </c>
      <c r="Q110" s="141">
        <f ca="1">IF($P110="PROXY",DCOUNT('literature entries'!$D:$AI,IF($J110=1,"ACTIVE     GHGE, FARM GATE (kg CO2e/kg)","GHGE, processor gate (kg CO2e/kg)"),INDIRECT($K110)),GETPIVOTDATA(IF($J110=1,"ACTIVE     GHGE, FARM GATE (kg CO2e/kg)","Count of GHGE, processor gate (kg CO2e/kg)"),'Pivot Table_GHG'!$A$3,"SUB TYPE",$B110))</f>
        <v>3</v>
      </c>
      <c r="R110" s="221">
        <f ca="1">IF($P110="PROXY",DAVERAGE('literature entries'!$D:$AI,IF($J110=1,"ACTIVE     GHGE, FARM GATE (kg CO2e/kg)","GHGE, processor gate (kg CO2e/kg)"),INDIRECT($K110)),GETPIVOTDATA(IF($J110=1,"Average of ACTIVE     GHGE, FARM GATE (kg CO2e/kg)","Average of GHGE, processor gate (kg CO2e/kg)"),'Pivot Table_GHG'!$A$3,"SUB TYPE",$B110))</f>
        <v>1.0133333333333334</v>
      </c>
      <c r="S110" s="221">
        <f ca="1">IF($P110="PROXY",DSTDEV('literature entries'!$D:$AI,IF($J110=1,"ACTIVE     GHGE, FARM GATE (kg CO2e/kg)","GHGE, processor gate (kg CO2e/kg)"),INDIRECT($K110)),GETPIVOTDATA(IF($J110=1,"StdDev of ACTIVE     GHGE, FARM GATE (kg CO2e/kg)","StdDev of GHGE, processor gate (kg CO2e/kg)"),'Pivot Table_GHG'!$A$3,"SUB TYPE",$B110))</f>
        <v>0.5484827557301446</v>
      </c>
      <c r="T110" s="101"/>
      <c r="U110" s="102"/>
      <c r="W110" s="248" t="s">
        <v>3370</v>
      </c>
      <c r="X110" s="246">
        <f ca="1">IF($W110="DIRECT",M110,DCOUNT('literature entries'!$D:$AI,IF($J110=1,"ACTIVE     CED, FARM GATE (MJ/kg)","CED, processor gate (MJ/kg)"),INDIRECT($W110)))</f>
        <v>4</v>
      </c>
      <c r="Y110" s="246">
        <f ca="1">IF($W110="DIRECT","",DAVERAGE('literature entries'!$D:$AI,IF($J110=1,"ACTIVE     CED, FARM GATE (MJ/kg)","CED, processor gate (MJ/kg)"),INDIRECT($W110)))</f>
        <v>1.2949999999999999</v>
      </c>
      <c r="Z110" s="246">
        <f ca="1">IF($W110="DIRECT",$O110,DSTDEV('literature entries'!$D:$AI,IF($J110=1,"ACTIVE     CED, FARM GATE (MJ/kg)","CED, processor gate (MJ/kg)"),INDIRECT($W110)))</f>
        <v>0.49568134925574941</v>
      </c>
      <c r="AA110" s="246">
        <f t="shared" ca="1" si="13"/>
        <v>0.55883766016478309</v>
      </c>
      <c r="AB110" s="254" t="s">
        <v>3370</v>
      </c>
      <c r="AC110" s="247">
        <f ca="1">IF($AB110="DIRECT",Q110,DCOUNT('literature entries'!$D:$AI,IF($J110=1,"ACTIVE     GHGE, FARM GATE (kg CO2e/kg)","GHGE, processor gate (kg CO2e/kg)"),INDIRECT($AB110)))</f>
        <v>21</v>
      </c>
      <c r="AD110" s="247">
        <f ca="1">IF($AB110="DIRECT","",DAVERAGE('literature entries'!$D:$AI,IF($J110=1,"ACTIVE     GHGE, FARM GATE (kg CO2e/kg)","GHGE, processor gate (kg CO2e/kg)"),INDIRECT($AB110)))</f>
        <v>0.34849476190476181</v>
      </c>
      <c r="AE110" s="247">
        <f ca="1">IF($AB110="DIRECT",$S110,DSTDEV('literature entries'!$D:$AI,IF($J110=1,"ACTIVE     GHGE, FARM GATE (kg CO2e/kg)","GHGE, processor gate (kg CO2e/kg)"),INDIRECT($AB110)))</f>
        <v>0.48066612900868155</v>
      </c>
      <c r="AF110" s="247">
        <f t="shared" ca="1" si="14"/>
        <v>1.3976537497051602</v>
      </c>
    </row>
    <row r="111" spans="1:32" s="21" customFormat="1" ht="17" thickBot="1" x14ac:dyDescent="0.25">
      <c r="A111" s="129">
        <v>901400000</v>
      </c>
      <c r="B111" s="130" t="s">
        <v>2346</v>
      </c>
      <c r="C111" s="131" t="s">
        <v>1742</v>
      </c>
      <c r="D111" s="131"/>
      <c r="E111" s="131">
        <v>19</v>
      </c>
      <c r="F111" s="126">
        <f t="shared" ca="1" si="9"/>
        <v>8.0852000000000004</v>
      </c>
      <c r="G111" s="127">
        <f t="shared" ca="1" si="10"/>
        <v>2.29274312608</v>
      </c>
      <c r="H111" s="132">
        <v>1.92</v>
      </c>
      <c r="I111" s="133" t="s">
        <v>2724</v>
      </c>
      <c r="J111" s="91">
        <v>1</v>
      </c>
      <c r="K111" s="90" t="s">
        <v>862</v>
      </c>
      <c r="L111" s="152" t="str">
        <f>IF(ISERROR(GETPIVOTDATA(IF($J111=1,"Count of ACTIVE     CED, FARM GATE (MJ/kg)","Count of CED, processor gate (MJ/kg)"),'Pivot Table_CED'!$A$3,"SUB TYPE",$B111)),"PROXY",IF(GETPIVOTDATA(IF($J111=1,"Count of ACTIVE     CED, FARM GATE (MJ/kg)","Count of CED, processor gate (MJ/kg)"),'Pivot Table_CED'!$A$3,"SUB TYPE",$B111)=0,"PROXY","DB value"))</f>
        <v>PROXY</v>
      </c>
      <c r="M111" s="134">
        <f ca="1">IF($L111="PROXY",DCOUNT('literature entries'!$D:$AI,IF($J111=1,"ACTIVE     CED, FARM GATE (MJ/kg)","CED, processor gate (MJ/kg)"),INDIRECT($K111)),GETPIVOTDATA(IF($J111=1,"Count of ACTIVE     CED, FARM GATE (MJ/kg)","Count of CED, processor gate (MJ/kg)"),'Pivot Table_CED'!$A$3,"SUB TYPE",$B111))</f>
        <v>1</v>
      </c>
      <c r="N111" s="135">
        <f ca="1">IF($L111="PROXY",DAVERAGE('literature entries'!$D:$AI,IF($J111=1,"ACTIVE     CED, FARM GATE (MJ/kg)","CED, processor gate (MJ/kg)"),INDIRECT($K111)),GETPIVOTDATA(IF($J111=1,"Average of ACTIVE     CED, FARM GATE (MJ/kg)","Average of CED, processor gate (MJ/kg)"),'Pivot Table_CED'!$A$3,"SUB TYPE",$B111))</f>
        <v>1.46</v>
      </c>
      <c r="O111" s="135" t="e">
        <f ca="1">IF($L111="PROXY",DSTDEV('literature entries'!D:AI,IF($J111=1,"ACTIVE     CED, FARM GATE (MJ/kg)","CED, processor gate (MJ/kg)"),INDIRECT($K111)),GETPIVOTDATA(IF($J111=1,"StdDev of ACTIVE     CED, FARM GATE (MJ/kg)","StdDev of CED, processor gate (MJ/kg)"),'Pivot Table_CED'!$A$3,"SUB TYPE",$B111))</f>
        <v>#DIV/0!</v>
      </c>
      <c r="P111" s="152" t="str">
        <f>IF(ISERROR(GETPIVOTDATA(IF($J111=1,"Count of ACTIVE     GHGE, FARM GATE (kg CO2e/kg)","Count of GHGE, processor gate (kg CO2e/kg)"),'Pivot Table_GHG'!$A$3,"SUB TYPE",$B111)),"PROXY",IF(GETPIVOTDATA(IF($J111=1,"Count of ACTIVE     GHGE, FARM GATE (kg CO2e/kg)","Count of GHGE, processor gate (kg CO2e/kg)"),'Pivot Table_GHG'!$A$3,"SUB TYPE",$B111)=0,"PROXY","DB value"))</f>
        <v>PROXY</v>
      </c>
      <c r="Q111" s="141">
        <f ca="1">IF($P111="PROXY",DCOUNT('literature entries'!$D:$AI,IF($J111=1,"ACTIVE     GHGE, FARM GATE (kg CO2e/kg)","GHGE, processor gate (kg CO2e/kg)"),INDIRECT($K111)),GETPIVOTDATA(IF($J111=1,"ACTIVE     GHGE, FARM GATE (kg CO2e/kg)","Count of GHGE, processor gate (kg CO2e/kg)"),'Pivot Table_GHG'!$A$3,"SUB TYPE",$B111))</f>
        <v>5</v>
      </c>
      <c r="R111" s="221">
        <f ca="1">IF($P111="PROXY",DAVERAGE('literature entries'!$D:$AI,IF($J111=1,"ACTIVE     GHGE, FARM GATE (kg CO2e/kg)","GHGE, processor gate (kg CO2e/kg)"),INDIRECT($K111)),GETPIVOTDATA(IF($J111=1,"Average of ACTIVE     GHGE, FARM GATE (kg CO2e/kg)","Average of GHGE, processor gate (kg CO2e/kg)"),'Pivot Table_GHG'!$A$3,"SUB TYPE",$B111))</f>
        <v>0.68420000000000003</v>
      </c>
      <c r="S111" s="221">
        <f ca="1">IF($P111="PROXY",DSTDEV('literature entries'!$D:$AI,IF($J111=1,"ACTIVE     GHGE, FARM GATE (kg CO2e/kg)","GHGE, processor gate (kg CO2e/kg)"),INDIRECT($K111)),GETPIVOTDATA(IF($J111=1,"StdDev of ACTIVE     GHGE, FARM GATE (kg CO2e/kg)","StdDev of GHGE, processor gate (kg CO2e/kg)"),'Pivot Table_GHG'!$A$3,"SUB TYPE",$B111))</f>
        <v>0.59607314987340276</v>
      </c>
      <c r="T111" s="99">
        <v>5.282</v>
      </c>
      <c r="U111" s="100">
        <v>0.97907912607999992</v>
      </c>
      <c r="W111" s="248" t="s">
        <v>3370</v>
      </c>
      <c r="X111" s="246">
        <f ca="1">IF($W111="DIRECT",M111,DCOUNT('literature entries'!$D:$AI,IF($J111=1,"ACTIVE     CED, FARM GATE (MJ/kg)","CED, processor gate (MJ/kg)"),INDIRECT($W111)))</f>
        <v>4</v>
      </c>
      <c r="Y111" s="246">
        <f ca="1">IF($W111="DIRECT","",DAVERAGE('literature entries'!$D:$AI,IF($J111=1,"ACTIVE     CED, FARM GATE (MJ/kg)","CED, processor gate (MJ/kg)"),INDIRECT($W111)))</f>
        <v>1.2949999999999999</v>
      </c>
      <c r="Z111" s="246">
        <f ca="1">IF($W111="DIRECT",$O111,DSTDEV('literature entries'!$D:$AI,IF($J111=1,"ACTIVE     CED, FARM GATE (MJ/kg)","CED, processor gate (MJ/kg)"),INDIRECT($W111)))</f>
        <v>0.49568134925574941</v>
      </c>
      <c r="AA111" s="246">
        <f t="shared" ca="1" si="13"/>
        <v>0.55883766016478309</v>
      </c>
      <c r="AB111" s="254" t="s">
        <v>3370</v>
      </c>
      <c r="AC111" s="247">
        <f ca="1">IF($AB111="DIRECT",Q111,DCOUNT('literature entries'!$D:$AI,IF($J111=1,"ACTIVE     GHGE, FARM GATE (kg CO2e/kg)","GHGE, processor gate (kg CO2e/kg)"),INDIRECT($AB111)))</f>
        <v>21</v>
      </c>
      <c r="AD111" s="247">
        <f ca="1">IF($AB111="DIRECT","",DAVERAGE('literature entries'!$D:$AI,IF($J111=1,"ACTIVE     GHGE, FARM GATE (kg CO2e/kg)","GHGE, processor gate (kg CO2e/kg)"),INDIRECT($AB111)))</f>
        <v>0.34849476190476181</v>
      </c>
      <c r="AE111" s="247">
        <f ca="1">IF($AB111="DIRECT",$S111,DSTDEV('literature entries'!$D:$AI,IF($J111=1,"ACTIVE     GHGE, FARM GATE (kg CO2e/kg)","GHGE, processor gate (kg CO2e/kg)"),INDIRECT($AB111)))</f>
        <v>0.48066612900868155</v>
      </c>
      <c r="AF111" s="247">
        <f t="shared" ca="1" si="14"/>
        <v>0.94369213376474059</v>
      </c>
    </row>
    <row r="112" spans="1:32" s="21" customFormat="1" ht="17" thickBot="1" x14ac:dyDescent="0.25">
      <c r="A112" s="129">
        <v>902021000</v>
      </c>
      <c r="B112" s="130" t="s">
        <v>1763</v>
      </c>
      <c r="C112" s="131" t="s">
        <v>1764</v>
      </c>
      <c r="D112" s="131" t="s">
        <v>1765</v>
      </c>
      <c r="E112" s="131">
        <v>3</v>
      </c>
      <c r="F112" s="126">
        <f t="shared" ca="1" si="9"/>
        <v>0.84</v>
      </c>
      <c r="G112" s="127">
        <f t="shared" ca="1" si="10"/>
        <v>0.39734749999999996</v>
      </c>
      <c r="H112" s="133">
        <v>1</v>
      </c>
      <c r="I112" s="133" t="s">
        <v>594</v>
      </c>
      <c r="J112" s="91">
        <v>1</v>
      </c>
      <c r="K112" s="90" t="s">
        <v>846</v>
      </c>
      <c r="L112" s="152" t="str">
        <f>IF(ISERROR(GETPIVOTDATA(IF($J112=1,"Count of ACTIVE     CED, FARM GATE (MJ/kg)","Count of CED, processor gate (MJ/kg)"),'Pivot Table_CED'!$A$3,"SUB TYPE",$B112)),"PROXY",IF(GETPIVOTDATA(IF($J112=1,"Count of ACTIVE     CED, FARM GATE (MJ/kg)","Count of CED, processor gate (MJ/kg)"),'Pivot Table_CED'!$A$3,"SUB TYPE",$B112)=0,"PROXY","DB value"))</f>
        <v>PROXY</v>
      </c>
      <c r="M112" s="134">
        <f ca="1">IF($L112="PROXY",DCOUNT('literature entries'!$D:$AI,IF($J112=1,"ACTIVE     CED, FARM GATE (MJ/kg)","CED, processor gate (MJ/kg)"),INDIRECT($K112)),GETPIVOTDATA(IF($J112=1,"Count of ACTIVE     CED, FARM GATE (MJ/kg)","Count of CED, processor gate (MJ/kg)"),'Pivot Table_CED'!$A$3,"SUB TYPE",$B112))</f>
        <v>1</v>
      </c>
      <c r="N112" s="135">
        <f ca="1">IF($L112="PROXY",DAVERAGE('literature entries'!$D:$AI,IF($J112=1,"ACTIVE     CED, FARM GATE (MJ/kg)","CED, processor gate (MJ/kg)"),INDIRECT($K112)),GETPIVOTDATA(IF($J112=1,"Average of ACTIVE     CED, FARM GATE (MJ/kg)","Average of CED, processor gate (MJ/kg)"),'Pivot Table_CED'!$A$3,"SUB TYPE",$B112))</f>
        <v>0.84</v>
      </c>
      <c r="O112" s="135" t="e">
        <f ca="1">IF($L112="PROXY",DSTDEV('literature entries'!D:AI,IF($J112=1,"ACTIVE     CED, FARM GATE (MJ/kg)","CED, processor gate (MJ/kg)"),INDIRECT($K112)),GETPIVOTDATA(IF($J112=1,"StdDev of ACTIVE     CED, FARM GATE (MJ/kg)","StdDev of CED, processor gate (MJ/kg)"),'Pivot Table_CED'!$A$3,"SUB TYPE",$B112))</f>
        <v>#DIV/0!</v>
      </c>
      <c r="P112" s="152" t="str">
        <f>IF(ISERROR(GETPIVOTDATA(IF($J112=1,"Count of ACTIVE     GHGE, FARM GATE (kg CO2e/kg)","Count of GHGE, processor gate (kg CO2e/kg)"),'Pivot Table_GHG'!$A$3,"SUB TYPE",$B112)),"PROXY",IF(GETPIVOTDATA(IF($J112=1,"Count of ACTIVE     GHGE, FARM GATE (kg CO2e/kg)","Count of GHGE, processor gate (kg CO2e/kg)"),'Pivot Table_GHG'!$A$3,"SUB TYPE",$B112)=0,"PROXY","DB value"))</f>
        <v>PROXY</v>
      </c>
      <c r="Q112" s="141">
        <f ca="1">IF($P112="PROXY",DCOUNT('literature entries'!$D:$AI,IF($J112=1,"ACTIVE     GHGE, FARM GATE (kg CO2e/kg)","GHGE, processor gate (kg CO2e/kg)"),INDIRECT($K112)),GETPIVOTDATA(IF($J112=1,"ACTIVE     GHGE, FARM GATE (kg CO2e/kg)","Count of GHGE, processor gate (kg CO2e/kg)"),'Pivot Table_GHG'!$A$3,"SUB TYPE",$B112))</f>
        <v>4</v>
      </c>
      <c r="R112" s="221">
        <f ca="1">IF($P112="PROXY",DAVERAGE('literature entries'!$D:$AI,IF($J112=1,"ACTIVE     GHGE, FARM GATE (kg CO2e/kg)","GHGE, processor gate (kg CO2e/kg)"),INDIRECT($K112)),GETPIVOTDATA(IF($J112=1,"Average of ACTIVE     GHGE, FARM GATE (kg CO2e/kg)","Average of GHGE, processor gate (kg CO2e/kg)"),'Pivot Table_GHG'!$A$3,"SUB TYPE",$B112))</f>
        <v>0.39734749999999996</v>
      </c>
      <c r="S112" s="221">
        <f ca="1">IF($P112="PROXY",DSTDEV('literature entries'!$D:$AI,IF($J112=1,"ACTIVE     GHGE, FARM GATE (kg CO2e/kg)","GHGE, processor gate (kg CO2e/kg)"),INDIRECT($K112)),GETPIVOTDATA(IF($J112=1,"StdDev of ACTIVE     GHGE, FARM GATE (kg CO2e/kg)","StdDev of GHGE, processor gate (kg CO2e/kg)"),'Pivot Table_GHG'!$A$3,"SUB TYPE",$B112))</f>
        <v>0.56891757723915215</v>
      </c>
      <c r="T112" s="101"/>
      <c r="U112" s="102"/>
      <c r="W112" s="248" t="s">
        <v>3370</v>
      </c>
      <c r="X112" s="246">
        <f ca="1">IF($W112="DIRECT",M112,DCOUNT('literature entries'!$D:$AI,IF($J112=1,"ACTIVE     CED, FARM GATE (MJ/kg)","CED, processor gate (MJ/kg)"),INDIRECT($W112)))</f>
        <v>4</v>
      </c>
      <c r="Y112" s="246">
        <f ca="1">IF($W112="DIRECT","",DAVERAGE('literature entries'!$D:$AI,IF($J112=1,"ACTIVE     CED, FARM GATE (MJ/kg)","CED, processor gate (MJ/kg)"),INDIRECT($W112)))</f>
        <v>1.2949999999999999</v>
      </c>
      <c r="Z112" s="246">
        <f ca="1">IF($W112="DIRECT",$O112,DSTDEV('literature entries'!$D:$AI,IF($J112=1,"ACTIVE     CED, FARM GATE (MJ/kg)","CED, processor gate (MJ/kg)"),INDIRECT($W112)))</f>
        <v>0.49568134925574941</v>
      </c>
      <c r="AA112" s="246">
        <f t="shared" ca="1" si="13"/>
        <v>0.3215230373550807</v>
      </c>
      <c r="AB112" s="254" t="s">
        <v>3370</v>
      </c>
      <c r="AC112" s="247">
        <f ca="1">IF($AB112="DIRECT",Q112,DCOUNT('literature entries'!$D:$AI,IF($J112=1,"ACTIVE     GHGE, FARM GATE (kg CO2e/kg)","GHGE, processor gate (kg CO2e/kg)"),INDIRECT($AB112)))</f>
        <v>21</v>
      </c>
      <c r="AD112" s="247">
        <f ca="1">IF($AB112="DIRECT","",DAVERAGE('literature entries'!$D:$AI,IF($J112=1,"ACTIVE     GHGE, FARM GATE (kg CO2e/kg)","GHGE, processor gate (kg CO2e/kg)"),INDIRECT($AB112)))</f>
        <v>0.34849476190476181</v>
      </c>
      <c r="AE112" s="247">
        <f ca="1">IF($AB112="DIRECT",$S112,DSTDEV('literature entries'!$D:$AI,IF($J112=1,"ACTIVE     GHGE, FARM GATE (kg CO2e/kg)","GHGE, processor gate (kg CO2e/kg)"),INDIRECT($AB112)))</f>
        <v>0.48066612900868155</v>
      </c>
      <c r="AF112" s="247">
        <f t="shared" ca="1" si="14"/>
        <v>0.5480469308989846</v>
      </c>
    </row>
    <row r="113" spans="1:32" s="21" customFormat="1" ht="17" thickBot="1" x14ac:dyDescent="0.25">
      <c r="A113" s="129">
        <v>902088000</v>
      </c>
      <c r="B113" s="130" t="s">
        <v>1876</v>
      </c>
      <c r="C113" s="131" t="s">
        <v>1877</v>
      </c>
      <c r="D113" s="131" t="s">
        <v>1878</v>
      </c>
      <c r="E113" s="131">
        <v>38</v>
      </c>
      <c r="F113" s="126">
        <f t="shared" ca="1" si="9"/>
        <v>0.84</v>
      </c>
      <c r="G113" s="127">
        <f t="shared" ca="1" si="10"/>
        <v>0.39734749999999996</v>
      </c>
      <c r="H113" s="132">
        <v>1</v>
      </c>
      <c r="I113" s="133" t="s">
        <v>594</v>
      </c>
      <c r="J113" s="91">
        <v>1</v>
      </c>
      <c r="K113" s="90" t="s">
        <v>846</v>
      </c>
      <c r="L113" s="152" t="str">
        <f>IF(ISERROR(GETPIVOTDATA(IF($J113=1,"Count of ACTIVE     CED, FARM GATE (MJ/kg)","Count of CED, processor gate (MJ/kg)"),'Pivot Table_CED'!$A$3,"SUB TYPE",$B113)),"PROXY",IF(GETPIVOTDATA(IF($J113=1,"Count of ACTIVE     CED, FARM GATE (MJ/kg)","Count of CED, processor gate (MJ/kg)"),'Pivot Table_CED'!$A$3,"SUB TYPE",$B113)=0,"PROXY","DB value"))</f>
        <v>PROXY</v>
      </c>
      <c r="M113" s="134">
        <f ca="1">IF($L113="PROXY",DCOUNT('literature entries'!$D:$AI,IF($J113=1,"ACTIVE     CED, FARM GATE (MJ/kg)","CED, processor gate (MJ/kg)"),INDIRECT($K113)),GETPIVOTDATA(IF($J113=1,"Count of ACTIVE     CED, FARM GATE (MJ/kg)","Count of CED, processor gate (MJ/kg)"),'Pivot Table_CED'!$A$3,"SUB TYPE",$B113))</f>
        <v>1</v>
      </c>
      <c r="N113" s="135">
        <f ca="1">IF($L113="PROXY",DAVERAGE('literature entries'!$D:$AI,IF($J113=1,"ACTIVE     CED, FARM GATE (MJ/kg)","CED, processor gate (MJ/kg)"),INDIRECT($K113)),GETPIVOTDATA(IF($J113=1,"Average of ACTIVE     CED, FARM GATE (MJ/kg)","Average of CED, processor gate (MJ/kg)"),'Pivot Table_CED'!$A$3,"SUB TYPE",$B113))</f>
        <v>0.84</v>
      </c>
      <c r="O113" s="135" t="e">
        <f ca="1">IF($L113="PROXY",DSTDEV('literature entries'!D:AI,IF($J113=1,"ACTIVE     CED, FARM GATE (MJ/kg)","CED, processor gate (MJ/kg)"),INDIRECT($K113)),GETPIVOTDATA(IF($J113=1,"StdDev of ACTIVE     CED, FARM GATE (MJ/kg)","StdDev of CED, processor gate (MJ/kg)"),'Pivot Table_CED'!$A$3,"SUB TYPE",$B113))</f>
        <v>#DIV/0!</v>
      </c>
      <c r="P113" s="152" t="str">
        <f>IF(ISERROR(GETPIVOTDATA(IF($J113=1,"Count of ACTIVE     GHGE, FARM GATE (kg CO2e/kg)","Count of GHGE, processor gate (kg CO2e/kg)"),'Pivot Table_GHG'!$A$3,"SUB TYPE",$B113)),"PROXY",IF(GETPIVOTDATA(IF($J113=1,"Count of ACTIVE     GHGE, FARM GATE (kg CO2e/kg)","Count of GHGE, processor gate (kg CO2e/kg)"),'Pivot Table_GHG'!$A$3,"SUB TYPE",$B113)=0,"PROXY","DB value"))</f>
        <v>PROXY</v>
      </c>
      <c r="Q113" s="141">
        <f ca="1">IF($P113="PROXY",DCOUNT('literature entries'!$D:$AI,IF($J113=1,"ACTIVE     GHGE, FARM GATE (kg CO2e/kg)","GHGE, processor gate (kg CO2e/kg)"),INDIRECT($K113)),GETPIVOTDATA(IF($J113=1,"ACTIVE     GHGE, FARM GATE (kg CO2e/kg)","Count of GHGE, processor gate (kg CO2e/kg)"),'Pivot Table_GHG'!$A$3,"SUB TYPE",$B113))</f>
        <v>4</v>
      </c>
      <c r="R113" s="221">
        <f ca="1">IF($P113="PROXY",DAVERAGE('literature entries'!$D:$AI,IF($J113=1,"ACTIVE     GHGE, FARM GATE (kg CO2e/kg)","GHGE, processor gate (kg CO2e/kg)"),INDIRECT($K113)),GETPIVOTDATA(IF($J113=1,"Average of ACTIVE     GHGE, FARM GATE (kg CO2e/kg)","Average of GHGE, processor gate (kg CO2e/kg)"),'Pivot Table_GHG'!$A$3,"SUB TYPE",$B113))</f>
        <v>0.39734749999999996</v>
      </c>
      <c r="S113" s="221">
        <f ca="1">IF($P113="PROXY",DSTDEV('literature entries'!$D:$AI,IF($J113=1,"ACTIVE     GHGE, FARM GATE (kg CO2e/kg)","GHGE, processor gate (kg CO2e/kg)"),INDIRECT($K113)),GETPIVOTDATA(IF($J113=1,"StdDev of ACTIVE     GHGE, FARM GATE (kg CO2e/kg)","StdDev of GHGE, processor gate (kg CO2e/kg)"),'Pivot Table_GHG'!$A$3,"SUB TYPE",$B113))</f>
        <v>0.56891757723915215</v>
      </c>
      <c r="T113" s="101"/>
      <c r="U113" s="102"/>
      <c r="W113" s="248" t="s">
        <v>3370</v>
      </c>
      <c r="X113" s="246">
        <f ca="1">IF($W113="DIRECT",M113,DCOUNT('literature entries'!$D:$AI,IF($J113=1,"ACTIVE     CED, FARM GATE (MJ/kg)","CED, processor gate (MJ/kg)"),INDIRECT($W113)))</f>
        <v>4</v>
      </c>
      <c r="Y113" s="246">
        <f ca="1">IF($W113="DIRECT","",DAVERAGE('literature entries'!$D:$AI,IF($J113=1,"ACTIVE     CED, FARM GATE (MJ/kg)","CED, processor gate (MJ/kg)"),INDIRECT($W113)))</f>
        <v>1.2949999999999999</v>
      </c>
      <c r="Z113" s="246">
        <f ca="1">IF($W113="DIRECT",$O113,DSTDEV('literature entries'!$D:$AI,IF($J113=1,"ACTIVE     CED, FARM GATE (MJ/kg)","CED, processor gate (MJ/kg)"),INDIRECT($W113)))</f>
        <v>0.49568134925574941</v>
      </c>
      <c r="AA113" s="246">
        <f t="shared" ca="1" si="13"/>
        <v>0.3215230373550807</v>
      </c>
      <c r="AB113" s="254" t="s">
        <v>3370</v>
      </c>
      <c r="AC113" s="247">
        <f ca="1">IF($AB113="DIRECT",Q113,DCOUNT('literature entries'!$D:$AI,IF($J113=1,"ACTIVE     GHGE, FARM GATE (kg CO2e/kg)","GHGE, processor gate (kg CO2e/kg)"),INDIRECT($AB113)))</f>
        <v>21</v>
      </c>
      <c r="AD113" s="247">
        <f ca="1">IF($AB113="DIRECT","",DAVERAGE('literature entries'!$D:$AI,IF($J113=1,"ACTIVE     GHGE, FARM GATE (kg CO2e/kg)","GHGE, processor gate (kg CO2e/kg)"),INDIRECT($AB113)))</f>
        <v>0.34849476190476181</v>
      </c>
      <c r="AE113" s="247">
        <f ca="1">IF($AB113="DIRECT",$S113,DSTDEV('literature entries'!$D:$AI,IF($J113=1,"ACTIVE     GHGE, FARM GATE (kg CO2e/kg)","GHGE, processor gate (kg CO2e/kg)"),INDIRECT($AB113)))</f>
        <v>0.48066612900868155</v>
      </c>
      <c r="AF113" s="247">
        <f t="shared" ca="1" si="14"/>
        <v>0.5480469308989846</v>
      </c>
    </row>
    <row r="114" spans="1:32" s="21" customFormat="1" thickBot="1" x14ac:dyDescent="0.25">
      <c r="A114" s="129">
        <v>902102000</v>
      </c>
      <c r="B114" s="130" t="s">
        <v>1900</v>
      </c>
      <c r="C114" s="131" t="s">
        <v>1901</v>
      </c>
      <c r="D114" s="131" t="s">
        <v>1902</v>
      </c>
      <c r="E114" s="131">
        <v>2</v>
      </c>
      <c r="F114" s="126">
        <f t="shared" ca="1" si="9"/>
        <v>2.0448</v>
      </c>
      <c r="G114" s="127">
        <f t="shared" ca="1" si="10"/>
        <v>0.14690545454545453</v>
      </c>
      <c r="H114" s="132">
        <v>1.42</v>
      </c>
      <c r="I114" s="132" t="s">
        <v>2724</v>
      </c>
      <c r="J114" s="91">
        <v>1</v>
      </c>
      <c r="K114" s="90" t="s">
        <v>3277</v>
      </c>
      <c r="L114" s="152" t="str">
        <f>IF(ISERROR(GETPIVOTDATA(IF($J114=1,"Count of ACTIVE     CED, FARM GATE (MJ/kg)","Count of CED, processor gate (MJ/kg)"),'Pivot Table_CED'!$A$3,"SUB TYPE",$B114)),"PROXY",IF(GETPIVOTDATA(IF($J114=1,"Count of ACTIVE     CED, FARM GATE (MJ/kg)","Count of CED, processor gate (MJ/kg)"),'Pivot Table_CED'!$A$3,"SUB TYPE",$B114)=0,"PROXY","DB value"))</f>
        <v>PROXY</v>
      </c>
      <c r="M114" s="134">
        <f ca="1">IF($L114="PROXY",DCOUNT('literature entries'!$D:$AI,IF($J114=1,"ACTIVE     CED, FARM GATE (MJ/kg)","CED, processor gate (MJ/kg)"),INDIRECT($K114)),GETPIVOTDATA(IF($J114=1,"Count of ACTIVE     CED, FARM GATE (MJ/kg)","Count of CED, processor gate (MJ/kg)"),'Pivot Table_CED'!$A$3,"SUB TYPE",$B114))</f>
        <v>2</v>
      </c>
      <c r="N114" s="135">
        <f ca="1">IF($L114="PROXY",DAVERAGE('literature entries'!$D:$AI,IF($J114=1,"ACTIVE     CED, FARM GATE (MJ/kg)","CED, processor gate (MJ/kg)"),INDIRECT($K114)),GETPIVOTDATA(IF($J114=1,"Average of ACTIVE     CED, FARM GATE (MJ/kg)","Average of CED, processor gate (MJ/kg)"),'Pivot Table_CED'!$A$3,"SUB TYPE",$B114))</f>
        <v>1.44</v>
      </c>
      <c r="O114" s="135">
        <f ca="1">IF($L114="PROXY",DSTDEV('literature entries'!D:AI,IF($J114=1,"ACTIVE     CED, FARM GATE (MJ/kg)","CED, processor gate (MJ/kg)"),INDIRECT($K114)),GETPIVOTDATA(IF($J114=1,"StdDev of ACTIVE     CED, FARM GATE (MJ/kg)","StdDev of CED, processor gate (MJ/kg)"),'Pivot Table_CED'!$A$3,"SUB TYPE",$B114))</f>
        <v>0.67882250993908555</v>
      </c>
      <c r="P114" s="152" t="str">
        <f>IF(ISERROR(GETPIVOTDATA(IF($J114=1,"Count of ACTIVE     GHGE, FARM GATE (kg CO2e/kg)","Count of GHGE, processor gate (kg CO2e/kg)"),'Pivot Table_GHG'!$A$3,"SUB TYPE",$B114)),"PROXY",IF(GETPIVOTDATA(IF($J114=1,"Count of ACTIVE     GHGE, FARM GATE (kg CO2e/kg)","Count of GHGE, processor gate (kg CO2e/kg)"),'Pivot Table_GHG'!$A$3,"SUB TYPE",$B114)=0,"PROXY","DB value"))</f>
        <v>PROXY</v>
      </c>
      <c r="Q114" s="141">
        <f ca="1">IF($P114="PROXY",DCOUNT('literature entries'!$D:$AI,IF($J114=1,"ACTIVE     GHGE, FARM GATE (kg CO2e/kg)","GHGE, processor gate (kg CO2e/kg)"),INDIRECT($K114)),GETPIVOTDATA(IF($J114=1,"ACTIVE     GHGE, FARM GATE (kg CO2e/kg)","Count of GHGE, processor gate (kg CO2e/kg)"),'Pivot Table_GHG'!$A$3,"SUB TYPE",$B114))</f>
        <v>11</v>
      </c>
      <c r="R114" s="221">
        <f ca="1">IF($P114="PROXY",DAVERAGE('literature entries'!$D:$AI,IF($J114=1,"ACTIVE     GHGE, FARM GATE (kg CO2e/kg)","GHGE, processor gate (kg CO2e/kg)"),INDIRECT($K114)),GETPIVOTDATA(IF($J114=1,"Average of ACTIVE     GHGE, FARM GATE (kg CO2e/kg)","Average of GHGE, processor gate (kg CO2e/kg)"),'Pivot Table_GHG'!$A$3,"SUB TYPE",$B114))</f>
        <v>0.10345454545454545</v>
      </c>
      <c r="S114" s="221">
        <f ca="1">IF($P114="PROXY",DSTDEV('literature entries'!$D:$AI,IF($J114=1,"ACTIVE     GHGE, FARM GATE (kg CO2e/kg)","GHGE, processor gate (kg CO2e/kg)"),INDIRECT($K114)),GETPIVOTDATA(IF($J114=1,"StdDev of ACTIVE     GHGE, FARM GATE (kg CO2e/kg)","StdDev of GHGE, processor gate (kg CO2e/kg)"),'Pivot Table_GHG'!$A$3,"SUB TYPE",$B114))</f>
        <v>0.17893716418696459</v>
      </c>
      <c r="T114" s="101"/>
      <c r="U114" s="102"/>
      <c r="W114" s="248" t="s">
        <v>3370</v>
      </c>
      <c r="X114" s="246">
        <f ca="1">IF($W114="DIRECT",M114,DCOUNT('literature entries'!$D:$AI,IF($J114=1,"ACTIVE     CED, FARM GATE (MJ/kg)","CED, processor gate (MJ/kg)"),INDIRECT($W114)))</f>
        <v>4</v>
      </c>
      <c r="Y114" s="246">
        <f ca="1">IF($W114="DIRECT","",DAVERAGE('literature entries'!$D:$AI,IF($J114=1,"ACTIVE     CED, FARM GATE (MJ/kg)","CED, processor gate (MJ/kg)"),INDIRECT($W114)))</f>
        <v>1.2949999999999999</v>
      </c>
      <c r="Z114" s="246">
        <f ca="1">IF($W114="DIRECT",$O114,DSTDEV('literature entries'!$D:$AI,IF($J114=1,"ACTIVE     CED, FARM GATE (MJ/kg)","CED, processor gate (MJ/kg)"),INDIRECT($W114)))</f>
        <v>0.49568134925574941</v>
      </c>
      <c r="AA114" s="246">
        <f t="shared" ca="1" si="13"/>
        <v>0.55118234975156688</v>
      </c>
      <c r="AB114" s="254" t="s">
        <v>3370</v>
      </c>
      <c r="AC114" s="247">
        <f ca="1">IF($AB114="DIRECT",Q114,DCOUNT('literature entries'!$D:$AI,IF($J114=1,"ACTIVE     GHGE, FARM GATE (kg CO2e/kg)","GHGE, processor gate (kg CO2e/kg)"),INDIRECT($AB114)))</f>
        <v>21</v>
      </c>
      <c r="AD114" s="247">
        <f ca="1">IF($AB114="DIRECT","",DAVERAGE('literature entries'!$D:$AI,IF($J114=1,"ACTIVE     GHGE, FARM GATE (kg CO2e/kg)","GHGE, processor gate (kg CO2e/kg)"),INDIRECT($AB114)))</f>
        <v>0.34849476190476181</v>
      </c>
      <c r="AE114" s="247">
        <f ca="1">IF($AB114="DIRECT",$S114,DSTDEV('literature entries'!$D:$AI,IF($J114=1,"ACTIVE     GHGE, FARM GATE (kg CO2e/kg)","GHGE, processor gate (kg CO2e/kg)"),INDIRECT($AB114)))</f>
        <v>0.48066612900868155</v>
      </c>
      <c r="AF114" s="247">
        <f t="shared" ca="1" si="14"/>
        <v>0.14269108557097537</v>
      </c>
    </row>
    <row r="115" spans="1:32" s="21" customFormat="1" thickBot="1" x14ac:dyDescent="0.25">
      <c r="A115" s="129">
        <v>902135000</v>
      </c>
      <c r="B115" s="130" t="s">
        <v>845</v>
      </c>
      <c r="C115" s="131" t="s">
        <v>1953</v>
      </c>
      <c r="D115" s="131"/>
      <c r="E115" s="131">
        <v>9894</v>
      </c>
      <c r="F115" s="126">
        <f t="shared" ca="1" si="9"/>
        <v>0.86519999999999997</v>
      </c>
      <c r="G115" s="127">
        <f t="shared" ca="1" si="10"/>
        <v>0.40926792499999998</v>
      </c>
      <c r="H115" s="132">
        <v>1.03</v>
      </c>
      <c r="I115" s="132" t="s">
        <v>2724</v>
      </c>
      <c r="J115" s="91">
        <v>1</v>
      </c>
      <c r="K115" s="90"/>
      <c r="L115" s="152" t="str">
        <f>IF(ISERROR(GETPIVOTDATA(IF($J115=1,"Count of ACTIVE     CED, FARM GATE (MJ/kg)","Count of CED, processor gate (MJ/kg)"),'Pivot Table_CED'!$A$3,"SUB TYPE",$B115)),"PROXY",IF(GETPIVOTDATA(IF($J115=1,"Count of ACTIVE     CED, FARM GATE (MJ/kg)","Count of CED, processor gate (MJ/kg)"),'Pivot Table_CED'!$A$3,"SUB TYPE",$B115)=0,"PROXY","DB value"))</f>
        <v>DB value</v>
      </c>
      <c r="M115" s="134">
        <f ca="1">IF($L115="PROXY",DCOUNT('literature entries'!$D:$AI,IF($J115=1,"ACTIVE     CED, FARM GATE (MJ/kg)","CED, processor gate (MJ/kg)"),INDIRECT($K115)),GETPIVOTDATA(IF($J115=1,"Count of ACTIVE     CED, FARM GATE (MJ/kg)","Count of CED, processor gate (MJ/kg)"),'Pivot Table_CED'!$A$3,"SUB TYPE",$B115))</f>
        <v>1</v>
      </c>
      <c r="N115" s="135">
        <f ca="1">IF($L115="PROXY",DAVERAGE('literature entries'!$D:$AI,IF($J115=1,"ACTIVE     CED, FARM GATE (MJ/kg)","CED, processor gate (MJ/kg)"),INDIRECT($K115)),GETPIVOTDATA(IF($J115=1,"Average of ACTIVE     CED, FARM GATE (MJ/kg)","Average of CED, processor gate (MJ/kg)"),'Pivot Table_CED'!$A$3,"SUB TYPE",$B115))</f>
        <v>0.84</v>
      </c>
      <c r="O115" s="135">
        <f ca="1">IF($L115="PROXY",DSTDEV('literature entries'!D:AI,IF($J115=1,"ACTIVE     CED, FARM GATE (MJ/kg)","CED, processor gate (MJ/kg)"),INDIRECT($K115)),GETPIVOTDATA(IF($J115=1,"StdDev of ACTIVE     CED, FARM GATE (MJ/kg)","StdDev of CED, processor gate (MJ/kg)"),'Pivot Table_CED'!$A$3,"SUB TYPE",$B115))</f>
        <v>0</v>
      </c>
      <c r="P115" s="152" t="str">
        <f>IF(ISERROR(GETPIVOTDATA(IF($J115=1,"Count of ACTIVE     GHGE, FARM GATE (kg CO2e/kg)","Count of GHGE, processor gate (kg CO2e/kg)"),'Pivot Table_GHG'!$A$3,"SUB TYPE",$B115)),"PROXY",IF(GETPIVOTDATA(IF($J115=1,"Count of ACTIVE     GHGE, FARM GATE (kg CO2e/kg)","Count of GHGE, processor gate (kg CO2e/kg)"),'Pivot Table_GHG'!$A$3,"SUB TYPE",$B115)=0,"PROXY","DB value"))</f>
        <v>DB value</v>
      </c>
      <c r="Q115" s="141">
        <f ca="1">IF($P115="PROXY",DCOUNT('literature entries'!$D:$AI,IF($J115=1,"ACTIVE     GHGE, FARM GATE (kg CO2e/kg)","GHGE, processor gate (kg CO2e/kg)"),INDIRECT($K115)),GETPIVOTDATA(IF($J115=1,"ACTIVE     GHGE, FARM GATE (kg CO2e/kg)","Count of GHGE, processor gate (kg CO2e/kg)"),'Pivot Table_GHG'!$A$3,"SUB TYPE",$B115))</f>
        <v>4</v>
      </c>
      <c r="R115" s="221">
        <f ca="1">IF($P115="PROXY",DAVERAGE('literature entries'!$D:$AI,IF($J115=1,"ACTIVE     GHGE, FARM GATE (kg CO2e/kg)","GHGE, processor gate (kg CO2e/kg)"),INDIRECT($K115)),GETPIVOTDATA(IF($J115=1,"Average of ACTIVE     GHGE, FARM GATE (kg CO2e/kg)","Average of GHGE, processor gate (kg CO2e/kg)"),'Pivot Table_GHG'!$A$3,"SUB TYPE",$B115))</f>
        <v>0.39734749999999996</v>
      </c>
      <c r="S115" s="221">
        <f ca="1">IF($P115="PROXY",DSTDEV('literature entries'!$D:$AI,IF($J115=1,"ACTIVE     GHGE, FARM GATE (kg CO2e/kg)","GHGE, processor gate (kg CO2e/kg)"),INDIRECT($K115)),GETPIVOTDATA(IF($J115=1,"StdDev of ACTIVE     GHGE, FARM GATE (kg CO2e/kg)","StdDev of GHGE, processor gate (kg CO2e/kg)"),'Pivot Table_GHG'!$A$3,"SUB TYPE",$B115))</f>
        <v>0.56891757723915215</v>
      </c>
      <c r="T115" s="101"/>
      <c r="U115" s="102"/>
      <c r="W115" s="248" t="s">
        <v>3370</v>
      </c>
      <c r="X115" s="246">
        <f ca="1">IF($W115="DIRECT",M115,DCOUNT('literature entries'!$D:$AI,IF($J115=1,"ACTIVE     CED, FARM GATE (MJ/kg)","CED, processor gate (MJ/kg)"),INDIRECT($W115)))</f>
        <v>4</v>
      </c>
      <c r="Y115" s="246">
        <f ca="1">IF($W115="DIRECT","",DAVERAGE('literature entries'!$D:$AI,IF($J115=1,"ACTIVE     CED, FARM GATE (MJ/kg)","CED, processor gate (MJ/kg)"),INDIRECT($W115)))</f>
        <v>1.2949999999999999</v>
      </c>
      <c r="Z115" s="246">
        <f ca="1">IF($W115="DIRECT",$O115,DSTDEV('literature entries'!$D:$AI,IF($J115=1,"ACTIVE     CED, FARM GATE (MJ/kg)","CED, processor gate (MJ/kg)"),INDIRECT($W115)))</f>
        <v>0.49568134925574941</v>
      </c>
      <c r="AA115" s="246">
        <f t="shared" ca="1" si="13"/>
        <v>0.3215230373550807</v>
      </c>
      <c r="AB115" s="254" t="s">
        <v>3370</v>
      </c>
      <c r="AC115" s="247">
        <f ca="1">IF($AB115="DIRECT",Q115,DCOUNT('literature entries'!$D:$AI,IF($J115=1,"ACTIVE     GHGE, FARM GATE (kg CO2e/kg)","GHGE, processor gate (kg CO2e/kg)"),INDIRECT($AB115)))</f>
        <v>21</v>
      </c>
      <c r="AD115" s="247">
        <f ca="1">IF($AB115="DIRECT","",DAVERAGE('literature entries'!$D:$AI,IF($J115=1,"ACTIVE     GHGE, FARM GATE (kg CO2e/kg)","GHGE, processor gate (kg CO2e/kg)"),INDIRECT($AB115)))</f>
        <v>0.34849476190476181</v>
      </c>
      <c r="AE115" s="247">
        <f ca="1">IF($AB115="DIRECT",$S115,DSTDEV('literature entries'!$D:$AI,IF($J115=1,"ACTIVE     GHGE, FARM GATE (kg CO2e/kg)","GHGE, processor gate (kg CO2e/kg)"),INDIRECT($AB115)))</f>
        <v>0.48066612900868155</v>
      </c>
      <c r="AF115" s="247">
        <f t="shared" ca="1" si="14"/>
        <v>0.5480469308989846</v>
      </c>
    </row>
    <row r="116" spans="1:32" s="21" customFormat="1" thickBot="1" x14ac:dyDescent="0.25">
      <c r="A116" s="129">
        <v>902308000</v>
      </c>
      <c r="B116" s="130" t="s">
        <v>2221</v>
      </c>
      <c r="C116" s="131" t="s">
        <v>2023</v>
      </c>
      <c r="D116" s="131"/>
      <c r="E116" s="131">
        <v>367</v>
      </c>
      <c r="F116" s="126">
        <f t="shared" ca="1" si="9"/>
        <v>2.7455999999999996</v>
      </c>
      <c r="G116" s="127">
        <f t="shared" ca="1" si="10"/>
        <v>0.21807499999999999</v>
      </c>
      <c r="H116" s="132">
        <v>1.43</v>
      </c>
      <c r="I116" s="132" t="s">
        <v>2724</v>
      </c>
      <c r="J116" s="91">
        <v>1</v>
      </c>
      <c r="K116" s="90"/>
      <c r="L116" s="152" t="str">
        <f>IF(ISERROR(GETPIVOTDATA(IF($J116=1,"Count of ACTIVE     CED, FARM GATE (MJ/kg)","Count of CED, processor gate (MJ/kg)"),'Pivot Table_CED'!$A$3,"SUB TYPE",$B116)),"PROXY",IF(GETPIVOTDATA(IF($J116=1,"Count of ACTIVE     CED, FARM GATE (MJ/kg)","Count of CED, processor gate (MJ/kg)"),'Pivot Table_CED'!$A$3,"SUB TYPE",$B116)=0,"PROXY","DB value"))</f>
        <v>DB value</v>
      </c>
      <c r="M116" s="134">
        <f ca="1">IF($L116="PROXY",DCOUNT('literature entries'!$D:$AI,IF($J116=1,"ACTIVE     CED, FARM GATE (MJ/kg)","CED, processor gate (MJ/kg)"),INDIRECT($K116)),GETPIVOTDATA(IF($J116=1,"Count of ACTIVE     CED, FARM GATE (MJ/kg)","Count of CED, processor gate (MJ/kg)"),'Pivot Table_CED'!$A$3,"SUB TYPE",$B116))</f>
        <v>1</v>
      </c>
      <c r="N116" s="135">
        <f ca="1">IF($L116="PROXY",DAVERAGE('literature entries'!$D:$AI,IF($J116=1,"ACTIVE     CED, FARM GATE (MJ/kg)","CED, processor gate (MJ/kg)"),INDIRECT($K116)),GETPIVOTDATA(IF($J116=1,"Average of ACTIVE     CED, FARM GATE (MJ/kg)","Average of CED, processor gate (MJ/kg)"),'Pivot Table_CED'!$A$3,"SUB TYPE",$B116))</f>
        <v>1.92</v>
      </c>
      <c r="O116" s="135">
        <f ca="1">IF($L116="PROXY",DSTDEV('literature entries'!D:AI,IF($J116=1,"ACTIVE     CED, FARM GATE (MJ/kg)","CED, processor gate (MJ/kg)"),INDIRECT($K116)),GETPIVOTDATA(IF($J116=1,"StdDev of ACTIVE     CED, FARM GATE (MJ/kg)","StdDev of CED, processor gate (MJ/kg)"),'Pivot Table_CED'!$A$3,"SUB TYPE",$B116))</f>
        <v>0</v>
      </c>
      <c r="P116" s="152" t="str">
        <f>IF(ISERROR(GETPIVOTDATA(IF($J116=1,"Count of ACTIVE     GHGE, FARM GATE (kg CO2e/kg)","Count of GHGE, processor gate (kg CO2e/kg)"),'Pivot Table_GHG'!$A$3,"SUB TYPE",$B116)),"PROXY",IF(GETPIVOTDATA(IF($J116=1,"Count of ACTIVE     GHGE, FARM GATE (kg CO2e/kg)","Count of GHGE, processor gate (kg CO2e/kg)"),'Pivot Table_GHG'!$A$3,"SUB TYPE",$B116)=0,"PROXY","DB value"))</f>
        <v>DB value</v>
      </c>
      <c r="Q116" s="141">
        <f ca="1">IF($P116="PROXY",DCOUNT('literature entries'!$D:$AI,IF($J116=1,"ACTIVE     GHGE, FARM GATE (kg CO2e/kg)","GHGE, processor gate (kg CO2e/kg)"),INDIRECT($K116)),GETPIVOTDATA(IF($J116=1,"ACTIVE     GHGE, FARM GATE (kg CO2e/kg)","Count of GHGE, processor gate (kg CO2e/kg)"),'Pivot Table_GHG'!$A$3,"SUB TYPE",$B116))</f>
        <v>6</v>
      </c>
      <c r="R116" s="221">
        <f ca="1">IF($P116="PROXY",DAVERAGE('literature entries'!$D:$AI,IF($J116=1,"ACTIVE     GHGE, FARM GATE (kg CO2e/kg)","GHGE, processor gate (kg CO2e/kg)"),INDIRECT($K116)),GETPIVOTDATA(IF($J116=1,"Average of ACTIVE     GHGE, FARM GATE (kg CO2e/kg)","Average of GHGE, processor gate (kg CO2e/kg)"),'Pivot Table_GHG'!$A$3,"SUB TYPE",$B116))</f>
        <v>0.1525</v>
      </c>
      <c r="S116" s="221">
        <f ca="1">IF($P116="PROXY",DSTDEV('literature entries'!$D:$AI,IF($J116=1,"ACTIVE     GHGE, FARM GATE (kg CO2e/kg)","GHGE, processor gate (kg CO2e/kg)"),INDIRECT($K116)),GETPIVOTDATA(IF($J116=1,"StdDev of ACTIVE     GHGE, FARM GATE (kg CO2e/kg)","StdDev of GHGE, processor gate (kg CO2e/kg)"),'Pivot Table_GHG'!$A$3,"SUB TYPE",$B116))</f>
        <v>0.23890277520363803</v>
      </c>
      <c r="T116" s="101"/>
      <c r="U116" s="102"/>
      <c r="W116" s="248" t="s">
        <v>3370</v>
      </c>
      <c r="X116" s="246">
        <f ca="1">IF($W116="DIRECT",M116,DCOUNT('literature entries'!$D:$AI,IF($J116=1,"ACTIVE     CED, FARM GATE (MJ/kg)","CED, processor gate (MJ/kg)"),INDIRECT($W116)))</f>
        <v>4</v>
      </c>
      <c r="Y116" s="246">
        <f ca="1">IF($W116="DIRECT","",DAVERAGE('literature entries'!$D:$AI,IF($J116=1,"ACTIVE     CED, FARM GATE (MJ/kg)","CED, processor gate (MJ/kg)"),INDIRECT($W116)))</f>
        <v>1.2949999999999999</v>
      </c>
      <c r="Z116" s="246">
        <f ca="1">IF($W116="DIRECT",$O116,DSTDEV('literature entries'!$D:$AI,IF($J116=1,"ACTIVE     CED, FARM GATE (MJ/kg)","CED, processor gate (MJ/kg)"),INDIRECT($W116)))</f>
        <v>0.49568134925574941</v>
      </c>
      <c r="AA116" s="246">
        <f t="shared" ca="1" si="13"/>
        <v>0.73490979966875591</v>
      </c>
      <c r="AB116" s="254" t="str">
        <f ca="1">IF(P116="PROXY",IF(Q116&gt;=5,K116,"need group"),IF(Q116&gt;=5,"DIRECT","need group"))</f>
        <v>DIRECT</v>
      </c>
      <c r="AC116" s="247">
        <f ca="1">IF($AB116="DIRECT",Q116,DCOUNT('literature entries'!$D:$AI,IF($J116=1,"ACTIVE     GHGE, FARM GATE (kg CO2e/kg)","GHGE, processor gate (kg CO2e/kg)"),INDIRECT($AB116)))</f>
        <v>6</v>
      </c>
      <c r="AD116" s="247" t="str">
        <f ca="1">IF($AB116="DIRECT","",DAVERAGE('literature entries'!$D:$AI,IF($J116=1,"ACTIVE     GHGE, FARM GATE (kg CO2e/kg)","GHGE, processor gate (kg CO2e/kg)"),INDIRECT($AB116)))</f>
        <v/>
      </c>
      <c r="AE116" s="247">
        <f ca="1">IF($AB116="DIRECT",$S116,DSTDEV('literature entries'!$D:$AI,IF($J116=1,"ACTIVE     GHGE, FARM GATE (kg CO2e/kg)","GHGE, processor gate (kg CO2e/kg)"),INDIRECT($AB116)))</f>
        <v>0.23890277520363803</v>
      </c>
      <c r="AF116" s="247">
        <f t="shared" ca="1" si="14"/>
        <v>0.23890277520363803</v>
      </c>
    </row>
    <row r="117" spans="1:32" s="21" customFormat="1" ht="17" thickBot="1" x14ac:dyDescent="0.25">
      <c r="A117" s="129">
        <v>902309000</v>
      </c>
      <c r="B117" s="130" t="s">
        <v>2222</v>
      </c>
      <c r="C117" s="131" t="s">
        <v>2223</v>
      </c>
      <c r="D117" s="131"/>
      <c r="E117" s="131">
        <v>231</v>
      </c>
      <c r="F117" s="126">
        <f t="shared" ca="1" si="9"/>
        <v>1.44</v>
      </c>
      <c r="G117" s="127">
        <f t="shared" ca="1" si="10"/>
        <v>0.10345454545454545</v>
      </c>
      <c r="H117" s="132">
        <v>1</v>
      </c>
      <c r="I117" s="133" t="s">
        <v>594</v>
      </c>
      <c r="J117" s="91">
        <v>1</v>
      </c>
      <c r="K117" s="90" t="s">
        <v>3277</v>
      </c>
      <c r="L117" s="152" t="str">
        <f>IF(ISERROR(GETPIVOTDATA(IF($J117=1,"Count of ACTIVE     CED, FARM GATE (MJ/kg)","Count of CED, processor gate (MJ/kg)"),'Pivot Table_CED'!$A$3,"SUB TYPE",$B117)),"PROXY",IF(GETPIVOTDATA(IF($J117=1,"Count of ACTIVE     CED, FARM GATE (MJ/kg)","Count of CED, processor gate (MJ/kg)"),'Pivot Table_CED'!$A$3,"SUB TYPE",$B117)=0,"PROXY","DB value"))</f>
        <v>PROXY</v>
      </c>
      <c r="M117" s="134">
        <f ca="1">IF($L117="PROXY",DCOUNT('literature entries'!$D:$AI,IF($J117=1,"ACTIVE     CED, FARM GATE (MJ/kg)","CED, processor gate (MJ/kg)"),INDIRECT($K117)),GETPIVOTDATA(IF($J117=1,"Count of ACTIVE     CED, FARM GATE (MJ/kg)","Count of CED, processor gate (MJ/kg)"),'Pivot Table_CED'!$A$3,"SUB TYPE",$B117))</f>
        <v>2</v>
      </c>
      <c r="N117" s="135">
        <f ca="1">IF($L117="PROXY",DAVERAGE('literature entries'!$D:$AI,IF($J117=1,"ACTIVE     CED, FARM GATE (MJ/kg)","CED, processor gate (MJ/kg)"),INDIRECT($K117)),GETPIVOTDATA(IF($J117=1,"Average of ACTIVE     CED, FARM GATE (MJ/kg)","Average of CED, processor gate (MJ/kg)"),'Pivot Table_CED'!$A$3,"SUB TYPE",$B117))</f>
        <v>1.44</v>
      </c>
      <c r="O117" s="135">
        <f ca="1">IF($L117="PROXY",DSTDEV('literature entries'!D:AI,IF($J117=1,"ACTIVE     CED, FARM GATE (MJ/kg)","CED, processor gate (MJ/kg)"),INDIRECT($K117)),GETPIVOTDATA(IF($J117=1,"StdDev of ACTIVE     CED, FARM GATE (MJ/kg)","StdDev of CED, processor gate (MJ/kg)"),'Pivot Table_CED'!$A$3,"SUB TYPE",$B117))</f>
        <v>0.67882250993908555</v>
      </c>
      <c r="P117" s="152" t="str">
        <f>IF(ISERROR(GETPIVOTDATA(IF($J117=1,"Count of ACTIVE     GHGE, FARM GATE (kg CO2e/kg)","Count of GHGE, processor gate (kg CO2e/kg)"),'Pivot Table_GHG'!$A$3,"SUB TYPE",$B117)),"PROXY",IF(GETPIVOTDATA(IF($J117=1,"Count of ACTIVE     GHGE, FARM GATE (kg CO2e/kg)","Count of GHGE, processor gate (kg CO2e/kg)"),'Pivot Table_GHG'!$A$3,"SUB TYPE",$B117)=0,"PROXY","DB value"))</f>
        <v>PROXY</v>
      </c>
      <c r="Q117" s="141">
        <f ca="1">IF($P117="PROXY",DCOUNT('literature entries'!$D:$AI,IF($J117=1,"ACTIVE     GHGE, FARM GATE (kg CO2e/kg)","GHGE, processor gate (kg CO2e/kg)"),INDIRECT($K117)),GETPIVOTDATA(IF($J117=1,"ACTIVE     GHGE, FARM GATE (kg CO2e/kg)","Count of GHGE, processor gate (kg CO2e/kg)"),'Pivot Table_GHG'!$A$3,"SUB TYPE",$B117))</f>
        <v>11</v>
      </c>
      <c r="R117" s="221">
        <f ca="1">IF($P117="PROXY",DAVERAGE('literature entries'!$D:$AI,IF($J117=1,"ACTIVE     GHGE, FARM GATE (kg CO2e/kg)","GHGE, processor gate (kg CO2e/kg)"),INDIRECT($K117)),GETPIVOTDATA(IF($J117=1,"Average of ACTIVE     GHGE, FARM GATE (kg CO2e/kg)","Average of GHGE, processor gate (kg CO2e/kg)"),'Pivot Table_GHG'!$A$3,"SUB TYPE",$B117))</f>
        <v>0.10345454545454545</v>
      </c>
      <c r="S117" s="221">
        <f ca="1">IF($P117="PROXY",DSTDEV('literature entries'!$D:$AI,IF($J117=1,"ACTIVE     GHGE, FARM GATE (kg CO2e/kg)","GHGE, processor gate (kg CO2e/kg)"),INDIRECT($K117)),GETPIVOTDATA(IF($J117=1,"StdDev of ACTIVE     GHGE, FARM GATE (kg CO2e/kg)","StdDev of GHGE, processor gate (kg CO2e/kg)"),'Pivot Table_GHG'!$A$3,"SUB TYPE",$B117))</f>
        <v>0.17893716418696459</v>
      </c>
      <c r="T117" s="101"/>
      <c r="U117" s="102"/>
      <c r="W117" s="248" t="s">
        <v>3370</v>
      </c>
      <c r="X117" s="246">
        <f ca="1">IF($W117="DIRECT",M117,DCOUNT('literature entries'!$D:$AI,IF($J117=1,"ACTIVE     CED, FARM GATE (MJ/kg)","CED, processor gate (MJ/kg)"),INDIRECT($W117)))</f>
        <v>4</v>
      </c>
      <c r="Y117" s="246">
        <f ca="1">IF($W117="DIRECT","",DAVERAGE('literature entries'!$D:$AI,IF($J117=1,"ACTIVE     CED, FARM GATE (MJ/kg)","CED, processor gate (MJ/kg)"),INDIRECT($W117)))</f>
        <v>1.2949999999999999</v>
      </c>
      <c r="Z117" s="246">
        <f ca="1">IF($W117="DIRECT",$O117,DSTDEV('literature entries'!$D:$AI,IF($J117=1,"ACTIVE     CED, FARM GATE (MJ/kg)","CED, processor gate (MJ/kg)"),INDIRECT($W117)))</f>
        <v>0.49568134925574941</v>
      </c>
      <c r="AA117" s="246">
        <f t="shared" ca="1" si="13"/>
        <v>0.55118234975156688</v>
      </c>
      <c r="AB117" s="254" t="s">
        <v>3370</v>
      </c>
      <c r="AC117" s="247">
        <f ca="1">IF($AB117="DIRECT",Q117,DCOUNT('literature entries'!$D:$AI,IF($J117=1,"ACTIVE     GHGE, FARM GATE (kg CO2e/kg)","GHGE, processor gate (kg CO2e/kg)"),INDIRECT($AB117)))</f>
        <v>21</v>
      </c>
      <c r="AD117" s="247">
        <f ca="1">IF($AB117="DIRECT","",DAVERAGE('literature entries'!$D:$AI,IF($J117=1,"ACTIVE     GHGE, FARM GATE (kg CO2e/kg)","GHGE, processor gate (kg CO2e/kg)"),INDIRECT($AB117)))</f>
        <v>0.34849476190476181</v>
      </c>
      <c r="AE117" s="247">
        <f ca="1">IF($AB117="DIRECT",$S117,DSTDEV('literature entries'!$D:$AI,IF($J117=1,"ACTIVE     GHGE, FARM GATE (kg CO2e/kg)","GHGE, processor gate (kg CO2e/kg)"),INDIRECT($AB117)))</f>
        <v>0.48066612900868155</v>
      </c>
      <c r="AF117" s="247">
        <f t="shared" ca="1" si="14"/>
        <v>0.14269108557097537</v>
      </c>
    </row>
    <row r="118" spans="1:32" s="21" customFormat="1" ht="17" thickBot="1" x14ac:dyDescent="0.25">
      <c r="A118" s="129">
        <v>902356000</v>
      </c>
      <c r="B118" s="130" t="s">
        <v>2276</v>
      </c>
      <c r="C118" s="131" t="s">
        <v>2277</v>
      </c>
      <c r="D118" s="131" t="s">
        <v>2278</v>
      </c>
      <c r="E118" s="131">
        <v>1642</v>
      </c>
      <c r="F118" s="126">
        <f t="shared" ca="1" si="9"/>
        <v>0.19336799999999998</v>
      </c>
      <c r="G118" s="127">
        <f t="shared" ca="1" si="10"/>
        <v>1.2284999999999999</v>
      </c>
      <c r="H118" s="132">
        <v>1.05</v>
      </c>
      <c r="I118" s="133" t="s">
        <v>2724</v>
      </c>
      <c r="J118" s="91">
        <v>1</v>
      </c>
      <c r="K118" s="90" t="s">
        <v>890</v>
      </c>
      <c r="L118" s="152" t="str">
        <f>IF(ISERROR(GETPIVOTDATA(IF($J118=1,"Count of ACTIVE     CED, FARM GATE (MJ/kg)","Count of CED, processor gate (MJ/kg)"),'Pivot Table_CED'!$A$3,"SUB TYPE",$B118)),"PROXY",IF(GETPIVOTDATA(IF($J118=1,"Count of ACTIVE     CED, FARM GATE (MJ/kg)","Count of CED, processor gate (MJ/kg)"),'Pivot Table_CED'!$A$3,"SUB TYPE",$B118)=0,"PROXY","DB value"))</f>
        <v>PROXY</v>
      </c>
      <c r="M118" s="134">
        <f ca="1">IF($L118="PROXY",DCOUNT('literature entries'!$D:$AI,IF($J118=1,"ACTIVE     CED, FARM GATE (MJ/kg)","CED, processor gate (MJ/kg)"),INDIRECT($K118)),GETPIVOTDATA(IF($J118=1,"Count of ACTIVE     CED, FARM GATE (MJ/kg)","Count of CED, processor gate (MJ/kg)"),'Pivot Table_CED'!$A$3,"SUB TYPE",$B118))</f>
        <v>1</v>
      </c>
      <c r="N118" s="135">
        <f ca="1">IF($L118="PROXY",DAVERAGE('literature entries'!$D:$AI,IF($J118=1,"ACTIVE     CED, FARM GATE (MJ/kg)","CED, processor gate (MJ/kg)"),INDIRECT($K118)),GETPIVOTDATA(IF($J118=1,"Average of ACTIVE     CED, FARM GATE (MJ/kg)","Average of CED, processor gate (MJ/kg)"),'Pivot Table_CED'!$A$3,"SUB TYPE",$B118))</f>
        <v>0.18415999999999999</v>
      </c>
      <c r="O118" s="135" t="e">
        <f ca="1">IF($L118="PROXY",DSTDEV('literature entries'!D:AI,IF($J118=1,"ACTIVE     CED, FARM GATE (MJ/kg)","CED, processor gate (MJ/kg)"),INDIRECT($K118)),GETPIVOTDATA(IF($J118=1,"StdDev of ACTIVE     CED, FARM GATE (MJ/kg)","StdDev of CED, processor gate (MJ/kg)"),'Pivot Table_CED'!$A$3,"SUB TYPE",$B118))</f>
        <v>#DIV/0!</v>
      </c>
      <c r="P118" s="152" t="str">
        <f>IF(ISERROR(GETPIVOTDATA(IF($J118=1,"Count of ACTIVE     GHGE, FARM GATE (kg CO2e/kg)","Count of GHGE, processor gate (kg CO2e/kg)"),'Pivot Table_GHG'!$A$3,"SUB TYPE",$B118)),"PROXY",IF(GETPIVOTDATA(IF($J118=1,"Count of ACTIVE     GHGE, FARM GATE (kg CO2e/kg)","Count of GHGE, processor gate (kg CO2e/kg)"),'Pivot Table_GHG'!$A$3,"SUB TYPE",$B118)=0,"PROXY","DB value"))</f>
        <v>DB value</v>
      </c>
      <c r="Q118" s="141">
        <f ca="1">IF($P118="PROXY",DCOUNT('literature entries'!$D:$AI,IF($J118=1,"ACTIVE     GHGE, FARM GATE (kg CO2e/kg)","GHGE, processor gate (kg CO2e/kg)"),INDIRECT($K118)),GETPIVOTDATA(IF($J118=1,"ACTIVE     GHGE, FARM GATE (kg CO2e/kg)","Count of GHGE, processor gate (kg CO2e/kg)"),'Pivot Table_GHG'!$A$3,"SUB TYPE",$B118))</f>
        <v>1</v>
      </c>
      <c r="R118" s="221">
        <f ca="1">IF($P118="PROXY",DAVERAGE('literature entries'!$D:$AI,IF($J118=1,"ACTIVE     GHGE, FARM GATE (kg CO2e/kg)","GHGE, processor gate (kg CO2e/kg)"),INDIRECT($K118)),GETPIVOTDATA(IF($J118=1,"Average of ACTIVE     GHGE, FARM GATE (kg CO2e/kg)","Average of GHGE, processor gate (kg CO2e/kg)"),'Pivot Table_GHG'!$A$3,"SUB TYPE",$B118))</f>
        <v>1.17</v>
      </c>
      <c r="S118" s="221" t="e">
        <f ca="1">IF($P118="PROXY",DSTDEV('literature entries'!$D:$AI,IF($J118=1,"ACTIVE     GHGE, FARM GATE (kg CO2e/kg)","GHGE, processor gate (kg CO2e/kg)"),INDIRECT($K118)),GETPIVOTDATA(IF($J118=1,"StdDev of ACTIVE     GHGE, FARM GATE (kg CO2e/kg)","StdDev of GHGE, processor gate (kg CO2e/kg)"),'Pivot Table_GHG'!$A$3,"SUB TYPE",$B118))</f>
        <v>#DIV/0!</v>
      </c>
      <c r="T118" s="101"/>
      <c r="U118" s="102"/>
      <c r="W118" s="248" t="s">
        <v>3370</v>
      </c>
      <c r="X118" s="246">
        <f ca="1">IF($W118="DIRECT",M118,DCOUNT('literature entries'!$D:$AI,IF($J118=1,"ACTIVE     CED, FARM GATE (MJ/kg)","CED, processor gate (MJ/kg)"),INDIRECT($W118)))</f>
        <v>4</v>
      </c>
      <c r="Y118" s="246">
        <f ca="1">IF($W118="DIRECT","",DAVERAGE('literature entries'!$D:$AI,IF($J118=1,"ACTIVE     CED, FARM GATE (MJ/kg)","CED, processor gate (MJ/kg)"),INDIRECT($W118)))</f>
        <v>1.2949999999999999</v>
      </c>
      <c r="Z118" s="246">
        <f ca="1">IF($W118="DIRECT",$O118,DSTDEV('literature entries'!$D:$AI,IF($J118=1,"ACTIVE     CED, FARM GATE (MJ/kg)","CED, processor gate (MJ/kg)"),INDIRECT($W118)))</f>
        <v>0.49568134925574941</v>
      </c>
      <c r="AA118" s="246">
        <f t="shared" ca="1" si="13"/>
        <v>7.0490098284894831E-2</v>
      </c>
      <c r="AB118" s="254" t="s">
        <v>3370</v>
      </c>
      <c r="AC118" s="247">
        <f ca="1">IF($AB118="DIRECT",Q118,DCOUNT('literature entries'!$D:$AI,IF($J118=1,"ACTIVE     GHGE, FARM GATE (kg CO2e/kg)","GHGE, processor gate (kg CO2e/kg)"),INDIRECT($AB118)))</f>
        <v>21</v>
      </c>
      <c r="AD118" s="247">
        <f ca="1">IF($AB118="DIRECT","",DAVERAGE('literature entries'!$D:$AI,IF($J118=1,"ACTIVE     GHGE, FARM GATE (kg CO2e/kg)","GHGE, processor gate (kg CO2e/kg)"),INDIRECT($AB118)))</f>
        <v>0.34849476190476181</v>
      </c>
      <c r="AE118" s="247">
        <f ca="1">IF($AB118="DIRECT",$S118,DSTDEV('literature entries'!$D:$AI,IF($J118=1,"ACTIVE     GHGE, FARM GATE (kg CO2e/kg)","GHGE, processor gate (kg CO2e/kg)"),INDIRECT($AB118)))</f>
        <v>0.48066612900868155</v>
      </c>
      <c r="AF118" s="247">
        <f t="shared" ca="1" si="14"/>
        <v>1.6137383754819445</v>
      </c>
    </row>
    <row r="119" spans="1:32" s="21" customFormat="1" ht="17" thickBot="1" x14ac:dyDescent="0.25">
      <c r="A119" s="129">
        <v>902357000</v>
      </c>
      <c r="B119" s="130" t="s">
        <v>2279</v>
      </c>
      <c r="C119" s="131" t="s">
        <v>2280</v>
      </c>
      <c r="D119" s="131" t="s">
        <v>2281</v>
      </c>
      <c r="E119" s="131">
        <v>392</v>
      </c>
      <c r="F119" s="126">
        <f t="shared" ca="1" si="9"/>
        <v>1.3535999999999999</v>
      </c>
      <c r="G119" s="127">
        <f t="shared" ca="1" si="10"/>
        <v>6.2885999999999997E-2</v>
      </c>
      <c r="H119" s="132">
        <v>1.41</v>
      </c>
      <c r="I119" s="133" t="s">
        <v>2724</v>
      </c>
      <c r="J119" s="91">
        <v>1</v>
      </c>
      <c r="K119" s="90"/>
      <c r="L119" s="152" t="str">
        <f>IF(ISERROR(GETPIVOTDATA(IF($J119=1,"Count of ACTIVE     CED, FARM GATE (MJ/kg)","Count of CED, processor gate (MJ/kg)"),'Pivot Table_CED'!$A$3,"SUB TYPE",$B119)),"PROXY",IF(GETPIVOTDATA(IF($J119=1,"Count of ACTIVE     CED, FARM GATE (MJ/kg)","Count of CED, processor gate (MJ/kg)"),'Pivot Table_CED'!$A$3,"SUB TYPE",$B119)=0,"PROXY","DB value"))</f>
        <v>DB value</v>
      </c>
      <c r="M119" s="134">
        <f ca="1">IF($L119="PROXY",DCOUNT('literature entries'!$D:$AI,IF($J119=1,"ACTIVE     CED, FARM GATE (MJ/kg)","CED, processor gate (MJ/kg)"),INDIRECT($K119)),GETPIVOTDATA(IF($J119=1,"Count of ACTIVE     CED, FARM GATE (MJ/kg)","Count of CED, processor gate (MJ/kg)"),'Pivot Table_CED'!$A$3,"SUB TYPE",$B119))</f>
        <v>1</v>
      </c>
      <c r="N119" s="135">
        <f ca="1">IF($L119="PROXY",DAVERAGE('literature entries'!$D:$AI,IF($J119=1,"ACTIVE     CED, FARM GATE (MJ/kg)","CED, processor gate (MJ/kg)"),INDIRECT($K119)),GETPIVOTDATA(IF($J119=1,"Average of ACTIVE     CED, FARM GATE (MJ/kg)","Average of CED, processor gate (MJ/kg)"),'Pivot Table_CED'!$A$3,"SUB TYPE",$B119))</f>
        <v>0.96</v>
      </c>
      <c r="O119" s="135">
        <f ca="1">IF($L119="PROXY",DSTDEV('literature entries'!D:AI,IF($J119=1,"ACTIVE     CED, FARM GATE (MJ/kg)","CED, processor gate (MJ/kg)"),INDIRECT($K119)),GETPIVOTDATA(IF($J119=1,"StdDev of ACTIVE     CED, FARM GATE (MJ/kg)","StdDev of CED, processor gate (MJ/kg)"),'Pivot Table_CED'!$A$3,"SUB TYPE",$B119))</f>
        <v>0</v>
      </c>
      <c r="P119" s="152" t="str">
        <f>IF(ISERROR(GETPIVOTDATA(IF($J119=1,"Count of ACTIVE     GHGE, FARM GATE (kg CO2e/kg)","Count of GHGE, processor gate (kg CO2e/kg)"),'Pivot Table_GHG'!$A$3,"SUB TYPE",$B119)),"PROXY",IF(GETPIVOTDATA(IF($J119=1,"Count of ACTIVE     GHGE, FARM GATE (kg CO2e/kg)","Count of GHGE, processor gate (kg CO2e/kg)"),'Pivot Table_GHG'!$A$3,"SUB TYPE",$B119)=0,"PROXY","DB value"))</f>
        <v>DB value</v>
      </c>
      <c r="Q119" s="141">
        <f ca="1">IF($P119="PROXY",DCOUNT('literature entries'!$D:$AI,IF($J119=1,"ACTIVE     GHGE, FARM GATE (kg CO2e/kg)","GHGE, processor gate (kg CO2e/kg)"),INDIRECT($K119)),GETPIVOTDATA(IF($J119=1,"ACTIVE     GHGE, FARM GATE (kg CO2e/kg)","Count of GHGE, processor gate (kg CO2e/kg)"),'Pivot Table_GHG'!$A$3,"SUB TYPE",$B119))</f>
        <v>5</v>
      </c>
      <c r="R119" s="221">
        <f ca="1">IF($P119="PROXY",DAVERAGE('literature entries'!$D:$AI,IF($J119=1,"ACTIVE     GHGE, FARM GATE (kg CO2e/kg)","GHGE, processor gate (kg CO2e/kg)"),INDIRECT($K119)),GETPIVOTDATA(IF($J119=1,"Average of ACTIVE     GHGE, FARM GATE (kg CO2e/kg)","Average of GHGE, processor gate (kg CO2e/kg)"),'Pivot Table_GHG'!$A$3,"SUB TYPE",$B119))</f>
        <v>4.4600000000000001E-2</v>
      </c>
      <c r="S119" s="221">
        <f ca="1">IF($P119="PROXY",DSTDEV('literature entries'!$D:$AI,IF($J119=1,"ACTIVE     GHGE, FARM GATE (kg CO2e/kg)","GHGE, processor gate (kg CO2e/kg)"),INDIRECT($K119)),GETPIVOTDATA(IF($J119=1,"StdDev of ACTIVE     GHGE, FARM GATE (kg CO2e/kg)","StdDev of GHGE, processor gate (kg CO2e/kg)"),'Pivot Table_GHG'!$A$3,"SUB TYPE",$B119))</f>
        <v>2.7660350684689455E-2</v>
      </c>
      <c r="T119" s="101"/>
      <c r="U119" s="102"/>
      <c r="W119" s="248" t="s">
        <v>3370</v>
      </c>
      <c r="X119" s="246">
        <f ca="1">IF($W119="DIRECT",M119,DCOUNT('literature entries'!$D:$AI,IF($J119=1,"ACTIVE     CED, FARM GATE (MJ/kg)","CED, processor gate (MJ/kg)"),INDIRECT($W119)))</f>
        <v>4</v>
      </c>
      <c r="Y119" s="246">
        <f ca="1">IF($W119="DIRECT","",DAVERAGE('literature entries'!$D:$AI,IF($J119=1,"ACTIVE     CED, FARM GATE (MJ/kg)","CED, processor gate (MJ/kg)"),INDIRECT($W119)))</f>
        <v>1.2949999999999999</v>
      </c>
      <c r="Z119" s="246">
        <f ca="1">IF($W119="DIRECT",$O119,DSTDEV('literature entries'!$D:$AI,IF($J119=1,"ACTIVE     CED, FARM GATE (MJ/kg)","CED, processor gate (MJ/kg)"),INDIRECT($W119)))</f>
        <v>0.49568134925574941</v>
      </c>
      <c r="AA119" s="246">
        <f t="shared" ca="1" si="13"/>
        <v>0.36745489983437796</v>
      </c>
      <c r="AB119" s="254" t="str">
        <f t="shared" ref="AB119:AB127" ca="1" si="15">IF(P119="PROXY",IF(Q119&gt;=5,K119,"need group"),IF(Q119&gt;=5,"DIRECT","need group"))</f>
        <v>DIRECT</v>
      </c>
      <c r="AC119" s="247">
        <f ca="1">IF($AB119="DIRECT",Q119,DCOUNT('literature entries'!$D:$AI,IF($J119=1,"ACTIVE     GHGE, FARM GATE (kg CO2e/kg)","GHGE, processor gate (kg CO2e/kg)"),INDIRECT($AB119)))</f>
        <v>5</v>
      </c>
      <c r="AD119" s="247" t="str">
        <f ca="1">IF($AB119="DIRECT","",DAVERAGE('literature entries'!$D:$AI,IF($J119=1,"ACTIVE     GHGE, FARM GATE (kg CO2e/kg)","GHGE, processor gate (kg CO2e/kg)"),INDIRECT($AB119)))</f>
        <v/>
      </c>
      <c r="AE119" s="247">
        <f ca="1">IF($AB119="DIRECT",$S119,DSTDEV('literature entries'!$D:$AI,IF($J119=1,"ACTIVE     GHGE, FARM GATE (kg CO2e/kg)","GHGE, processor gate (kg CO2e/kg)"),INDIRECT($AB119)))</f>
        <v>2.7660350684689455E-2</v>
      </c>
      <c r="AF119" s="247">
        <f t="shared" ca="1" si="14"/>
        <v>2.7660350684689455E-2</v>
      </c>
    </row>
    <row r="120" spans="1:32" s="21" customFormat="1" ht="17" thickBot="1" x14ac:dyDescent="0.25">
      <c r="A120" s="129">
        <v>1001106000</v>
      </c>
      <c r="B120" s="130" t="s">
        <v>1910</v>
      </c>
      <c r="C120" s="131" t="s">
        <v>1842</v>
      </c>
      <c r="D120" s="131"/>
      <c r="E120" s="131">
        <v>37</v>
      </c>
      <c r="F120" s="126">
        <f t="shared" ca="1" si="9"/>
        <v>5.2766666666666664</v>
      </c>
      <c r="G120" s="127">
        <f t="shared" ca="1" si="10"/>
        <v>0.59301426805976853</v>
      </c>
      <c r="H120" s="132">
        <v>2</v>
      </c>
      <c r="I120" s="133" t="s">
        <v>2751</v>
      </c>
      <c r="J120" s="91">
        <v>1</v>
      </c>
      <c r="K120" s="90" t="s">
        <v>2458</v>
      </c>
      <c r="L120" s="152" t="str">
        <f>IF(ISERROR(GETPIVOTDATA(IF($J120=1,"Count of ACTIVE     CED, FARM GATE (MJ/kg)","Count of CED, processor gate (MJ/kg)"),'Pivot Table_CED'!$A$3,"SUB TYPE",$B120)),"PROXY",IF(GETPIVOTDATA(IF($J120=1,"Count of ACTIVE     CED, FARM GATE (MJ/kg)","Count of CED, processor gate (MJ/kg)"),'Pivot Table_CED'!$A$3,"SUB TYPE",$B120)=0,"PROXY","DB value"))</f>
        <v>PROXY</v>
      </c>
      <c r="M120" s="134">
        <f ca="1">IF($L120="PROXY",DCOUNT('literature entries'!$D:$AI,IF($J120=1,"ACTIVE     CED, FARM GATE (MJ/kg)","CED, processor gate (MJ/kg)"),INDIRECT($K120)),GETPIVOTDATA(IF($J120=1,"Count of ACTIVE     CED, FARM GATE (MJ/kg)","Count of CED, processor gate (MJ/kg)"),'Pivot Table_CED'!$A$3,"SUB TYPE",$B120))</f>
        <v>6</v>
      </c>
      <c r="N120" s="135">
        <f ca="1">IF($L120="PROXY",DAVERAGE('literature entries'!$D:$AI,IF($J120=1,"ACTIVE     CED, FARM GATE (MJ/kg)","CED, processor gate (MJ/kg)"),INDIRECT($K120)),GETPIVOTDATA(IF($J120=1,"Average of ACTIVE     CED, FARM GATE (MJ/kg)","Average of CED, processor gate (MJ/kg)"),'Pivot Table_CED'!$A$3,"SUB TYPE",$B120))</f>
        <v>2.6383333333333332</v>
      </c>
      <c r="O120" s="135">
        <f ca="1">IF($L120="PROXY",DSTDEV('literature entries'!D:AI,IF($J120=1,"ACTIVE     CED, FARM GATE (MJ/kg)","CED, processor gate (MJ/kg)"),INDIRECT($K120)),GETPIVOTDATA(IF($J120=1,"StdDev of ACTIVE     CED, FARM GATE (MJ/kg)","StdDev of CED, processor gate (MJ/kg)"),'Pivot Table_CED'!$A$3,"SUB TYPE",$B120))</f>
        <v>0.64558242437869295</v>
      </c>
      <c r="P120" s="152" t="str">
        <f>IF(ISERROR(GETPIVOTDATA(IF($J120=1,"Count of ACTIVE     GHGE, FARM GATE (kg CO2e/kg)","Count of GHGE, processor gate (kg CO2e/kg)"),'Pivot Table_GHG'!$A$3,"SUB TYPE",$B120)),"PROXY",IF(GETPIVOTDATA(IF($J120=1,"Count of ACTIVE     GHGE, FARM GATE (kg CO2e/kg)","Count of GHGE, processor gate (kg CO2e/kg)"),'Pivot Table_GHG'!$A$3,"SUB TYPE",$B120)=0,"PROXY","DB value"))</f>
        <v>PROXY</v>
      </c>
      <c r="Q120" s="141">
        <f ca="1">IF($P120="PROXY",DCOUNT('literature entries'!$D:$AI,IF($J120=1,"ACTIVE     GHGE, FARM GATE (kg CO2e/kg)","GHGE, processor gate (kg CO2e/kg)"),INDIRECT($K120)),GETPIVOTDATA(IF($J120=1,"ACTIVE     GHGE, FARM GATE (kg CO2e/kg)","Count of GHGE, processor gate (kg CO2e/kg)"),'Pivot Table_GHG'!$A$3,"SUB TYPE",$B120))</f>
        <v>23</v>
      </c>
      <c r="R120" s="221">
        <f ca="1">IF($P120="PROXY",DAVERAGE('literature entries'!$D:$AI,IF($J120=1,"ACTIVE     GHGE, FARM GATE (kg CO2e/kg)","GHGE, processor gate (kg CO2e/kg)"),INDIRECT($K120)),GETPIVOTDATA(IF($J120=1,"Average of ACTIVE     GHGE, FARM GATE (kg CO2e/kg)","Average of GHGE, processor gate (kg CO2e/kg)"),'Pivot Table_GHG'!$A$3,"SUB TYPE",$B120))</f>
        <v>0.29650713402988427</v>
      </c>
      <c r="S120" s="221">
        <f ca="1">IF($P120="PROXY",DSTDEV('literature entries'!$D:$AI,IF($J120=1,"ACTIVE     GHGE, FARM GATE (kg CO2e/kg)","GHGE, processor gate (kg CO2e/kg)"),INDIRECT($K120)),GETPIVOTDATA(IF($J120=1,"StdDev of ACTIVE     GHGE, FARM GATE (kg CO2e/kg)","StdDev of GHGE, processor gate (kg CO2e/kg)"),'Pivot Table_GHG'!$A$3,"SUB TYPE",$B120))</f>
        <v>0.21093968918220651</v>
      </c>
      <c r="T120" s="101"/>
      <c r="U120" s="102"/>
      <c r="W120" s="248" t="str">
        <f ca="1">IF(L120="PROXY",IF(M120&gt;=5,K120,"need group"),IF(M120&gt;=5,"DIRECT","need group"))</f>
        <v>citrus</v>
      </c>
      <c r="X120" s="246">
        <f ca="1">IF($W120="DIRECT",M120,DCOUNT('literature entries'!$D:$AI,IF($J120=1,"ACTIVE     CED, FARM GATE (MJ/kg)","CED, processor gate (MJ/kg)"),INDIRECT($W120)))</f>
        <v>6</v>
      </c>
      <c r="Y120" s="246">
        <f ca="1">IF($W120="DIRECT","",DAVERAGE('literature entries'!$D:$AI,IF($J120=1,"ACTIVE     CED, FARM GATE (MJ/kg)","CED, processor gate (MJ/kg)"),INDIRECT($W120)))</f>
        <v>2.6383333333333332</v>
      </c>
      <c r="Z120" s="246">
        <f ca="1">IF($W120="DIRECT",$O120,DSTDEV('literature entries'!$D:$AI,IF($J120=1,"ACTIVE     CED, FARM GATE (MJ/kg)","CED, processor gate (MJ/kg)"),INDIRECT($W120)))</f>
        <v>0.64558242437869295</v>
      </c>
      <c r="AA120" s="246">
        <f t="shared" ca="1" si="13"/>
        <v>0.64558242437869295</v>
      </c>
      <c r="AB120" s="254" t="str">
        <f t="shared" ca="1" si="15"/>
        <v>citrus</v>
      </c>
      <c r="AC120" s="247">
        <f ca="1">IF($AB120="DIRECT",Q120,DCOUNT('literature entries'!$D:$AI,IF($J120=1,"ACTIVE     GHGE, FARM GATE (kg CO2e/kg)","GHGE, processor gate (kg CO2e/kg)"),INDIRECT($AB120)))</f>
        <v>23</v>
      </c>
      <c r="AD120" s="247">
        <f ca="1">IF($AB120="DIRECT","",DAVERAGE('literature entries'!$D:$AI,IF($J120=1,"ACTIVE     GHGE, FARM GATE (kg CO2e/kg)","GHGE, processor gate (kg CO2e/kg)"),INDIRECT($AB120)))</f>
        <v>0.29650713402988427</v>
      </c>
      <c r="AE120" s="247">
        <f ca="1">IF($AB120="DIRECT",$S120,DSTDEV('literature entries'!$D:$AI,IF($J120=1,"ACTIVE     GHGE, FARM GATE (kg CO2e/kg)","GHGE, processor gate (kg CO2e/kg)"),INDIRECT($AB120)))</f>
        <v>0.21093968918220651</v>
      </c>
      <c r="AF120" s="247">
        <f t="shared" ca="1" si="14"/>
        <v>0.21093968918220649</v>
      </c>
    </row>
    <row r="121" spans="1:32" s="21" customFormat="1" ht="17" thickBot="1" x14ac:dyDescent="0.25">
      <c r="A121" s="129">
        <v>1001107000</v>
      </c>
      <c r="B121" s="130" t="s">
        <v>1911</v>
      </c>
      <c r="C121" s="131" t="s">
        <v>1912</v>
      </c>
      <c r="D121" s="131" t="s">
        <v>1913</v>
      </c>
      <c r="E121" s="131">
        <v>20</v>
      </c>
      <c r="F121" s="126">
        <f t="shared" ca="1" si="9"/>
        <v>3.56175</v>
      </c>
      <c r="G121" s="127">
        <f t="shared" ca="1" si="10"/>
        <v>0.40028463094034378</v>
      </c>
      <c r="H121" s="132">
        <v>1.35</v>
      </c>
      <c r="I121" s="133" t="s">
        <v>2752</v>
      </c>
      <c r="J121" s="91">
        <v>1</v>
      </c>
      <c r="K121" s="90" t="s">
        <v>2458</v>
      </c>
      <c r="L121" s="152" t="str">
        <f>IF(ISERROR(GETPIVOTDATA(IF($J121=1,"Count of ACTIVE     CED, FARM GATE (MJ/kg)","Count of CED, processor gate (MJ/kg)"),'Pivot Table_CED'!$A$3,"SUB TYPE",$B121)),"PROXY",IF(GETPIVOTDATA(IF($J121=1,"Count of ACTIVE     CED, FARM GATE (MJ/kg)","Count of CED, processor gate (MJ/kg)"),'Pivot Table_CED'!$A$3,"SUB TYPE",$B121)=0,"PROXY","DB value"))</f>
        <v>PROXY</v>
      </c>
      <c r="M121" s="134">
        <f ca="1">IF($L121="PROXY",DCOUNT('literature entries'!$D:$AI,IF($J121=1,"ACTIVE     CED, FARM GATE (MJ/kg)","CED, processor gate (MJ/kg)"),INDIRECT($K121)),GETPIVOTDATA(IF($J121=1,"Count of ACTIVE     CED, FARM GATE (MJ/kg)","Count of CED, processor gate (MJ/kg)"),'Pivot Table_CED'!$A$3,"SUB TYPE",$B121))</f>
        <v>6</v>
      </c>
      <c r="N121" s="135">
        <f ca="1">IF($L121="PROXY",DAVERAGE('literature entries'!$D:$AI,IF($J121=1,"ACTIVE     CED, FARM GATE (MJ/kg)","CED, processor gate (MJ/kg)"),INDIRECT($K121)),GETPIVOTDATA(IF($J121=1,"Average of ACTIVE     CED, FARM GATE (MJ/kg)","Average of CED, processor gate (MJ/kg)"),'Pivot Table_CED'!$A$3,"SUB TYPE",$B121))</f>
        <v>2.6383333333333332</v>
      </c>
      <c r="O121" s="135">
        <f ca="1">IF($L121="PROXY",DSTDEV('literature entries'!D:AI,IF($J121=1,"ACTIVE     CED, FARM GATE (MJ/kg)","CED, processor gate (MJ/kg)"),INDIRECT($K121)),GETPIVOTDATA(IF($J121=1,"StdDev of ACTIVE     CED, FARM GATE (MJ/kg)","StdDev of CED, processor gate (MJ/kg)"),'Pivot Table_CED'!$A$3,"SUB TYPE",$B121))</f>
        <v>0.64558242437869295</v>
      </c>
      <c r="P121" s="152" t="str">
        <f>IF(ISERROR(GETPIVOTDATA(IF($J121=1,"Count of ACTIVE     GHGE, FARM GATE (kg CO2e/kg)","Count of GHGE, processor gate (kg CO2e/kg)"),'Pivot Table_GHG'!$A$3,"SUB TYPE",$B121)),"PROXY",IF(GETPIVOTDATA(IF($J121=1,"Count of ACTIVE     GHGE, FARM GATE (kg CO2e/kg)","Count of GHGE, processor gate (kg CO2e/kg)"),'Pivot Table_GHG'!$A$3,"SUB TYPE",$B121)=0,"PROXY","DB value"))</f>
        <v>PROXY</v>
      </c>
      <c r="Q121" s="141">
        <f ca="1">IF($P121="PROXY",DCOUNT('literature entries'!$D:$AI,IF($J121=1,"ACTIVE     GHGE, FARM GATE (kg CO2e/kg)","GHGE, processor gate (kg CO2e/kg)"),INDIRECT($K121)),GETPIVOTDATA(IF($J121=1,"ACTIVE     GHGE, FARM GATE (kg CO2e/kg)","Count of GHGE, processor gate (kg CO2e/kg)"),'Pivot Table_GHG'!$A$3,"SUB TYPE",$B121))</f>
        <v>23</v>
      </c>
      <c r="R121" s="221">
        <f ca="1">IF($P121="PROXY",DAVERAGE('literature entries'!$D:$AI,IF($J121=1,"ACTIVE     GHGE, FARM GATE (kg CO2e/kg)","GHGE, processor gate (kg CO2e/kg)"),INDIRECT($K121)),GETPIVOTDATA(IF($J121=1,"Average of ACTIVE     GHGE, FARM GATE (kg CO2e/kg)","Average of GHGE, processor gate (kg CO2e/kg)"),'Pivot Table_GHG'!$A$3,"SUB TYPE",$B121))</f>
        <v>0.29650713402988427</v>
      </c>
      <c r="S121" s="221">
        <f ca="1">IF($P121="PROXY",DSTDEV('literature entries'!$D:$AI,IF($J121=1,"ACTIVE     GHGE, FARM GATE (kg CO2e/kg)","GHGE, processor gate (kg CO2e/kg)"),INDIRECT($K121)),GETPIVOTDATA(IF($J121=1,"StdDev of ACTIVE     GHGE, FARM GATE (kg CO2e/kg)","StdDev of GHGE, processor gate (kg CO2e/kg)"),'Pivot Table_GHG'!$A$3,"SUB TYPE",$B121))</f>
        <v>0.21093968918220651</v>
      </c>
      <c r="T121" s="101"/>
      <c r="U121" s="102"/>
      <c r="W121" s="248" t="str">
        <f ca="1">IF(L121="PROXY",IF(M121&gt;=5,K121,"need group"),IF(M121&gt;=5,"DIRECT","need group"))</f>
        <v>citrus</v>
      </c>
      <c r="X121" s="246">
        <f ca="1">IF($W121="DIRECT",M121,DCOUNT('literature entries'!$D:$AI,IF($J121=1,"ACTIVE     CED, FARM GATE (MJ/kg)","CED, processor gate (MJ/kg)"),INDIRECT($W121)))</f>
        <v>6</v>
      </c>
      <c r="Y121" s="246">
        <f ca="1">IF($W121="DIRECT","",DAVERAGE('literature entries'!$D:$AI,IF($J121=1,"ACTIVE     CED, FARM GATE (MJ/kg)","CED, processor gate (MJ/kg)"),INDIRECT($W121)))</f>
        <v>2.6383333333333332</v>
      </c>
      <c r="Z121" s="246">
        <f ca="1">IF($W121="DIRECT",$O121,DSTDEV('literature entries'!$D:$AI,IF($J121=1,"ACTIVE     CED, FARM GATE (MJ/kg)","CED, processor gate (MJ/kg)"),INDIRECT($W121)))</f>
        <v>0.64558242437869295</v>
      </c>
      <c r="AA121" s="246">
        <f t="shared" ca="1" si="13"/>
        <v>0.64558242437869295</v>
      </c>
      <c r="AB121" s="254" t="str">
        <f t="shared" ca="1" si="15"/>
        <v>citrus</v>
      </c>
      <c r="AC121" s="247">
        <f ca="1">IF($AB121="DIRECT",Q121,DCOUNT('literature entries'!$D:$AI,IF($J121=1,"ACTIVE     GHGE, FARM GATE (kg CO2e/kg)","GHGE, processor gate (kg CO2e/kg)"),INDIRECT($AB121)))</f>
        <v>23</v>
      </c>
      <c r="AD121" s="247">
        <f ca="1">IF($AB121="DIRECT","",DAVERAGE('literature entries'!$D:$AI,IF($J121=1,"ACTIVE     GHGE, FARM GATE (kg CO2e/kg)","GHGE, processor gate (kg CO2e/kg)"),INDIRECT($AB121)))</f>
        <v>0.29650713402988427</v>
      </c>
      <c r="AE121" s="247">
        <f ca="1">IF($AB121="DIRECT",$S121,DSTDEV('literature entries'!$D:$AI,IF($J121=1,"ACTIVE     GHGE, FARM GATE (kg CO2e/kg)","GHGE, processor gate (kg CO2e/kg)"),INDIRECT($AB121)))</f>
        <v>0.21093968918220651</v>
      </c>
      <c r="AF121" s="247">
        <f t="shared" ca="1" si="14"/>
        <v>0.21093968918220649</v>
      </c>
    </row>
    <row r="122" spans="1:32" s="21" customFormat="1" thickBot="1" x14ac:dyDescent="0.25">
      <c r="A122" s="129">
        <v>1001240000</v>
      </c>
      <c r="B122" s="130" t="s">
        <v>2109</v>
      </c>
      <c r="C122" s="131" t="s">
        <v>1912</v>
      </c>
      <c r="D122" s="131"/>
      <c r="E122" s="131">
        <v>3262</v>
      </c>
      <c r="F122" s="126">
        <f t="shared" ca="1" si="9"/>
        <v>3.7263999999999999</v>
      </c>
      <c r="G122" s="127">
        <f t="shared" ca="1" si="10"/>
        <v>0.2936715225601273</v>
      </c>
      <c r="H122" s="132">
        <v>1.37</v>
      </c>
      <c r="I122" s="132" t="s">
        <v>2724</v>
      </c>
      <c r="J122" s="91">
        <v>1</v>
      </c>
      <c r="K122" s="90"/>
      <c r="L122" s="152" t="str">
        <f>IF(ISERROR(GETPIVOTDATA(IF($J122=1,"Count of ACTIVE     CED, FARM GATE (MJ/kg)","Count of CED, processor gate (MJ/kg)"),'Pivot Table_CED'!$A$3,"SUB TYPE",$B122)),"PROXY",IF(GETPIVOTDATA(IF($J122=1,"Count of ACTIVE     CED, FARM GATE (MJ/kg)","Count of CED, processor gate (MJ/kg)"),'Pivot Table_CED'!$A$3,"SUB TYPE",$B122)=0,"PROXY","DB value"))</f>
        <v>DB value</v>
      </c>
      <c r="M122" s="134">
        <f ca="1">IF($L122="PROXY",DCOUNT('literature entries'!$D:$AI,IF($J122=1,"ACTIVE     CED, FARM GATE (MJ/kg)","CED, processor gate (MJ/kg)"),INDIRECT($K122)),GETPIVOTDATA(IF($J122=1,"Count of ACTIVE     CED, FARM GATE (MJ/kg)","Count of CED, processor gate (MJ/kg)"),'Pivot Table_CED'!$A$3,"SUB TYPE",$B122))</f>
        <v>4</v>
      </c>
      <c r="N122" s="135">
        <f ca="1">IF($L122="PROXY",DAVERAGE('literature entries'!$D:$AI,IF($J122=1,"ACTIVE     CED, FARM GATE (MJ/kg)","CED, processor gate (MJ/kg)"),INDIRECT($K122)),GETPIVOTDATA(IF($J122=1,"Average of ACTIVE     CED, FARM GATE (MJ/kg)","Average of CED, processor gate (MJ/kg)"),'Pivot Table_CED'!$A$3,"SUB TYPE",$B122))</f>
        <v>2.7199999999999998</v>
      </c>
      <c r="O122" s="135">
        <f ca="1">IF($L122="PROXY",DSTDEV('literature entries'!D:AI,IF($J122=1,"ACTIVE     CED, FARM GATE (MJ/kg)","CED, processor gate (MJ/kg)"),INDIRECT($K122)),GETPIVOTDATA(IF($J122=1,"StdDev of ACTIVE     CED, FARM GATE (MJ/kg)","StdDev of CED, processor gate (MJ/kg)"),'Pivot Table_CED'!$A$3,"SUB TYPE",$B122))</f>
        <v>0.75775985641890686</v>
      </c>
      <c r="P122" s="152" t="str">
        <f>IF(ISERROR(GETPIVOTDATA(IF($J122=1,"Count of ACTIVE     GHGE, FARM GATE (kg CO2e/kg)","Count of GHGE, processor gate (kg CO2e/kg)"),'Pivot Table_GHG'!$A$3,"SUB TYPE",$B122)),"PROXY",IF(GETPIVOTDATA(IF($J122=1,"Count of ACTIVE     GHGE, FARM GATE (kg CO2e/kg)","Count of GHGE, processor gate (kg CO2e/kg)"),'Pivot Table_GHG'!$A$3,"SUB TYPE",$B122)=0,"PROXY","DB value"))</f>
        <v>DB value</v>
      </c>
      <c r="Q122" s="141">
        <f ca="1">IF($P122="PROXY",DCOUNT('literature entries'!$D:$AI,IF($J122=1,"ACTIVE     GHGE, FARM GATE (kg CO2e/kg)","GHGE, processor gate (kg CO2e/kg)"),INDIRECT($K122)),GETPIVOTDATA(IF($J122=1,"ACTIVE     GHGE, FARM GATE (kg CO2e/kg)","Count of GHGE, processor gate (kg CO2e/kg)"),'Pivot Table_GHG'!$A$3,"SUB TYPE",$B122))</f>
        <v>13</v>
      </c>
      <c r="R122" s="221">
        <f ca="1">IF($P122="PROXY",DAVERAGE('literature entries'!$D:$AI,IF($J122=1,"ACTIVE     GHGE, FARM GATE (kg CO2e/kg)","GHGE, processor gate (kg CO2e/kg)"),INDIRECT($K122)),GETPIVOTDATA(IF($J122=1,"Average of ACTIVE     GHGE, FARM GATE (kg CO2e/kg)","Average of GHGE, processor gate (kg CO2e/kg)"),'Pivot Table_GHG'!$A$3,"SUB TYPE",$B122))</f>
        <v>0.21435877559133376</v>
      </c>
      <c r="S122" s="221">
        <f ca="1">IF($P122="PROXY",DSTDEV('literature entries'!$D:$AI,IF($J122=1,"ACTIVE     GHGE, FARM GATE (kg CO2e/kg)","GHGE, processor gate (kg CO2e/kg)"),INDIRECT($K122)),GETPIVOTDATA(IF($J122=1,"StdDev of ACTIVE     GHGE, FARM GATE (kg CO2e/kg)","StdDev of GHGE, processor gate (kg CO2e/kg)"),'Pivot Table_GHG'!$A$3,"SUB TYPE",$B122))</f>
        <v>8.445428045459806E-2</v>
      </c>
      <c r="T122" s="101"/>
      <c r="U122" s="102"/>
      <c r="W122" s="248" t="s">
        <v>2458</v>
      </c>
      <c r="X122" s="246">
        <f ca="1">IF($W122="DIRECT",M122,DCOUNT('literature entries'!$D:$AI,IF($J122=1,"ACTIVE     CED, FARM GATE (MJ/kg)","CED, processor gate (MJ/kg)"),INDIRECT($W122)))</f>
        <v>6</v>
      </c>
      <c r="Y122" s="246">
        <f ca="1">IF($W122="DIRECT","",DAVERAGE('literature entries'!$D:$AI,IF($J122=1,"ACTIVE     CED, FARM GATE (MJ/kg)","CED, processor gate (MJ/kg)"),INDIRECT($W122)))</f>
        <v>2.6383333333333332</v>
      </c>
      <c r="Z122" s="246">
        <f ca="1">IF($W122="DIRECT",$O122,DSTDEV('literature entries'!$D:$AI,IF($J122=1,"ACTIVE     CED, FARM GATE (MJ/kg)","CED, processor gate (MJ/kg)"),INDIRECT($W122)))</f>
        <v>0.64558242437869295</v>
      </c>
      <c r="AA122" s="246">
        <f t="shared" ca="1" si="13"/>
        <v>0.6655657085192842</v>
      </c>
      <c r="AB122" s="254" t="str">
        <f t="shared" ca="1" si="15"/>
        <v>DIRECT</v>
      </c>
      <c r="AC122" s="247">
        <f ca="1">IF($AB122="DIRECT",Q122,DCOUNT('literature entries'!$D:$AI,IF($J122=1,"ACTIVE     GHGE, FARM GATE (kg CO2e/kg)","GHGE, processor gate (kg CO2e/kg)"),INDIRECT($AB122)))</f>
        <v>13</v>
      </c>
      <c r="AD122" s="247" t="str">
        <f ca="1">IF($AB122="DIRECT","",DAVERAGE('literature entries'!$D:$AI,IF($J122=1,"ACTIVE     GHGE, FARM GATE (kg CO2e/kg)","GHGE, processor gate (kg CO2e/kg)"),INDIRECT($AB122)))</f>
        <v/>
      </c>
      <c r="AE122" s="247">
        <f ca="1">IF($AB122="DIRECT",$S122,DSTDEV('literature entries'!$D:$AI,IF($J122=1,"ACTIVE     GHGE, FARM GATE (kg CO2e/kg)","GHGE, processor gate (kg CO2e/kg)"),INDIRECT($AB122)))</f>
        <v>8.445428045459806E-2</v>
      </c>
      <c r="AF122" s="247">
        <f t="shared" ca="1" si="14"/>
        <v>8.445428045459806E-2</v>
      </c>
    </row>
    <row r="123" spans="1:32" s="21" customFormat="1" ht="17" thickBot="1" x14ac:dyDescent="0.25">
      <c r="A123" s="129">
        <v>1001241000</v>
      </c>
      <c r="B123" s="130" t="s">
        <v>2110</v>
      </c>
      <c r="C123" s="136" t="s">
        <v>1742</v>
      </c>
      <c r="D123" s="131"/>
      <c r="E123" s="131">
        <v>18007</v>
      </c>
      <c r="F123" s="126">
        <f t="shared" ca="1" si="9"/>
        <v>5.5726145038167934</v>
      </c>
      <c r="G123" s="127">
        <f t="shared" ca="1" si="10"/>
        <v>0.50938628992632562</v>
      </c>
      <c r="H123" s="132">
        <v>1</v>
      </c>
      <c r="I123" s="133" t="s">
        <v>628</v>
      </c>
      <c r="J123" s="91">
        <v>2</v>
      </c>
      <c r="K123" s="236"/>
      <c r="L123" s="152" t="str">
        <f>IF(ISERROR(GETPIVOTDATA(IF($J123=1,"Count of ACTIVE     CED, FARM GATE (MJ/kg)","Count of CED, processor gate (MJ/kg)"),'Pivot Table_CED'!$A$3,"SUB TYPE",$B123)),"PROXY",IF(GETPIVOTDATA(IF($J123=1,"Count of ACTIVE     CED, FARM GATE (MJ/kg)","Count of CED, processor gate (MJ/kg)"),'Pivot Table_CED'!$A$3,"SUB TYPE",$B123)=0,"PROXY","DB value"))</f>
        <v>DB value</v>
      </c>
      <c r="M123" s="134">
        <f ca="1">IF($L123="PROXY",DCOUNT('literature entries'!$D:$AI,IF($J123=1,"ACTIVE     CED, FARM GATE (MJ/kg)","CED, processor gate (MJ/kg)"),INDIRECT($K123)),GETPIVOTDATA(IF($J123=1,"Count of ACTIVE     CED, FARM GATE (MJ/kg)","Count of CED, processor gate (MJ/kg)"),'Pivot Table_CED'!$A$3,"SUB TYPE",$B123))</f>
        <v>2</v>
      </c>
      <c r="N123" s="135">
        <f ca="1">IF($L123="PROXY",DAVERAGE('literature entries'!$D:$AI,IF($J123=1,"ACTIVE     CED, FARM GATE (MJ/kg)","CED, processor gate (MJ/kg)"),INDIRECT($K123)),GETPIVOTDATA(IF($J123=1,"Average of ACTIVE     CED, FARM GATE (MJ/kg)","Average of CED, processor gate (MJ/kg)"),'Pivot Table_CED'!$A$3,"SUB TYPE",$B123))</f>
        <v>5.5726145038167934</v>
      </c>
      <c r="O123" s="135">
        <f ca="1">IF($L123="PROXY",DSTDEV('literature entries'!D:AI,IF($J123=1,"ACTIVE     CED, FARM GATE (MJ/kg)","CED, processor gate (MJ/kg)"),INDIRECT($K123)),GETPIVOTDATA(IF($J123=1,"StdDev of ACTIVE     CED, FARM GATE (MJ/kg)","StdDev of CED, processor gate (MJ/kg)"),'Pivot Table_CED'!$A$3,"SUB TYPE",$B123))</f>
        <v>3.998526914759271</v>
      </c>
      <c r="P123" s="152" t="str">
        <f>IF(ISERROR(GETPIVOTDATA(IF($J123=1,"Count of ACTIVE     GHGE, FARM GATE (kg CO2e/kg)","Count of GHGE, processor gate (kg CO2e/kg)"),'Pivot Table_GHG'!$A$3,"SUB TYPE",$B123)),"PROXY",IF(GETPIVOTDATA(IF($J123=1,"Count of ACTIVE     GHGE, FARM GATE (kg CO2e/kg)","Count of GHGE, processor gate (kg CO2e/kg)"),'Pivot Table_GHG'!$A$3,"SUB TYPE",$B123)=0,"PROXY","DB value"))</f>
        <v>DB value</v>
      </c>
      <c r="Q123" s="141">
        <f ca="1">IF($P123="PROXY",DCOUNT('literature entries'!$D:$AI,IF($J123=1,"ACTIVE     GHGE, FARM GATE (kg CO2e/kg)","GHGE, processor gate (kg CO2e/kg)"),INDIRECT($K123)),GETPIVOTDATA(IF($J123=1,"ACTIVE     GHGE, FARM GATE (kg CO2e/kg)","Count of GHGE, processor gate (kg CO2e/kg)"),'Pivot Table_GHG'!$A$3,"SUB TYPE",$B123))</f>
        <v>5</v>
      </c>
      <c r="R123" s="221">
        <f ca="1">IF($P123="PROXY",DAVERAGE('literature entries'!$D:$AI,IF($J123=1,"ACTIVE     GHGE, FARM GATE (kg CO2e/kg)","GHGE, processor gate (kg CO2e/kg)"),INDIRECT($K123)),GETPIVOTDATA(IF($J123=1,"Average of ACTIVE     GHGE, FARM GATE (kg CO2e/kg)","Average of GHGE, processor gate (kg CO2e/kg)"),'Pivot Table_GHG'!$A$3,"SUB TYPE",$B123))</f>
        <v>0.50938628992632562</v>
      </c>
      <c r="S123" s="221">
        <f ca="1">IF($P123="PROXY",DSTDEV('literature entries'!$D:$AI,IF($J123=1,"ACTIVE     GHGE, FARM GATE (kg CO2e/kg)","GHGE, processor gate (kg CO2e/kg)"),INDIRECT($K123)),GETPIVOTDATA(IF($J123=1,"StdDev of ACTIVE     GHGE, FARM GATE (kg CO2e/kg)","StdDev of GHGE, processor gate (kg CO2e/kg)"),'Pivot Table_GHG'!$A$3,"SUB TYPE",$B123))</f>
        <v>0.2724524805172428</v>
      </c>
      <c r="T123" s="101"/>
      <c r="U123" s="102"/>
      <c r="W123" s="258" t="s">
        <v>2458</v>
      </c>
      <c r="X123" s="246">
        <f ca="1">IF($W123="DIRECT",M123,DCOUNT('literature entries'!$D:$AI,"ACTIVE     CED, FARM GATE (MJ/kg)",INDIRECT($W123)))</f>
        <v>6</v>
      </c>
      <c r="Y123" s="246">
        <f ca="1">IF($W123="DIRECT","",DAVERAGE('literature entries'!$D:$AI,"ACTIVE     CED, FARM GATE (MJ/kg)",INDIRECT($W123)))</f>
        <v>2.6383333333333332</v>
      </c>
      <c r="Z123" s="246">
        <f ca="1">IF($W123="DIRECT",$O123,DSTDEV('literature entries'!$D:$AI,"ACTIVE     CED, FARM GATE (MJ/kg)",INDIRECT($W123)))</f>
        <v>0.64558242437869295</v>
      </c>
      <c r="AA123" s="246">
        <f t="shared" ca="1" si="13"/>
        <v>1.3635812943153176</v>
      </c>
      <c r="AB123" s="254" t="str">
        <f t="shared" ca="1" si="15"/>
        <v>DIRECT</v>
      </c>
      <c r="AC123" s="247">
        <f ca="1">IF($AB123="DIRECT",Q123,DCOUNT('literature entries'!$D:$AI,IF($J123=1,"ACTIVE     GHGE, FARM GATE (kg CO2e/kg)","GHGE, processor gate (kg CO2e/kg)"),INDIRECT($AB123)))</f>
        <v>5</v>
      </c>
      <c r="AD123" s="247" t="str">
        <f ca="1">IF($AB123="DIRECT","",DAVERAGE('literature entries'!$D:$AI,IF($J123=1,"ACTIVE     GHGE, FARM GATE (kg CO2e/kg)","GHGE, processor gate (kg CO2e/kg)"),INDIRECT($AB123)))</f>
        <v/>
      </c>
      <c r="AE123" s="247">
        <f ca="1">IF($AB123="DIRECT",$S123,DSTDEV('literature entries'!$D:$AI,IF($J123=1,"ACTIVE     GHGE, FARM GATE (kg CO2e/kg)","GHGE, processor gate (kg CO2e/kg)"),INDIRECT($AB123)))</f>
        <v>0.2724524805172428</v>
      </c>
      <c r="AF123" s="247">
        <f t="shared" ca="1" si="14"/>
        <v>0.2724524805172428</v>
      </c>
    </row>
    <row r="124" spans="1:32" s="21" customFormat="1" ht="17" thickBot="1" x14ac:dyDescent="0.25">
      <c r="A124" s="129">
        <v>1001242000</v>
      </c>
      <c r="B124" s="130" t="s">
        <v>2111</v>
      </c>
      <c r="C124" s="131" t="s">
        <v>2052</v>
      </c>
      <c r="D124" s="131"/>
      <c r="E124" s="131">
        <v>202</v>
      </c>
      <c r="F124" s="126">
        <f t="shared" ca="1" si="9"/>
        <v>2.7199999999999998</v>
      </c>
      <c r="G124" s="127">
        <f t="shared" ca="1" si="10"/>
        <v>0.21435877559133376</v>
      </c>
      <c r="H124" s="132">
        <v>1</v>
      </c>
      <c r="I124" s="133" t="s">
        <v>594</v>
      </c>
      <c r="J124" s="91">
        <v>1</v>
      </c>
      <c r="K124" s="90" t="s">
        <v>2769</v>
      </c>
      <c r="L124" s="152" t="str">
        <f>IF(ISERROR(GETPIVOTDATA(IF($J124=1,"Count of ACTIVE     CED, FARM GATE (MJ/kg)","Count of CED, processor gate (MJ/kg)"),'Pivot Table_CED'!$A$3,"SUB TYPE",$B124)),"PROXY",IF(GETPIVOTDATA(IF($J124=1,"Count of ACTIVE     CED, FARM GATE (MJ/kg)","Count of CED, processor gate (MJ/kg)"),'Pivot Table_CED'!$A$3,"SUB TYPE",$B124)=0,"PROXY","DB value"))</f>
        <v>PROXY</v>
      </c>
      <c r="M124" s="134">
        <f ca="1">IF($L124="PROXY",DCOUNT('literature entries'!$D:$AI,IF($J124=1,"ACTIVE     CED, FARM GATE (MJ/kg)","CED, processor gate (MJ/kg)"),INDIRECT($K124)),GETPIVOTDATA(IF($J124=1,"Count of ACTIVE     CED, FARM GATE (MJ/kg)","Count of CED, processor gate (MJ/kg)"),'Pivot Table_CED'!$A$3,"SUB TYPE",$B124))</f>
        <v>4</v>
      </c>
      <c r="N124" s="135">
        <f ca="1">IF($L124="PROXY",DAVERAGE('literature entries'!$D:$AI,IF($J124=1,"ACTIVE     CED, FARM GATE (MJ/kg)","CED, processor gate (MJ/kg)"),INDIRECT($K124)),GETPIVOTDATA(IF($J124=1,"Average of ACTIVE     CED, FARM GATE (MJ/kg)","Average of CED, processor gate (MJ/kg)"),'Pivot Table_CED'!$A$3,"SUB TYPE",$B124))</f>
        <v>2.7199999999999998</v>
      </c>
      <c r="O124" s="135">
        <f ca="1">IF($L124="PROXY",DSTDEV('literature entries'!D:AI,IF($J124=1,"ACTIVE     CED, FARM GATE (MJ/kg)","CED, processor gate (MJ/kg)"),INDIRECT($K124)),GETPIVOTDATA(IF($J124=1,"StdDev of ACTIVE     CED, FARM GATE (MJ/kg)","StdDev of CED, processor gate (MJ/kg)"),'Pivot Table_CED'!$A$3,"SUB TYPE",$B124))</f>
        <v>0.75775985641890686</v>
      </c>
      <c r="P124" s="152" t="str">
        <f>IF(ISERROR(GETPIVOTDATA(IF($J124=1,"Count of ACTIVE     GHGE, FARM GATE (kg CO2e/kg)","Count of GHGE, processor gate (kg CO2e/kg)"),'Pivot Table_GHG'!$A$3,"SUB TYPE",$B124)),"PROXY",IF(GETPIVOTDATA(IF($J124=1,"Count of ACTIVE     GHGE, FARM GATE (kg CO2e/kg)","Count of GHGE, processor gate (kg CO2e/kg)"),'Pivot Table_GHG'!$A$3,"SUB TYPE",$B124)=0,"PROXY","DB value"))</f>
        <v>PROXY</v>
      </c>
      <c r="Q124" s="141">
        <f ca="1">IF($P124="PROXY",DCOUNT('literature entries'!$D:$AI,IF($J124=1,"ACTIVE     GHGE, FARM GATE (kg CO2e/kg)","GHGE, processor gate (kg CO2e/kg)"),INDIRECT($K124)),GETPIVOTDATA(IF($J124=1,"ACTIVE     GHGE, FARM GATE (kg CO2e/kg)","Count of GHGE, processor gate (kg CO2e/kg)"),'Pivot Table_GHG'!$A$3,"SUB TYPE",$B124))</f>
        <v>13</v>
      </c>
      <c r="R124" s="221">
        <f ca="1">IF($P124="PROXY",DAVERAGE('literature entries'!$D:$AI,IF($J124=1,"ACTIVE     GHGE, FARM GATE (kg CO2e/kg)","GHGE, processor gate (kg CO2e/kg)"),INDIRECT($K124)),GETPIVOTDATA(IF($J124=1,"Average of ACTIVE     GHGE, FARM GATE (kg CO2e/kg)","Average of GHGE, processor gate (kg CO2e/kg)"),'Pivot Table_GHG'!$A$3,"SUB TYPE",$B124))</f>
        <v>0.21435877559133376</v>
      </c>
      <c r="S124" s="221">
        <f ca="1">IF($P124="PROXY",DSTDEV('literature entries'!$D:$AI,IF($J124=1,"ACTIVE     GHGE, FARM GATE (kg CO2e/kg)","GHGE, processor gate (kg CO2e/kg)"),INDIRECT($K124)),GETPIVOTDATA(IF($J124=1,"StdDev of ACTIVE     GHGE, FARM GATE (kg CO2e/kg)","StdDev of GHGE, processor gate (kg CO2e/kg)"),'Pivot Table_GHG'!$A$3,"SUB TYPE",$B124))</f>
        <v>8.445428045459806E-2</v>
      </c>
      <c r="T124" s="101"/>
      <c r="U124" s="102"/>
      <c r="W124" s="248" t="s">
        <v>2458</v>
      </c>
      <c r="X124" s="246">
        <f ca="1">IF($W124="DIRECT",M124,DCOUNT('literature entries'!$D:$AI,IF($J124=1,"ACTIVE     CED, FARM GATE (MJ/kg)","CED, processor gate (MJ/kg)"),INDIRECT($W124)))</f>
        <v>6</v>
      </c>
      <c r="Y124" s="246">
        <f ca="1">IF($W124="DIRECT","",DAVERAGE('literature entries'!$D:$AI,IF($J124=1,"ACTIVE     CED, FARM GATE (MJ/kg)","CED, processor gate (MJ/kg)"),INDIRECT($W124)))</f>
        <v>2.6383333333333332</v>
      </c>
      <c r="Z124" s="246">
        <f ca="1">IF($W124="DIRECT",$O124,DSTDEV('literature entries'!$D:$AI,IF($J124=1,"ACTIVE     CED, FARM GATE (MJ/kg)","CED, processor gate (MJ/kg)"),INDIRECT($W124)))</f>
        <v>0.64558242437869295</v>
      </c>
      <c r="AA124" s="246">
        <f t="shared" ca="1" si="13"/>
        <v>0.6655657085192842</v>
      </c>
      <c r="AB124" s="254" t="str">
        <f t="shared" ca="1" si="15"/>
        <v>orange</v>
      </c>
      <c r="AC124" s="247">
        <f ca="1">IF($AB124="DIRECT",Q124,DCOUNT('literature entries'!$D:$AI,IF($J124=1,"ACTIVE     GHGE, FARM GATE (kg CO2e/kg)","GHGE, processor gate (kg CO2e/kg)"),INDIRECT($AB124)))</f>
        <v>13</v>
      </c>
      <c r="AD124" s="247">
        <f ca="1">IF($AB124="DIRECT","",DAVERAGE('literature entries'!$D:$AI,IF($J124=1,"ACTIVE     GHGE, FARM GATE (kg CO2e/kg)","GHGE, processor gate (kg CO2e/kg)"),INDIRECT($AB124)))</f>
        <v>0.21435877559133376</v>
      </c>
      <c r="AE124" s="247">
        <f ca="1">IF($AB124="DIRECT",$S124,DSTDEV('literature entries'!$D:$AI,IF($J124=1,"ACTIVE     GHGE, FARM GATE (kg CO2e/kg)","GHGE, processor gate (kg CO2e/kg)"),INDIRECT($AB124)))</f>
        <v>8.445428045459806E-2</v>
      </c>
      <c r="AF124" s="247">
        <f t="shared" ca="1" si="14"/>
        <v>8.445428045459806E-2</v>
      </c>
    </row>
    <row r="125" spans="1:32" s="21" customFormat="1" thickBot="1" x14ac:dyDescent="0.25">
      <c r="A125" s="129">
        <v>1001369000</v>
      </c>
      <c r="B125" s="130" t="s">
        <v>2298</v>
      </c>
      <c r="C125" s="131" t="s">
        <v>1912</v>
      </c>
      <c r="D125" s="131" t="s">
        <v>2299</v>
      </c>
      <c r="E125" s="131">
        <v>720</v>
      </c>
      <c r="F125" s="126">
        <f t="shared" ca="1" si="9"/>
        <v>3.56175</v>
      </c>
      <c r="G125" s="127">
        <f t="shared" ca="1" si="10"/>
        <v>0.40028463094034378</v>
      </c>
      <c r="H125" s="132">
        <v>1.35</v>
      </c>
      <c r="I125" s="132" t="s">
        <v>2724</v>
      </c>
      <c r="J125" s="91">
        <v>1</v>
      </c>
      <c r="K125" s="90" t="s">
        <v>2458</v>
      </c>
      <c r="L125" s="152" t="str">
        <f>IF(ISERROR(GETPIVOTDATA(IF($J125=1,"Count of ACTIVE     CED, FARM GATE (MJ/kg)","Count of CED, processor gate (MJ/kg)"),'Pivot Table_CED'!$A$3,"SUB TYPE",$B125)),"PROXY",IF(GETPIVOTDATA(IF($J125=1,"Count of ACTIVE     CED, FARM GATE (MJ/kg)","Count of CED, processor gate (MJ/kg)"),'Pivot Table_CED'!$A$3,"SUB TYPE",$B125)=0,"PROXY","DB value"))</f>
        <v>PROXY</v>
      </c>
      <c r="M125" s="134">
        <f ca="1">IF($L125="PROXY",DCOUNT('literature entries'!$D:$AI,IF($J125=1,"ACTIVE     CED, FARM GATE (MJ/kg)","CED, processor gate (MJ/kg)"),INDIRECT($K125)),GETPIVOTDATA(IF($J125=1,"Count of ACTIVE     CED, FARM GATE (MJ/kg)","Count of CED, processor gate (MJ/kg)"),'Pivot Table_CED'!$A$3,"SUB TYPE",$B125))</f>
        <v>6</v>
      </c>
      <c r="N125" s="135">
        <f ca="1">IF($L125="PROXY",DAVERAGE('literature entries'!$D:$AI,IF($J125=1,"ACTIVE     CED, FARM GATE (MJ/kg)","CED, processor gate (MJ/kg)"),INDIRECT($K125)),GETPIVOTDATA(IF($J125=1,"Average of ACTIVE     CED, FARM GATE (MJ/kg)","Average of CED, processor gate (MJ/kg)"),'Pivot Table_CED'!$A$3,"SUB TYPE",$B125))</f>
        <v>2.6383333333333332</v>
      </c>
      <c r="O125" s="135">
        <f ca="1">IF($L125="PROXY",DSTDEV('literature entries'!D:AI,IF($J125=1,"ACTIVE     CED, FARM GATE (MJ/kg)","CED, processor gate (MJ/kg)"),INDIRECT($K125)),GETPIVOTDATA(IF($J125=1,"StdDev of ACTIVE     CED, FARM GATE (MJ/kg)","StdDev of CED, processor gate (MJ/kg)"),'Pivot Table_CED'!$A$3,"SUB TYPE",$B125))</f>
        <v>0.64558242437869295</v>
      </c>
      <c r="P125" s="152" t="str">
        <f>IF(ISERROR(GETPIVOTDATA(IF($J125=1,"Count of ACTIVE     GHGE, FARM GATE (kg CO2e/kg)","Count of GHGE, processor gate (kg CO2e/kg)"),'Pivot Table_GHG'!$A$3,"SUB TYPE",$B125)),"PROXY",IF(GETPIVOTDATA(IF($J125=1,"Count of ACTIVE     GHGE, FARM GATE (kg CO2e/kg)","Count of GHGE, processor gate (kg CO2e/kg)"),'Pivot Table_GHG'!$A$3,"SUB TYPE",$B125)=0,"PROXY","DB value"))</f>
        <v>PROXY</v>
      </c>
      <c r="Q125" s="141">
        <f ca="1">IF($P125="PROXY",DCOUNT('literature entries'!$D:$AI,IF($J125=1,"ACTIVE     GHGE, FARM GATE (kg CO2e/kg)","GHGE, processor gate (kg CO2e/kg)"),INDIRECT($K125)),GETPIVOTDATA(IF($J125=1,"ACTIVE     GHGE, FARM GATE (kg CO2e/kg)","Count of GHGE, processor gate (kg CO2e/kg)"),'Pivot Table_GHG'!$A$3,"SUB TYPE",$B125))</f>
        <v>23</v>
      </c>
      <c r="R125" s="221">
        <f ca="1">IF($P125="PROXY",DAVERAGE('literature entries'!$D:$AI,IF($J125=1,"ACTIVE     GHGE, FARM GATE (kg CO2e/kg)","GHGE, processor gate (kg CO2e/kg)"),INDIRECT($K125)),GETPIVOTDATA(IF($J125=1,"Average of ACTIVE     GHGE, FARM GATE (kg CO2e/kg)","Average of GHGE, processor gate (kg CO2e/kg)"),'Pivot Table_GHG'!$A$3,"SUB TYPE",$B125))</f>
        <v>0.29650713402988427</v>
      </c>
      <c r="S125" s="221">
        <f ca="1">IF($P125="PROXY",DSTDEV('literature entries'!$D:$AI,IF($J125=1,"ACTIVE     GHGE, FARM GATE (kg CO2e/kg)","GHGE, processor gate (kg CO2e/kg)"),INDIRECT($K125)),GETPIVOTDATA(IF($J125=1,"StdDev of ACTIVE     GHGE, FARM GATE (kg CO2e/kg)","StdDev of GHGE, processor gate (kg CO2e/kg)"),'Pivot Table_GHG'!$A$3,"SUB TYPE",$B125))</f>
        <v>0.21093968918220651</v>
      </c>
      <c r="T125" s="101"/>
      <c r="U125" s="102"/>
      <c r="W125" s="248" t="str">
        <f ca="1">IF(L125="PROXY",IF(M125&gt;=5,K125,"need group"),IF(M125&gt;=5,"DIRECT","need group"))</f>
        <v>citrus</v>
      </c>
      <c r="X125" s="246">
        <f ca="1">IF($W125="DIRECT",M125,DCOUNT('literature entries'!$D:$AI,IF($J125=1,"ACTIVE     CED, FARM GATE (MJ/kg)","CED, processor gate (MJ/kg)"),INDIRECT($W125)))</f>
        <v>6</v>
      </c>
      <c r="Y125" s="246">
        <f ca="1">IF($W125="DIRECT","",DAVERAGE('literature entries'!$D:$AI,IF($J125=1,"ACTIVE     CED, FARM GATE (MJ/kg)","CED, processor gate (MJ/kg)"),INDIRECT($W125)))</f>
        <v>2.6383333333333332</v>
      </c>
      <c r="Z125" s="246">
        <f ca="1">IF($W125="DIRECT",$O125,DSTDEV('literature entries'!$D:$AI,IF($J125=1,"ACTIVE     CED, FARM GATE (MJ/kg)","CED, processor gate (MJ/kg)"),INDIRECT($W125)))</f>
        <v>0.64558242437869295</v>
      </c>
      <c r="AA125" s="246">
        <f t="shared" ca="1" si="13"/>
        <v>0.64558242437869295</v>
      </c>
      <c r="AB125" s="254" t="str">
        <f t="shared" ca="1" si="15"/>
        <v>citrus</v>
      </c>
      <c r="AC125" s="247">
        <f ca="1">IF($AB125="DIRECT",Q125,DCOUNT('literature entries'!$D:$AI,IF($J125=1,"ACTIVE     GHGE, FARM GATE (kg CO2e/kg)","GHGE, processor gate (kg CO2e/kg)"),INDIRECT($AB125)))</f>
        <v>23</v>
      </c>
      <c r="AD125" s="247">
        <f ca="1">IF($AB125="DIRECT","",DAVERAGE('literature entries'!$D:$AI,IF($J125=1,"ACTIVE     GHGE, FARM GATE (kg CO2e/kg)","GHGE, processor gate (kg CO2e/kg)"),INDIRECT($AB125)))</f>
        <v>0.29650713402988427</v>
      </c>
      <c r="AE125" s="247">
        <f ca="1">IF($AB125="DIRECT",$S125,DSTDEV('literature entries'!$D:$AI,IF($J125=1,"ACTIVE     GHGE, FARM GATE (kg CO2e/kg)","GHGE, processor gate (kg CO2e/kg)"),INDIRECT($AB125)))</f>
        <v>0.21093968918220651</v>
      </c>
      <c r="AF125" s="247">
        <f t="shared" ca="1" si="14"/>
        <v>0.21093968918220649</v>
      </c>
    </row>
    <row r="126" spans="1:32" s="21" customFormat="1" ht="17" thickBot="1" x14ac:dyDescent="0.25">
      <c r="A126" s="129">
        <v>1001370000</v>
      </c>
      <c r="B126" s="130" t="s">
        <v>2300</v>
      </c>
      <c r="C126" s="131" t="s">
        <v>1742</v>
      </c>
      <c r="D126" s="131" t="s">
        <v>2301</v>
      </c>
      <c r="E126" s="131">
        <v>6891</v>
      </c>
      <c r="F126" s="126">
        <f t="shared" ca="1" si="9"/>
        <v>10.558666666666667</v>
      </c>
      <c r="G126" s="127">
        <f t="shared" ca="1" si="10"/>
        <v>1.5720933941397686</v>
      </c>
      <c r="H126" s="132">
        <v>2</v>
      </c>
      <c r="I126" s="133" t="s">
        <v>2724</v>
      </c>
      <c r="J126" s="91">
        <v>1</v>
      </c>
      <c r="K126" s="90" t="s">
        <v>2458</v>
      </c>
      <c r="L126" s="152" t="str">
        <f>IF(ISERROR(GETPIVOTDATA(IF($J126=1,"Count of ACTIVE     CED, FARM GATE (MJ/kg)","Count of CED, processor gate (MJ/kg)"),'Pivot Table_CED'!$A$3,"SUB TYPE",$B126)),"PROXY",IF(GETPIVOTDATA(IF($J126=1,"Count of ACTIVE     CED, FARM GATE (MJ/kg)","Count of CED, processor gate (MJ/kg)"),'Pivot Table_CED'!$A$3,"SUB TYPE",$B126)=0,"PROXY","DB value"))</f>
        <v>PROXY</v>
      </c>
      <c r="M126" s="134">
        <f ca="1">IF($L126="PROXY",DCOUNT('literature entries'!$D:$AI,IF($J126=1,"ACTIVE     CED, FARM GATE (MJ/kg)","CED, processor gate (MJ/kg)"),INDIRECT($K126)),GETPIVOTDATA(IF($J126=1,"Count of ACTIVE     CED, FARM GATE (MJ/kg)","Count of CED, processor gate (MJ/kg)"),'Pivot Table_CED'!$A$3,"SUB TYPE",$B126))</f>
        <v>6</v>
      </c>
      <c r="N126" s="135">
        <f ca="1">IF($L126="PROXY",DAVERAGE('literature entries'!$D:$AI,IF($J126=1,"ACTIVE     CED, FARM GATE (MJ/kg)","CED, processor gate (MJ/kg)"),INDIRECT($K126)),GETPIVOTDATA(IF($J126=1,"Average of ACTIVE     CED, FARM GATE (MJ/kg)","Average of CED, processor gate (MJ/kg)"),'Pivot Table_CED'!$A$3,"SUB TYPE",$B126))</f>
        <v>2.6383333333333332</v>
      </c>
      <c r="O126" s="135">
        <f ca="1">IF($L126="PROXY",DSTDEV('literature entries'!D:AI,IF($J126=1,"ACTIVE     CED, FARM GATE (MJ/kg)","CED, processor gate (MJ/kg)"),INDIRECT($K126)),GETPIVOTDATA(IF($J126=1,"StdDev of ACTIVE     CED, FARM GATE (MJ/kg)","StdDev of CED, processor gate (MJ/kg)"),'Pivot Table_CED'!$A$3,"SUB TYPE",$B126))</f>
        <v>0.64558242437869295</v>
      </c>
      <c r="P126" s="152" t="str">
        <f>IF(ISERROR(GETPIVOTDATA(IF($J126=1,"Count of ACTIVE     GHGE, FARM GATE (kg CO2e/kg)","Count of GHGE, processor gate (kg CO2e/kg)"),'Pivot Table_GHG'!$A$3,"SUB TYPE",$B126)),"PROXY",IF(GETPIVOTDATA(IF($J126=1,"Count of ACTIVE     GHGE, FARM GATE (kg CO2e/kg)","Count of GHGE, processor gate (kg CO2e/kg)"),'Pivot Table_GHG'!$A$3,"SUB TYPE",$B126)=0,"PROXY","DB value"))</f>
        <v>PROXY</v>
      </c>
      <c r="Q126" s="141">
        <f ca="1">IF($P126="PROXY",DCOUNT('literature entries'!$D:$AI,IF($J126=1,"ACTIVE     GHGE, FARM GATE (kg CO2e/kg)","GHGE, processor gate (kg CO2e/kg)"),INDIRECT($K126)),GETPIVOTDATA(IF($J126=1,"ACTIVE     GHGE, FARM GATE (kg CO2e/kg)","Count of GHGE, processor gate (kg CO2e/kg)"),'Pivot Table_GHG'!$A$3,"SUB TYPE",$B126))</f>
        <v>23</v>
      </c>
      <c r="R126" s="221">
        <f ca="1">IF($P126="PROXY",DAVERAGE('literature entries'!$D:$AI,IF($J126=1,"ACTIVE     GHGE, FARM GATE (kg CO2e/kg)","GHGE, processor gate (kg CO2e/kg)"),INDIRECT($K126)),GETPIVOTDATA(IF($J126=1,"Average of ACTIVE     GHGE, FARM GATE (kg CO2e/kg)","Average of GHGE, processor gate (kg CO2e/kg)"),'Pivot Table_GHG'!$A$3,"SUB TYPE",$B126))</f>
        <v>0.29650713402988427</v>
      </c>
      <c r="S126" s="221">
        <f ca="1">IF($P126="PROXY",DSTDEV('literature entries'!$D:$AI,IF($J126=1,"ACTIVE     GHGE, FARM GATE (kg CO2e/kg)","GHGE, processor gate (kg CO2e/kg)"),INDIRECT($K126)),GETPIVOTDATA(IF($J126=1,"StdDev of ACTIVE     GHGE, FARM GATE (kg CO2e/kg)","StdDev of GHGE, processor gate (kg CO2e/kg)"),'Pivot Table_GHG'!$A$3,"SUB TYPE",$B126))</f>
        <v>0.21093968918220651</v>
      </c>
      <c r="T126" s="99">
        <v>5.282</v>
      </c>
      <c r="U126" s="100">
        <v>0.97907912607999992</v>
      </c>
      <c r="W126" s="248" t="str">
        <f ca="1">IF(L126="PROXY",IF(M126&gt;=5,K126,"need group"),IF(M126&gt;=5,"DIRECT","need group"))</f>
        <v>citrus</v>
      </c>
      <c r="X126" s="246">
        <f ca="1">IF($W126="DIRECT",M126,DCOUNT('literature entries'!$D:$AI,IF($J126=1,"ACTIVE     CED, FARM GATE (MJ/kg)","CED, processor gate (MJ/kg)"),INDIRECT($W126)))</f>
        <v>6</v>
      </c>
      <c r="Y126" s="246">
        <f ca="1">IF($W126="DIRECT","",DAVERAGE('literature entries'!$D:$AI,IF($J126=1,"ACTIVE     CED, FARM GATE (MJ/kg)","CED, processor gate (MJ/kg)"),INDIRECT($W126)))</f>
        <v>2.6383333333333332</v>
      </c>
      <c r="Z126" s="246">
        <f ca="1">IF($W126="DIRECT",$O126,DSTDEV('literature entries'!$D:$AI,IF($J126=1,"ACTIVE     CED, FARM GATE (MJ/kg)","CED, processor gate (MJ/kg)"),INDIRECT($W126)))</f>
        <v>0.64558242437869295</v>
      </c>
      <c r="AA126" s="246">
        <f t="shared" ca="1" si="13"/>
        <v>0.64558242437869295</v>
      </c>
      <c r="AB126" s="254" t="str">
        <f t="shared" ca="1" si="15"/>
        <v>citrus</v>
      </c>
      <c r="AC126" s="247">
        <f ca="1">IF($AB126="DIRECT",Q126,DCOUNT('literature entries'!$D:$AI,IF($J126=1,"ACTIVE     GHGE, FARM GATE (kg CO2e/kg)","GHGE, processor gate (kg CO2e/kg)"),INDIRECT($AB126)))</f>
        <v>23</v>
      </c>
      <c r="AD126" s="247">
        <f ca="1">IF($AB126="DIRECT","",DAVERAGE('literature entries'!$D:$AI,IF($J126=1,"ACTIVE     GHGE, FARM GATE (kg CO2e/kg)","GHGE, processor gate (kg CO2e/kg)"),INDIRECT($AB126)))</f>
        <v>0.29650713402988427</v>
      </c>
      <c r="AE126" s="247">
        <f ca="1">IF($AB126="DIRECT",$S126,DSTDEV('literature entries'!$D:$AI,IF($J126=1,"ACTIVE     GHGE, FARM GATE (kg CO2e/kg)","GHGE, processor gate (kg CO2e/kg)"),INDIRECT($AB126)))</f>
        <v>0.21093968918220651</v>
      </c>
      <c r="AF126" s="247">
        <f t="shared" ca="1" si="14"/>
        <v>0.21093968918220649</v>
      </c>
    </row>
    <row r="127" spans="1:32" s="21" customFormat="1" thickBot="1" x14ac:dyDescent="0.25">
      <c r="A127" s="129">
        <v>1002197000</v>
      </c>
      <c r="B127" s="130" t="s">
        <v>2045</v>
      </c>
      <c r="C127" s="131" t="s">
        <v>2046</v>
      </c>
      <c r="D127" s="131"/>
      <c r="E127" s="131">
        <v>1</v>
      </c>
      <c r="F127" s="126">
        <f t="shared" ca="1" si="9"/>
        <v>2.8494000000000002</v>
      </c>
      <c r="G127" s="127">
        <f t="shared" ca="1" si="10"/>
        <v>0.32022770475227502</v>
      </c>
      <c r="H127" s="132">
        <v>1.08</v>
      </c>
      <c r="I127" s="132" t="s">
        <v>2724</v>
      </c>
      <c r="J127" s="91">
        <v>1</v>
      </c>
      <c r="K127" s="90" t="s">
        <v>2458</v>
      </c>
      <c r="L127" s="152" t="str">
        <f>IF(ISERROR(GETPIVOTDATA(IF($J127=1,"Count of ACTIVE     CED, FARM GATE (MJ/kg)","Count of CED, processor gate (MJ/kg)"),'Pivot Table_CED'!$A$3,"SUB TYPE",$B127)),"PROXY",IF(GETPIVOTDATA(IF($J127=1,"Count of ACTIVE     CED, FARM GATE (MJ/kg)","Count of CED, processor gate (MJ/kg)"),'Pivot Table_CED'!$A$3,"SUB TYPE",$B127)=0,"PROXY","DB value"))</f>
        <v>PROXY</v>
      </c>
      <c r="M127" s="134">
        <f ca="1">IF($L127="PROXY",DCOUNT('literature entries'!$D:$AI,IF($J127=1,"ACTIVE     CED, FARM GATE (MJ/kg)","CED, processor gate (MJ/kg)"),INDIRECT($K127)),GETPIVOTDATA(IF($J127=1,"Count of ACTIVE     CED, FARM GATE (MJ/kg)","Count of CED, processor gate (MJ/kg)"),'Pivot Table_CED'!$A$3,"SUB TYPE",$B127))</f>
        <v>6</v>
      </c>
      <c r="N127" s="135">
        <f ca="1">IF($L127="PROXY",DAVERAGE('literature entries'!$D:$AI,IF($J127=1,"ACTIVE     CED, FARM GATE (MJ/kg)","CED, processor gate (MJ/kg)"),INDIRECT($K127)),GETPIVOTDATA(IF($J127=1,"Average of ACTIVE     CED, FARM GATE (MJ/kg)","Average of CED, processor gate (MJ/kg)"),'Pivot Table_CED'!$A$3,"SUB TYPE",$B127))</f>
        <v>2.6383333333333332</v>
      </c>
      <c r="O127" s="135">
        <f ca="1">IF($L127="PROXY",DSTDEV('literature entries'!D:AI,IF($J127=1,"ACTIVE     CED, FARM GATE (MJ/kg)","CED, processor gate (MJ/kg)"),INDIRECT($K127)),GETPIVOTDATA(IF($J127=1,"StdDev of ACTIVE     CED, FARM GATE (MJ/kg)","StdDev of CED, processor gate (MJ/kg)"),'Pivot Table_CED'!$A$3,"SUB TYPE",$B127))</f>
        <v>0.64558242437869295</v>
      </c>
      <c r="P127" s="152" t="str">
        <f>IF(ISERROR(GETPIVOTDATA(IF($J127=1,"Count of ACTIVE     GHGE, FARM GATE (kg CO2e/kg)","Count of GHGE, processor gate (kg CO2e/kg)"),'Pivot Table_GHG'!$A$3,"SUB TYPE",$B127)),"PROXY",IF(GETPIVOTDATA(IF($J127=1,"Count of ACTIVE     GHGE, FARM GATE (kg CO2e/kg)","Count of GHGE, processor gate (kg CO2e/kg)"),'Pivot Table_GHG'!$A$3,"SUB TYPE",$B127)=0,"PROXY","DB value"))</f>
        <v>PROXY</v>
      </c>
      <c r="Q127" s="141">
        <f ca="1">IF($P127="PROXY",DCOUNT('literature entries'!$D:$AI,IF($J127=1,"ACTIVE     GHGE, FARM GATE (kg CO2e/kg)","GHGE, processor gate (kg CO2e/kg)"),INDIRECT($K127)),GETPIVOTDATA(IF($J127=1,"ACTIVE     GHGE, FARM GATE (kg CO2e/kg)","Count of GHGE, processor gate (kg CO2e/kg)"),'Pivot Table_GHG'!$A$3,"SUB TYPE",$B127))</f>
        <v>23</v>
      </c>
      <c r="R127" s="221">
        <f ca="1">IF($P127="PROXY",DAVERAGE('literature entries'!$D:$AI,IF($J127=1,"ACTIVE     GHGE, FARM GATE (kg CO2e/kg)","GHGE, processor gate (kg CO2e/kg)"),INDIRECT($K127)),GETPIVOTDATA(IF($J127=1,"Average of ACTIVE     GHGE, FARM GATE (kg CO2e/kg)","Average of GHGE, processor gate (kg CO2e/kg)"),'Pivot Table_GHG'!$A$3,"SUB TYPE",$B127))</f>
        <v>0.29650713402988427</v>
      </c>
      <c r="S127" s="221">
        <f ca="1">IF($P127="PROXY",DSTDEV('literature entries'!$D:$AI,IF($J127=1,"ACTIVE     GHGE, FARM GATE (kg CO2e/kg)","GHGE, processor gate (kg CO2e/kg)"),INDIRECT($K127)),GETPIVOTDATA(IF($J127=1,"StdDev of ACTIVE     GHGE, FARM GATE (kg CO2e/kg)","StdDev of GHGE, processor gate (kg CO2e/kg)"),'Pivot Table_GHG'!$A$3,"SUB TYPE",$B127))</f>
        <v>0.21093968918220651</v>
      </c>
      <c r="T127" s="101"/>
      <c r="U127" s="102"/>
      <c r="W127" s="248" t="str">
        <f ca="1">IF(L127="PROXY",IF(M127&gt;=5,K127,"need group"),IF(M127&gt;=5,"DIRECT","need group"))</f>
        <v>citrus</v>
      </c>
      <c r="X127" s="246">
        <f ca="1">IF($W127="DIRECT",M127,DCOUNT('literature entries'!$D:$AI,IF($J127=1,"ACTIVE     CED, FARM GATE (MJ/kg)","CED, processor gate (MJ/kg)"),INDIRECT($W127)))</f>
        <v>6</v>
      </c>
      <c r="Y127" s="246">
        <f ca="1">IF($W127="DIRECT","",DAVERAGE('literature entries'!$D:$AI,IF($J127=1,"ACTIVE     CED, FARM GATE (MJ/kg)","CED, processor gate (MJ/kg)"),INDIRECT($W127)))</f>
        <v>2.6383333333333332</v>
      </c>
      <c r="Z127" s="246">
        <f ca="1">IF($W127="DIRECT",$O127,DSTDEV('literature entries'!$D:$AI,IF($J127=1,"ACTIVE     CED, FARM GATE (MJ/kg)","CED, processor gate (MJ/kg)"),INDIRECT($W127)))</f>
        <v>0.64558242437869295</v>
      </c>
      <c r="AA127" s="246">
        <f t="shared" ca="1" si="13"/>
        <v>0.64558242437869295</v>
      </c>
      <c r="AB127" s="254" t="str">
        <f t="shared" ca="1" si="15"/>
        <v>citrus</v>
      </c>
      <c r="AC127" s="247">
        <f ca="1">IF($AB127="DIRECT",Q127,DCOUNT('literature entries'!$D:$AI,IF($J127=1,"ACTIVE     GHGE, FARM GATE (kg CO2e/kg)","GHGE, processor gate (kg CO2e/kg)"),INDIRECT($AB127)))</f>
        <v>23</v>
      </c>
      <c r="AD127" s="247">
        <f ca="1">IF($AB127="DIRECT","",DAVERAGE('literature entries'!$D:$AI,IF($J127=1,"ACTIVE     GHGE, FARM GATE (kg CO2e/kg)","GHGE, processor gate (kg CO2e/kg)"),INDIRECT($AB127)))</f>
        <v>0.29650713402988427</v>
      </c>
      <c r="AE127" s="247">
        <f ca="1">IF($AB127="DIRECT",$S127,DSTDEV('literature entries'!$D:$AI,IF($J127=1,"ACTIVE     GHGE, FARM GATE (kg CO2e/kg)","GHGE, processor gate (kg CO2e/kg)"),INDIRECT($AB127)))</f>
        <v>0.21093968918220651</v>
      </c>
      <c r="AF127" s="247">
        <f t="shared" ca="1" si="14"/>
        <v>0.21093968918220649</v>
      </c>
    </row>
    <row r="128" spans="1:32" s="21" customFormat="1" thickBot="1" x14ac:dyDescent="0.25">
      <c r="A128" s="129">
        <v>1002199000</v>
      </c>
      <c r="B128" s="130" t="s">
        <v>2049</v>
      </c>
      <c r="C128" s="131" t="s">
        <v>1912</v>
      </c>
      <c r="D128" s="131"/>
      <c r="E128" s="131">
        <v>2076</v>
      </c>
      <c r="F128" s="126">
        <f t="shared" ca="1" si="9"/>
        <v>4.6777499999999996</v>
      </c>
      <c r="G128" s="127">
        <f t="shared" ca="1" si="10"/>
        <v>0.42210000000000003</v>
      </c>
      <c r="H128" s="132">
        <v>1.89</v>
      </c>
      <c r="I128" s="132" t="s">
        <v>2724</v>
      </c>
      <c r="J128" s="91">
        <v>1</v>
      </c>
      <c r="K128" s="90"/>
      <c r="L128" s="152" t="str">
        <f>IF(ISERROR(GETPIVOTDATA(IF($J128=1,"Count of ACTIVE     CED, FARM GATE (MJ/kg)","Count of CED, processor gate (MJ/kg)"),'Pivot Table_CED'!$A$3,"SUB TYPE",$B128)),"PROXY",IF(GETPIVOTDATA(IF($J128=1,"Count of ACTIVE     CED, FARM GATE (MJ/kg)","Count of CED, processor gate (MJ/kg)"),'Pivot Table_CED'!$A$3,"SUB TYPE",$B128)=0,"PROXY","DB value"))</f>
        <v>DB value</v>
      </c>
      <c r="M128" s="134">
        <f ca="1">IF($L128="PROXY",DCOUNT('literature entries'!$D:$AI,IF($J128=1,"ACTIVE     CED, FARM GATE (MJ/kg)","CED, processor gate (MJ/kg)"),INDIRECT($K128)),GETPIVOTDATA(IF($J128=1,"Count of ACTIVE     CED, FARM GATE (MJ/kg)","Count of CED, processor gate (MJ/kg)"),'Pivot Table_CED'!$A$3,"SUB TYPE",$B128))</f>
        <v>2</v>
      </c>
      <c r="N128" s="135">
        <f ca="1">IF($L128="PROXY",DAVERAGE('literature entries'!$D:$AI,IF($J128=1,"ACTIVE     CED, FARM GATE (MJ/kg)","CED, processor gate (MJ/kg)"),INDIRECT($K128)),GETPIVOTDATA(IF($J128=1,"Average of ACTIVE     CED, FARM GATE (MJ/kg)","Average of CED, processor gate (MJ/kg)"),'Pivot Table_CED'!$A$3,"SUB TYPE",$B128))</f>
        <v>2.4750000000000001</v>
      </c>
      <c r="O128" s="135">
        <f ca="1">IF($L128="PROXY",DSTDEV('literature entries'!D:AI,IF($J128=1,"ACTIVE     CED, FARM GATE (MJ/kg)","CED, processor gate (MJ/kg)"),INDIRECT($K128)),GETPIVOTDATA(IF($J128=1,"StdDev of ACTIVE     CED, FARM GATE (MJ/kg)","StdDev of CED, processor gate (MJ/kg)"),'Pivot Table_CED'!$A$3,"SUB TYPE",$B128))</f>
        <v>0.5303300858899106</v>
      </c>
      <c r="P128" s="152" t="str">
        <f>IF(ISERROR(GETPIVOTDATA(IF($J128=1,"Count of ACTIVE     GHGE, FARM GATE (kg CO2e/kg)","Count of GHGE, processor gate (kg CO2e/kg)"),'Pivot Table_GHG'!$A$3,"SUB TYPE",$B128)),"PROXY",IF(GETPIVOTDATA(IF($J128=1,"Count of ACTIVE     GHGE, FARM GATE (kg CO2e/kg)","Count of GHGE, processor gate (kg CO2e/kg)"),'Pivot Table_GHG'!$A$3,"SUB TYPE",$B128)=0,"PROXY","DB value"))</f>
        <v>DB value</v>
      </c>
      <c r="Q128" s="141">
        <f ca="1">IF($P128="PROXY",DCOUNT('literature entries'!$D:$AI,IF($J128=1,"ACTIVE     GHGE, FARM GATE (kg CO2e/kg)","GHGE, processor gate (kg CO2e/kg)"),INDIRECT($K128)),GETPIVOTDATA(IF($J128=1,"ACTIVE     GHGE, FARM GATE (kg CO2e/kg)","Count of GHGE, processor gate (kg CO2e/kg)"),'Pivot Table_GHG'!$A$3,"SUB TYPE",$B128))</f>
        <v>3</v>
      </c>
      <c r="R128" s="221">
        <f ca="1">IF($P128="PROXY",DAVERAGE('literature entries'!$D:$AI,IF($J128=1,"ACTIVE     GHGE, FARM GATE (kg CO2e/kg)","GHGE, processor gate (kg CO2e/kg)"),INDIRECT($K128)),GETPIVOTDATA(IF($J128=1,"Average of ACTIVE     GHGE, FARM GATE (kg CO2e/kg)","Average of GHGE, processor gate (kg CO2e/kg)"),'Pivot Table_GHG'!$A$3,"SUB TYPE",$B128))</f>
        <v>0.22333333333333336</v>
      </c>
      <c r="S128" s="221">
        <f ca="1">IF($P128="PROXY",DSTDEV('literature entries'!$D:$AI,IF($J128=1,"ACTIVE     GHGE, FARM GATE (kg CO2e/kg)","GHGE, processor gate (kg CO2e/kg)"),INDIRECT($K128)),GETPIVOTDATA(IF($J128=1,"StdDev of ACTIVE     GHGE, FARM GATE (kg CO2e/kg)","StdDev of GHGE, processor gate (kg CO2e/kg)"),'Pivot Table_GHG'!$A$3,"SUB TYPE",$B128))</f>
        <v>0.25146238950056393</v>
      </c>
      <c r="T128" s="101"/>
      <c r="U128" s="102"/>
      <c r="W128" s="248" t="s">
        <v>2458</v>
      </c>
      <c r="X128" s="246">
        <f ca="1">IF($W128="DIRECT",M128,DCOUNT('literature entries'!$D:$AI,IF($J128=1,"ACTIVE     CED, FARM GATE (MJ/kg)","CED, processor gate (MJ/kg)"),INDIRECT($W128)))</f>
        <v>6</v>
      </c>
      <c r="Y128" s="246">
        <f ca="1">IF($W128="DIRECT","",DAVERAGE('literature entries'!$D:$AI,IF($J128=1,"ACTIVE     CED, FARM GATE (MJ/kg)","CED, processor gate (MJ/kg)"),INDIRECT($W128)))</f>
        <v>2.6383333333333332</v>
      </c>
      <c r="Z128" s="246">
        <f ca="1">IF($W128="DIRECT",$O128,DSTDEV('literature entries'!$D:$AI,IF($J128=1,"ACTIVE     CED, FARM GATE (MJ/kg)","CED, processor gate (MJ/kg)"),INDIRECT($W128)))</f>
        <v>0.64558242437869295</v>
      </c>
      <c r="AA128" s="246">
        <f t="shared" ca="1" si="13"/>
        <v>0.60561585609751056</v>
      </c>
      <c r="AB128" s="254" t="s">
        <v>2458</v>
      </c>
      <c r="AC128" s="247">
        <f ca="1">IF($AB128="DIRECT",Q128,DCOUNT('literature entries'!$D:$AI,IF($J128=1,"ACTIVE     GHGE, FARM GATE (kg CO2e/kg)","GHGE, processor gate (kg CO2e/kg)"),INDIRECT($AB128)))</f>
        <v>23</v>
      </c>
      <c r="AD128" s="247">
        <f ca="1">IF($AB128="DIRECT","",DAVERAGE('literature entries'!$D:$AI,IF($J128=1,"ACTIVE     GHGE, FARM GATE (kg CO2e/kg)","GHGE, processor gate (kg CO2e/kg)"),INDIRECT($AB128)))</f>
        <v>0.29650713402988427</v>
      </c>
      <c r="AE128" s="247">
        <f ca="1">IF($AB128="DIRECT",$S128,DSTDEV('literature entries'!$D:$AI,IF($J128=1,"ACTIVE     GHGE, FARM GATE (kg CO2e/kg)","GHGE, processor gate (kg CO2e/kg)"),INDIRECT($AB128)))</f>
        <v>0.21093968918220651</v>
      </c>
      <c r="AF128" s="247">
        <f t="shared" ca="1" si="14"/>
        <v>0.15888273336658187</v>
      </c>
    </row>
    <row r="129" spans="1:32" s="21" customFormat="1" ht="17" thickBot="1" x14ac:dyDescent="0.25">
      <c r="A129" s="129">
        <v>1002200000</v>
      </c>
      <c r="B129" s="130" t="s">
        <v>2050</v>
      </c>
      <c r="C129" s="136" t="s">
        <v>1742</v>
      </c>
      <c r="D129" s="131"/>
      <c r="E129" s="131">
        <v>21356</v>
      </c>
      <c r="F129" s="126">
        <f t="shared" ca="1" si="9"/>
        <v>6</v>
      </c>
      <c r="G129" s="127">
        <f t="shared" ca="1" si="10"/>
        <v>0.33160000000000001</v>
      </c>
      <c r="H129" s="132">
        <v>1</v>
      </c>
      <c r="I129" s="133" t="s">
        <v>628</v>
      </c>
      <c r="J129" s="91">
        <v>2</v>
      </c>
      <c r="K129" s="236"/>
      <c r="L129" s="152" t="str">
        <f>IF(ISERROR(GETPIVOTDATA(IF($J129=1,"Count of ACTIVE     CED, FARM GATE (MJ/kg)","Count of CED, processor gate (MJ/kg)"),'Pivot Table_CED'!$A$3,"SUB TYPE",$B129)),"PROXY",IF(GETPIVOTDATA(IF($J129=1,"Count of ACTIVE     CED, FARM GATE (MJ/kg)","Count of CED, processor gate (MJ/kg)"),'Pivot Table_CED'!$A$3,"SUB TYPE",$B129)=0,"PROXY","DB value"))</f>
        <v>DB value</v>
      </c>
      <c r="M129" s="134">
        <f ca="1">IF($L129="PROXY",DCOUNT('literature entries'!$D:$AI,IF($J129=1,"ACTIVE     CED, FARM GATE (MJ/kg)","CED, processor gate (MJ/kg)"),INDIRECT($K129)),GETPIVOTDATA(IF($J129=1,"Count of ACTIVE     CED, FARM GATE (MJ/kg)","Count of CED, processor gate (MJ/kg)"),'Pivot Table_CED'!$A$3,"SUB TYPE",$B129))</f>
        <v>1</v>
      </c>
      <c r="N129" s="135">
        <f ca="1">IF($L129="PROXY",DAVERAGE('literature entries'!$D:$AI,IF($J129=1,"ACTIVE     CED, FARM GATE (MJ/kg)","CED, processor gate (MJ/kg)"),INDIRECT($K129)),GETPIVOTDATA(IF($J129=1,"Average of ACTIVE     CED, FARM GATE (MJ/kg)","Average of CED, processor gate (MJ/kg)"),'Pivot Table_CED'!$A$3,"SUB TYPE",$B129))</f>
        <v>6</v>
      </c>
      <c r="O129" s="135">
        <f ca="1">IF($L129="PROXY",DSTDEV('literature entries'!D:AI,IF($J129=1,"ACTIVE     CED, FARM GATE (MJ/kg)","CED, processor gate (MJ/kg)"),INDIRECT($K129)),GETPIVOTDATA(IF($J129=1,"StdDev of ACTIVE     CED, FARM GATE (MJ/kg)","StdDev of CED, processor gate (MJ/kg)"),'Pivot Table_CED'!$A$3,"SUB TYPE",$B129))</f>
        <v>0</v>
      </c>
      <c r="P129" s="152" t="str">
        <f>IF(ISERROR(GETPIVOTDATA(IF($J129=1,"Count of ACTIVE     GHGE, FARM GATE (kg CO2e/kg)","Count of GHGE, processor gate (kg CO2e/kg)"),'Pivot Table_GHG'!$A$3,"SUB TYPE",$B129)),"PROXY",IF(GETPIVOTDATA(IF($J129=1,"Count of ACTIVE     GHGE, FARM GATE (kg CO2e/kg)","Count of GHGE, processor gate (kg CO2e/kg)"),'Pivot Table_GHG'!$A$3,"SUB TYPE",$B129)=0,"PROXY","DB value"))</f>
        <v>DB value</v>
      </c>
      <c r="Q129" s="141">
        <f ca="1">IF($P129="PROXY",DCOUNT('literature entries'!$D:$AI,IF($J129=1,"ACTIVE     GHGE, FARM GATE (kg CO2e/kg)","GHGE, processor gate (kg CO2e/kg)"),INDIRECT($K129)),GETPIVOTDATA(IF($J129=1,"ACTIVE     GHGE, FARM GATE (kg CO2e/kg)","Count of GHGE, processor gate (kg CO2e/kg)"),'Pivot Table_GHG'!$A$3,"SUB TYPE",$B129))</f>
        <v>1</v>
      </c>
      <c r="R129" s="221">
        <f ca="1">IF($P129="PROXY",DAVERAGE('literature entries'!$D:$AI,IF($J129=1,"ACTIVE     GHGE, FARM GATE (kg CO2e/kg)","GHGE, processor gate (kg CO2e/kg)"),INDIRECT($K129)),GETPIVOTDATA(IF($J129=1,"Average of ACTIVE     GHGE, FARM GATE (kg CO2e/kg)","Average of GHGE, processor gate (kg CO2e/kg)"),'Pivot Table_GHG'!$A$3,"SUB TYPE",$B129))</f>
        <v>0.33160000000000001</v>
      </c>
      <c r="S129" s="221" t="e">
        <f ca="1">IF($P129="PROXY",DSTDEV('literature entries'!$D:$AI,IF($J129=1,"ACTIVE     GHGE, FARM GATE (kg CO2e/kg)","GHGE, processor gate (kg CO2e/kg)"),INDIRECT($K129)),GETPIVOTDATA(IF($J129=1,"StdDev of ACTIVE     GHGE, FARM GATE (kg CO2e/kg)","StdDev of GHGE, processor gate (kg CO2e/kg)"),'Pivot Table_GHG'!$A$3,"SUB TYPE",$B129))</f>
        <v>#DIV/0!</v>
      </c>
      <c r="T129" s="101"/>
      <c r="U129" s="102"/>
      <c r="W129" s="258" t="s">
        <v>2458</v>
      </c>
      <c r="X129" s="246">
        <f ca="1">IF($W129="DIRECT",M129,DCOUNT('literature entries'!$D:$AI,"ACTIVE     CED, FARM GATE (MJ/kg)",INDIRECT($W129)))</f>
        <v>6</v>
      </c>
      <c r="Y129" s="246">
        <f ca="1">IF($W129="DIRECT","",DAVERAGE('literature entries'!$D:$AI,"ACTIVE     CED, FARM GATE (MJ/kg)",INDIRECT($W129)))</f>
        <v>2.6383333333333332</v>
      </c>
      <c r="Z129" s="246">
        <f ca="1">IF($W129="DIRECT",$O129,DSTDEV('literature entries'!$D:$AI,"ACTIVE     CED, FARM GATE (MJ/kg)",INDIRECT($W129)))</f>
        <v>0.64558242437869295</v>
      </c>
      <c r="AA129" s="246">
        <f t="shared" ca="1" si="13"/>
        <v>1.46815965114548</v>
      </c>
      <c r="AB129" s="258" t="s">
        <v>2458</v>
      </c>
      <c r="AC129" s="247">
        <f ca="1">IF($AB129="DIRECT",Q129,DCOUNT('literature entries'!$D:$AI,"ACTIVE     GHGE, FARM GATE (kg CO2e/kg)",INDIRECT($AB129)))</f>
        <v>23</v>
      </c>
      <c r="AD129" s="247">
        <f ca="1">IF($AB129="DIRECT","",DAVERAGE('literature entries'!$D:$AI,"ACTIVE     GHGE, FARM GATE (kg CO2e/kg)",INDIRECT($AB129)))</f>
        <v>0.29650713402988427</v>
      </c>
      <c r="AE129" s="247">
        <f ca="1">IF($AB129="DIRECT",$S129,DSTDEV('literature entries'!$D:$AI,"ACTIVE     GHGE, FARM GATE (kg CO2e/kg)",INDIRECT($AB129)))</f>
        <v>0.21093968918220651</v>
      </c>
      <c r="AF129" s="247">
        <f t="shared" ca="1" si="14"/>
        <v>0.23590528828817259</v>
      </c>
    </row>
    <row r="130" spans="1:32" s="21" customFormat="1" ht="17" thickBot="1" x14ac:dyDescent="0.25">
      <c r="A130" s="129">
        <v>1002201000</v>
      </c>
      <c r="B130" s="130" t="s">
        <v>2051</v>
      </c>
      <c r="C130" s="131" t="s">
        <v>2052</v>
      </c>
      <c r="D130" s="131"/>
      <c r="E130" s="131">
        <v>770</v>
      </c>
      <c r="F130" s="126">
        <f t="shared" ca="1" si="9"/>
        <v>2.6383333333333332</v>
      </c>
      <c r="G130" s="127">
        <f t="shared" ca="1" si="10"/>
        <v>0.29650713402988427</v>
      </c>
      <c r="H130" s="132">
        <v>1</v>
      </c>
      <c r="I130" s="133" t="s">
        <v>594</v>
      </c>
      <c r="J130" s="91">
        <v>1</v>
      </c>
      <c r="K130" s="90" t="s">
        <v>2458</v>
      </c>
      <c r="L130" s="152" t="str">
        <f>IF(ISERROR(GETPIVOTDATA(IF($J130=1,"Count of ACTIVE     CED, FARM GATE (MJ/kg)","Count of CED, processor gate (MJ/kg)"),'Pivot Table_CED'!$A$3,"SUB TYPE",$B130)),"PROXY",IF(GETPIVOTDATA(IF($J130=1,"Count of ACTIVE     CED, FARM GATE (MJ/kg)","Count of CED, processor gate (MJ/kg)"),'Pivot Table_CED'!$A$3,"SUB TYPE",$B130)=0,"PROXY","DB value"))</f>
        <v>PROXY</v>
      </c>
      <c r="M130" s="134">
        <f ca="1">IF($L130="PROXY",DCOUNT('literature entries'!$D:$AI,IF($J130=1,"ACTIVE     CED, FARM GATE (MJ/kg)","CED, processor gate (MJ/kg)"),INDIRECT($K130)),GETPIVOTDATA(IF($J130=1,"Count of ACTIVE     CED, FARM GATE (MJ/kg)","Count of CED, processor gate (MJ/kg)"),'Pivot Table_CED'!$A$3,"SUB TYPE",$B130))</f>
        <v>6</v>
      </c>
      <c r="N130" s="135">
        <f ca="1">IF($L130="PROXY",DAVERAGE('literature entries'!$D:$AI,IF($J130=1,"ACTIVE     CED, FARM GATE (MJ/kg)","CED, processor gate (MJ/kg)"),INDIRECT($K130)),GETPIVOTDATA(IF($J130=1,"Average of ACTIVE     CED, FARM GATE (MJ/kg)","Average of CED, processor gate (MJ/kg)"),'Pivot Table_CED'!$A$3,"SUB TYPE",$B130))</f>
        <v>2.6383333333333332</v>
      </c>
      <c r="O130" s="135">
        <f ca="1">IF($L130="PROXY",DSTDEV('literature entries'!D:AI,IF($J130=1,"ACTIVE     CED, FARM GATE (MJ/kg)","CED, processor gate (MJ/kg)"),INDIRECT($K130)),GETPIVOTDATA(IF($J130=1,"StdDev of ACTIVE     CED, FARM GATE (MJ/kg)","StdDev of CED, processor gate (MJ/kg)"),'Pivot Table_CED'!$A$3,"SUB TYPE",$B130))</f>
        <v>0.64558242437869295</v>
      </c>
      <c r="P130" s="152" t="str">
        <f>IF(ISERROR(GETPIVOTDATA(IF($J130=1,"Count of ACTIVE     GHGE, FARM GATE (kg CO2e/kg)","Count of GHGE, processor gate (kg CO2e/kg)"),'Pivot Table_GHG'!$A$3,"SUB TYPE",$B130)),"PROXY",IF(GETPIVOTDATA(IF($J130=1,"Count of ACTIVE     GHGE, FARM GATE (kg CO2e/kg)","Count of GHGE, processor gate (kg CO2e/kg)"),'Pivot Table_GHG'!$A$3,"SUB TYPE",$B130)=0,"PROXY","DB value"))</f>
        <v>PROXY</v>
      </c>
      <c r="Q130" s="141">
        <f ca="1">IF($P130="PROXY",DCOUNT('literature entries'!$D:$AI,IF($J130=1,"ACTIVE     GHGE, FARM GATE (kg CO2e/kg)","GHGE, processor gate (kg CO2e/kg)"),INDIRECT($K130)),GETPIVOTDATA(IF($J130=1,"ACTIVE     GHGE, FARM GATE (kg CO2e/kg)","Count of GHGE, processor gate (kg CO2e/kg)"),'Pivot Table_GHG'!$A$3,"SUB TYPE",$B130))</f>
        <v>23</v>
      </c>
      <c r="R130" s="221">
        <f ca="1">IF($P130="PROXY",DAVERAGE('literature entries'!$D:$AI,IF($J130=1,"ACTIVE     GHGE, FARM GATE (kg CO2e/kg)","GHGE, processor gate (kg CO2e/kg)"),INDIRECT($K130)),GETPIVOTDATA(IF($J130=1,"Average of ACTIVE     GHGE, FARM GATE (kg CO2e/kg)","Average of GHGE, processor gate (kg CO2e/kg)"),'Pivot Table_GHG'!$A$3,"SUB TYPE",$B130))</f>
        <v>0.29650713402988427</v>
      </c>
      <c r="S130" s="221">
        <f ca="1">IF($P130="PROXY",DSTDEV('literature entries'!$D:$AI,IF($J130=1,"ACTIVE     GHGE, FARM GATE (kg CO2e/kg)","GHGE, processor gate (kg CO2e/kg)"),INDIRECT($K130)),GETPIVOTDATA(IF($J130=1,"StdDev of ACTIVE     GHGE, FARM GATE (kg CO2e/kg)","StdDev of GHGE, processor gate (kg CO2e/kg)"),'Pivot Table_GHG'!$A$3,"SUB TYPE",$B130))</f>
        <v>0.21093968918220651</v>
      </c>
      <c r="T130" s="101"/>
      <c r="U130" s="102"/>
      <c r="W130" s="248" t="s">
        <v>2458</v>
      </c>
      <c r="X130" s="246">
        <f ca="1">IF($W130="DIRECT",M130,DCOUNT('literature entries'!$D:$AI,IF($J130=1,"ACTIVE     CED, FARM GATE (MJ/kg)","CED, processor gate (MJ/kg)"),INDIRECT($W130)))</f>
        <v>6</v>
      </c>
      <c r="Y130" s="246">
        <f ca="1">IF($W130="DIRECT","",DAVERAGE('literature entries'!$D:$AI,IF($J130=1,"ACTIVE     CED, FARM GATE (MJ/kg)","CED, processor gate (MJ/kg)"),INDIRECT($W130)))</f>
        <v>2.6383333333333332</v>
      </c>
      <c r="Z130" s="246">
        <f ca="1">IF($W130="DIRECT",$O130,DSTDEV('literature entries'!$D:$AI,IF($J130=1,"ACTIVE     CED, FARM GATE (MJ/kg)","CED, processor gate (MJ/kg)"),INDIRECT($W130)))</f>
        <v>0.64558242437869295</v>
      </c>
      <c r="AA130" s="246">
        <f t="shared" ca="1" si="13"/>
        <v>0.64558242437869295</v>
      </c>
      <c r="AB130" s="254" t="str">
        <f ca="1">IF(P130="PROXY",IF(Q130&gt;=5,K130,"need group"),IF(Q130&gt;=5,"DIRECT","need group"))</f>
        <v>citrus</v>
      </c>
      <c r="AC130" s="247">
        <f ca="1">IF($AB130="DIRECT",Q130,DCOUNT('literature entries'!$D:$AI,IF($J130=1,"ACTIVE     GHGE, FARM GATE (kg CO2e/kg)","GHGE, processor gate (kg CO2e/kg)"),INDIRECT($AB130)))</f>
        <v>23</v>
      </c>
      <c r="AD130" s="247">
        <f ca="1">IF($AB130="DIRECT","",DAVERAGE('literature entries'!$D:$AI,IF($J130=1,"ACTIVE     GHGE, FARM GATE (kg CO2e/kg)","GHGE, processor gate (kg CO2e/kg)"),INDIRECT($AB130)))</f>
        <v>0.29650713402988427</v>
      </c>
      <c r="AE130" s="247">
        <f ca="1">IF($AB130="DIRECT",$S130,DSTDEV('literature entries'!$D:$AI,IF($J130=1,"ACTIVE     GHGE, FARM GATE (kg CO2e/kg)","GHGE, processor gate (kg CO2e/kg)"),INDIRECT($AB130)))</f>
        <v>0.21093968918220651</v>
      </c>
      <c r="AF130" s="247">
        <f t="shared" ca="1" si="14"/>
        <v>0.21093968918220649</v>
      </c>
    </row>
    <row r="131" spans="1:32" s="21" customFormat="1" thickBot="1" x14ac:dyDescent="0.25">
      <c r="A131" s="129">
        <v>1002206000</v>
      </c>
      <c r="B131" s="130" t="s">
        <v>2059</v>
      </c>
      <c r="C131" s="131" t="s">
        <v>1912</v>
      </c>
      <c r="D131" s="131" t="s">
        <v>2060</v>
      </c>
      <c r="E131" s="131">
        <v>34</v>
      </c>
      <c r="F131" s="126">
        <f t="shared" ca="1" si="9"/>
        <v>3.1659999999999999</v>
      </c>
      <c r="G131" s="127">
        <f t="shared" ca="1" si="10"/>
        <v>0.61199999999999999</v>
      </c>
      <c r="H131" s="132">
        <v>1.2</v>
      </c>
      <c r="I131" s="132" t="s">
        <v>2724</v>
      </c>
      <c r="J131" s="91">
        <v>1</v>
      </c>
      <c r="K131" s="90" t="s">
        <v>2458</v>
      </c>
      <c r="L131" s="152" t="str">
        <f>IF(ISERROR(GETPIVOTDATA(IF($J131=1,"Count of ACTIVE     CED, FARM GATE (MJ/kg)","Count of CED, processor gate (MJ/kg)"),'Pivot Table_CED'!$A$3,"SUB TYPE",$B131)),"PROXY",IF(GETPIVOTDATA(IF($J131=1,"Count of ACTIVE     CED, FARM GATE (MJ/kg)","Count of CED, processor gate (MJ/kg)"),'Pivot Table_CED'!$A$3,"SUB TYPE",$B131)=0,"PROXY","DB value"))</f>
        <v>PROXY</v>
      </c>
      <c r="M131" s="134">
        <f ca="1">IF($L131="PROXY",DCOUNT('literature entries'!$D:$AI,IF($J131=1,"ACTIVE     CED, FARM GATE (MJ/kg)","CED, processor gate (MJ/kg)"),INDIRECT($K131)),GETPIVOTDATA(IF($J131=1,"Count of ACTIVE     CED, FARM GATE (MJ/kg)","Count of CED, processor gate (MJ/kg)"),'Pivot Table_CED'!$A$3,"SUB TYPE",$B131))</f>
        <v>6</v>
      </c>
      <c r="N131" s="135">
        <f ca="1">IF($L131="PROXY",DAVERAGE('literature entries'!$D:$AI,IF($J131=1,"ACTIVE     CED, FARM GATE (MJ/kg)","CED, processor gate (MJ/kg)"),INDIRECT($K131)),GETPIVOTDATA(IF($J131=1,"Average of ACTIVE     CED, FARM GATE (MJ/kg)","Average of CED, processor gate (MJ/kg)"),'Pivot Table_CED'!$A$3,"SUB TYPE",$B131))</f>
        <v>2.6383333333333332</v>
      </c>
      <c r="O131" s="135">
        <f ca="1">IF($L131="PROXY",DSTDEV('literature entries'!D:AI,IF($J131=1,"ACTIVE     CED, FARM GATE (MJ/kg)","CED, processor gate (MJ/kg)"),INDIRECT($K131)),GETPIVOTDATA(IF($J131=1,"StdDev of ACTIVE     CED, FARM GATE (MJ/kg)","StdDev of CED, processor gate (MJ/kg)"),'Pivot Table_CED'!$A$3,"SUB TYPE",$B131))</f>
        <v>0.64558242437869295</v>
      </c>
      <c r="P131" s="152" t="str">
        <f>IF(ISERROR(GETPIVOTDATA(IF($J131=1,"Count of ACTIVE     GHGE, FARM GATE (kg CO2e/kg)","Count of GHGE, processor gate (kg CO2e/kg)"),'Pivot Table_GHG'!$A$3,"SUB TYPE",$B131)),"PROXY",IF(GETPIVOTDATA(IF($J131=1,"Count of ACTIVE     GHGE, FARM GATE (kg CO2e/kg)","Count of GHGE, processor gate (kg CO2e/kg)"),'Pivot Table_GHG'!$A$3,"SUB TYPE",$B131)=0,"PROXY","DB value"))</f>
        <v>DB value</v>
      </c>
      <c r="Q131" s="141">
        <f ca="1">IF($P131="PROXY",DCOUNT('literature entries'!$D:$AI,IF($J131=1,"ACTIVE     GHGE, FARM GATE (kg CO2e/kg)","GHGE, processor gate (kg CO2e/kg)"),INDIRECT($K131)),GETPIVOTDATA(IF($J131=1,"ACTIVE     GHGE, FARM GATE (kg CO2e/kg)","Count of GHGE, processor gate (kg CO2e/kg)"),'Pivot Table_GHG'!$A$3,"SUB TYPE",$B131))</f>
        <v>1</v>
      </c>
      <c r="R131" s="221">
        <f ca="1">IF($P131="PROXY",DAVERAGE('literature entries'!$D:$AI,IF($J131=1,"ACTIVE     GHGE, FARM GATE (kg CO2e/kg)","GHGE, processor gate (kg CO2e/kg)"),INDIRECT($K131)),GETPIVOTDATA(IF($J131=1,"Average of ACTIVE     GHGE, FARM GATE (kg CO2e/kg)","Average of GHGE, processor gate (kg CO2e/kg)"),'Pivot Table_GHG'!$A$3,"SUB TYPE",$B131))</f>
        <v>0.51</v>
      </c>
      <c r="S131" s="221" t="e">
        <f ca="1">IF($P131="PROXY",DSTDEV('literature entries'!$D:$AI,IF($J131=1,"ACTIVE     GHGE, FARM GATE (kg CO2e/kg)","GHGE, processor gate (kg CO2e/kg)"),INDIRECT($K131)),GETPIVOTDATA(IF($J131=1,"StdDev of ACTIVE     GHGE, FARM GATE (kg CO2e/kg)","StdDev of GHGE, processor gate (kg CO2e/kg)"),'Pivot Table_GHG'!$A$3,"SUB TYPE",$B131))</f>
        <v>#DIV/0!</v>
      </c>
      <c r="T131" s="101"/>
      <c r="U131" s="102"/>
      <c r="W131" s="248" t="s">
        <v>2458</v>
      </c>
      <c r="X131" s="246">
        <f ca="1">IF($W131="DIRECT",M131,DCOUNT('literature entries'!$D:$AI,IF($J131=1,"ACTIVE     CED, FARM GATE (MJ/kg)","CED, processor gate (MJ/kg)"),INDIRECT($W131)))</f>
        <v>6</v>
      </c>
      <c r="Y131" s="246">
        <f ca="1">IF($W131="DIRECT","",DAVERAGE('literature entries'!$D:$AI,IF($J131=1,"ACTIVE     CED, FARM GATE (MJ/kg)","CED, processor gate (MJ/kg)"),INDIRECT($W131)))</f>
        <v>2.6383333333333332</v>
      </c>
      <c r="Z131" s="246">
        <f ca="1">IF($W131="DIRECT",$O131,DSTDEV('literature entries'!$D:$AI,IF($J131=1,"ACTIVE     CED, FARM GATE (MJ/kg)","CED, processor gate (MJ/kg)"),INDIRECT($W131)))</f>
        <v>0.64558242437869295</v>
      </c>
      <c r="AA131" s="246">
        <f t="shared" ca="1" si="13"/>
        <v>0.64558242437869295</v>
      </c>
      <c r="AB131" s="352" t="s">
        <v>2458</v>
      </c>
      <c r="AC131" s="247">
        <f ca="1">IF($AB131="DIRECT",Q131,DCOUNT('literature entries'!$D:$AI,IF($J131=1,"ACTIVE     GHGE, FARM GATE (kg CO2e/kg)","GHGE, processor gate (kg CO2e/kg)"),INDIRECT($AB131)))</f>
        <v>23</v>
      </c>
      <c r="AD131" s="247">
        <f ca="1">IF($AB131="DIRECT","",DAVERAGE('literature entries'!$D:$AI,IF($J131=1,"ACTIVE     GHGE, FARM GATE (kg CO2e/kg)","GHGE, processor gate (kg CO2e/kg)"),INDIRECT($AB131)))</f>
        <v>0.29650713402988427</v>
      </c>
      <c r="AE131" s="247">
        <f ca="1">IF($AB131="DIRECT",$S131,DSTDEV('literature entries'!$D:$AI,IF($J131=1,"ACTIVE     GHGE, FARM GATE (kg CO2e/kg)","GHGE, processor gate (kg CO2e/kg)"),INDIRECT($AB131)))</f>
        <v>0.21093968918220651</v>
      </c>
      <c r="AF131" s="247">
        <f t="shared" ca="1" si="14"/>
        <v>0.36282176425503021</v>
      </c>
    </row>
    <row r="132" spans="1:32" s="21" customFormat="1" thickBot="1" x14ac:dyDescent="0.25">
      <c r="A132" s="129">
        <v>1002207000</v>
      </c>
      <c r="B132" s="130" t="s">
        <v>2061</v>
      </c>
      <c r="C132" s="131" t="s">
        <v>1742</v>
      </c>
      <c r="D132" s="131" t="s">
        <v>2062</v>
      </c>
      <c r="E132" s="131">
        <v>7724</v>
      </c>
      <c r="F132" s="126">
        <f t="shared" ref="F132:F195" ca="1" si="16">N132*H132+T132</f>
        <v>13.856583333333333</v>
      </c>
      <c r="G132" s="127">
        <f t="shared" ref="G132:G195" ca="1" si="17">R132*H132+U132</f>
        <v>1.9427273116771238</v>
      </c>
      <c r="H132" s="132">
        <v>3.25</v>
      </c>
      <c r="I132" s="132" t="s">
        <v>2724</v>
      </c>
      <c r="J132" s="91">
        <v>1</v>
      </c>
      <c r="K132" s="90" t="s">
        <v>2458</v>
      </c>
      <c r="L132" s="152" t="str">
        <f>IF(ISERROR(GETPIVOTDATA(IF($J132=1,"Count of ACTIVE     CED, FARM GATE (MJ/kg)","Count of CED, processor gate (MJ/kg)"),'Pivot Table_CED'!$A$3,"SUB TYPE",$B132)),"PROXY",IF(GETPIVOTDATA(IF($J132=1,"Count of ACTIVE     CED, FARM GATE (MJ/kg)","Count of CED, processor gate (MJ/kg)"),'Pivot Table_CED'!$A$3,"SUB TYPE",$B132)=0,"PROXY","DB value"))</f>
        <v>PROXY</v>
      </c>
      <c r="M132" s="134">
        <f ca="1">IF($L132="PROXY",DCOUNT('literature entries'!$D:$AI,IF($J132=1,"ACTIVE     CED, FARM GATE (MJ/kg)","CED, processor gate (MJ/kg)"),INDIRECT($K132)),GETPIVOTDATA(IF($J132=1,"Count of ACTIVE     CED, FARM GATE (MJ/kg)","Count of CED, processor gate (MJ/kg)"),'Pivot Table_CED'!$A$3,"SUB TYPE",$B132))</f>
        <v>6</v>
      </c>
      <c r="N132" s="135">
        <f ca="1">IF($L132="PROXY",DAVERAGE('literature entries'!$D:$AI,IF($J132=1,"ACTIVE     CED, FARM GATE (MJ/kg)","CED, processor gate (MJ/kg)"),INDIRECT($K132)),GETPIVOTDATA(IF($J132=1,"Average of ACTIVE     CED, FARM GATE (MJ/kg)","Average of CED, processor gate (MJ/kg)"),'Pivot Table_CED'!$A$3,"SUB TYPE",$B132))</f>
        <v>2.6383333333333332</v>
      </c>
      <c r="O132" s="135">
        <f ca="1">IF($L132="PROXY",DSTDEV('literature entries'!D:AI,IF($J132=1,"ACTIVE     CED, FARM GATE (MJ/kg)","CED, processor gate (MJ/kg)"),INDIRECT($K132)),GETPIVOTDATA(IF($J132=1,"StdDev of ACTIVE     CED, FARM GATE (MJ/kg)","StdDev of CED, processor gate (MJ/kg)"),'Pivot Table_CED'!$A$3,"SUB TYPE",$B132))</f>
        <v>0.64558242437869295</v>
      </c>
      <c r="P132" s="152" t="str">
        <f>IF(ISERROR(GETPIVOTDATA(IF($J132=1,"Count of ACTIVE     GHGE, FARM GATE (kg CO2e/kg)","Count of GHGE, processor gate (kg CO2e/kg)"),'Pivot Table_GHG'!$A$3,"SUB TYPE",$B132)),"PROXY",IF(GETPIVOTDATA(IF($J132=1,"Count of ACTIVE     GHGE, FARM GATE (kg CO2e/kg)","Count of GHGE, processor gate (kg CO2e/kg)"),'Pivot Table_GHG'!$A$3,"SUB TYPE",$B132)=0,"PROXY","DB value"))</f>
        <v>PROXY</v>
      </c>
      <c r="Q132" s="141">
        <f ca="1">IF($P132="PROXY",DCOUNT('literature entries'!$D:$AI,IF($J132=1,"ACTIVE     GHGE, FARM GATE (kg CO2e/kg)","GHGE, processor gate (kg CO2e/kg)"),INDIRECT($K132)),GETPIVOTDATA(IF($J132=1,"ACTIVE     GHGE, FARM GATE (kg CO2e/kg)","Count of GHGE, processor gate (kg CO2e/kg)"),'Pivot Table_GHG'!$A$3,"SUB TYPE",$B132))</f>
        <v>23</v>
      </c>
      <c r="R132" s="221">
        <f ca="1">IF($P132="PROXY",DAVERAGE('literature entries'!$D:$AI,IF($J132=1,"ACTIVE     GHGE, FARM GATE (kg CO2e/kg)","GHGE, processor gate (kg CO2e/kg)"),INDIRECT($K132)),GETPIVOTDATA(IF($J132=1,"Average of ACTIVE     GHGE, FARM GATE (kg CO2e/kg)","Average of GHGE, processor gate (kg CO2e/kg)"),'Pivot Table_GHG'!$A$3,"SUB TYPE",$B132))</f>
        <v>0.29650713402988427</v>
      </c>
      <c r="S132" s="221">
        <f ca="1">IF($P132="PROXY",DSTDEV('literature entries'!$D:$AI,IF($J132=1,"ACTIVE     GHGE, FARM GATE (kg CO2e/kg)","GHGE, processor gate (kg CO2e/kg)"),INDIRECT($K132)),GETPIVOTDATA(IF($J132=1,"StdDev of ACTIVE     GHGE, FARM GATE (kg CO2e/kg)","StdDev of GHGE, processor gate (kg CO2e/kg)"),'Pivot Table_GHG'!$A$3,"SUB TYPE",$B132))</f>
        <v>0.21093968918220651</v>
      </c>
      <c r="T132" s="99">
        <v>5.282</v>
      </c>
      <c r="U132" s="100">
        <v>0.97907912607999992</v>
      </c>
      <c r="W132" s="248" t="s">
        <v>2458</v>
      </c>
      <c r="X132" s="246">
        <f ca="1">IF($W132="DIRECT",M132,DCOUNT('literature entries'!$D:$AI,IF($J132=1,"ACTIVE     CED, FARM GATE (MJ/kg)","CED, processor gate (MJ/kg)"),INDIRECT($W132)))</f>
        <v>6</v>
      </c>
      <c r="Y132" s="246">
        <f ca="1">IF($W132="DIRECT","",DAVERAGE('literature entries'!$D:$AI,IF($J132=1,"ACTIVE     CED, FARM GATE (MJ/kg)","CED, processor gate (MJ/kg)"),INDIRECT($W132)))</f>
        <v>2.6383333333333332</v>
      </c>
      <c r="Z132" s="246">
        <f ca="1">IF($W132="DIRECT",$O132,DSTDEV('literature entries'!$D:$AI,IF($J132=1,"ACTIVE     CED, FARM GATE (MJ/kg)","CED, processor gate (MJ/kg)"),INDIRECT($W132)))</f>
        <v>0.64558242437869295</v>
      </c>
      <c r="AA132" s="246">
        <f t="shared" ca="1" si="13"/>
        <v>0.64558242437869295</v>
      </c>
      <c r="AB132" s="254" t="str">
        <f ca="1">IF(P132="PROXY",IF(Q132&gt;=5,K132,"need group"),IF(Q132&gt;=5,"DIRECT","need group"))</f>
        <v>citrus</v>
      </c>
      <c r="AC132" s="247">
        <f ca="1">IF($AB132="DIRECT",Q132,DCOUNT('literature entries'!$D:$AI,IF($J132=1,"ACTIVE     GHGE, FARM GATE (kg CO2e/kg)","GHGE, processor gate (kg CO2e/kg)"),INDIRECT($AB132)))</f>
        <v>23</v>
      </c>
      <c r="AD132" s="247">
        <f ca="1">IF($AB132="DIRECT","",DAVERAGE('literature entries'!$D:$AI,IF($J132=1,"ACTIVE     GHGE, FARM GATE (kg CO2e/kg)","GHGE, processor gate (kg CO2e/kg)"),INDIRECT($AB132)))</f>
        <v>0.29650713402988427</v>
      </c>
      <c r="AE132" s="247">
        <f ca="1">IF($AB132="DIRECT",$S132,DSTDEV('literature entries'!$D:$AI,IF($J132=1,"ACTIVE     GHGE, FARM GATE (kg CO2e/kg)","GHGE, processor gate (kg CO2e/kg)"),INDIRECT($AB132)))</f>
        <v>0.21093968918220651</v>
      </c>
      <c r="AF132" s="247">
        <f t="shared" ca="1" si="14"/>
        <v>0.21093968918220649</v>
      </c>
    </row>
    <row r="133" spans="1:32" s="21" customFormat="1" thickBot="1" x14ac:dyDescent="0.25">
      <c r="A133" s="129">
        <v>1003180000</v>
      </c>
      <c r="B133" s="130" t="s">
        <v>2022</v>
      </c>
      <c r="C133" s="131" t="s">
        <v>2023</v>
      </c>
      <c r="D133" s="131" t="s">
        <v>2024</v>
      </c>
      <c r="E133" s="131">
        <v>618</v>
      </c>
      <c r="F133" s="126">
        <f t="shared" ca="1" si="16"/>
        <v>5.2766666666666664</v>
      </c>
      <c r="G133" s="127">
        <f t="shared" ca="1" si="17"/>
        <v>1.21</v>
      </c>
      <c r="H133" s="132">
        <v>2</v>
      </c>
      <c r="I133" s="132" t="s">
        <v>2724</v>
      </c>
      <c r="J133" s="91">
        <v>1</v>
      </c>
      <c r="K133" s="90" t="s">
        <v>2458</v>
      </c>
      <c r="L133" s="152" t="str">
        <f>IF(ISERROR(GETPIVOTDATA(IF($J133=1,"Count of ACTIVE     CED, FARM GATE (MJ/kg)","Count of CED, processor gate (MJ/kg)"),'Pivot Table_CED'!$A$3,"SUB TYPE",$B133)),"PROXY",IF(GETPIVOTDATA(IF($J133=1,"Count of ACTIVE     CED, FARM GATE (MJ/kg)","Count of CED, processor gate (MJ/kg)"),'Pivot Table_CED'!$A$3,"SUB TYPE",$B133)=0,"PROXY","DB value"))</f>
        <v>PROXY</v>
      </c>
      <c r="M133" s="134">
        <f ca="1">IF($L133="PROXY",DCOUNT('literature entries'!$D:$AI,IF($J133=1,"ACTIVE     CED, FARM GATE (MJ/kg)","CED, processor gate (MJ/kg)"),INDIRECT($K133)),GETPIVOTDATA(IF($J133=1,"Count of ACTIVE     CED, FARM GATE (MJ/kg)","Count of CED, processor gate (MJ/kg)"),'Pivot Table_CED'!$A$3,"SUB TYPE",$B133))</f>
        <v>6</v>
      </c>
      <c r="N133" s="135">
        <f ca="1">IF($L133="PROXY",DAVERAGE('literature entries'!$D:$AI,IF($J133=1,"ACTIVE     CED, FARM GATE (MJ/kg)","CED, processor gate (MJ/kg)"),INDIRECT($K133)),GETPIVOTDATA(IF($J133=1,"Average of ACTIVE     CED, FARM GATE (MJ/kg)","Average of CED, processor gate (MJ/kg)"),'Pivot Table_CED'!$A$3,"SUB TYPE",$B133))</f>
        <v>2.6383333333333332</v>
      </c>
      <c r="O133" s="135">
        <f ca="1">IF($L133="PROXY",DSTDEV('literature entries'!D:AI,IF($J133=1,"ACTIVE     CED, FARM GATE (MJ/kg)","CED, processor gate (MJ/kg)"),INDIRECT($K133)),GETPIVOTDATA(IF($J133=1,"StdDev of ACTIVE     CED, FARM GATE (MJ/kg)","StdDev of CED, processor gate (MJ/kg)"),'Pivot Table_CED'!$A$3,"SUB TYPE",$B133))</f>
        <v>0.64558242437869295</v>
      </c>
      <c r="P133" s="152" t="str">
        <f>IF(ISERROR(GETPIVOTDATA(IF($J133=1,"Count of ACTIVE     GHGE, FARM GATE (kg CO2e/kg)","Count of GHGE, processor gate (kg CO2e/kg)"),'Pivot Table_GHG'!$A$3,"SUB TYPE",$B133)),"PROXY",IF(GETPIVOTDATA(IF($J133=1,"Count of ACTIVE     GHGE, FARM GATE (kg CO2e/kg)","Count of GHGE, processor gate (kg CO2e/kg)"),'Pivot Table_GHG'!$A$3,"SUB TYPE",$B133)=0,"PROXY","DB value"))</f>
        <v>DB value</v>
      </c>
      <c r="Q133" s="141">
        <f ca="1">IF($P133="PROXY",DCOUNT('literature entries'!$D:$AI,IF($J133=1,"ACTIVE     GHGE, FARM GATE (kg CO2e/kg)","GHGE, processor gate (kg CO2e/kg)"),INDIRECT($K133)),GETPIVOTDATA(IF($J133=1,"ACTIVE     GHGE, FARM GATE (kg CO2e/kg)","Count of GHGE, processor gate (kg CO2e/kg)"),'Pivot Table_GHG'!$A$3,"SUB TYPE",$B133))</f>
        <v>2</v>
      </c>
      <c r="R133" s="221">
        <f ca="1">IF($P133="PROXY",DAVERAGE('literature entries'!$D:$AI,IF($J133=1,"ACTIVE     GHGE, FARM GATE (kg CO2e/kg)","GHGE, processor gate (kg CO2e/kg)"),INDIRECT($K133)),GETPIVOTDATA(IF($J133=1,"Average of ACTIVE     GHGE, FARM GATE (kg CO2e/kg)","Average of GHGE, processor gate (kg CO2e/kg)"),'Pivot Table_GHG'!$A$3,"SUB TYPE",$B133))</f>
        <v>0.60499999999999998</v>
      </c>
      <c r="S133" s="221">
        <f ca="1">IF($P133="PROXY",DSTDEV('literature entries'!$D:$AI,IF($J133=1,"ACTIVE     GHGE, FARM GATE (kg CO2e/kg)","GHGE, processor gate (kg CO2e/kg)"),INDIRECT($K133)),GETPIVOTDATA(IF($J133=1,"StdDev of ACTIVE     GHGE, FARM GATE (kg CO2e/kg)","StdDev of GHGE, processor gate (kg CO2e/kg)"),'Pivot Table_GHG'!$A$3,"SUB TYPE",$B133))</f>
        <v>0.13435028842544408</v>
      </c>
      <c r="T133" s="101"/>
      <c r="U133" s="102"/>
      <c r="W133" s="248" t="s">
        <v>2458</v>
      </c>
      <c r="X133" s="246">
        <f ca="1">IF($W133="DIRECT",M133,DCOUNT('literature entries'!$D:$AI,IF($J133=1,"ACTIVE     CED, FARM GATE (MJ/kg)","CED, processor gate (MJ/kg)"),INDIRECT($W133)))</f>
        <v>6</v>
      </c>
      <c r="Y133" s="246">
        <f ca="1">IF($W133="DIRECT","",DAVERAGE('literature entries'!$D:$AI,IF($J133=1,"ACTIVE     CED, FARM GATE (MJ/kg)","CED, processor gate (MJ/kg)"),INDIRECT($W133)))</f>
        <v>2.6383333333333332</v>
      </c>
      <c r="Z133" s="246">
        <f ca="1">IF($W133="DIRECT",$O133,DSTDEV('literature entries'!$D:$AI,IF($J133=1,"ACTIVE     CED, FARM GATE (MJ/kg)","CED, processor gate (MJ/kg)"),INDIRECT($W133)))</f>
        <v>0.64558242437869295</v>
      </c>
      <c r="AA133" s="246">
        <f t="shared" ca="1" si="13"/>
        <v>0.64558242437869295</v>
      </c>
      <c r="AB133" s="352" t="s">
        <v>2458</v>
      </c>
      <c r="AC133" s="247">
        <f ca="1">IF($AB133="DIRECT",Q133,DCOUNT('literature entries'!$D:$AI,IF($J133=1,"ACTIVE     GHGE, FARM GATE (kg CO2e/kg)","GHGE, processor gate (kg CO2e/kg)"),INDIRECT($AB133)))</f>
        <v>23</v>
      </c>
      <c r="AD133" s="247">
        <f ca="1">IF($AB133="DIRECT","",DAVERAGE('literature entries'!$D:$AI,IF($J133=1,"ACTIVE     GHGE, FARM GATE (kg CO2e/kg)","GHGE, processor gate (kg CO2e/kg)"),INDIRECT($AB133)))</f>
        <v>0.29650713402988427</v>
      </c>
      <c r="AE133" s="247">
        <f ca="1">IF($AB133="DIRECT",$S133,DSTDEV('literature entries'!$D:$AI,IF($J133=1,"ACTIVE     GHGE, FARM GATE (kg CO2e/kg)","GHGE, processor gate (kg CO2e/kg)"),INDIRECT($AB133)))</f>
        <v>0.21093968918220651</v>
      </c>
      <c r="AF133" s="247">
        <f t="shared" ca="1" si="14"/>
        <v>0.43040621053782996</v>
      </c>
    </row>
    <row r="134" spans="1:32" s="21" customFormat="1" ht="17" thickBot="1" x14ac:dyDescent="0.25">
      <c r="A134" s="129">
        <v>1003181000</v>
      </c>
      <c r="B134" s="130" t="s">
        <v>2025</v>
      </c>
      <c r="C134" s="131" t="s">
        <v>1742</v>
      </c>
      <c r="D134" s="131"/>
      <c r="E134" s="131">
        <v>7511</v>
      </c>
      <c r="F134" s="126">
        <f t="shared" ca="1" si="16"/>
        <v>11.218249999999999</v>
      </c>
      <c r="G134" s="127">
        <f t="shared" ca="1" si="17"/>
        <v>1.6462201776472396</v>
      </c>
      <c r="H134" s="132">
        <v>2.25</v>
      </c>
      <c r="I134" s="133" t="s">
        <v>2724</v>
      </c>
      <c r="J134" s="91">
        <v>1</v>
      </c>
      <c r="K134" s="90" t="s">
        <v>2458</v>
      </c>
      <c r="L134" s="152" t="str">
        <f>IF(ISERROR(GETPIVOTDATA(IF($J134=1,"Count of ACTIVE     CED, FARM GATE (MJ/kg)","Count of CED, processor gate (MJ/kg)"),'Pivot Table_CED'!$A$3,"SUB TYPE",$B134)),"PROXY",IF(GETPIVOTDATA(IF($J134=1,"Count of ACTIVE     CED, FARM GATE (MJ/kg)","Count of CED, processor gate (MJ/kg)"),'Pivot Table_CED'!$A$3,"SUB TYPE",$B134)=0,"PROXY","DB value"))</f>
        <v>PROXY</v>
      </c>
      <c r="M134" s="134">
        <f ca="1">IF($L134="PROXY",DCOUNT('literature entries'!$D:$AI,IF($J134=1,"ACTIVE     CED, FARM GATE (MJ/kg)","CED, processor gate (MJ/kg)"),INDIRECT($K134)),GETPIVOTDATA(IF($J134=1,"Count of ACTIVE     CED, FARM GATE (MJ/kg)","Count of CED, processor gate (MJ/kg)"),'Pivot Table_CED'!$A$3,"SUB TYPE",$B134))</f>
        <v>6</v>
      </c>
      <c r="N134" s="135">
        <f ca="1">IF($L134="PROXY",DAVERAGE('literature entries'!$D:$AI,IF($J134=1,"ACTIVE     CED, FARM GATE (MJ/kg)","CED, processor gate (MJ/kg)"),INDIRECT($K134)),GETPIVOTDATA(IF($J134=1,"Average of ACTIVE     CED, FARM GATE (MJ/kg)","Average of CED, processor gate (MJ/kg)"),'Pivot Table_CED'!$A$3,"SUB TYPE",$B134))</f>
        <v>2.6383333333333332</v>
      </c>
      <c r="O134" s="135">
        <f ca="1">IF($L134="PROXY",DSTDEV('literature entries'!D:AI,IF($J134=1,"ACTIVE     CED, FARM GATE (MJ/kg)","CED, processor gate (MJ/kg)"),INDIRECT($K134)),GETPIVOTDATA(IF($J134=1,"StdDev of ACTIVE     CED, FARM GATE (MJ/kg)","StdDev of CED, processor gate (MJ/kg)"),'Pivot Table_CED'!$A$3,"SUB TYPE",$B134))</f>
        <v>0.64558242437869295</v>
      </c>
      <c r="P134" s="152" t="str">
        <f>IF(ISERROR(GETPIVOTDATA(IF($J134=1,"Count of ACTIVE     GHGE, FARM GATE (kg CO2e/kg)","Count of GHGE, processor gate (kg CO2e/kg)"),'Pivot Table_GHG'!$A$3,"SUB TYPE",$B134)),"PROXY",IF(GETPIVOTDATA(IF($J134=1,"Count of ACTIVE     GHGE, FARM GATE (kg CO2e/kg)","Count of GHGE, processor gate (kg CO2e/kg)"),'Pivot Table_GHG'!$A$3,"SUB TYPE",$B134)=0,"PROXY","DB value"))</f>
        <v>PROXY</v>
      </c>
      <c r="Q134" s="141">
        <f ca="1">IF($P134="PROXY",DCOUNT('literature entries'!$D:$AI,IF($J134=1,"ACTIVE     GHGE, FARM GATE (kg CO2e/kg)","GHGE, processor gate (kg CO2e/kg)"),INDIRECT($K134)),GETPIVOTDATA(IF($J134=1,"ACTIVE     GHGE, FARM GATE (kg CO2e/kg)","Count of GHGE, processor gate (kg CO2e/kg)"),'Pivot Table_GHG'!$A$3,"SUB TYPE",$B134))</f>
        <v>23</v>
      </c>
      <c r="R134" s="221">
        <f ca="1">IF($P134="PROXY",DAVERAGE('literature entries'!$D:$AI,IF($J134=1,"ACTIVE     GHGE, FARM GATE (kg CO2e/kg)","GHGE, processor gate (kg CO2e/kg)"),INDIRECT($K134)),GETPIVOTDATA(IF($J134=1,"Average of ACTIVE     GHGE, FARM GATE (kg CO2e/kg)","Average of GHGE, processor gate (kg CO2e/kg)"),'Pivot Table_GHG'!$A$3,"SUB TYPE",$B134))</f>
        <v>0.29650713402988427</v>
      </c>
      <c r="S134" s="221">
        <f ca="1">IF($P134="PROXY",DSTDEV('literature entries'!$D:$AI,IF($J134=1,"ACTIVE     GHGE, FARM GATE (kg CO2e/kg)","GHGE, processor gate (kg CO2e/kg)"),INDIRECT($K134)),GETPIVOTDATA(IF($J134=1,"StdDev of ACTIVE     GHGE, FARM GATE (kg CO2e/kg)","StdDev of GHGE, processor gate (kg CO2e/kg)"),'Pivot Table_GHG'!$A$3,"SUB TYPE",$B134))</f>
        <v>0.21093968918220651</v>
      </c>
      <c r="T134" s="99">
        <v>5.282</v>
      </c>
      <c r="U134" s="100">
        <v>0.97907912607999992</v>
      </c>
      <c r="W134" s="248" t="s">
        <v>2458</v>
      </c>
      <c r="X134" s="246">
        <f ca="1">IF($W134="DIRECT",M134,DCOUNT('literature entries'!$D:$AI,IF($J134=1,"ACTIVE     CED, FARM GATE (MJ/kg)","CED, processor gate (MJ/kg)"),INDIRECT($W134)))</f>
        <v>6</v>
      </c>
      <c r="Y134" s="246">
        <f ca="1">IF($W134="DIRECT","",DAVERAGE('literature entries'!$D:$AI,IF($J134=1,"ACTIVE     CED, FARM GATE (MJ/kg)","CED, processor gate (MJ/kg)"),INDIRECT($W134)))</f>
        <v>2.6383333333333332</v>
      </c>
      <c r="Z134" s="246">
        <f ca="1">IF($W134="DIRECT",$O134,DSTDEV('literature entries'!$D:$AI,IF($J134=1,"ACTIVE     CED, FARM GATE (MJ/kg)","CED, processor gate (MJ/kg)"),INDIRECT($W134)))</f>
        <v>0.64558242437869295</v>
      </c>
      <c r="AA134" s="246">
        <f t="shared" ca="1" si="13"/>
        <v>0.64558242437869295</v>
      </c>
      <c r="AB134" s="254" t="str">
        <f t="shared" ref="AB134:AB144" ca="1" si="18">IF(P134="PROXY",IF(Q134&gt;=5,K134,"need group"),IF(Q134&gt;=5,"DIRECT","need group"))</f>
        <v>citrus</v>
      </c>
      <c r="AC134" s="247">
        <f ca="1">IF($AB134="DIRECT",Q134,DCOUNT('literature entries'!$D:$AI,IF($J134=1,"ACTIVE     GHGE, FARM GATE (kg CO2e/kg)","GHGE, processor gate (kg CO2e/kg)"),INDIRECT($AB134)))</f>
        <v>23</v>
      </c>
      <c r="AD134" s="247">
        <f ca="1">IF($AB134="DIRECT","",DAVERAGE('literature entries'!$D:$AI,IF($J134=1,"ACTIVE     GHGE, FARM GATE (kg CO2e/kg)","GHGE, processor gate (kg CO2e/kg)"),INDIRECT($AB134)))</f>
        <v>0.29650713402988427</v>
      </c>
      <c r="AE134" s="247">
        <f ca="1">IF($AB134="DIRECT",$S134,DSTDEV('literature entries'!$D:$AI,IF($J134=1,"ACTIVE     GHGE, FARM GATE (kg CO2e/kg)","GHGE, processor gate (kg CO2e/kg)"),INDIRECT($AB134)))</f>
        <v>0.21093968918220651</v>
      </c>
      <c r="AF134" s="247">
        <f t="shared" ca="1" si="14"/>
        <v>0.21093968918220649</v>
      </c>
    </row>
    <row r="135" spans="1:32" s="21" customFormat="1" ht="17" thickBot="1" x14ac:dyDescent="0.25">
      <c r="A135" s="129">
        <v>1100007000</v>
      </c>
      <c r="B135" s="130" t="s">
        <v>1739</v>
      </c>
      <c r="C135" s="131" t="s">
        <v>1740</v>
      </c>
      <c r="D135" s="131"/>
      <c r="E135" s="131">
        <v>6912</v>
      </c>
      <c r="F135" s="126">
        <f t="shared" ca="1" si="16"/>
        <v>1.5952550000000008</v>
      </c>
      <c r="G135" s="127">
        <f t="shared" ca="1" si="17"/>
        <v>0.2283983960562633</v>
      </c>
      <c r="H135" s="132">
        <v>1.1100000000000001</v>
      </c>
      <c r="I135" s="133" t="s">
        <v>2735</v>
      </c>
      <c r="J135" s="91">
        <v>1</v>
      </c>
      <c r="K135" s="90"/>
      <c r="L135" s="152" t="str">
        <f>IF(ISERROR(GETPIVOTDATA(IF($J135=1,"Count of ACTIVE     CED, FARM GATE (MJ/kg)","Count of CED, processor gate (MJ/kg)"),'Pivot Table_CED'!$A$3,"SUB TYPE",$B135)),"PROXY",IF(GETPIVOTDATA(IF($J135=1,"Count of ACTIVE     CED, FARM GATE (MJ/kg)","Count of CED, processor gate (MJ/kg)"),'Pivot Table_CED'!$A$3,"SUB TYPE",$B135)=0,"PROXY","DB value"))</f>
        <v>DB value</v>
      </c>
      <c r="M135" s="134">
        <f ca="1">IF($L135="PROXY",DCOUNT('literature entries'!$D:$AI,IF($J135=1,"ACTIVE     CED, FARM GATE (MJ/kg)","CED, processor gate (MJ/kg)"),INDIRECT($K135)),GETPIVOTDATA(IF($J135=1,"Count of ACTIVE     CED, FARM GATE (MJ/kg)","Count of CED, processor gate (MJ/kg)"),'Pivot Table_CED'!$A$3,"SUB TYPE",$B135))</f>
        <v>18</v>
      </c>
      <c r="N135" s="135">
        <f ca="1">IF($L135="PROXY",DAVERAGE('literature entries'!$D:$AI,IF($J135=1,"ACTIVE     CED, FARM GATE (MJ/kg)","CED, processor gate (MJ/kg)"),INDIRECT($K135)),GETPIVOTDATA(IF($J135=1,"Average of ACTIVE     CED, FARM GATE (MJ/kg)","Average of CED, processor gate (MJ/kg)"),'Pivot Table_CED'!$A$3,"SUB TYPE",$B135))</f>
        <v>1.4371666666666671</v>
      </c>
      <c r="O135" s="135">
        <f ca="1">IF($L135="PROXY",DSTDEV('literature entries'!D:AI,IF($J135=1,"ACTIVE     CED, FARM GATE (MJ/kg)","CED, processor gate (MJ/kg)"),INDIRECT($K135)),GETPIVOTDATA(IF($J135=1,"StdDev of ACTIVE     CED, FARM GATE (MJ/kg)","StdDev of CED, processor gate (MJ/kg)"),'Pivot Table_CED'!$A$3,"SUB TYPE",$B135))</f>
        <v>1.3479662458681962</v>
      </c>
      <c r="P135" s="152" t="str">
        <f>IF(ISERROR(GETPIVOTDATA(IF($J135=1,"Count of ACTIVE     GHGE, FARM GATE (kg CO2e/kg)","Count of GHGE, processor gate (kg CO2e/kg)"),'Pivot Table_GHG'!$A$3,"SUB TYPE",$B135)),"PROXY",IF(GETPIVOTDATA(IF($J135=1,"Count of ACTIVE     GHGE, FARM GATE (kg CO2e/kg)","Count of GHGE, processor gate (kg CO2e/kg)"),'Pivot Table_GHG'!$A$3,"SUB TYPE",$B135)=0,"PROXY","DB value"))</f>
        <v>DB value</v>
      </c>
      <c r="Q135" s="141">
        <f ca="1">IF($P135="PROXY",DCOUNT('literature entries'!$D:$AI,IF($J135=1,"ACTIVE     GHGE, FARM GATE (kg CO2e/kg)","GHGE, processor gate (kg CO2e/kg)"),INDIRECT($K135)),GETPIVOTDATA(IF($J135=1,"ACTIVE     GHGE, FARM GATE (kg CO2e/kg)","Count of GHGE, processor gate (kg CO2e/kg)"),'Pivot Table_GHG'!$A$3,"SUB TYPE",$B135))</f>
        <v>36</v>
      </c>
      <c r="R135" s="221">
        <f ca="1">IF($P135="PROXY",DAVERAGE('literature entries'!$D:$AI,IF($J135=1,"ACTIVE     GHGE, FARM GATE (kg CO2e/kg)","GHGE, processor gate (kg CO2e/kg)"),INDIRECT($K135)),GETPIVOTDATA(IF($J135=1,"Average of ACTIVE     GHGE, FARM GATE (kg CO2e/kg)","Average of GHGE, processor gate (kg CO2e/kg)"),'Pivot Table_GHG'!$A$3,"SUB TYPE",$B135))</f>
        <v>0.20576432077140835</v>
      </c>
      <c r="S135" s="221">
        <f ca="1">IF($P135="PROXY",DSTDEV('literature entries'!$D:$AI,IF($J135=1,"ACTIVE     GHGE, FARM GATE (kg CO2e/kg)","GHGE, processor gate (kg CO2e/kg)"),INDIRECT($K135)),GETPIVOTDATA(IF($J135=1,"StdDev of ACTIVE     GHGE, FARM GATE (kg CO2e/kg)","StdDev of GHGE, processor gate (kg CO2e/kg)"),'Pivot Table_GHG'!$A$3,"SUB TYPE",$B135))</f>
        <v>0.21608589641208981</v>
      </c>
      <c r="T135" s="94"/>
      <c r="U135" s="95"/>
      <c r="W135" s="248" t="str">
        <f t="shared" ref="W135:W142" ca="1" si="19">IF(L135="PROXY",IF(M135&gt;=5,K135,"need group"),IF(M135&gt;=5,"DIRECT","need group"))</f>
        <v>DIRECT</v>
      </c>
      <c r="X135" s="246">
        <f ca="1">IF($W135="DIRECT",M135,DCOUNT('literature entries'!$D:$AI,IF($J135=1,"ACTIVE     CED, FARM GATE (MJ/kg)","CED, processor gate (MJ/kg)"),INDIRECT($W135)))</f>
        <v>18</v>
      </c>
      <c r="Y135" s="246" t="str">
        <f ca="1">IF($W135="DIRECT","",DAVERAGE('literature entries'!$D:$AI,IF($J135=1,"ACTIVE     CED, FARM GATE (MJ/kg)","CED, processor gate (MJ/kg)"),INDIRECT($W135)))</f>
        <v/>
      </c>
      <c r="Z135" s="246">
        <f ca="1">IF($W135="DIRECT",$O135,DSTDEV('literature entries'!$D:$AI,IF($J135=1,"ACTIVE     CED, FARM GATE (MJ/kg)","CED, processor gate (MJ/kg)"),INDIRECT($W135)))</f>
        <v>1.3479662458681962</v>
      </c>
      <c r="AA135" s="246">
        <f t="shared" ca="1" si="13"/>
        <v>1.3479662458681962</v>
      </c>
      <c r="AB135" s="254" t="str">
        <f t="shared" ca="1" si="18"/>
        <v>DIRECT</v>
      </c>
      <c r="AC135" s="247">
        <f ca="1">IF($AB135="DIRECT",Q135,DCOUNT('literature entries'!$D:$AI,IF($J135=1,"ACTIVE     GHGE, FARM GATE (kg CO2e/kg)","GHGE, processor gate (kg CO2e/kg)"),INDIRECT($AB135)))</f>
        <v>36</v>
      </c>
      <c r="AD135" s="247" t="str">
        <f ca="1">IF($AB135="DIRECT","",DAVERAGE('literature entries'!$D:$AI,IF($J135=1,"ACTIVE     GHGE, FARM GATE (kg CO2e/kg)","GHGE, processor gate (kg CO2e/kg)"),INDIRECT($AB135)))</f>
        <v/>
      </c>
      <c r="AE135" s="247">
        <f ca="1">IF($AB135="DIRECT",$S135,DSTDEV('literature entries'!$D:$AI,IF($J135=1,"ACTIVE     GHGE, FARM GATE (kg CO2e/kg)","GHGE, processor gate (kg CO2e/kg)"),INDIRECT($AB135)))</f>
        <v>0.21608589641208981</v>
      </c>
      <c r="AF135" s="247">
        <f t="shared" ca="1" si="14"/>
        <v>0.21608589641208981</v>
      </c>
    </row>
    <row r="136" spans="1:32" s="21" customFormat="1" ht="17" thickBot="1" x14ac:dyDescent="0.25">
      <c r="A136" s="129">
        <v>1100008000</v>
      </c>
      <c r="B136" s="130" t="s">
        <v>1743</v>
      </c>
      <c r="C136" s="131" t="s">
        <v>1744</v>
      </c>
      <c r="D136" s="131"/>
      <c r="E136" s="131">
        <v>1123</v>
      </c>
      <c r="F136" s="126">
        <f t="shared" ca="1" si="16"/>
        <v>1.8683166666666673</v>
      </c>
      <c r="G136" s="127">
        <f t="shared" ca="1" si="17"/>
        <v>0.26749361700283086</v>
      </c>
      <c r="H136" s="136">
        <v>1.3</v>
      </c>
      <c r="I136" s="133" t="s">
        <v>2737</v>
      </c>
      <c r="J136" s="91">
        <v>1</v>
      </c>
      <c r="K136" s="90" t="s">
        <v>848</v>
      </c>
      <c r="L136" s="152" t="str">
        <f>IF(ISERROR(GETPIVOTDATA(IF($J136=1,"Count of ACTIVE     CED, FARM GATE (MJ/kg)","Count of CED, processor gate (MJ/kg)"),'Pivot Table_CED'!$A$3,"SUB TYPE",$B136)),"PROXY",IF(GETPIVOTDATA(IF($J136=1,"Count of ACTIVE     CED, FARM GATE (MJ/kg)","Count of CED, processor gate (MJ/kg)"),'Pivot Table_CED'!$A$3,"SUB TYPE",$B136)=0,"PROXY","DB value"))</f>
        <v>PROXY</v>
      </c>
      <c r="M136" s="134">
        <f ca="1">IF($L136="PROXY",DCOUNT('literature entries'!$D:$AI,IF($J136=1,"ACTIVE     CED, FARM GATE (MJ/kg)","CED, processor gate (MJ/kg)"),INDIRECT($K136)),GETPIVOTDATA(IF($J136=1,"Count of ACTIVE     CED, FARM GATE (MJ/kg)","Count of CED, processor gate (MJ/kg)"),'Pivot Table_CED'!$A$3,"SUB TYPE",$B136))</f>
        <v>18</v>
      </c>
      <c r="N136" s="135">
        <f ca="1">IF($L136="PROXY",DAVERAGE('literature entries'!$D:$AI,IF($J136=1,"ACTIVE     CED, FARM GATE (MJ/kg)","CED, processor gate (MJ/kg)"),INDIRECT($K136)),GETPIVOTDATA(IF($J136=1,"Average of ACTIVE     CED, FARM GATE (MJ/kg)","Average of CED, processor gate (MJ/kg)"),'Pivot Table_CED'!$A$3,"SUB TYPE",$B136))</f>
        <v>1.4371666666666671</v>
      </c>
      <c r="O136" s="135">
        <f ca="1">IF($L136="PROXY",DSTDEV('literature entries'!D:AI,IF($J136=1,"ACTIVE     CED, FARM GATE (MJ/kg)","CED, processor gate (MJ/kg)"),INDIRECT($K136)),GETPIVOTDATA(IF($J136=1,"StdDev of ACTIVE     CED, FARM GATE (MJ/kg)","StdDev of CED, processor gate (MJ/kg)"),'Pivot Table_CED'!$A$3,"SUB TYPE",$B136))</f>
        <v>1.3479662458681962</v>
      </c>
      <c r="P136" s="152" t="str">
        <f>IF(ISERROR(GETPIVOTDATA(IF($J136=1,"Count of ACTIVE     GHGE, FARM GATE (kg CO2e/kg)","Count of GHGE, processor gate (kg CO2e/kg)"),'Pivot Table_GHG'!$A$3,"SUB TYPE",$B136)),"PROXY",IF(GETPIVOTDATA(IF($J136=1,"Count of ACTIVE     GHGE, FARM GATE (kg CO2e/kg)","Count of GHGE, processor gate (kg CO2e/kg)"),'Pivot Table_GHG'!$A$3,"SUB TYPE",$B136)=0,"PROXY","DB value"))</f>
        <v>PROXY</v>
      </c>
      <c r="Q136" s="141">
        <f ca="1">IF($P136="PROXY",DCOUNT('literature entries'!$D:$AI,IF($J136=1,"ACTIVE     GHGE, FARM GATE (kg CO2e/kg)","GHGE, processor gate (kg CO2e/kg)"),INDIRECT($K136)),GETPIVOTDATA(IF($J136=1,"ACTIVE     GHGE, FARM GATE (kg CO2e/kg)","Count of GHGE, processor gate (kg CO2e/kg)"),'Pivot Table_GHG'!$A$3,"SUB TYPE",$B136))</f>
        <v>36</v>
      </c>
      <c r="R136" s="221">
        <f ca="1">IF($P136="PROXY",DAVERAGE('literature entries'!$D:$AI,IF($J136=1,"ACTIVE     GHGE, FARM GATE (kg CO2e/kg)","GHGE, processor gate (kg CO2e/kg)"),INDIRECT($K136)),GETPIVOTDATA(IF($J136=1,"Average of ACTIVE     GHGE, FARM GATE (kg CO2e/kg)","Average of GHGE, processor gate (kg CO2e/kg)"),'Pivot Table_GHG'!$A$3,"SUB TYPE",$B136))</f>
        <v>0.20576432077140835</v>
      </c>
      <c r="S136" s="221">
        <f ca="1">IF($P136="PROXY",DSTDEV('literature entries'!$D:$AI,IF($J136=1,"ACTIVE     GHGE, FARM GATE (kg CO2e/kg)","GHGE, processor gate (kg CO2e/kg)"),INDIRECT($K136)),GETPIVOTDATA(IF($J136=1,"StdDev of ACTIVE     GHGE, FARM GATE (kg CO2e/kg)","StdDev of GHGE, processor gate (kg CO2e/kg)"),'Pivot Table_GHG'!$A$3,"SUB TYPE",$B136))</f>
        <v>0.21608589641208981</v>
      </c>
      <c r="T136" s="94"/>
      <c r="U136" s="95"/>
      <c r="W136" s="248" t="str">
        <f t="shared" ca="1" si="19"/>
        <v>apple</v>
      </c>
      <c r="X136" s="246">
        <f ca="1">IF($W136="DIRECT",M136,DCOUNT('literature entries'!$D:$AI,IF($J136=1,"ACTIVE     CED, FARM GATE (MJ/kg)","CED, processor gate (MJ/kg)"),INDIRECT($W136)))</f>
        <v>18</v>
      </c>
      <c r="Y136" s="246">
        <f ca="1">IF($W136="DIRECT","",DAVERAGE('literature entries'!$D:$AI,IF($J136=1,"ACTIVE     CED, FARM GATE (MJ/kg)","CED, processor gate (MJ/kg)"),INDIRECT($W136)))</f>
        <v>1.4371666666666671</v>
      </c>
      <c r="Z136" s="246">
        <f ca="1">IF($W136="DIRECT",$O136,DSTDEV('literature entries'!$D:$AI,IF($J136=1,"ACTIVE     CED, FARM GATE (MJ/kg)","CED, processor gate (MJ/kg)"),INDIRECT($W136)))</f>
        <v>1.3479662458681962</v>
      </c>
      <c r="AA136" s="246">
        <f t="shared" ca="1" si="13"/>
        <v>1.3479662458681962</v>
      </c>
      <c r="AB136" s="254" t="str">
        <f t="shared" ca="1" si="18"/>
        <v>apple</v>
      </c>
      <c r="AC136" s="247">
        <f ca="1">IF($AB136="DIRECT",Q136,DCOUNT('literature entries'!$D:$AI,IF($J136=1,"ACTIVE     GHGE, FARM GATE (kg CO2e/kg)","GHGE, processor gate (kg CO2e/kg)"),INDIRECT($AB136)))</f>
        <v>36</v>
      </c>
      <c r="AD136" s="247">
        <f ca="1">IF($AB136="DIRECT","",DAVERAGE('literature entries'!$D:$AI,IF($J136=1,"ACTIVE     GHGE, FARM GATE (kg CO2e/kg)","GHGE, processor gate (kg CO2e/kg)"),INDIRECT($AB136)))</f>
        <v>0.20576432077140835</v>
      </c>
      <c r="AE136" s="247">
        <f ca="1">IF($AB136="DIRECT",$S136,DSTDEV('literature entries'!$D:$AI,IF($J136=1,"ACTIVE     GHGE, FARM GATE (kg CO2e/kg)","GHGE, processor gate (kg CO2e/kg)"),INDIRECT($AB136)))</f>
        <v>0.21608589641208981</v>
      </c>
      <c r="AF136" s="247">
        <f t="shared" ca="1" si="14"/>
        <v>0.21608589641208981</v>
      </c>
    </row>
    <row r="137" spans="1:32" s="21" customFormat="1" thickBot="1" x14ac:dyDescent="0.25">
      <c r="A137" s="129">
        <v>1100009000</v>
      </c>
      <c r="B137" s="130" t="s">
        <v>1737</v>
      </c>
      <c r="C137" s="131" t="s">
        <v>1738</v>
      </c>
      <c r="D137" s="131"/>
      <c r="E137" s="131">
        <v>2932</v>
      </c>
      <c r="F137" s="126">
        <f t="shared" ca="1" si="16"/>
        <v>8.8385750000000041</v>
      </c>
      <c r="G137" s="127">
        <f t="shared" ca="1" si="17"/>
        <v>1.2654505727441614</v>
      </c>
      <c r="H137" s="132">
        <v>6.15</v>
      </c>
      <c r="I137" s="132" t="s">
        <v>2724</v>
      </c>
      <c r="J137" s="96">
        <v>1</v>
      </c>
      <c r="K137" s="90" t="s">
        <v>848</v>
      </c>
      <c r="L137" s="152" t="str">
        <f>IF(ISERROR(GETPIVOTDATA(IF($J137=1,"Count of ACTIVE     CED, FARM GATE (MJ/kg)","Count of CED, processor gate (MJ/kg)"),'Pivot Table_CED'!$A$3,"SUB TYPE",$B137)),"PROXY",IF(GETPIVOTDATA(IF($J137=1,"Count of ACTIVE     CED, FARM GATE (MJ/kg)","Count of CED, processor gate (MJ/kg)"),'Pivot Table_CED'!$A$3,"SUB TYPE",$B137)=0,"PROXY","DB value"))</f>
        <v>PROXY</v>
      </c>
      <c r="M137" s="134">
        <f ca="1">IF($L137="PROXY",DCOUNT('literature entries'!$D:$AI,IF($J137=1,"ACTIVE     CED, FARM GATE (MJ/kg)","CED, processor gate (MJ/kg)"),INDIRECT($K137)),GETPIVOTDATA(IF($J137=1,"Count of ACTIVE     CED, FARM GATE (MJ/kg)","Count of CED, processor gate (MJ/kg)"),'Pivot Table_CED'!$A$3,"SUB TYPE",$B137))</f>
        <v>18</v>
      </c>
      <c r="N137" s="135">
        <f ca="1">IF($L137="PROXY",DAVERAGE('literature entries'!$D:$AI,IF($J137=1,"ACTIVE     CED, FARM GATE (MJ/kg)","CED, processor gate (MJ/kg)"),INDIRECT($K137)),GETPIVOTDATA(IF($J137=1,"Average of ACTIVE     CED, FARM GATE (MJ/kg)","Average of CED, processor gate (MJ/kg)"),'Pivot Table_CED'!$A$3,"SUB TYPE",$B137))</f>
        <v>1.4371666666666671</v>
      </c>
      <c r="O137" s="135">
        <f ca="1">IF($L137="PROXY",DSTDEV('literature entries'!D:AI,IF($J137=1,"ACTIVE     CED, FARM GATE (MJ/kg)","CED, processor gate (MJ/kg)"),INDIRECT($K137)),GETPIVOTDATA(IF($J137=1,"StdDev of ACTIVE     CED, FARM GATE (MJ/kg)","StdDev of CED, processor gate (MJ/kg)"),'Pivot Table_CED'!$A$3,"SUB TYPE",$B137))</f>
        <v>1.3479662458681962</v>
      </c>
      <c r="P137" s="152" t="str">
        <f>IF(ISERROR(GETPIVOTDATA(IF($J137=1,"Count of ACTIVE     GHGE, FARM GATE (kg CO2e/kg)","Count of GHGE, processor gate (kg CO2e/kg)"),'Pivot Table_GHG'!$A$3,"SUB TYPE",$B137)),"PROXY",IF(GETPIVOTDATA(IF($J137=1,"Count of ACTIVE     GHGE, FARM GATE (kg CO2e/kg)","Count of GHGE, processor gate (kg CO2e/kg)"),'Pivot Table_GHG'!$A$3,"SUB TYPE",$B137)=0,"PROXY","DB value"))</f>
        <v>PROXY</v>
      </c>
      <c r="Q137" s="141">
        <f ca="1">IF($P137="PROXY",DCOUNT('literature entries'!$D:$AI,IF($J137=1,"ACTIVE     GHGE, FARM GATE (kg CO2e/kg)","GHGE, processor gate (kg CO2e/kg)"),INDIRECT($K137)),GETPIVOTDATA(IF($J137=1,"ACTIVE     GHGE, FARM GATE (kg CO2e/kg)","Count of GHGE, processor gate (kg CO2e/kg)"),'Pivot Table_GHG'!$A$3,"SUB TYPE",$B137))</f>
        <v>36</v>
      </c>
      <c r="R137" s="221">
        <f ca="1">IF($P137="PROXY",DAVERAGE('literature entries'!$D:$AI,IF($J137=1,"ACTIVE     GHGE, FARM GATE (kg CO2e/kg)","GHGE, processor gate (kg CO2e/kg)"),INDIRECT($K137)),GETPIVOTDATA(IF($J137=1,"Average of ACTIVE     GHGE, FARM GATE (kg CO2e/kg)","Average of GHGE, processor gate (kg CO2e/kg)"),'Pivot Table_GHG'!$A$3,"SUB TYPE",$B137))</f>
        <v>0.20576432077140835</v>
      </c>
      <c r="S137" s="221">
        <f ca="1">IF($P137="PROXY",DSTDEV('literature entries'!$D:$AI,IF($J137=1,"ACTIVE     GHGE, FARM GATE (kg CO2e/kg)","GHGE, processor gate (kg CO2e/kg)"),INDIRECT($K137)),GETPIVOTDATA(IF($J137=1,"StdDev of ACTIVE     GHGE, FARM GATE (kg CO2e/kg)","StdDev of GHGE, processor gate (kg CO2e/kg)"),'Pivot Table_GHG'!$A$3,"SUB TYPE",$B137))</f>
        <v>0.21608589641208981</v>
      </c>
      <c r="T137" s="97"/>
      <c r="U137" s="98"/>
      <c r="W137" s="248" t="str">
        <f t="shared" ca="1" si="19"/>
        <v>apple</v>
      </c>
      <c r="X137" s="246">
        <f ca="1">IF($W137="DIRECT",M137,DCOUNT('literature entries'!$D:$AI,IF($J137=1,"ACTIVE     CED, FARM GATE (MJ/kg)","CED, processor gate (MJ/kg)"),INDIRECT($W137)))</f>
        <v>18</v>
      </c>
      <c r="Y137" s="246">
        <f ca="1">IF($W137="DIRECT","",DAVERAGE('literature entries'!$D:$AI,IF($J137=1,"ACTIVE     CED, FARM GATE (MJ/kg)","CED, processor gate (MJ/kg)"),INDIRECT($W137)))</f>
        <v>1.4371666666666671</v>
      </c>
      <c r="Z137" s="246">
        <f ca="1">IF($W137="DIRECT",$O137,DSTDEV('literature entries'!$D:$AI,IF($J137=1,"ACTIVE     CED, FARM GATE (MJ/kg)","CED, processor gate (MJ/kg)"),INDIRECT($W137)))</f>
        <v>1.3479662458681962</v>
      </c>
      <c r="AA137" s="246">
        <f t="shared" ref="AA137:AA168" ca="1" si="20">IF($W137="DIRECT",$O137,$Z137/$Y137*$N137)</f>
        <v>1.3479662458681962</v>
      </c>
      <c r="AB137" s="254" t="str">
        <f t="shared" ca="1" si="18"/>
        <v>apple</v>
      </c>
      <c r="AC137" s="247">
        <f ca="1">IF($AB137="DIRECT",Q137,DCOUNT('literature entries'!$D:$AI,IF($J137=1,"ACTIVE     GHGE, FARM GATE (kg CO2e/kg)","GHGE, processor gate (kg CO2e/kg)"),INDIRECT($AB137)))</f>
        <v>36</v>
      </c>
      <c r="AD137" s="247">
        <f ca="1">IF($AB137="DIRECT","",DAVERAGE('literature entries'!$D:$AI,IF($J137=1,"ACTIVE     GHGE, FARM GATE (kg CO2e/kg)","GHGE, processor gate (kg CO2e/kg)"),INDIRECT($AB137)))</f>
        <v>0.20576432077140835</v>
      </c>
      <c r="AE137" s="247">
        <f ca="1">IF($AB137="DIRECT",$S137,DSTDEV('literature entries'!$D:$AI,IF($J137=1,"ACTIVE     GHGE, FARM GATE (kg CO2e/kg)","GHGE, processor gate (kg CO2e/kg)"),INDIRECT($AB137)))</f>
        <v>0.21608589641208981</v>
      </c>
      <c r="AF137" s="247">
        <f t="shared" ref="AF137:AF168" ca="1" si="21">IF($AB137="DIRECT",$S137,$AE137/$AD137*$R137)</f>
        <v>0.21608589641208981</v>
      </c>
    </row>
    <row r="138" spans="1:32" s="21" customFormat="1" thickBot="1" x14ac:dyDescent="0.25">
      <c r="A138" s="129">
        <v>1100010000</v>
      </c>
      <c r="B138" s="130" t="s">
        <v>1741</v>
      </c>
      <c r="C138" s="131" t="s">
        <v>1742</v>
      </c>
      <c r="D138" s="131"/>
      <c r="E138" s="131">
        <v>14568</v>
      </c>
      <c r="F138" s="126">
        <f t="shared" ca="1" si="16"/>
        <v>7.4377500000000012</v>
      </c>
      <c r="G138" s="127">
        <f t="shared" ca="1" si="17"/>
        <v>1.2877256072371124</v>
      </c>
      <c r="H138" s="132">
        <v>1.5</v>
      </c>
      <c r="I138" s="132" t="s">
        <v>2724</v>
      </c>
      <c r="J138" s="91">
        <v>1</v>
      </c>
      <c r="K138" s="90" t="s">
        <v>848</v>
      </c>
      <c r="L138" s="152" t="str">
        <f>IF(ISERROR(GETPIVOTDATA(IF($J138=1,"Count of ACTIVE     CED, FARM GATE (MJ/kg)","Count of CED, processor gate (MJ/kg)"),'Pivot Table_CED'!$A$3,"SUB TYPE",$B138)),"PROXY",IF(GETPIVOTDATA(IF($J138=1,"Count of ACTIVE     CED, FARM GATE (MJ/kg)","Count of CED, processor gate (MJ/kg)"),'Pivot Table_CED'!$A$3,"SUB TYPE",$B138)=0,"PROXY","DB value"))</f>
        <v>PROXY</v>
      </c>
      <c r="M138" s="134">
        <f ca="1">IF($L138="PROXY",DCOUNT('literature entries'!$D:$AI,IF($J138=1,"ACTIVE     CED, FARM GATE (MJ/kg)","CED, processor gate (MJ/kg)"),INDIRECT($K138)),GETPIVOTDATA(IF($J138=1,"Count of ACTIVE     CED, FARM GATE (MJ/kg)","Count of CED, processor gate (MJ/kg)"),'Pivot Table_CED'!$A$3,"SUB TYPE",$B138))</f>
        <v>18</v>
      </c>
      <c r="N138" s="135">
        <f ca="1">IF($L138="PROXY",DAVERAGE('literature entries'!$D:$AI,IF($J138=1,"ACTIVE     CED, FARM GATE (MJ/kg)","CED, processor gate (MJ/kg)"),INDIRECT($K138)),GETPIVOTDATA(IF($J138=1,"Average of ACTIVE     CED, FARM GATE (MJ/kg)","Average of CED, processor gate (MJ/kg)"),'Pivot Table_CED'!$A$3,"SUB TYPE",$B138))</f>
        <v>1.4371666666666671</v>
      </c>
      <c r="O138" s="135">
        <f ca="1">IF($L138="PROXY",DSTDEV('literature entries'!D:AI,IF($J138=1,"ACTIVE     CED, FARM GATE (MJ/kg)","CED, processor gate (MJ/kg)"),INDIRECT($K138)),GETPIVOTDATA(IF($J138=1,"StdDev of ACTIVE     CED, FARM GATE (MJ/kg)","StdDev of CED, processor gate (MJ/kg)"),'Pivot Table_CED'!$A$3,"SUB TYPE",$B138))</f>
        <v>1.3479662458681962</v>
      </c>
      <c r="P138" s="152" t="str">
        <f>IF(ISERROR(GETPIVOTDATA(IF($J138=1,"Count of ACTIVE     GHGE, FARM GATE (kg CO2e/kg)","Count of GHGE, processor gate (kg CO2e/kg)"),'Pivot Table_GHG'!$A$3,"SUB TYPE",$B138)),"PROXY",IF(GETPIVOTDATA(IF($J138=1,"Count of ACTIVE     GHGE, FARM GATE (kg CO2e/kg)","Count of GHGE, processor gate (kg CO2e/kg)"),'Pivot Table_GHG'!$A$3,"SUB TYPE",$B138)=0,"PROXY","DB value"))</f>
        <v>PROXY</v>
      </c>
      <c r="Q138" s="141">
        <f ca="1">IF($P138="PROXY",DCOUNT('literature entries'!$D:$AI,IF($J138=1,"ACTIVE     GHGE, FARM GATE (kg CO2e/kg)","GHGE, processor gate (kg CO2e/kg)"),INDIRECT($K138)),GETPIVOTDATA(IF($J138=1,"ACTIVE     GHGE, FARM GATE (kg CO2e/kg)","Count of GHGE, processor gate (kg CO2e/kg)"),'Pivot Table_GHG'!$A$3,"SUB TYPE",$B138))</f>
        <v>36</v>
      </c>
      <c r="R138" s="221">
        <f ca="1">IF($P138="PROXY",DAVERAGE('literature entries'!$D:$AI,IF($J138=1,"ACTIVE     GHGE, FARM GATE (kg CO2e/kg)","GHGE, processor gate (kg CO2e/kg)"),INDIRECT($K138)),GETPIVOTDATA(IF($J138=1,"Average of ACTIVE     GHGE, FARM GATE (kg CO2e/kg)","Average of GHGE, processor gate (kg CO2e/kg)"),'Pivot Table_GHG'!$A$3,"SUB TYPE",$B138))</f>
        <v>0.20576432077140835</v>
      </c>
      <c r="S138" s="221">
        <f ca="1">IF($P138="PROXY",DSTDEV('literature entries'!$D:$AI,IF($J138=1,"ACTIVE     GHGE, FARM GATE (kg CO2e/kg)","GHGE, processor gate (kg CO2e/kg)"),INDIRECT($K138)),GETPIVOTDATA(IF($J138=1,"StdDev of ACTIVE     GHGE, FARM GATE (kg CO2e/kg)","StdDev of GHGE, processor gate (kg CO2e/kg)"),'Pivot Table_GHG'!$A$3,"SUB TYPE",$B138))</f>
        <v>0.21608589641208981</v>
      </c>
      <c r="T138" s="99">
        <v>5.282</v>
      </c>
      <c r="U138" s="100">
        <v>0.97907912607999992</v>
      </c>
      <c r="W138" s="248" t="str">
        <f t="shared" ca="1" si="19"/>
        <v>apple</v>
      </c>
      <c r="X138" s="246">
        <f ca="1">IF($W138="DIRECT",M138,DCOUNT('literature entries'!$D:$AI,IF($J138=1,"ACTIVE     CED, FARM GATE (MJ/kg)","CED, processor gate (MJ/kg)"),INDIRECT($W138)))</f>
        <v>18</v>
      </c>
      <c r="Y138" s="246">
        <f ca="1">IF($W138="DIRECT","",DAVERAGE('literature entries'!$D:$AI,IF($J138=1,"ACTIVE     CED, FARM GATE (MJ/kg)","CED, processor gate (MJ/kg)"),INDIRECT($W138)))</f>
        <v>1.4371666666666671</v>
      </c>
      <c r="Z138" s="246">
        <f ca="1">IF($W138="DIRECT",$O138,DSTDEV('literature entries'!$D:$AI,IF($J138=1,"ACTIVE     CED, FARM GATE (MJ/kg)","CED, processor gate (MJ/kg)"),INDIRECT($W138)))</f>
        <v>1.3479662458681962</v>
      </c>
      <c r="AA138" s="246">
        <f t="shared" ca="1" si="20"/>
        <v>1.3479662458681962</v>
      </c>
      <c r="AB138" s="254" t="str">
        <f t="shared" ca="1" si="18"/>
        <v>apple</v>
      </c>
      <c r="AC138" s="247">
        <f ca="1">IF($AB138="DIRECT",Q138,DCOUNT('literature entries'!$D:$AI,IF($J138=1,"ACTIVE     GHGE, FARM GATE (kg CO2e/kg)","GHGE, processor gate (kg CO2e/kg)"),INDIRECT($AB138)))</f>
        <v>36</v>
      </c>
      <c r="AD138" s="247">
        <f ca="1">IF($AB138="DIRECT","",DAVERAGE('literature entries'!$D:$AI,IF($J138=1,"ACTIVE     GHGE, FARM GATE (kg CO2e/kg)","GHGE, processor gate (kg CO2e/kg)"),INDIRECT($AB138)))</f>
        <v>0.20576432077140835</v>
      </c>
      <c r="AE138" s="247">
        <f ca="1">IF($AB138="DIRECT",$S138,DSTDEV('literature entries'!$D:$AI,IF($J138=1,"ACTIVE     GHGE, FARM GATE (kg CO2e/kg)","GHGE, processor gate (kg CO2e/kg)"),INDIRECT($AB138)))</f>
        <v>0.21608589641208981</v>
      </c>
      <c r="AF138" s="247">
        <f t="shared" ca="1" si="21"/>
        <v>0.21608589641208981</v>
      </c>
    </row>
    <row r="139" spans="1:32" s="21" customFormat="1" thickBot="1" x14ac:dyDescent="0.25">
      <c r="A139" s="129">
        <v>1100011000</v>
      </c>
      <c r="B139" s="130" t="s">
        <v>1745</v>
      </c>
      <c r="C139" s="131" t="s">
        <v>1746</v>
      </c>
      <c r="D139" s="131"/>
      <c r="E139" s="131">
        <v>1353</v>
      </c>
      <c r="F139" s="126">
        <f t="shared" ca="1" si="16"/>
        <v>2.012033333333334</v>
      </c>
      <c r="G139" s="127">
        <f t="shared" ca="1" si="17"/>
        <v>0.28807004907997169</v>
      </c>
      <c r="H139" s="132">
        <v>1.4</v>
      </c>
      <c r="I139" s="132" t="s">
        <v>2724</v>
      </c>
      <c r="J139" s="91">
        <v>1</v>
      </c>
      <c r="K139" s="90" t="s">
        <v>848</v>
      </c>
      <c r="L139" s="152" t="str">
        <f>IF(ISERROR(GETPIVOTDATA(IF($J139=1,"Count of ACTIVE     CED, FARM GATE (MJ/kg)","Count of CED, processor gate (MJ/kg)"),'Pivot Table_CED'!$A$3,"SUB TYPE",$B139)),"PROXY",IF(GETPIVOTDATA(IF($J139=1,"Count of ACTIVE     CED, FARM GATE (MJ/kg)","Count of CED, processor gate (MJ/kg)"),'Pivot Table_CED'!$A$3,"SUB TYPE",$B139)=0,"PROXY","DB value"))</f>
        <v>PROXY</v>
      </c>
      <c r="M139" s="134">
        <f ca="1">IF($L139="PROXY",DCOUNT('literature entries'!$D:$AI,IF($J139=1,"ACTIVE     CED, FARM GATE (MJ/kg)","CED, processor gate (MJ/kg)"),INDIRECT($K139)),GETPIVOTDATA(IF($J139=1,"Count of ACTIVE     CED, FARM GATE (MJ/kg)","Count of CED, processor gate (MJ/kg)"),'Pivot Table_CED'!$A$3,"SUB TYPE",$B139))</f>
        <v>18</v>
      </c>
      <c r="N139" s="135">
        <f ca="1">IF($L139="PROXY",DAVERAGE('literature entries'!$D:$AI,IF($J139=1,"ACTIVE     CED, FARM GATE (MJ/kg)","CED, processor gate (MJ/kg)"),INDIRECT($K139)),GETPIVOTDATA(IF($J139=1,"Average of ACTIVE     CED, FARM GATE (MJ/kg)","Average of CED, processor gate (MJ/kg)"),'Pivot Table_CED'!$A$3,"SUB TYPE",$B139))</f>
        <v>1.4371666666666671</v>
      </c>
      <c r="O139" s="135">
        <f ca="1">IF($L139="PROXY",DSTDEV('literature entries'!D:AI,IF($J139=1,"ACTIVE     CED, FARM GATE (MJ/kg)","CED, processor gate (MJ/kg)"),INDIRECT($K139)),GETPIVOTDATA(IF($J139=1,"StdDev of ACTIVE     CED, FARM GATE (MJ/kg)","StdDev of CED, processor gate (MJ/kg)"),'Pivot Table_CED'!$A$3,"SUB TYPE",$B139))</f>
        <v>1.3479662458681962</v>
      </c>
      <c r="P139" s="152" t="str">
        <f>IF(ISERROR(GETPIVOTDATA(IF($J139=1,"Count of ACTIVE     GHGE, FARM GATE (kg CO2e/kg)","Count of GHGE, processor gate (kg CO2e/kg)"),'Pivot Table_GHG'!$A$3,"SUB TYPE",$B139)),"PROXY",IF(GETPIVOTDATA(IF($J139=1,"Count of ACTIVE     GHGE, FARM GATE (kg CO2e/kg)","Count of GHGE, processor gate (kg CO2e/kg)"),'Pivot Table_GHG'!$A$3,"SUB TYPE",$B139)=0,"PROXY","DB value"))</f>
        <v>PROXY</v>
      </c>
      <c r="Q139" s="141">
        <f ca="1">IF($P139="PROXY",DCOUNT('literature entries'!$D:$AI,IF($J139=1,"ACTIVE     GHGE, FARM GATE (kg CO2e/kg)","GHGE, processor gate (kg CO2e/kg)"),INDIRECT($K139)),GETPIVOTDATA(IF($J139=1,"ACTIVE     GHGE, FARM GATE (kg CO2e/kg)","Count of GHGE, processor gate (kg CO2e/kg)"),'Pivot Table_GHG'!$A$3,"SUB TYPE",$B139))</f>
        <v>36</v>
      </c>
      <c r="R139" s="221">
        <f ca="1">IF($P139="PROXY",DAVERAGE('literature entries'!$D:$AI,IF($J139=1,"ACTIVE     GHGE, FARM GATE (kg CO2e/kg)","GHGE, processor gate (kg CO2e/kg)"),INDIRECT($K139)),GETPIVOTDATA(IF($J139=1,"Average of ACTIVE     GHGE, FARM GATE (kg CO2e/kg)","Average of GHGE, processor gate (kg CO2e/kg)"),'Pivot Table_GHG'!$A$3,"SUB TYPE",$B139))</f>
        <v>0.20576432077140835</v>
      </c>
      <c r="S139" s="221">
        <f ca="1">IF($P139="PROXY",DSTDEV('literature entries'!$D:$AI,IF($J139=1,"ACTIVE     GHGE, FARM GATE (kg CO2e/kg)","GHGE, processor gate (kg CO2e/kg)"),INDIRECT($K139)),GETPIVOTDATA(IF($J139=1,"StdDev of ACTIVE     GHGE, FARM GATE (kg CO2e/kg)","StdDev of GHGE, processor gate (kg CO2e/kg)"),'Pivot Table_GHG'!$A$3,"SUB TYPE",$B139))</f>
        <v>0.21608589641208981</v>
      </c>
      <c r="T139" s="94"/>
      <c r="U139" s="95"/>
      <c r="W139" s="248" t="str">
        <f t="shared" ca="1" si="19"/>
        <v>apple</v>
      </c>
      <c r="X139" s="246">
        <f ca="1">IF($W139="DIRECT",M139,DCOUNT('literature entries'!$D:$AI,IF($J139=1,"ACTIVE     CED, FARM GATE (MJ/kg)","CED, processor gate (MJ/kg)"),INDIRECT($W139)))</f>
        <v>18</v>
      </c>
      <c r="Y139" s="246">
        <f ca="1">IF($W139="DIRECT","",DAVERAGE('literature entries'!$D:$AI,IF($J139=1,"ACTIVE     CED, FARM GATE (MJ/kg)","CED, processor gate (MJ/kg)"),INDIRECT($W139)))</f>
        <v>1.4371666666666671</v>
      </c>
      <c r="Z139" s="246">
        <f ca="1">IF($W139="DIRECT",$O139,DSTDEV('literature entries'!$D:$AI,IF($J139=1,"ACTIVE     CED, FARM GATE (MJ/kg)","CED, processor gate (MJ/kg)"),INDIRECT($W139)))</f>
        <v>1.3479662458681962</v>
      </c>
      <c r="AA139" s="246">
        <f t="shared" ca="1" si="20"/>
        <v>1.3479662458681962</v>
      </c>
      <c r="AB139" s="254" t="str">
        <f t="shared" ca="1" si="18"/>
        <v>apple</v>
      </c>
      <c r="AC139" s="247">
        <f ca="1">IF($AB139="DIRECT",Q139,DCOUNT('literature entries'!$D:$AI,IF($J139=1,"ACTIVE     GHGE, FARM GATE (kg CO2e/kg)","GHGE, processor gate (kg CO2e/kg)"),INDIRECT($AB139)))</f>
        <v>36</v>
      </c>
      <c r="AD139" s="247">
        <f ca="1">IF($AB139="DIRECT","",DAVERAGE('literature entries'!$D:$AI,IF($J139=1,"ACTIVE     GHGE, FARM GATE (kg CO2e/kg)","GHGE, processor gate (kg CO2e/kg)"),INDIRECT($AB139)))</f>
        <v>0.20576432077140835</v>
      </c>
      <c r="AE139" s="247">
        <f ca="1">IF($AB139="DIRECT",$S139,DSTDEV('literature entries'!$D:$AI,IF($J139=1,"ACTIVE     GHGE, FARM GATE (kg CO2e/kg)","GHGE, processor gate (kg CO2e/kg)"),INDIRECT($AB139)))</f>
        <v>0.21608589641208981</v>
      </c>
      <c r="AF139" s="247">
        <f t="shared" ca="1" si="21"/>
        <v>0.21608589641208981</v>
      </c>
    </row>
    <row r="140" spans="1:32" s="21" customFormat="1" thickBot="1" x14ac:dyDescent="0.25">
      <c r="A140" s="129">
        <v>1100266000</v>
      </c>
      <c r="B140" s="130" t="s">
        <v>2145</v>
      </c>
      <c r="C140" s="131" t="s">
        <v>2146</v>
      </c>
      <c r="D140" s="131" t="s">
        <v>2147</v>
      </c>
      <c r="E140" s="131">
        <v>3209</v>
      </c>
      <c r="F140" s="126">
        <f t="shared" ca="1" si="16"/>
        <v>2.9215200000000006</v>
      </c>
      <c r="G140" s="127">
        <f t="shared" ca="1" si="17"/>
        <v>0.24879781662857142</v>
      </c>
      <c r="H140" s="132">
        <v>1.1100000000000001</v>
      </c>
      <c r="I140" s="132" t="s">
        <v>2724</v>
      </c>
      <c r="J140" s="91">
        <v>1</v>
      </c>
      <c r="K140" s="90"/>
      <c r="L140" s="152" t="str">
        <f>IF(ISERROR(GETPIVOTDATA(IF($J140=1,"Count of ACTIVE     CED, FARM GATE (MJ/kg)","Count of CED, processor gate (MJ/kg)"),'Pivot Table_CED'!$A$3,"SUB TYPE",$B140)),"PROXY",IF(GETPIVOTDATA(IF($J140=1,"Count of ACTIVE     CED, FARM GATE (MJ/kg)","Count of CED, processor gate (MJ/kg)"),'Pivot Table_CED'!$A$3,"SUB TYPE",$B140)=0,"PROXY","DB value"))</f>
        <v>DB value</v>
      </c>
      <c r="M140" s="134">
        <f ca="1">IF($L140="PROXY",DCOUNT('literature entries'!$D:$AI,IF($J140=1,"ACTIVE     CED, FARM GATE (MJ/kg)","CED, processor gate (MJ/kg)"),INDIRECT($K140)),GETPIVOTDATA(IF($J140=1,"Count of ACTIVE     CED, FARM GATE (MJ/kg)","Count of CED, processor gate (MJ/kg)"),'Pivot Table_CED'!$A$3,"SUB TYPE",$B140))</f>
        <v>5</v>
      </c>
      <c r="N140" s="135">
        <f ca="1">IF($L140="PROXY",DAVERAGE('literature entries'!$D:$AI,IF($J140=1,"ACTIVE     CED, FARM GATE (MJ/kg)","CED, processor gate (MJ/kg)"),INDIRECT($K140)),GETPIVOTDATA(IF($J140=1,"Average of ACTIVE     CED, FARM GATE (MJ/kg)","Average of CED, processor gate (MJ/kg)"),'Pivot Table_CED'!$A$3,"SUB TYPE",$B140))</f>
        <v>2.6320000000000001</v>
      </c>
      <c r="O140" s="135">
        <f ca="1">IF($L140="PROXY",DSTDEV('literature entries'!D:AI,IF($J140=1,"ACTIVE     CED, FARM GATE (MJ/kg)","CED, processor gate (MJ/kg)"),INDIRECT($K140)),GETPIVOTDATA(IF($J140=1,"StdDev of ACTIVE     CED, FARM GATE (MJ/kg)","StdDev of CED, processor gate (MJ/kg)"),'Pivot Table_CED'!$A$3,"SUB TYPE",$B140))</f>
        <v>2.0091103752656303</v>
      </c>
      <c r="P140" s="152" t="str">
        <f>IF(ISERROR(GETPIVOTDATA(IF($J140=1,"Count of ACTIVE     GHGE, FARM GATE (kg CO2e/kg)","Count of GHGE, processor gate (kg CO2e/kg)"),'Pivot Table_GHG'!$A$3,"SUB TYPE",$B140)),"PROXY",IF(GETPIVOTDATA(IF($J140=1,"Count of ACTIVE     GHGE, FARM GATE (kg CO2e/kg)","Count of GHGE, processor gate (kg CO2e/kg)"),'Pivot Table_GHG'!$A$3,"SUB TYPE",$B140)=0,"PROXY","DB value"))</f>
        <v>DB value</v>
      </c>
      <c r="Q140" s="141">
        <f ca="1">IF($P140="PROXY",DCOUNT('literature entries'!$D:$AI,IF($J140=1,"ACTIVE     GHGE, FARM GATE (kg CO2e/kg)","GHGE, processor gate (kg CO2e/kg)"),INDIRECT($K140)),GETPIVOTDATA(IF($J140=1,"ACTIVE     GHGE, FARM GATE (kg CO2e/kg)","Count of GHGE, processor gate (kg CO2e/kg)"),'Pivot Table_GHG'!$A$3,"SUB TYPE",$B140))</f>
        <v>7</v>
      </c>
      <c r="R140" s="221">
        <f ca="1">IF($P140="PROXY",DAVERAGE('literature entries'!$D:$AI,IF($J140=1,"ACTIVE     GHGE, FARM GATE (kg CO2e/kg)","GHGE, processor gate (kg CO2e/kg)"),INDIRECT($K140)),GETPIVOTDATA(IF($J140=1,"Average of ACTIVE     GHGE, FARM GATE (kg CO2e/kg)","Average of GHGE, processor gate (kg CO2e/kg)"),'Pivot Table_GHG'!$A$3,"SUB TYPE",$B140))</f>
        <v>0.22414217714285711</v>
      </c>
      <c r="S140" s="221">
        <f ca="1">IF($P140="PROXY",DSTDEV('literature entries'!$D:$AI,IF($J140=1,"ACTIVE     GHGE, FARM GATE (kg CO2e/kg)","GHGE, processor gate (kg CO2e/kg)"),INDIRECT($K140)),GETPIVOTDATA(IF($J140=1,"StdDev of ACTIVE     GHGE, FARM GATE (kg CO2e/kg)","StdDev of GHGE, processor gate (kg CO2e/kg)"),'Pivot Table_GHG'!$A$3,"SUB TYPE",$B140))</f>
        <v>0.13023470319022629</v>
      </c>
      <c r="T140" s="101"/>
      <c r="U140" s="102"/>
      <c r="W140" s="248" t="str">
        <f t="shared" ca="1" si="19"/>
        <v>DIRECT</v>
      </c>
      <c r="X140" s="246">
        <f ca="1">IF($W140="DIRECT",M140,DCOUNT('literature entries'!$D:$AI,IF($J140=1,"ACTIVE     CED, FARM GATE (MJ/kg)","CED, processor gate (MJ/kg)"),INDIRECT($W140)))</f>
        <v>5</v>
      </c>
      <c r="Y140" s="246" t="str">
        <f ca="1">IF($W140="DIRECT","",DAVERAGE('literature entries'!$D:$AI,IF($J140=1,"ACTIVE     CED, FARM GATE (MJ/kg)","CED, processor gate (MJ/kg)"),INDIRECT($W140)))</f>
        <v/>
      </c>
      <c r="Z140" s="246">
        <f ca="1">IF($W140="DIRECT",$O140,DSTDEV('literature entries'!$D:$AI,IF($J140=1,"ACTIVE     CED, FARM GATE (MJ/kg)","CED, processor gate (MJ/kg)"),INDIRECT($W140)))</f>
        <v>2.0091103752656303</v>
      </c>
      <c r="AA140" s="246">
        <f t="shared" ca="1" si="20"/>
        <v>2.0091103752656303</v>
      </c>
      <c r="AB140" s="254" t="str">
        <f t="shared" ca="1" si="18"/>
        <v>DIRECT</v>
      </c>
      <c r="AC140" s="247">
        <f ca="1">IF($AB140="DIRECT",Q140,DCOUNT('literature entries'!$D:$AI,IF($J140=1,"ACTIVE     GHGE, FARM GATE (kg CO2e/kg)","GHGE, processor gate (kg CO2e/kg)"),INDIRECT($AB140)))</f>
        <v>7</v>
      </c>
      <c r="AD140" s="247" t="str">
        <f ca="1">IF($AB140="DIRECT","",DAVERAGE('literature entries'!$D:$AI,IF($J140=1,"ACTIVE     GHGE, FARM GATE (kg CO2e/kg)","GHGE, processor gate (kg CO2e/kg)"),INDIRECT($AB140)))</f>
        <v/>
      </c>
      <c r="AE140" s="247">
        <f ca="1">IF($AB140="DIRECT",$S140,DSTDEV('literature entries'!$D:$AI,IF($J140=1,"ACTIVE     GHGE, FARM GATE (kg CO2e/kg)","GHGE, processor gate (kg CO2e/kg)"),INDIRECT($AB140)))</f>
        <v>0.13023470319022629</v>
      </c>
      <c r="AF140" s="247">
        <f t="shared" ca="1" si="21"/>
        <v>0.13023470319022629</v>
      </c>
    </row>
    <row r="141" spans="1:32" s="21" customFormat="1" ht="17" thickBot="1" x14ac:dyDescent="0.25">
      <c r="A141" s="129">
        <v>1100267000</v>
      </c>
      <c r="B141" s="130" t="s">
        <v>2148</v>
      </c>
      <c r="C141" s="131" t="s">
        <v>2149</v>
      </c>
      <c r="D141" s="131" t="s">
        <v>2147</v>
      </c>
      <c r="E141" s="131">
        <v>142</v>
      </c>
      <c r="F141" s="126">
        <f t="shared" ca="1" si="16"/>
        <v>13.16</v>
      </c>
      <c r="G141" s="127">
        <f t="shared" ca="1" si="17"/>
        <v>1.1207108857142856</v>
      </c>
      <c r="H141" s="132">
        <v>5</v>
      </c>
      <c r="I141" s="133" t="s">
        <v>2724</v>
      </c>
      <c r="J141" s="91">
        <v>1</v>
      </c>
      <c r="K141" s="131" t="s">
        <v>841</v>
      </c>
      <c r="L141" s="152" t="str">
        <f>IF(ISERROR(GETPIVOTDATA(IF($J141=1,"Count of ACTIVE     CED, FARM GATE (MJ/kg)","Count of CED, processor gate (MJ/kg)"),'Pivot Table_CED'!$A$3,"SUB TYPE",$B141)),"PROXY",IF(GETPIVOTDATA(IF($J141=1,"Count of ACTIVE     CED, FARM GATE (MJ/kg)","Count of CED, processor gate (MJ/kg)"),'Pivot Table_CED'!$A$3,"SUB TYPE",$B141)=0,"PROXY","DB value"))</f>
        <v>PROXY</v>
      </c>
      <c r="M141" s="134">
        <f ca="1">IF($L141="PROXY",DCOUNT('literature entries'!$D:$AI,IF($J141=1,"ACTIVE     CED, FARM GATE (MJ/kg)","CED, processor gate (MJ/kg)"),INDIRECT($K141)),GETPIVOTDATA(IF($J141=1,"Count of ACTIVE     CED, FARM GATE (MJ/kg)","Count of CED, processor gate (MJ/kg)"),'Pivot Table_CED'!$A$3,"SUB TYPE",$B141))</f>
        <v>5</v>
      </c>
      <c r="N141" s="135">
        <f ca="1">IF($L141="PROXY",DAVERAGE('literature entries'!$D:$AI,IF($J141=1,"ACTIVE     CED, FARM GATE (MJ/kg)","CED, processor gate (MJ/kg)"),INDIRECT($K141)),GETPIVOTDATA(IF($J141=1,"Average of ACTIVE     CED, FARM GATE (MJ/kg)","Average of CED, processor gate (MJ/kg)"),'Pivot Table_CED'!$A$3,"SUB TYPE",$B141))</f>
        <v>2.6320000000000001</v>
      </c>
      <c r="O141" s="135">
        <f ca="1">IF($L141="PROXY",DSTDEV('literature entries'!D:AI,IF($J141=1,"ACTIVE     CED, FARM GATE (MJ/kg)","CED, processor gate (MJ/kg)"),INDIRECT($K141)),GETPIVOTDATA(IF($J141=1,"StdDev of ACTIVE     CED, FARM GATE (MJ/kg)","StdDev of CED, processor gate (MJ/kg)"),'Pivot Table_CED'!$A$3,"SUB TYPE",$B141))</f>
        <v>2.0091103752656303</v>
      </c>
      <c r="P141" s="152" t="str">
        <f>IF(ISERROR(GETPIVOTDATA(IF($J141=1,"Count of ACTIVE     GHGE, FARM GATE (kg CO2e/kg)","Count of GHGE, processor gate (kg CO2e/kg)"),'Pivot Table_GHG'!$A$3,"SUB TYPE",$B141)),"PROXY",IF(GETPIVOTDATA(IF($J141=1,"Count of ACTIVE     GHGE, FARM GATE (kg CO2e/kg)","Count of GHGE, processor gate (kg CO2e/kg)"),'Pivot Table_GHG'!$A$3,"SUB TYPE",$B141)=0,"PROXY","DB value"))</f>
        <v>PROXY</v>
      </c>
      <c r="Q141" s="141">
        <f ca="1">IF($P141="PROXY",DCOUNT('literature entries'!$D:$AI,IF($J141=1,"ACTIVE     GHGE, FARM GATE (kg CO2e/kg)","GHGE, processor gate (kg CO2e/kg)"),INDIRECT($K141)),GETPIVOTDATA(IF($J141=1,"ACTIVE     GHGE, FARM GATE (kg CO2e/kg)","Count of GHGE, processor gate (kg CO2e/kg)"),'Pivot Table_GHG'!$A$3,"SUB TYPE",$B141))</f>
        <v>7</v>
      </c>
      <c r="R141" s="221">
        <f ca="1">IF($P141="PROXY",DAVERAGE('literature entries'!$D:$AI,IF($J141=1,"ACTIVE     GHGE, FARM GATE (kg CO2e/kg)","GHGE, processor gate (kg CO2e/kg)"),INDIRECT($K141)),GETPIVOTDATA(IF($J141=1,"Average of ACTIVE     GHGE, FARM GATE (kg CO2e/kg)","Average of GHGE, processor gate (kg CO2e/kg)"),'Pivot Table_GHG'!$A$3,"SUB TYPE",$B141))</f>
        <v>0.22414217714285711</v>
      </c>
      <c r="S141" s="221">
        <f ca="1">IF($P141="PROXY",DSTDEV('literature entries'!$D:$AI,IF($J141=1,"ACTIVE     GHGE, FARM GATE (kg CO2e/kg)","GHGE, processor gate (kg CO2e/kg)"),INDIRECT($K141)),GETPIVOTDATA(IF($J141=1,"StdDev of ACTIVE     GHGE, FARM GATE (kg CO2e/kg)","StdDev of GHGE, processor gate (kg CO2e/kg)"),'Pivot Table_GHG'!$A$3,"SUB TYPE",$B141))</f>
        <v>0.13023470319022629</v>
      </c>
      <c r="T141" s="101"/>
      <c r="U141" s="102"/>
      <c r="W141" s="248" t="str">
        <f t="shared" ca="1" si="19"/>
        <v>pear</v>
      </c>
      <c r="X141" s="246">
        <f ca="1">IF($W141="DIRECT",M141,DCOUNT('literature entries'!$D:$AI,IF($J141=1,"ACTIVE     CED, FARM GATE (MJ/kg)","CED, processor gate (MJ/kg)"),INDIRECT($W141)))</f>
        <v>5</v>
      </c>
      <c r="Y141" s="246">
        <f ca="1">IF($W141="DIRECT","",DAVERAGE('literature entries'!$D:$AI,IF($J141=1,"ACTIVE     CED, FARM GATE (MJ/kg)","CED, processor gate (MJ/kg)"),INDIRECT($W141)))</f>
        <v>2.6320000000000001</v>
      </c>
      <c r="Z141" s="246">
        <f ca="1">IF($W141="DIRECT",$O141,DSTDEV('literature entries'!$D:$AI,IF($J141=1,"ACTIVE     CED, FARM GATE (MJ/kg)","CED, processor gate (MJ/kg)"),INDIRECT($W141)))</f>
        <v>2.0091103752656303</v>
      </c>
      <c r="AA141" s="246">
        <f t="shared" ca="1" si="20"/>
        <v>2.0091103752656303</v>
      </c>
      <c r="AB141" s="254" t="str">
        <f t="shared" ca="1" si="18"/>
        <v>pear</v>
      </c>
      <c r="AC141" s="247">
        <f ca="1">IF($AB141="DIRECT",Q141,DCOUNT('literature entries'!$D:$AI,IF($J141=1,"ACTIVE     GHGE, FARM GATE (kg CO2e/kg)","GHGE, processor gate (kg CO2e/kg)"),INDIRECT($AB141)))</f>
        <v>7</v>
      </c>
      <c r="AD141" s="247">
        <f ca="1">IF($AB141="DIRECT","",DAVERAGE('literature entries'!$D:$AI,IF($J141=1,"ACTIVE     GHGE, FARM GATE (kg CO2e/kg)","GHGE, processor gate (kg CO2e/kg)"),INDIRECT($AB141)))</f>
        <v>0.22414217714285711</v>
      </c>
      <c r="AE141" s="247">
        <f ca="1">IF($AB141="DIRECT",$S141,DSTDEV('literature entries'!$D:$AI,IF($J141=1,"ACTIVE     GHGE, FARM GATE (kg CO2e/kg)","GHGE, processor gate (kg CO2e/kg)"),INDIRECT($AB141)))</f>
        <v>0.13023470319022629</v>
      </c>
      <c r="AF141" s="247">
        <f t="shared" ca="1" si="21"/>
        <v>0.13023470319022629</v>
      </c>
    </row>
    <row r="142" spans="1:32" s="21" customFormat="1" ht="17" thickBot="1" x14ac:dyDescent="0.25">
      <c r="A142" s="129">
        <v>1100268000</v>
      </c>
      <c r="B142" s="130" t="s">
        <v>2150</v>
      </c>
      <c r="C142" s="131" t="s">
        <v>1742</v>
      </c>
      <c r="D142" s="131" t="s">
        <v>2147</v>
      </c>
      <c r="E142" s="131">
        <v>6975</v>
      </c>
      <c r="F142" s="126">
        <f t="shared" ca="1" si="16"/>
        <v>9.23</v>
      </c>
      <c r="G142" s="127">
        <f t="shared" ca="1" si="17"/>
        <v>1.3152923917942856</v>
      </c>
      <c r="H142" s="132">
        <v>1.5</v>
      </c>
      <c r="I142" s="133" t="s">
        <v>2754</v>
      </c>
      <c r="J142" s="91">
        <v>1</v>
      </c>
      <c r="K142" s="131" t="s">
        <v>841</v>
      </c>
      <c r="L142" s="152" t="str">
        <f>IF(ISERROR(GETPIVOTDATA(IF($J142=1,"Count of ACTIVE     CED, FARM GATE (MJ/kg)","Count of CED, processor gate (MJ/kg)"),'Pivot Table_CED'!$A$3,"SUB TYPE",$B142)),"PROXY",IF(GETPIVOTDATA(IF($J142=1,"Count of ACTIVE     CED, FARM GATE (MJ/kg)","Count of CED, processor gate (MJ/kg)"),'Pivot Table_CED'!$A$3,"SUB TYPE",$B142)=0,"PROXY","DB value"))</f>
        <v>PROXY</v>
      </c>
      <c r="M142" s="134">
        <f ca="1">IF($L142="PROXY",DCOUNT('literature entries'!$D:$AI,IF($J142=1,"ACTIVE     CED, FARM GATE (MJ/kg)","CED, processor gate (MJ/kg)"),INDIRECT($K142)),GETPIVOTDATA(IF($J142=1,"Count of ACTIVE     CED, FARM GATE (MJ/kg)","Count of CED, processor gate (MJ/kg)"),'Pivot Table_CED'!$A$3,"SUB TYPE",$B142))</f>
        <v>5</v>
      </c>
      <c r="N142" s="135">
        <f ca="1">IF($L142="PROXY",DAVERAGE('literature entries'!$D:$AI,IF($J142=1,"ACTIVE     CED, FARM GATE (MJ/kg)","CED, processor gate (MJ/kg)"),INDIRECT($K142)),GETPIVOTDATA(IF($J142=1,"Average of ACTIVE     CED, FARM GATE (MJ/kg)","Average of CED, processor gate (MJ/kg)"),'Pivot Table_CED'!$A$3,"SUB TYPE",$B142))</f>
        <v>2.6320000000000001</v>
      </c>
      <c r="O142" s="135">
        <f ca="1">IF($L142="PROXY",DSTDEV('literature entries'!D:AI,IF($J142=1,"ACTIVE     CED, FARM GATE (MJ/kg)","CED, processor gate (MJ/kg)"),INDIRECT($K142)),GETPIVOTDATA(IF($J142=1,"StdDev of ACTIVE     CED, FARM GATE (MJ/kg)","StdDev of CED, processor gate (MJ/kg)"),'Pivot Table_CED'!$A$3,"SUB TYPE",$B142))</f>
        <v>2.0091103752656303</v>
      </c>
      <c r="P142" s="152" t="str">
        <f>IF(ISERROR(GETPIVOTDATA(IF($J142=1,"Count of ACTIVE     GHGE, FARM GATE (kg CO2e/kg)","Count of GHGE, processor gate (kg CO2e/kg)"),'Pivot Table_GHG'!$A$3,"SUB TYPE",$B142)),"PROXY",IF(GETPIVOTDATA(IF($J142=1,"Count of ACTIVE     GHGE, FARM GATE (kg CO2e/kg)","Count of GHGE, processor gate (kg CO2e/kg)"),'Pivot Table_GHG'!$A$3,"SUB TYPE",$B142)=0,"PROXY","DB value"))</f>
        <v>PROXY</v>
      </c>
      <c r="Q142" s="141">
        <f ca="1">IF($P142="PROXY",DCOUNT('literature entries'!$D:$AI,IF($J142=1,"ACTIVE     GHGE, FARM GATE (kg CO2e/kg)","GHGE, processor gate (kg CO2e/kg)"),INDIRECT($K142)),GETPIVOTDATA(IF($J142=1,"ACTIVE     GHGE, FARM GATE (kg CO2e/kg)","Count of GHGE, processor gate (kg CO2e/kg)"),'Pivot Table_GHG'!$A$3,"SUB TYPE",$B142))</f>
        <v>7</v>
      </c>
      <c r="R142" s="221">
        <f ca="1">IF($P142="PROXY",DAVERAGE('literature entries'!$D:$AI,IF($J142=1,"ACTIVE     GHGE, FARM GATE (kg CO2e/kg)","GHGE, processor gate (kg CO2e/kg)"),INDIRECT($K142)),GETPIVOTDATA(IF($J142=1,"Average of ACTIVE     GHGE, FARM GATE (kg CO2e/kg)","Average of GHGE, processor gate (kg CO2e/kg)"),'Pivot Table_GHG'!$A$3,"SUB TYPE",$B142))</f>
        <v>0.22414217714285711</v>
      </c>
      <c r="S142" s="221">
        <f ca="1">IF($P142="PROXY",DSTDEV('literature entries'!$D:$AI,IF($J142=1,"ACTIVE     GHGE, FARM GATE (kg CO2e/kg)","GHGE, processor gate (kg CO2e/kg)"),INDIRECT($K142)),GETPIVOTDATA(IF($J142=1,"StdDev of ACTIVE     GHGE, FARM GATE (kg CO2e/kg)","StdDev of GHGE, processor gate (kg CO2e/kg)"),'Pivot Table_GHG'!$A$3,"SUB TYPE",$B142))</f>
        <v>0.13023470319022629</v>
      </c>
      <c r="T142" s="99">
        <v>5.282</v>
      </c>
      <c r="U142" s="100">
        <v>0.97907912607999992</v>
      </c>
      <c r="W142" s="248" t="str">
        <f t="shared" ca="1" si="19"/>
        <v>pear</v>
      </c>
      <c r="X142" s="246">
        <f ca="1">IF($W142="DIRECT",M142,DCOUNT('literature entries'!$D:$AI,IF($J142=1,"ACTIVE     CED, FARM GATE (MJ/kg)","CED, processor gate (MJ/kg)"),INDIRECT($W142)))</f>
        <v>5</v>
      </c>
      <c r="Y142" s="246">
        <f ca="1">IF($W142="DIRECT","",DAVERAGE('literature entries'!$D:$AI,IF($J142=1,"ACTIVE     CED, FARM GATE (MJ/kg)","CED, processor gate (MJ/kg)"),INDIRECT($W142)))</f>
        <v>2.6320000000000001</v>
      </c>
      <c r="Z142" s="246">
        <f ca="1">IF($W142="DIRECT",$O142,DSTDEV('literature entries'!$D:$AI,IF($J142=1,"ACTIVE     CED, FARM GATE (MJ/kg)","CED, processor gate (MJ/kg)"),INDIRECT($W142)))</f>
        <v>2.0091103752656303</v>
      </c>
      <c r="AA142" s="246">
        <f t="shared" ca="1" si="20"/>
        <v>2.0091103752656303</v>
      </c>
      <c r="AB142" s="254" t="str">
        <f t="shared" ca="1" si="18"/>
        <v>pear</v>
      </c>
      <c r="AC142" s="247">
        <f ca="1">IF($AB142="DIRECT",Q142,DCOUNT('literature entries'!$D:$AI,IF($J142=1,"ACTIVE     GHGE, FARM GATE (kg CO2e/kg)","GHGE, processor gate (kg CO2e/kg)"),INDIRECT($AB142)))</f>
        <v>7</v>
      </c>
      <c r="AD142" s="247">
        <f ca="1">IF($AB142="DIRECT","",DAVERAGE('literature entries'!$D:$AI,IF($J142=1,"ACTIVE     GHGE, FARM GATE (kg CO2e/kg)","GHGE, processor gate (kg CO2e/kg)"),INDIRECT($AB142)))</f>
        <v>0.22414217714285711</v>
      </c>
      <c r="AE142" s="247">
        <f ca="1">IF($AB142="DIRECT",$S142,DSTDEV('literature entries'!$D:$AI,IF($J142=1,"ACTIVE     GHGE, FARM GATE (kg CO2e/kg)","GHGE, processor gate (kg CO2e/kg)"),INDIRECT($AB142)))</f>
        <v>0.13023470319022629</v>
      </c>
      <c r="AF142" s="247">
        <f t="shared" ca="1" si="21"/>
        <v>0.13023470319022629</v>
      </c>
    </row>
    <row r="143" spans="1:32" s="21" customFormat="1" thickBot="1" x14ac:dyDescent="0.25">
      <c r="A143" s="129">
        <v>1201090000</v>
      </c>
      <c r="B143" s="130" t="s">
        <v>1879</v>
      </c>
      <c r="C143" s="131" t="s">
        <v>1880</v>
      </c>
      <c r="D143" s="131" t="s">
        <v>1881</v>
      </c>
      <c r="E143" s="131">
        <v>11075</v>
      </c>
      <c r="F143" s="126">
        <f t="shared" ca="1" si="16"/>
        <v>4.3600000000000003</v>
      </c>
      <c r="G143" s="127">
        <f t="shared" ca="1" si="17"/>
        <v>0.51012000000000002</v>
      </c>
      <c r="H143" s="132">
        <v>1.0900000000000001</v>
      </c>
      <c r="I143" s="132" t="s">
        <v>2724</v>
      </c>
      <c r="J143" s="91">
        <v>1</v>
      </c>
      <c r="K143" s="131" t="s">
        <v>3268</v>
      </c>
      <c r="L143" s="152" t="str">
        <f>IF(ISERROR(GETPIVOTDATA(IF($J143=1,"Count of ACTIVE     CED, FARM GATE (MJ/kg)","Count of CED, processor gate (MJ/kg)"),'Pivot Table_CED'!$A$3,"SUB TYPE",$B143)),"PROXY",IF(GETPIVOTDATA(IF($J143=1,"Count of ACTIVE     CED, FARM GATE (MJ/kg)","Count of CED, processor gate (MJ/kg)"),'Pivot Table_CED'!$A$3,"SUB TYPE",$B143)=0,"PROXY","DB value"))</f>
        <v>DB value</v>
      </c>
      <c r="M143" s="134">
        <f ca="1">IF($L143="PROXY",DCOUNT('literature entries'!$D:$AI,IF($J143=1,"ACTIVE     CED, FARM GATE (MJ/kg)","CED, processor gate (MJ/kg)"),INDIRECT($K143)),GETPIVOTDATA(IF($J143=1,"Count of ACTIVE     CED, FARM GATE (MJ/kg)","Count of CED, processor gate (MJ/kg)"),'Pivot Table_CED'!$A$3,"SUB TYPE",$B143))</f>
        <v>2</v>
      </c>
      <c r="N143" s="135">
        <f ca="1">IF($L143="PROXY",DAVERAGE('literature entries'!$D:$AI,IF($J143=1,"ACTIVE     CED, FARM GATE (MJ/kg)","CED, processor gate (MJ/kg)"),INDIRECT($K143)),GETPIVOTDATA(IF($J143=1,"Average of ACTIVE     CED, FARM GATE (MJ/kg)","Average of CED, processor gate (MJ/kg)"),'Pivot Table_CED'!$A$3,"SUB TYPE",$B143))</f>
        <v>4</v>
      </c>
      <c r="O143" s="135">
        <f ca="1">IF($L143="PROXY",DSTDEV('literature entries'!D:AI,IF($J143=1,"ACTIVE     CED, FARM GATE (MJ/kg)","CED, processor gate (MJ/kg)"),INDIRECT($K143)),GETPIVOTDATA(IF($J143=1,"StdDev of ACTIVE     CED, FARM GATE (MJ/kg)","StdDev of CED, processor gate (MJ/kg)"),'Pivot Table_CED'!$A$3,"SUB TYPE",$B143))</f>
        <v>1.4142135623730951</v>
      </c>
      <c r="P143" s="152" t="str">
        <f>IF(ISERROR(GETPIVOTDATA(IF($J143=1,"Count of ACTIVE     GHGE, FARM GATE (kg CO2e/kg)","Count of GHGE, processor gate (kg CO2e/kg)"),'Pivot Table_GHG'!$A$3,"SUB TYPE",$B143)),"PROXY",IF(GETPIVOTDATA(IF($J143=1,"Count of ACTIVE     GHGE, FARM GATE (kg CO2e/kg)","Count of GHGE, processor gate (kg CO2e/kg)"),'Pivot Table_GHG'!$A$3,"SUB TYPE",$B143)=0,"PROXY","DB value"))</f>
        <v>DB value</v>
      </c>
      <c r="Q143" s="141">
        <f ca="1">IF($P143="PROXY",DCOUNT('literature entries'!$D:$AI,IF($J143=1,"ACTIVE     GHGE, FARM GATE (kg CO2e/kg)","GHGE, processor gate (kg CO2e/kg)"),INDIRECT($K143)),GETPIVOTDATA(IF($J143=1,"ACTIVE     GHGE, FARM GATE (kg CO2e/kg)","Count of GHGE, processor gate (kg CO2e/kg)"),'Pivot Table_GHG'!$A$3,"SUB TYPE",$B143))</f>
        <v>5</v>
      </c>
      <c r="R143" s="221">
        <f ca="1">IF($P143="PROXY",DAVERAGE('literature entries'!$D:$AI,IF($J143=1,"ACTIVE     GHGE, FARM GATE (kg CO2e/kg)","GHGE, processor gate (kg CO2e/kg)"),INDIRECT($K143)),GETPIVOTDATA(IF($J143=1,"Average of ACTIVE     GHGE, FARM GATE (kg CO2e/kg)","Average of GHGE, processor gate (kg CO2e/kg)"),'Pivot Table_GHG'!$A$3,"SUB TYPE",$B143))</f>
        <v>0.46799999999999997</v>
      </c>
      <c r="S143" s="221">
        <f ca="1">IF($P143="PROXY",DSTDEV('literature entries'!$D:$AI,IF($J143=1,"ACTIVE     GHGE, FARM GATE (kg CO2e/kg)","GHGE, processor gate (kg CO2e/kg)"),INDIRECT($K143)),GETPIVOTDATA(IF($J143=1,"StdDev of ACTIVE     GHGE, FARM GATE (kg CO2e/kg)","StdDev of GHGE, processor gate (kg CO2e/kg)"),'Pivot Table_GHG'!$A$3,"SUB TYPE",$B143))</f>
        <v>0.24324884377936951</v>
      </c>
      <c r="T143" s="101"/>
      <c r="U143" s="102"/>
      <c r="W143" s="248" t="s">
        <v>3268</v>
      </c>
      <c r="X143" s="246">
        <f ca="1">IF($W143="DIRECT",M143,DCOUNT('literature entries'!$D:$AI,IF($J143=1,"ACTIVE     CED, FARM GATE (MJ/kg)","CED, processor gate (MJ/kg)"),INDIRECT($W143)))</f>
        <v>30</v>
      </c>
      <c r="Y143" s="246">
        <f ca="1">IF($W143="DIRECT","",DAVERAGE('literature entries'!$D:$AI,IF($J143=1,"ACTIVE     CED, FARM GATE (MJ/kg)","CED, processor gate (MJ/kg)"),INDIRECT($W143)))</f>
        <v>2.0319666666666669</v>
      </c>
      <c r="Z143" s="246">
        <f ca="1">IF($W143="DIRECT",$O143,DSTDEV('literature entries'!$D:$AI,IF($J143=1,"ACTIVE     CED, FARM GATE (MJ/kg)","CED, processor gate (MJ/kg)"),INDIRECT($W143)))</f>
        <v>1.7780728376790285</v>
      </c>
      <c r="AA143" s="246">
        <f t="shared" ca="1" si="20"/>
        <v>3.5002007992500435</v>
      </c>
      <c r="AB143" s="254" t="str">
        <f t="shared" ca="1" si="18"/>
        <v>DIRECT</v>
      </c>
      <c r="AC143" s="247">
        <f ca="1">IF($AB143="DIRECT",Q143,DCOUNT('literature entries'!$D:$AI,IF($J143=1,"ACTIVE     GHGE, FARM GATE (kg CO2e/kg)","GHGE, processor gate (kg CO2e/kg)"),INDIRECT($AB143)))</f>
        <v>5</v>
      </c>
      <c r="AD143" s="247" t="str">
        <f ca="1">IF($AB143="DIRECT","",DAVERAGE('literature entries'!$D:$AI,IF($J143=1,"ACTIVE     GHGE, FARM GATE (kg CO2e/kg)","GHGE, processor gate (kg CO2e/kg)"),INDIRECT($AB143)))</f>
        <v/>
      </c>
      <c r="AE143" s="247">
        <f ca="1">IF($AB143="DIRECT",$S143,DSTDEV('literature entries'!$D:$AI,IF($J143=1,"ACTIVE     GHGE, FARM GATE (kg CO2e/kg)","GHGE, processor gate (kg CO2e/kg)"),INDIRECT($AB143)))</f>
        <v>0.24324884377936951</v>
      </c>
      <c r="AF143" s="247">
        <f t="shared" ca="1" si="21"/>
        <v>0.24324884377936951</v>
      </c>
    </row>
    <row r="144" spans="1:32" s="21" customFormat="1" thickBot="1" x14ac:dyDescent="0.25">
      <c r="A144" s="129">
        <v>1201091000</v>
      </c>
      <c r="B144" s="130" t="s">
        <v>1882</v>
      </c>
      <c r="C144" s="131" t="s">
        <v>1742</v>
      </c>
      <c r="D144" s="131" t="s">
        <v>1881</v>
      </c>
      <c r="E144" s="131">
        <v>6943</v>
      </c>
      <c r="F144" s="126">
        <f t="shared" ca="1" si="16"/>
        <v>10.481999999999999</v>
      </c>
      <c r="G144" s="127">
        <f t="shared" ca="1" si="17"/>
        <v>1.5874791260799999</v>
      </c>
      <c r="H144" s="132">
        <v>1.3</v>
      </c>
      <c r="I144" s="136" t="s">
        <v>2768</v>
      </c>
      <c r="J144" s="91">
        <v>1</v>
      </c>
      <c r="K144" s="131" t="s">
        <v>2749</v>
      </c>
      <c r="L144" s="152" t="str">
        <f>IF(ISERROR(GETPIVOTDATA(IF($J144=1,"Count of ACTIVE     CED, FARM GATE (MJ/kg)","Count of CED, processor gate (MJ/kg)"),'Pivot Table_CED'!$A$3,"SUB TYPE",$B144)),"PROXY",IF(GETPIVOTDATA(IF($J144=1,"Count of ACTIVE     CED, FARM GATE (MJ/kg)","Count of CED, processor gate (MJ/kg)"),'Pivot Table_CED'!$A$3,"SUB TYPE",$B144)=0,"PROXY","DB value"))</f>
        <v>PROXY</v>
      </c>
      <c r="M144" s="134">
        <f ca="1">IF($L144="PROXY",DCOUNT('literature entries'!$D:$AI,IF($J144=1,"ACTIVE     CED, FARM GATE (MJ/kg)","CED, processor gate (MJ/kg)"),INDIRECT($K144)),GETPIVOTDATA(IF($J144=1,"Count of ACTIVE     CED, FARM GATE (MJ/kg)","Count of CED, processor gate (MJ/kg)"),'Pivot Table_CED'!$A$3,"SUB TYPE",$B144))</f>
        <v>2</v>
      </c>
      <c r="N144" s="135">
        <f ca="1">IF($L144="PROXY",DAVERAGE('literature entries'!$D:$AI,IF($J144=1,"ACTIVE     CED, FARM GATE (MJ/kg)","CED, processor gate (MJ/kg)"),INDIRECT($K144)),GETPIVOTDATA(IF($J144=1,"Average of ACTIVE     CED, FARM GATE (MJ/kg)","Average of CED, processor gate (MJ/kg)"),'Pivot Table_CED'!$A$3,"SUB TYPE",$B144))</f>
        <v>4</v>
      </c>
      <c r="O144" s="135">
        <f ca="1">IF($L144="PROXY",DSTDEV('literature entries'!D:AI,IF($J144=1,"ACTIVE     CED, FARM GATE (MJ/kg)","CED, processor gate (MJ/kg)"),INDIRECT($K144)),GETPIVOTDATA(IF($J144=1,"StdDev of ACTIVE     CED, FARM GATE (MJ/kg)","StdDev of CED, processor gate (MJ/kg)"),'Pivot Table_CED'!$A$3,"SUB TYPE",$B144))</f>
        <v>1.4142135623730951</v>
      </c>
      <c r="P144" s="152" t="str">
        <f>IF(ISERROR(GETPIVOTDATA(IF($J144=1,"Count of ACTIVE     GHGE, FARM GATE (kg CO2e/kg)","Count of GHGE, processor gate (kg CO2e/kg)"),'Pivot Table_GHG'!$A$3,"SUB TYPE",$B144)),"PROXY",IF(GETPIVOTDATA(IF($J144=1,"Count of ACTIVE     GHGE, FARM GATE (kg CO2e/kg)","Count of GHGE, processor gate (kg CO2e/kg)"),'Pivot Table_GHG'!$A$3,"SUB TYPE",$B144)=0,"PROXY","DB value"))</f>
        <v>PROXY</v>
      </c>
      <c r="Q144" s="141">
        <f ca="1">IF($P144="PROXY",DCOUNT('literature entries'!$D:$AI,IF($J144=1,"ACTIVE     GHGE, FARM GATE (kg CO2e/kg)","GHGE, processor gate (kg CO2e/kg)"),INDIRECT($K144)),GETPIVOTDATA(IF($J144=1,"ACTIVE     GHGE, FARM GATE (kg CO2e/kg)","Count of GHGE, processor gate (kg CO2e/kg)"),'Pivot Table_GHG'!$A$3,"SUB TYPE",$B144))</f>
        <v>5</v>
      </c>
      <c r="R144" s="221">
        <f ca="1">IF($P144="PROXY",DAVERAGE('literature entries'!$D:$AI,IF($J144=1,"ACTIVE     GHGE, FARM GATE (kg CO2e/kg)","GHGE, processor gate (kg CO2e/kg)"),INDIRECT($K144)),GETPIVOTDATA(IF($J144=1,"Average of ACTIVE     GHGE, FARM GATE (kg CO2e/kg)","Average of GHGE, processor gate (kg CO2e/kg)"),'Pivot Table_GHG'!$A$3,"SUB TYPE",$B144))</f>
        <v>0.46799999999999997</v>
      </c>
      <c r="S144" s="221">
        <f ca="1">IF($P144="PROXY",DSTDEV('literature entries'!$D:$AI,IF($J144=1,"ACTIVE     GHGE, FARM GATE (kg CO2e/kg)","GHGE, processor gate (kg CO2e/kg)"),INDIRECT($K144)),GETPIVOTDATA(IF($J144=1,"StdDev of ACTIVE     GHGE, FARM GATE (kg CO2e/kg)","StdDev of GHGE, processor gate (kg CO2e/kg)"),'Pivot Table_GHG'!$A$3,"SUB TYPE",$B144))</f>
        <v>0.24324884377936951</v>
      </c>
      <c r="T144" s="99">
        <v>5.282</v>
      </c>
      <c r="U144" s="100">
        <v>0.97907912607999992</v>
      </c>
      <c r="W144" s="248" t="s">
        <v>3268</v>
      </c>
      <c r="X144" s="246">
        <f ca="1">IF($W144="DIRECT",M144,DCOUNT('literature entries'!$D:$AI,IF($J144=1,"ACTIVE     CED, FARM GATE (MJ/kg)","CED, processor gate (MJ/kg)"),INDIRECT($W144)))</f>
        <v>30</v>
      </c>
      <c r="Y144" s="246">
        <f ca="1">IF($W144="DIRECT","",DAVERAGE('literature entries'!$D:$AI,IF($J144=1,"ACTIVE     CED, FARM GATE (MJ/kg)","CED, processor gate (MJ/kg)"),INDIRECT($W144)))</f>
        <v>2.0319666666666669</v>
      </c>
      <c r="Z144" s="246">
        <f ca="1">IF($W144="DIRECT",$O144,DSTDEV('literature entries'!$D:$AI,IF($J144=1,"ACTIVE     CED, FARM GATE (MJ/kg)","CED, processor gate (MJ/kg)"),INDIRECT($W144)))</f>
        <v>1.7780728376790285</v>
      </c>
      <c r="AA144" s="246">
        <f t="shared" ca="1" si="20"/>
        <v>3.5002007992500435</v>
      </c>
      <c r="AB144" s="254" t="str">
        <f t="shared" ca="1" si="18"/>
        <v>cherry</v>
      </c>
      <c r="AC144" s="247">
        <f ca="1">IF($AB144="DIRECT",Q144,DCOUNT('literature entries'!$D:$AI,IF($J144=1,"ACTIVE     GHGE, FARM GATE (kg CO2e/kg)","GHGE, processor gate (kg CO2e/kg)"),INDIRECT($AB144)))</f>
        <v>5</v>
      </c>
      <c r="AD144" s="247">
        <f ca="1">IF($AB144="DIRECT","",DAVERAGE('literature entries'!$D:$AI,IF($J144=1,"ACTIVE     GHGE, FARM GATE (kg CO2e/kg)","GHGE, processor gate (kg CO2e/kg)"),INDIRECT($AB144)))</f>
        <v>0.46799999999999997</v>
      </c>
      <c r="AE144" s="247">
        <f ca="1">IF($AB144="DIRECT",$S144,DSTDEV('literature entries'!$D:$AI,IF($J144=1,"ACTIVE     GHGE, FARM GATE (kg CO2e/kg)","GHGE, processor gate (kg CO2e/kg)"),INDIRECT($AB144)))</f>
        <v>0.24324884377936951</v>
      </c>
      <c r="AF144" s="247">
        <f t="shared" ca="1" si="21"/>
        <v>0.24324884377936953</v>
      </c>
    </row>
    <row r="145" spans="1:32" s="21" customFormat="1" thickBot="1" x14ac:dyDescent="0.25">
      <c r="A145" s="129">
        <v>1202012000</v>
      </c>
      <c r="B145" s="130" t="s">
        <v>1747</v>
      </c>
      <c r="C145" s="131" t="s">
        <v>1748</v>
      </c>
      <c r="D145" s="131" t="s">
        <v>1749</v>
      </c>
      <c r="E145" s="131">
        <v>1271</v>
      </c>
      <c r="F145" s="126">
        <f t="shared" ca="1" si="16"/>
        <v>2.1945240000000004</v>
      </c>
      <c r="G145" s="127">
        <f t="shared" ca="1" si="17"/>
        <v>0.46440000000000003</v>
      </c>
      <c r="H145" s="132">
        <v>1.08</v>
      </c>
      <c r="I145" s="132" t="s">
        <v>2724</v>
      </c>
      <c r="J145" s="91">
        <v>1</v>
      </c>
      <c r="K145" s="131" t="s">
        <v>3268</v>
      </c>
      <c r="L145" s="152" t="str">
        <f>IF(ISERROR(GETPIVOTDATA(IF($J145=1,"Count of ACTIVE     CED, FARM GATE (MJ/kg)","Count of CED, processor gate (MJ/kg)"),'Pivot Table_CED'!$A$3,"SUB TYPE",$B145)),"PROXY",IF(GETPIVOTDATA(IF($J145=1,"Count of ACTIVE     CED, FARM GATE (MJ/kg)","Count of CED, processor gate (MJ/kg)"),'Pivot Table_CED'!$A$3,"SUB TYPE",$B145)=0,"PROXY","DB value"))</f>
        <v>PROXY</v>
      </c>
      <c r="M145" s="134">
        <f ca="1">IF($L145="PROXY",DCOUNT('literature entries'!$D:$AI,IF($J145=1,"ACTIVE     CED, FARM GATE (MJ/kg)","CED, processor gate (MJ/kg)"),INDIRECT($K145)),GETPIVOTDATA(IF($J145=1,"Count of ACTIVE     CED, FARM GATE (MJ/kg)","Count of CED, processor gate (MJ/kg)"),'Pivot Table_CED'!$A$3,"SUB TYPE",$B145))</f>
        <v>30</v>
      </c>
      <c r="N145" s="135">
        <f ca="1">IF($L145="PROXY",DAVERAGE('literature entries'!$D:$AI,IF($J145=1,"ACTIVE     CED, FARM GATE (MJ/kg)","CED, processor gate (MJ/kg)"),INDIRECT($K145)),GETPIVOTDATA(IF($J145=1,"Average of ACTIVE     CED, FARM GATE (MJ/kg)","Average of CED, processor gate (MJ/kg)"),'Pivot Table_CED'!$A$3,"SUB TYPE",$B145))</f>
        <v>2.0319666666666669</v>
      </c>
      <c r="O145" s="135">
        <f ca="1">IF($L145="PROXY",DSTDEV('literature entries'!D:AI,IF($J145=1,"ACTIVE     CED, FARM GATE (MJ/kg)","CED, processor gate (MJ/kg)"),INDIRECT($K145)),GETPIVOTDATA(IF($J145=1,"StdDev of ACTIVE     CED, FARM GATE (MJ/kg)","StdDev of CED, processor gate (MJ/kg)"),'Pivot Table_CED'!$A$3,"SUB TYPE",$B145))</f>
        <v>1.7780728376790285</v>
      </c>
      <c r="P145" s="152" t="str">
        <f>IF(ISERROR(GETPIVOTDATA(IF($J145=1,"Count of ACTIVE     GHGE, FARM GATE (kg CO2e/kg)","Count of GHGE, processor gate (kg CO2e/kg)"),'Pivot Table_GHG'!$A$3,"SUB TYPE",$B145)),"PROXY",IF(GETPIVOTDATA(IF($J145=1,"Count of ACTIVE     GHGE, FARM GATE (kg CO2e/kg)","Count of GHGE, processor gate (kg CO2e/kg)"),'Pivot Table_GHG'!$A$3,"SUB TYPE",$B145)=0,"PROXY","DB value"))</f>
        <v>DB value</v>
      </c>
      <c r="Q145" s="141">
        <f ca="1">IF($P145="PROXY",DCOUNT('literature entries'!$D:$AI,IF($J145=1,"ACTIVE     GHGE, FARM GATE (kg CO2e/kg)","GHGE, processor gate (kg CO2e/kg)"),INDIRECT($K145)),GETPIVOTDATA(IF($J145=1,"ACTIVE     GHGE, FARM GATE (kg CO2e/kg)","Count of GHGE, processor gate (kg CO2e/kg)"),'Pivot Table_GHG'!$A$3,"SUB TYPE",$B145))</f>
        <v>1</v>
      </c>
      <c r="R145" s="221">
        <f ca="1">IF($P145="PROXY",DAVERAGE('literature entries'!$D:$AI,IF($J145=1,"ACTIVE     GHGE, FARM GATE (kg CO2e/kg)","GHGE, processor gate (kg CO2e/kg)"),INDIRECT($K145)),GETPIVOTDATA(IF($J145=1,"Average of ACTIVE     GHGE, FARM GATE (kg CO2e/kg)","Average of GHGE, processor gate (kg CO2e/kg)"),'Pivot Table_GHG'!$A$3,"SUB TYPE",$B145))</f>
        <v>0.43</v>
      </c>
      <c r="S145" s="221" t="e">
        <f ca="1">IF($P145="PROXY",DSTDEV('literature entries'!$D:$AI,IF($J145=1,"ACTIVE     GHGE, FARM GATE (kg CO2e/kg)","GHGE, processor gate (kg CO2e/kg)"),INDIRECT($K145)),GETPIVOTDATA(IF($J145=1,"StdDev of ACTIVE     GHGE, FARM GATE (kg CO2e/kg)","StdDev of GHGE, processor gate (kg CO2e/kg)"),'Pivot Table_GHG'!$A$3,"SUB TYPE",$B145))</f>
        <v>#DIV/0!</v>
      </c>
      <c r="T145" s="94"/>
      <c r="U145" s="95"/>
      <c r="W145" s="248" t="str">
        <f t="shared" ref="W145:W158" ca="1" si="22">IF(L145="PROXY",IF(M145&gt;=5,K145,"need group"),IF(M145&gt;=5,"DIRECT","need group"))</f>
        <v>tree_fruit</v>
      </c>
      <c r="X145" s="246">
        <f ca="1">IF($W145="DIRECT",M145,DCOUNT('literature entries'!$D:$AI,IF($J145=1,"ACTIVE     CED, FARM GATE (MJ/kg)","CED, processor gate (MJ/kg)"),INDIRECT($W145)))</f>
        <v>30</v>
      </c>
      <c r="Y145" s="246">
        <f ca="1">IF($W145="DIRECT","",DAVERAGE('literature entries'!$D:$AI,IF($J145=1,"ACTIVE     CED, FARM GATE (MJ/kg)","CED, processor gate (MJ/kg)"),INDIRECT($W145)))</f>
        <v>2.0319666666666669</v>
      </c>
      <c r="Z145" s="246">
        <f ca="1">IF($W145="DIRECT",$O145,DSTDEV('literature entries'!$D:$AI,IF($J145=1,"ACTIVE     CED, FARM GATE (MJ/kg)","CED, processor gate (MJ/kg)"),INDIRECT($W145)))</f>
        <v>1.7780728376790285</v>
      </c>
      <c r="AA145" s="246">
        <f t="shared" ca="1" si="20"/>
        <v>1.7780728376790285</v>
      </c>
      <c r="AB145" s="254" t="s">
        <v>3268</v>
      </c>
      <c r="AC145" s="247">
        <f ca="1">IF($AB145="DIRECT",Q145,DCOUNT('literature entries'!$D:$AI,IF($J145=1,"ACTIVE     GHGE, FARM GATE (kg CO2e/kg)","GHGE, processor gate (kg CO2e/kg)"),INDIRECT($AB145)))</f>
        <v>59</v>
      </c>
      <c r="AD145" s="247">
        <f ca="1">IF($AB145="DIRECT","",DAVERAGE('literature entries'!$D:$AI,IF($J145=1,"ACTIVE     GHGE, FARM GATE (kg CO2e/kg)","GHGE, processor gate (kg CO2e/kg)"),INDIRECT($AB145)))</f>
        <v>0.25792391165713047</v>
      </c>
      <c r="AE145" s="247">
        <f ca="1">IF($AB145="DIRECT",$S145,DSTDEV('literature entries'!$D:$AI,IF($J145=1,"ACTIVE     GHGE, FARM GATE (kg CO2e/kg)","GHGE, processor gate (kg CO2e/kg)"),INDIRECT($AB145)))</f>
        <v>0.22451998550634089</v>
      </c>
      <c r="AF145" s="247">
        <f t="shared" ca="1" si="21"/>
        <v>0.37431036598136819</v>
      </c>
    </row>
    <row r="146" spans="1:32" s="21" customFormat="1" thickBot="1" x14ac:dyDescent="0.25">
      <c r="A146" s="129">
        <v>1202013000</v>
      </c>
      <c r="B146" s="130" t="s">
        <v>1750</v>
      </c>
      <c r="C146" s="131" t="s">
        <v>1751</v>
      </c>
      <c r="D146" s="131" t="s">
        <v>1749</v>
      </c>
      <c r="E146" s="131">
        <v>178</v>
      </c>
      <c r="F146" s="126">
        <f t="shared" ca="1" si="16"/>
        <v>11.094538000000002</v>
      </c>
      <c r="G146" s="127">
        <f t="shared" ca="1" si="17"/>
        <v>1.4082645576479322</v>
      </c>
      <c r="H146" s="132">
        <v>5.46</v>
      </c>
      <c r="I146" s="132" t="s">
        <v>2724</v>
      </c>
      <c r="J146" s="91">
        <v>1</v>
      </c>
      <c r="K146" s="218" t="s">
        <v>3268</v>
      </c>
      <c r="L146" s="152" t="str">
        <f>IF(ISERROR(GETPIVOTDATA(IF($J146=1,"Count of ACTIVE     CED, FARM GATE (MJ/kg)","Count of CED, processor gate (MJ/kg)"),'Pivot Table_CED'!$A$3,"SUB TYPE",$B146)),"PROXY",IF(GETPIVOTDATA(IF($J146=1,"Count of ACTIVE     CED, FARM GATE (MJ/kg)","Count of CED, processor gate (MJ/kg)"),'Pivot Table_CED'!$A$3,"SUB TYPE",$B146)=0,"PROXY","DB value"))</f>
        <v>PROXY</v>
      </c>
      <c r="M146" s="134">
        <f ca="1">IF($L146="PROXY",DCOUNT('literature entries'!$D:$AI,IF($J146=1,"ACTIVE     CED, FARM GATE (MJ/kg)","CED, processor gate (MJ/kg)"),INDIRECT($K146)),GETPIVOTDATA(IF($J146=1,"Count of ACTIVE     CED, FARM GATE (MJ/kg)","Count of CED, processor gate (MJ/kg)"),'Pivot Table_CED'!$A$3,"SUB TYPE",$B146))</f>
        <v>30</v>
      </c>
      <c r="N146" s="135">
        <f ca="1">IF($L146="PROXY",DAVERAGE('literature entries'!$D:$AI,IF($J146=1,"ACTIVE     CED, FARM GATE (MJ/kg)","CED, processor gate (MJ/kg)"),INDIRECT($K146)),GETPIVOTDATA(IF($J146=1,"Average of ACTIVE     CED, FARM GATE (MJ/kg)","Average of CED, processor gate (MJ/kg)"),'Pivot Table_CED'!$A$3,"SUB TYPE",$B146))</f>
        <v>2.0319666666666669</v>
      </c>
      <c r="O146" s="135">
        <f ca="1">IF($L146="PROXY",DSTDEV('literature entries'!D:AI,IF($J146=1,"ACTIVE     CED, FARM GATE (MJ/kg)","CED, processor gate (MJ/kg)"),INDIRECT($K146)),GETPIVOTDATA(IF($J146=1,"StdDev of ACTIVE     CED, FARM GATE (MJ/kg)","StdDev of CED, processor gate (MJ/kg)"),'Pivot Table_CED'!$A$3,"SUB TYPE",$B146))</f>
        <v>1.7780728376790285</v>
      </c>
      <c r="P146" s="152" t="str">
        <f>IF(ISERROR(GETPIVOTDATA(IF($J146=1,"Count of ACTIVE     GHGE, FARM GATE (kg CO2e/kg)","Count of GHGE, processor gate (kg CO2e/kg)"),'Pivot Table_GHG'!$A$3,"SUB TYPE",$B146)),"PROXY",IF(GETPIVOTDATA(IF($J146=1,"Count of ACTIVE     GHGE, FARM GATE (kg CO2e/kg)","Count of GHGE, processor gate (kg CO2e/kg)"),'Pivot Table_GHG'!$A$3,"SUB TYPE",$B146)=0,"PROXY","DB value"))</f>
        <v>PROXY</v>
      </c>
      <c r="Q146" s="141">
        <f ca="1">IF($P146="PROXY",DCOUNT('literature entries'!$D:$AI,IF($J146=1,"ACTIVE     GHGE, FARM GATE (kg CO2e/kg)","GHGE, processor gate (kg CO2e/kg)"),INDIRECT($K146)),GETPIVOTDATA(IF($J146=1,"ACTIVE     GHGE, FARM GATE (kg CO2e/kg)","Count of GHGE, processor gate (kg CO2e/kg)"),'Pivot Table_GHG'!$A$3,"SUB TYPE",$B146))</f>
        <v>59</v>
      </c>
      <c r="R146" s="221">
        <f ca="1">IF($P146="PROXY",DAVERAGE('literature entries'!$D:$AI,IF($J146=1,"ACTIVE     GHGE, FARM GATE (kg CO2e/kg)","GHGE, processor gate (kg CO2e/kg)"),INDIRECT($K146)),GETPIVOTDATA(IF($J146=1,"Average of ACTIVE     GHGE, FARM GATE (kg CO2e/kg)","Average of GHGE, processor gate (kg CO2e/kg)"),'Pivot Table_GHG'!$A$3,"SUB TYPE",$B146))</f>
        <v>0.25792391165713047</v>
      </c>
      <c r="S146" s="221">
        <f ca="1">IF($P146="PROXY",DSTDEV('literature entries'!$D:$AI,IF($J146=1,"ACTIVE     GHGE, FARM GATE (kg CO2e/kg)","GHGE, processor gate (kg CO2e/kg)"),INDIRECT($K146)),GETPIVOTDATA(IF($J146=1,"StdDev of ACTIVE     GHGE, FARM GATE (kg CO2e/kg)","StdDev of GHGE, processor gate (kg CO2e/kg)"),'Pivot Table_GHG'!$A$3,"SUB TYPE",$B146))</f>
        <v>0.22451998550634089</v>
      </c>
      <c r="T146" s="94"/>
      <c r="U146" s="95"/>
      <c r="W146" s="248" t="str">
        <f t="shared" ca="1" si="22"/>
        <v>tree_fruit</v>
      </c>
      <c r="X146" s="246">
        <f ca="1">IF($W146="DIRECT",M146,DCOUNT('literature entries'!$D:$AI,IF($J146=1,"ACTIVE     CED, FARM GATE (MJ/kg)","CED, processor gate (MJ/kg)"),INDIRECT($W146)))</f>
        <v>30</v>
      </c>
      <c r="Y146" s="246">
        <f ca="1">IF($W146="DIRECT","",DAVERAGE('literature entries'!$D:$AI,IF($J146=1,"ACTIVE     CED, FARM GATE (MJ/kg)","CED, processor gate (MJ/kg)"),INDIRECT($W146)))</f>
        <v>2.0319666666666669</v>
      </c>
      <c r="Z146" s="246">
        <f ca="1">IF($W146="DIRECT",$O146,DSTDEV('literature entries'!$D:$AI,IF($J146=1,"ACTIVE     CED, FARM GATE (MJ/kg)","CED, processor gate (MJ/kg)"),INDIRECT($W146)))</f>
        <v>1.7780728376790285</v>
      </c>
      <c r="AA146" s="246">
        <f t="shared" ca="1" si="20"/>
        <v>1.7780728376790285</v>
      </c>
      <c r="AB146" s="254" t="str">
        <f t="shared" ref="AB146:AB151" ca="1" si="23">IF(P146="PROXY",IF(Q146&gt;=5,K146,"need group"),IF(Q146&gt;=5,"DIRECT","need group"))</f>
        <v>tree_fruit</v>
      </c>
      <c r="AC146" s="247">
        <f ca="1">IF($AB146="DIRECT",Q146,DCOUNT('literature entries'!$D:$AI,IF($J146=1,"ACTIVE     GHGE, FARM GATE (kg CO2e/kg)","GHGE, processor gate (kg CO2e/kg)"),INDIRECT($AB146)))</f>
        <v>59</v>
      </c>
      <c r="AD146" s="247">
        <f ca="1">IF($AB146="DIRECT","",DAVERAGE('literature entries'!$D:$AI,IF($J146=1,"ACTIVE     GHGE, FARM GATE (kg CO2e/kg)","GHGE, processor gate (kg CO2e/kg)"),INDIRECT($AB146)))</f>
        <v>0.25792391165713047</v>
      </c>
      <c r="AE146" s="247">
        <f ca="1">IF($AB146="DIRECT",$S146,DSTDEV('literature entries'!$D:$AI,IF($J146=1,"ACTIVE     GHGE, FARM GATE (kg CO2e/kg)","GHGE, processor gate (kg CO2e/kg)"),INDIRECT($AB146)))</f>
        <v>0.22451998550634089</v>
      </c>
      <c r="AF146" s="247">
        <f t="shared" ca="1" si="21"/>
        <v>0.22451998550634089</v>
      </c>
    </row>
    <row r="147" spans="1:32" s="21" customFormat="1" ht="17" thickBot="1" x14ac:dyDescent="0.25">
      <c r="A147" s="129">
        <v>1202014000</v>
      </c>
      <c r="B147" s="130" t="s">
        <v>1752</v>
      </c>
      <c r="C147" s="131" t="s">
        <v>1742</v>
      </c>
      <c r="D147" s="131" t="s">
        <v>1749</v>
      </c>
      <c r="E147" s="131">
        <v>6127</v>
      </c>
      <c r="F147" s="126">
        <f t="shared" ca="1" si="16"/>
        <v>8.5941056666666675</v>
      </c>
      <c r="G147" s="127">
        <f t="shared" ca="1" si="17"/>
        <v>1.3994951020811226</v>
      </c>
      <c r="H147" s="132">
        <v>1.63</v>
      </c>
      <c r="I147" s="133" t="s">
        <v>2750</v>
      </c>
      <c r="J147" s="91">
        <v>1</v>
      </c>
      <c r="K147" s="90" t="s">
        <v>3268</v>
      </c>
      <c r="L147" s="152" t="str">
        <f>IF(ISERROR(GETPIVOTDATA(IF($J147=1,"Count of ACTIVE     CED, FARM GATE (MJ/kg)","Count of CED, processor gate (MJ/kg)"),'Pivot Table_CED'!$A$3,"SUB TYPE",$B147)),"PROXY",IF(GETPIVOTDATA(IF($J147=1,"Count of ACTIVE     CED, FARM GATE (MJ/kg)","Count of CED, processor gate (MJ/kg)"),'Pivot Table_CED'!$A$3,"SUB TYPE",$B147)=0,"PROXY","DB value"))</f>
        <v>PROXY</v>
      </c>
      <c r="M147" s="134">
        <f ca="1">IF($L147="PROXY",DCOUNT('literature entries'!$D:$AI,IF($J147=1,"ACTIVE     CED, FARM GATE (MJ/kg)","CED, processor gate (MJ/kg)"),INDIRECT($K147)),GETPIVOTDATA(IF($J147=1,"Count of ACTIVE     CED, FARM GATE (MJ/kg)","Count of CED, processor gate (MJ/kg)"),'Pivot Table_CED'!$A$3,"SUB TYPE",$B147))</f>
        <v>30</v>
      </c>
      <c r="N147" s="135">
        <f ca="1">IF($L147="PROXY",DAVERAGE('literature entries'!$D:$AI,IF($J147=1,"ACTIVE     CED, FARM GATE (MJ/kg)","CED, processor gate (MJ/kg)"),INDIRECT($K147)),GETPIVOTDATA(IF($J147=1,"Average of ACTIVE     CED, FARM GATE (MJ/kg)","Average of CED, processor gate (MJ/kg)"),'Pivot Table_CED'!$A$3,"SUB TYPE",$B147))</f>
        <v>2.0319666666666669</v>
      </c>
      <c r="O147" s="135">
        <f ca="1">IF($L147="PROXY",DSTDEV('literature entries'!D:AI,IF($J147=1,"ACTIVE     CED, FARM GATE (MJ/kg)","CED, processor gate (MJ/kg)"),INDIRECT($K147)),GETPIVOTDATA(IF($J147=1,"StdDev of ACTIVE     CED, FARM GATE (MJ/kg)","StdDev of CED, processor gate (MJ/kg)"),'Pivot Table_CED'!$A$3,"SUB TYPE",$B147))</f>
        <v>1.7780728376790285</v>
      </c>
      <c r="P147" s="152" t="str">
        <f>IF(ISERROR(GETPIVOTDATA(IF($J147=1,"Count of ACTIVE     GHGE, FARM GATE (kg CO2e/kg)","Count of GHGE, processor gate (kg CO2e/kg)"),'Pivot Table_GHG'!$A$3,"SUB TYPE",$B147)),"PROXY",IF(GETPIVOTDATA(IF($J147=1,"Count of ACTIVE     GHGE, FARM GATE (kg CO2e/kg)","Count of GHGE, processor gate (kg CO2e/kg)"),'Pivot Table_GHG'!$A$3,"SUB TYPE",$B147)=0,"PROXY","DB value"))</f>
        <v>PROXY</v>
      </c>
      <c r="Q147" s="141">
        <f ca="1">IF($P147="PROXY",DCOUNT('literature entries'!$D:$AI,IF($J147=1,"ACTIVE     GHGE, FARM GATE (kg CO2e/kg)","GHGE, processor gate (kg CO2e/kg)"),INDIRECT($K147)),GETPIVOTDATA(IF($J147=1,"ACTIVE     GHGE, FARM GATE (kg CO2e/kg)","Count of GHGE, processor gate (kg CO2e/kg)"),'Pivot Table_GHG'!$A$3,"SUB TYPE",$B147))</f>
        <v>59</v>
      </c>
      <c r="R147" s="221">
        <f ca="1">IF($P147="PROXY",DAVERAGE('literature entries'!$D:$AI,IF($J147=1,"ACTIVE     GHGE, FARM GATE (kg CO2e/kg)","GHGE, processor gate (kg CO2e/kg)"),INDIRECT($K147)),GETPIVOTDATA(IF($J147=1,"Average of ACTIVE     GHGE, FARM GATE (kg CO2e/kg)","Average of GHGE, processor gate (kg CO2e/kg)"),'Pivot Table_GHG'!$A$3,"SUB TYPE",$B147))</f>
        <v>0.25792391165713047</v>
      </c>
      <c r="S147" s="221">
        <f ca="1">IF($P147="PROXY",DSTDEV('literature entries'!$D:$AI,IF($J147=1,"ACTIVE     GHGE, FARM GATE (kg CO2e/kg)","GHGE, processor gate (kg CO2e/kg)"),INDIRECT($K147)),GETPIVOTDATA(IF($J147=1,"StdDev of ACTIVE     GHGE, FARM GATE (kg CO2e/kg)","StdDev of GHGE, processor gate (kg CO2e/kg)"),'Pivot Table_GHG'!$A$3,"SUB TYPE",$B147))</f>
        <v>0.22451998550634089</v>
      </c>
      <c r="T147" s="99">
        <v>5.282</v>
      </c>
      <c r="U147" s="100">
        <v>0.97907912607999992</v>
      </c>
      <c r="W147" s="248" t="str">
        <f t="shared" ca="1" si="22"/>
        <v>tree_fruit</v>
      </c>
      <c r="X147" s="246">
        <f ca="1">IF($W147="DIRECT",M147,DCOUNT('literature entries'!$D:$AI,IF($J147=1,"ACTIVE     CED, FARM GATE (MJ/kg)","CED, processor gate (MJ/kg)"),INDIRECT($W147)))</f>
        <v>30</v>
      </c>
      <c r="Y147" s="246">
        <f ca="1">IF($W147="DIRECT","",DAVERAGE('literature entries'!$D:$AI,IF($J147=1,"ACTIVE     CED, FARM GATE (MJ/kg)","CED, processor gate (MJ/kg)"),INDIRECT($W147)))</f>
        <v>2.0319666666666669</v>
      </c>
      <c r="Z147" s="246">
        <f ca="1">IF($W147="DIRECT",$O147,DSTDEV('literature entries'!$D:$AI,IF($J147=1,"ACTIVE     CED, FARM GATE (MJ/kg)","CED, processor gate (MJ/kg)"),INDIRECT($W147)))</f>
        <v>1.7780728376790285</v>
      </c>
      <c r="AA147" s="246">
        <f t="shared" ca="1" si="20"/>
        <v>1.7780728376790285</v>
      </c>
      <c r="AB147" s="254" t="str">
        <f t="shared" ca="1" si="23"/>
        <v>tree_fruit</v>
      </c>
      <c r="AC147" s="247">
        <f ca="1">IF($AB147="DIRECT",Q147,DCOUNT('literature entries'!$D:$AI,IF($J147=1,"ACTIVE     GHGE, FARM GATE (kg CO2e/kg)","GHGE, processor gate (kg CO2e/kg)"),INDIRECT($AB147)))</f>
        <v>59</v>
      </c>
      <c r="AD147" s="247">
        <f ca="1">IF($AB147="DIRECT","",DAVERAGE('literature entries'!$D:$AI,IF($J147=1,"ACTIVE     GHGE, FARM GATE (kg CO2e/kg)","GHGE, processor gate (kg CO2e/kg)"),INDIRECT($AB147)))</f>
        <v>0.25792391165713047</v>
      </c>
      <c r="AE147" s="247">
        <f ca="1">IF($AB147="DIRECT",$S147,DSTDEV('literature entries'!$D:$AI,IF($J147=1,"ACTIVE     GHGE, FARM GATE (kg CO2e/kg)","GHGE, processor gate (kg CO2e/kg)"),INDIRECT($AB147)))</f>
        <v>0.22451998550634089</v>
      </c>
      <c r="AF147" s="247">
        <f t="shared" ca="1" si="21"/>
        <v>0.22451998550634089</v>
      </c>
    </row>
    <row r="148" spans="1:32" s="21" customFormat="1" thickBot="1" x14ac:dyDescent="0.25">
      <c r="A148" s="129">
        <v>1202230000</v>
      </c>
      <c r="B148" s="130" t="s">
        <v>2090</v>
      </c>
      <c r="C148" s="131" t="s">
        <v>2091</v>
      </c>
      <c r="D148" s="131"/>
      <c r="E148" s="131">
        <v>233</v>
      </c>
      <c r="F148" s="126">
        <f t="shared" ca="1" si="16"/>
        <v>2.2351633333333338</v>
      </c>
      <c r="G148" s="127">
        <f t="shared" ca="1" si="17"/>
        <v>0.28371630282284355</v>
      </c>
      <c r="H148" s="132">
        <v>1.1000000000000001</v>
      </c>
      <c r="I148" s="132" t="s">
        <v>2724</v>
      </c>
      <c r="J148" s="91">
        <v>1</v>
      </c>
      <c r="K148" s="90" t="s">
        <v>3268</v>
      </c>
      <c r="L148" s="152" t="str">
        <f>IF(ISERROR(GETPIVOTDATA(IF($J148=1,"Count of ACTIVE     CED, FARM GATE (MJ/kg)","Count of CED, processor gate (MJ/kg)"),'Pivot Table_CED'!$A$3,"SUB TYPE",$B148)),"PROXY",IF(GETPIVOTDATA(IF($J148=1,"Count of ACTIVE     CED, FARM GATE (MJ/kg)","Count of CED, processor gate (MJ/kg)"),'Pivot Table_CED'!$A$3,"SUB TYPE",$B148)=0,"PROXY","DB value"))</f>
        <v>PROXY</v>
      </c>
      <c r="M148" s="134">
        <f ca="1">IF($L148="PROXY",DCOUNT('literature entries'!$D:$AI,IF($J148=1,"ACTIVE     CED, FARM GATE (MJ/kg)","CED, processor gate (MJ/kg)"),INDIRECT($K148)),GETPIVOTDATA(IF($J148=1,"Count of ACTIVE     CED, FARM GATE (MJ/kg)","Count of CED, processor gate (MJ/kg)"),'Pivot Table_CED'!$A$3,"SUB TYPE",$B148))</f>
        <v>30</v>
      </c>
      <c r="N148" s="135">
        <f ca="1">IF($L148="PROXY",DAVERAGE('literature entries'!$D:$AI,IF($J148=1,"ACTIVE     CED, FARM GATE (MJ/kg)","CED, processor gate (MJ/kg)"),INDIRECT($K148)),GETPIVOTDATA(IF($J148=1,"Average of ACTIVE     CED, FARM GATE (MJ/kg)","Average of CED, processor gate (MJ/kg)"),'Pivot Table_CED'!$A$3,"SUB TYPE",$B148))</f>
        <v>2.0319666666666669</v>
      </c>
      <c r="O148" s="135">
        <f ca="1">IF($L148="PROXY",DSTDEV('literature entries'!D:AI,IF($J148=1,"ACTIVE     CED, FARM GATE (MJ/kg)","CED, processor gate (MJ/kg)"),INDIRECT($K148)),GETPIVOTDATA(IF($J148=1,"StdDev of ACTIVE     CED, FARM GATE (MJ/kg)","StdDev of CED, processor gate (MJ/kg)"),'Pivot Table_CED'!$A$3,"SUB TYPE",$B148))</f>
        <v>1.7780728376790285</v>
      </c>
      <c r="P148" s="152" t="str">
        <f>IF(ISERROR(GETPIVOTDATA(IF($J148=1,"Count of ACTIVE     GHGE, FARM GATE (kg CO2e/kg)","Count of GHGE, processor gate (kg CO2e/kg)"),'Pivot Table_GHG'!$A$3,"SUB TYPE",$B148)),"PROXY",IF(GETPIVOTDATA(IF($J148=1,"Count of ACTIVE     GHGE, FARM GATE (kg CO2e/kg)","Count of GHGE, processor gate (kg CO2e/kg)"),'Pivot Table_GHG'!$A$3,"SUB TYPE",$B148)=0,"PROXY","DB value"))</f>
        <v>PROXY</v>
      </c>
      <c r="Q148" s="141">
        <f ca="1">IF($P148="PROXY",DCOUNT('literature entries'!$D:$AI,IF($J148=1,"ACTIVE     GHGE, FARM GATE (kg CO2e/kg)","GHGE, processor gate (kg CO2e/kg)"),INDIRECT($K148)),GETPIVOTDATA(IF($J148=1,"ACTIVE     GHGE, FARM GATE (kg CO2e/kg)","Count of GHGE, processor gate (kg CO2e/kg)"),'Pivot Table_GHG'!$A$3,"SUB TYPE",$B148))</f>
        <v>59</v>
      </c>
      <c r="R148" s="221">
        <f ca="1">IF($P148="PROXY",DAVERAGE('literature entries'!$D:$AI,IF($J148=1,"ACTIVE     GHGE, FARM GATE (kg CO2e/kg)","GHGE, processor gate (kg CO2e/kg)"),INDIRECT($K148)),GETPIVOTDATA(IF($J148=1,"Average of ACTIVE     GHGE, FARM GATE (kg CO2e/kg)","Average of GHGE, processor gate (kg CO2e/kg)"),'Pivot Table_GHG'!$A$3,"SUB TYPE",$B148))</f>
        <v>0.25792391165713047</v>
      </c>
      <c r="S148" s="221">
        <f ca="1">IF($P148="PROXY",DSTDEV('literature entries'!$D:$AI,IF($J148=1,"ACTIVE     GHGE, FARM GATE (kg CO2e/kg)","GHGE, processor gate (kg CO2e/kg)"),INDIRECT($K148)),GETPIVOTDATA(IF($J148=1,"StdDev of ACTIVE     GHGE, FARM GATE (kg CO2e/kg)","StdDev of GHGE, processor gate (kg CO2e/kg)"),'Pivot Table_GHG'!$A$3,"SUB TYPE",$B148))</f>
        <v>0.22451998550634089</v>
      </c>
      <c r="T148" s="101"/>
      <c r="U148" s="102"/>
      <c r="W148" s="248" t="str">
        <f t="shared" ca="1" si="22"/>
        <v>tree_fruit</v>
      </c>
      <c r="X148" s="246">
        <f ca="1">IF($W148="DIRECT",M148,DCOUNT('literature entries'!$D:$AI,IF($J148=1,"ACTIVE     CED, FARM GATE (MJ/kg)","CED, processor gate (MJ/kg)"),INDIRECT($W148)))</f>
        <v>30</v>
      </c>
      <c r="Y148" s="246">
        <f ca="1">IF($W148="DIRECT","",DAVERAGE('literature entries'!$D:$AI,IF($J148=1,"ACTIVE     CED, FARM GATE (MJ/kg)","CED, processor gate (MJ/kg)"),INDIRECT($W148)))</f>
        <v>2.0319666666666669</v>
      </c>
      <c r="Z148" s="246">
        <f ca="1">IF($W148="DIRECT",$O148,DSTDEV('literature entries'!$D:$AI,IF($J148=1,"ACTIVE     CED, FARM GATE (MJ/kg)","CED, processor gate (MJ/kg)"),INDIRECT($W148)))</f>
        <v>1.7780728376790285</v>
      </c>
      <c r="AA148" s="246">
        <f t="shared" ca="1" si="20"/>
        <v>1.7780728376790285</v>
      </c>
      <c r="AB148" s="254" t="str">
        <f t="shared" ca="1" si="23"/>
        <v>tree_fruit</v>
      </c>
      <c r="AC148" s="247">
        <f ca="1">IF($AB148="DIRECT",Q148,DCOUNT('literature entries'!$D:$AI,IF($J148=1,"ACTIVE     GHGE, FARM GATE (kg CO2e/kg)","GHGE, processor gate (kg CO2e/kg)"),INDIRECT($AB148)))</f>
        <v>59</v>
      </c>
      <c r="AD148" s="247">
        <f ca="1">IF($AB148="DIRECT","",DAVERAGE('literature entries'!$D:$AI,IF($J148=1,"ACTIVE     GHGE, FARM GATE (kg CO2e/kg)","GHGE, processor gate (kg CO2e/kg)"),INDIRECT($AB148)))</f>
        <v>0.25792391165713047</v>
      </c>
      <c r="AE148" s="247">
        <f ca="1">IF($AB148="DIRECT",$S148,DSTDEV('literature entries'!$D:$AI,IF($J148=1,"ACTIVE     GHGE, FARM GATE (kg CO2e/kg)","GHGE, processor gate (kg CO2e/kg)"),INDIRECT($AB148)))</f>
        <v>0.22451998550634089</v>
      </c>
      <c r="AF148" s="247">
        <f t="shared" ca="1" si="21"/>
        <v>0.22451998550634089</v>
      </c>
    </row>
    <row r="149" spans="1:32" s="21" customFormat="1" ht="17" thickBot="1" x14ac:dyDescent="0.25">
      <c r="A149" s="129">
        <v>1202260000</v>
      </c>
      <c r="B149" s="130" t="s">
        <v>2136</v>
      </c>
      <c r="C149" s="131" t="s">
        <v>1748</v>
      </c>
      <c r="D149" s="131"/>
      <c r="E149" s="131">
        <v>16920</v>
      </c>
      <c r="F149" s="126">
        <f t="shared" ca="1" si="16"/>
        <v>2.89744</v>
      </c>
      <c r="G149" s="127">
        <f t="shared" ca="1" si="17"/>
        <v>0.27351999999999999</v>
      </c>
      <c r="H149" s="132">
        <v>1.04</v>
      </c>
      <c r="I149" s="133" t="s">
        <v>2724</v>
      </c>
      <c r="J149" s="91">
        <v>1</v>
      </c>
      <c r="K149" s="90"/>
      <c r="L149" s="152" t="str">
        <f>IF(ISERROR(GETPIVOTDATA(IF($J149=1,"Count of ACTIVE     CED, FARM GATE (MJ/kg)","Count of CED, processor gate (MJ/kg)"),'Pivot Table_CED'!$A$3,"SUB TYPE",$B149)),"PROXY",IF(GETPIVOTDATA(IF($J149=1,"Count of ACTIVE     CED, FARM GATE (MJ/kg)","Count of CED, processor gate (MJ/kg)"),'Pivot Table_CED'!$A$3,"SUB TYPE",$B149)=0,"PROXY","DB value"))</f>
        <v>DB value</v>
      </c>
      <c r="M149" s="134">
        <f ca="1">IF($L149="PROXY",DCOUNT('literature entries'!$D:$AI,IF($J149=1,"ACTIVE     CED, FARM GATE (MJ/kg)","CED, processor gate (MJ/kg)"),INDIRECT($K149)),GETPIVOTDATA(IF($J149=1,"Count of ACTIVE     CED, FARM GATE (MJ/kg)","Count of CED, processor gate (MJ/kg)"),'Pivot Table_CED'!$A$3,"SUB TYPE",$B149))</f>
        <v>5</v>
      </c>
      <c r="N149" s="135">
        <f ca="1">IF($L149="PROXY",DAVERAGE('literature entries'!$D:$AI,IF($J149=1,"ACTIVE     CED, FARM GATE (MJ/kg)","CED, processor gate (MJ/kg)"),INDIRECT($K149)),GETPIVOTDATA(IF($J149=1,"Average of ACTIVE     CED, FARM GATE (MJ/kg)","Average of CED, processor gate (MJ/kg)"),'Pivot Table_CED'!$A$3,"SUB TYPE",$B149))</f>
        <v>2.786</v>
      </c>
      <c r="O149" s="135">
        <f ca="1">IF($L149="PROXY",DSTDEV('literature entries'!D:AI,IF($J149=1,"ACTIVE     CED, FARM GATE (MJ/kg)","CED, processor gate (MJ/kg)"),INDIRECT($K149)),GETPIVOTDATA(IF($J149=1,"StdDev of ACTIVE     CED, FARM GATE (MJ/kg)","StdDev of CED, processor gate (MJ/kg)"),'Pivot Table_CED'!$A$3,"SUB TYPE",$B149))</f>
        <v>2.443968084898001</v>
      </c>
      <c r="P149" s="152" t="str">
        <f>IF(ISERROR(GETPIVOTDATA(IF($J149=1,"Count of ACTIVE     GHGE, FARM GATE (kg CO2e/kg)","Count of GHGE, processor gate (kg CO2e/kg)"),'Pivot Table_GHG'!$A$3,"SUB TYPE",$B149)),"PROXY",IF(GETPIVOTDATA(IF($J149=1,"Count of ACTIVE     GHGE, FARM GATE (kg CO2e/kg)","Count of GHGE, processor gate (kg CO2e/kg)"),'Pivot Table_GHG'!$A$3,"SUB TYPE",$B149)=0,"PROXY","DB value"))</f>
        <v>DB value</v>
      </c>
      <c r="Q149" s="141">
        <f ca="1">IF($P149="PROXY",DCOUNT('literature entries'!$D:$AI,IF($J149=1,"ACTIVE     GHGE, FARM GATE (kg CO2e/kg)","GHGE, processor gate (kg CO2e/kg)"),INDIRECT($K149)),GETPIVOTDATA(IF($J149=1,"ACTIVE     GHGE, FARM GATE (kg CO2e/kg)","Count of GHGE, processor gate (kg CO2e/kg)"),'Pivot Table_GHG'!$A$3,"SUB TYPE",$B149))</f>
        <v>7</v>
      </c>
      <c r="R149" s="221">
        <f ca="1">IF($P149="PROXY",DAVERAGE('literature entries'!$D:$AI,IF($J149=1,"ACTIVE     GHGE, FARM GATE (kg CO2e/kg)","GHGE, processor gate (kg CO2e/kg)"),INDIRECT($K149)),GETPIVOTDATA(IF($J149=1,"Average of ACTIVE     GHGE, FARM GATE (kg CO2e/kg)","Average of GHGE, processor gate (kg CO2e/kg)"),'Pivot Table_GHG'!$A$3,"SUB TYPE",$B149))</f>
        <v>0.26299999999999996</v>
      </c>
      <c r="S149" s="221">
        <f ca="1">IF($P149="PROXY",DSTDEV('literature entries'!$D:$AI,IF($J149=1,"ACTIVE     GHGE, FARM GATE (kg CO2e/kg)","GHGE, processor gate (kg CO2e/kg)"),INDIRECT($K149)),GETPIVOTDATA(IF($J149=1,"StdDev of ACTIVE     GHGE, FARM GATE (kg CO2e/kg)","StdDev of GHGE, processor gate (kg CO2e/kg)"),'Pivot Table_GHG'!$A$3,"SUB TYPE",$B149))</f>
        <v>0.17039463997829674</v>
      </c>
      <c r="T149" s="101"/>
      <c r="U149" s="102"/>
      <c r="W149" s="248" t="str">
        <f t="shared" ca="1" si="22"/>
        <v>DIRECT</v>
      </c>
      <c r="X149" s="246">
        <f ca="1">IF($W149="DIRECT",M149,DCOUNT('literature entries'!$D:$AI,IF($J149=1,"ACTIVE     CED, FARM GATE (MJ/kg)","CED, processor gate (MJ/kg)"),INDIRECT($W149)))</f>
        <v>5</v>
      </c>
      <c r="Y149" s="246" t="str">
        <f ca="1">IF($W149="DIRECT","",DAVERAGE('literature entries'!$D:$AI,IF($J149=1,"ACTIVE     CED, FARM GATE (MJ/kg)","CED, processor gate (MJ/kg)"),INDIRECT($W149)))</f>
        <v/>
      </c>
      <c r="Z149" s="246">
        <f ca="1">IF($W149="DIRECT",$O149,DSTDEV('literature entries'!$D:$AI,IF($J149=1,"ACTIVE     CED, FARM GATE (MJ/kg)","CED, processor gate (MJ/kg)"),INDIRECT($W149)))</f>
        <v>2.443968084898001</v>
      </c>
      <c r="AA149" s="246">
        <f t="shared" ca="1" si="20"/>
        <v>2.443968084898001</v>
      </c>
      <c r="AB149" s="254" t="str">
        <f t="shared" ca="1" si="23"/>
        <v>DIRECT</v>
      </c>
      <c r="AC149" s="247">
        <f ca="1">IF($AB149="DIRECT",Q149,DCOUNT('literature entries'!$D:$AI,IF($J149=1,"ACTIVE     GHGE, FARM GATE (kg CO2e/kg)","GHGE, processor gate (kg CO2e/kg)"),INDIRECT($AB149)))</f>
        <v>7</v>
      </c>
      <c r="AD149" s="247" t="str">
        <f ca="1">IF($AB149="DIRECT","",DAVERAGE('literature entries'!$D:$AI,IF($J149=1,"ACTIVE     GHGE, FARM GATE (kg CO2e/kg)","GHGE, processor gate (kg CO2e/kg)"),INDIRECT($AB149)))</f>
        <v/>
      </c>
      <c r="AE149" s="247">
        <f ca="1">IF($AB149="DIRECT",$S149,DSTDEV('literature entries'!$D:$AI,IF($J149=1,"ACTIVE     GHGE, FARM GATE (kg CO2e/kg)","GHGE, processor gate (kg CO2e/kg)"),INDIRECT($AB149)))</f>
        <v>0.17039463997829674</v>
      </c>
      <c r="AF149" s="247">
        <f t="shared" ca="1" si="21"/>
        <v>0.17039463997829674</v>
      </c>
    </row>
    <row r="150" spans="1:32" s="21" customFormat="1" ht="17" thickBot="1" x14ac:dyDescent="0.25">
      <c r="A150" s="129">
        <v>1202261000</v>
      </c>
      <c r="B150" s="130" t="s">
        <v>2137</v>
      </c>
      <c r="C150" s="131" t="s">
        <v>2138</v>
      </c>
      <c r="D150" s="131"/>
      <c r="E150" s="131">
        <v>1722</v>
      </c>
      <c r="F150" s="126">
        <f t="shared" ca="1" si="16"/>
        <v>17.77468</v>
      </c>
      <c r="G150" s="127">
        <f t="shared" ca="1" si="17"/>
        <v>1.6779399999999998</v>
      </c>
      <c r="H150" s="132">
        <v>6.38</v>
      </c>
      <c r="I150" s="133" t="s">
        <v>2724</v>
      </c>
      <c r="J150" s="91">
        <v>1</v>
      </c>
      <c r="K150" s="90" t="s">
        <v>2771</v>
      </c>
      <c r="L150" s="152" t="str">
        <f>IF(ISERROR(GETPIVOTDATA(IF($J150=1,"Count of ACTIVE     CED, FARM GATE (MJ/kg)","Count of CED, processor gate (MJ/kg)"),'Pivot Table_CED'!$A$3,"SUB TYPE",$B150)),"PROXY",IF(GETPIVOTDATA(IF($J150=1,"Count of ACTIVE     CED, FARM GATE (MJ/kg)","Count of CED, processor gate (MJ/kg)"),'Pivot Table_CED'!$A$3,"SUB TYPE",$B150)=0,"PROXY","DB value"))</f>
        <v>PROXY</v>
      </c>
      <c r="M150" s="134">
        <f ca="1">IF($L150="PROXY",DCOUNT('literature entries'!$D:$AI,IF($J150=1,"ACTIVE     CED, FARM GATE (MJ/kg)","CED, processor gate (MJ/kg)"),INDIRECT($K150)),GETPIVOTDATA(IF($J150=1,"Count of ACTIVE     CED, FARM GATE (MJ/kg)","Count of CED, processor gate (MJ/kg)"),'Pivot Table_CED'!$A$3,"SUB TYPE",$B150))</f>
        <v>5</v>
      </c>
      <c r="N150" s="135">
        <f ca="1">IF($L150="PROXY",DAVERAGE('literature entries'!$D:$AI,IF($J150=1,"ACTIVE     CED, FARM GATE (MJ/kg)","CED, processor gate (MJ/kg)"),INDIRECT($K150)),GETPIVOTDATA(IF($J150=1,"Average of ACTIVE     CED, FARM GATE (MJ/kg)","Average of CED, processor gate (MJ/kg)"),'Pivot Table_CED'!$A$3,"SUB TYPE",$B150))</f>
        <v>2.786</v>
      </c>
      <c r="O150" s="135">
        <f ca="1">IF($L150="PROXY",DSTDEV('literature entries'!D:AI,IF($J150=1,"ACTIVE     CED, FARM GATE (MJ/kg)","CED, processor gate (MJ/kg)"),INDIRECT($K150)),GETPIVOTDATA(IF($J150=1,"StdDev of ACTIVE     CED, FARM GATE (MJ/kg)","StdDev of CED, processor gate (MJ/kg)"),'Pivot Table_CED'!$A$3,"SUB TYPE",$B150))</f>
        <v>2.443968084898001</v>
      </c>
      <c r="P150" s="152" t="str">
        <f>IF(ISERROR(GETPIVOTDATA(IF($J150=1,"Count of ACTIVE     GHGE, FARM GATE (kg CO2e/kg)","Count of GHGE, processor gate (kg CO2e/kg)"),'Pivot Table_GHG'!$A$3,"SUB TYPE",$B150)),"PROXY",IF(GETPIVOTDATA(IF($J150=1,"Count of ACTIVE     GHGE, FARM GATE (kg CO2e/kg)","Count of GHGE, processor gate (kg CO2e/kg)"),'Pivot Table_GHG'!$A$3,"SUB TYPE",$B150)=0,"PROXY","DB value"))</f>
        <v>PROXY</v>
      </c>
      <c r="Q150" s="141">
        <f ca="1">IF($P150="PROXY",DCOUNT('literature entries'!$D:$AI,IF($J150=1,"ACTIVE     GHGE, FARM GATE (kg CO2e/kg)","GHGE, processor gate (kg CO2e/kg)"),INDIRECT($K150)),GETPIVOTDATA(IF($J150=1,"ACTIVE     GHGE, FARM GATE (kg CO2e/kg)","Count of GHGE, processor gate (kg CO2e/kg)"),'Pivot Table_GHG'!$A$3,"SUB TYPE",$B150))</f>
        <v>7</v>
      </c>
      <c r="R150" s="221">
        <f ca="1">IF($P150="PROXY",DAVERAGE('literature entries'!$D:$AI,IF($J150=1,"ACTIVE     GHGE, FARM GATE (kg CO2e/kg)","GHGE, processor gate (kg CO2e/kg)"),INDIRECT($K150)),GETPIVOTDATA(IF($J150=1,"Average of ACTIVE     GHGE, FARM GATE (kg CO2e/kg)","Average of GHGE, processor gate (kg CO2e/kg)"),'Pivot Table_GHG'!$A$3,"SUB TYPE",$B150))</f>
        <v>0.26299999999999996</v>
      </c>
      <c r="S150" s="221">
        <f ca="1">IF($P150="PROXY",DSTDEV('literature entries'!$D:$AI,IF($J150=1,"ACTIVE     GHGE, FARM GATE (kg CO2e/kg)","GHGE, processor gate (kg CO2e/kg)"),INDIRECT($K150)),GETPIVOTDATA(IF($J150=1,"StdDev of ACTIVE     GHGE, FARM GATE (kg CO2e/kg)","StdDev of GHGE, processor gate (kg CO2e/kg)"),'Pivot Table_GHG'!$A$3,"SUB TYPE",$B150))</f>
        <v>0.17039463997829674</v>
      </c>
      <c r="T150" s="101"/>
      <c r="U150" s="102"/>
      <c r="W150" s="248" t="str">
        <f t="shared" ca="1" si="22"/>
        <v>peach</v>
      </c>
      <c r="X150" s="246">
        <f ca="1">IF($W150="DIRECT",M150,DCOUNT('literature entries'!$D:$AI,IF($J150=1,"ACTIVE     CED, FARM GATE (MJ/kg)","CED, processor gate (MJ/kg)"),INDIRECT($W150)))</f>
        <v>5</v>
      </c>
      <c r="Y150" s="246">
        <f ca="1">IF($W150="DIRECT","",DAVERAGE('literature entries'!$D:$AI,IF($J150=1,"ACTIVE     CED, FARM GATE (MJ/kg)","CED, processor gate (MJ/kg)"),INDIRECT($W150)))</f>
        <v>2.786</v>
      </c>
      <c r="Z150" s="246">
        <f ca="1">IF($W150="DIRECT",$O150,DSTDEV('literature entries'!$D:$AI,IF($J150=1,"ACTIVE     CED, FARM GATE (MJ/kg)","CED, processor gate (MJ/kg)"),INDIRECT($W150)))</f>
        <v>2.443968084898001</v>
      </c>
      <c r="AA150" s="246">
        <f t="shared" ca="1" si="20"/>
        <v>2.443968084898001</v>
      </c>
      <c r="AB150" s="254" t="str">
        <f t="shared" ca="1" si="23"/>
        <v>peach</v>
      </c>
      <c r="AC150" s="247">
        <f ca="1">IF($AB150="DIRECT",Q150,DCOUNT('literature entries'!$D:$AI,IF($J150=1,"ACTIVE     GHGE, FARM GATE (kg CO2e/kg)","GHGE, processor gate (kg CO2e/kg)"),INDIRECT($AB150)))</f>
        <v>7</v>
      </c>
      <c r="AD150" s="247">
        <f ca="1">IF($AB150="DIRECT","",DAVERAGE('literature entries'!$D:$AI,IF($J150=1,"ACTIVE     GHGE, FARM GATE (kg CO2e/kg)","GHGE, processor gate (kg CO2e/kg)"),INDIRECT($AB150)))</f>
        <v>0.26299999999999996</v>
      </c>
      <c r="AE150" s="247">
        <f ca="1">IF($AB150="DIRECT",$S150,DSTDEV('literature entries'!$D:$AI,IF($J150=1,"ACTIVE     GHGE, FARM GATE (kg CO2e/kg)","GHGE, processor gate (kg CO2e/kg)"),INDIRECT($AB150)))</f>
        <v>0.17039463997829674</v>
      </c>
      <c r="AF150" s="247">
        <f t="shared" ca="1" si="21"/>
        <v>0.17039463997829674</v>
      </c>
    </row>
    <row r="151" spans="1:32" s="21" customFormat="1" ht="17" thickBot="1" x14ac:dyDescent="0.25">
      <c r="A151" s="129">
        <v>1202262000</v>
      </c>
      <c r="B151" s="130" t="s">
        <v>2139</v>
      </c>
      <c r="C151" s="131" t="s">
        <v>1742</v>
      </c>
      <c r="D151" s="131"/>
      <c r="E151" s="131">
        <v>78</v>
      </c>
      <c r="F151" s="126">
        <f t="shared" ca="1" si="16"/>
        <v>9.8231800000000007</v>
      </c>
      <c r="G151" s="127">
        <f t="shared" ca="1" si="17"/>
        <v>1.4077691260799998</v>
      </c>
      <c r="H151" s="132">
        <v>1.63</v>
      </c>
      <c r="I151" s="133" t="s">
        <v>2750</v>
      </c>
      <c r="J151" s="91">
        <v>1</v>
      </c>
      <c r="K151" s="90" t="s">
        <v>2771</v>
      </c>
      <c r="L151" s="152" t="str">
        <f>IF(ISERROR(GETPIVOTDATA(IF($J151=1,"Count of ACTIVE     CED, FARM GATE (MJ/kg)","Count of CED, processor gate (MJ/kg)"),'Pivot Table_CED'!$A$3,"SUB TYPE",$B151)),"PROXY",IF(GETPIVOTDATA(IF($J151=1,"Count of ACTIVE     CED, FARM GATE (MJ/kg)","Count of CED, processor gate (MJ/kg)"),'Pivot Table_CED'!$A$3,"SUB TYPE",$B151)=0,"PROXY","DB value"))</f>
        <v>PROXY</v>
      </c>
      <c r="M151" s="134">
        <f ca="1">IF($L151="PROXY",DCOUNT('literature entries'!$D:$AI,IF($J151=1,"ACTIVE     CED, FARM GATE (MJ/kg)","CED, processor gate (MJ/kg)"),INDIRECT($K151)),GETPIVOTDATA(IF($J151=1,"Count of ACTIVE     CED, FARM GATE (MJ/kg)","Count of CED, processor gate (MJ/kg)"),'Pivot Table_CED'!$A$3,"SUB TYPE",$B151))</f>
        <v>5</v>
      </c>
      <c r="N151" s="135">
        <f ca="1">IF($L151="PROXY",DAVERAGE('literature entries'!$D:$AI,IF($J151=1,"ACTIVE     CED, FARM GATE (MJ/kg)","CED, processor gate (MJ/kg)"),INDIRECT($K151)),GETPIVOTDATA(IF($J151=1,"Average of ACTIVE     CED, FARM GATE (MJ/kg)","Average of CED, processor gate (MJ/kg)"),'Pivot Table_CED'!$A$3,"SUB TYPE",$B151))</f>
        <v>2.786</v>
      </c>
      <c r="O151" s="135">
        <f ca="1">IF($L151="PROXY",DSTDEV('literature entries'!D:AI,IF($J151=1,"ACTIVE     CED, FARM GATE (MJ/kg)","CED, processor gate (MJ/kg)"),INDIRECT($K151)),GETPIVOTDATA(IF($J151=1,"StdDev of ACTIVE     CED, FARM GATE (MJ/kg)","StdDev of CED, processor gate (MJ/kg)"),'Pivot Table_CED'!$A$3,"SUB TYPE",$B151))</f>
        <v>2.443968084898001</v>
      </c>
      <c r="P151" s="152" t="str">
        <f>IF(ISERROR(GETPIVOTDATA(IF($J151=1,"Count of ACTIVE     GHGE, FARM GATE (kg CO2e/kg)","Count of GHGE, processor gate (kg CO2e/kg)"),'Pivot Table_GHG'!$A$3,"SUB TYPE",$B151)),"PROXY",IF(GETPIVOTDATA(IF($J151=1,"Count of ACTIVE     GHGE, FARM GATE (kg CO2e/kg)","Count of GHGE, processor gate (kg CO2e/kg)"),'Pivot Table_GHG'!$A$3,"SUB TYPE",$B151)=0,"PROXY","DB value"))</f>
        <v>PROXY</v>
      </c>
      <c r="Q151" s="141">
        <f ca="1">IF($P151="PROXY",DCOUNT('literature entries'!$D:$AI,IF($J151=1,"ACTIVE     GHGE, FARM GATE (kg CO2e/kg)","GHGE, processor gate (kg CO2e/kg)"),INDIRECT($K151)),GETPIVOTDATA(IF($J151=1,"ACTIVE     GHGE, FARM GATE (kg CO2e/kg)","Count of GHGE, processor gate (kg CO2e/kg)"),'Pivot Table_GHG'!$A$3,"SUB TYPE",$B151))</f>
        <v>7</v>
      </c>
      <c r="R151" s="221">
        <f ca="1">IF($P151="PROXY",DAVERAGE('literature entries'!$D:$AI,IF($J151=1,"ACTIVE     GHGE, FARM GATE (kg CO2e/kg)","GHGE, processor gate (kg CO2e/kg)"),INDIRECT($K151)),GETPIVOTDATA(IF($J151=1,"Average of ACTIVE     GHGE, FARM GATE (kg CO2e/kg)","Average of GHGE, processor gate (kg CO2e/kg)"),'Pivot Table_GHG'!$A$3,"SUB TYPE",$B151))</f>
        <v>0.26299999999999996</v>
      </c>
      <c r="S151" s="221">
        <f ca="1">IF($P151="PROXY",DSTDEV('literature entries'!$D:$AI,IF($J151=1,"ACTIVE     GHGE, FARM GATE (kg CO2e/kg)","GHGE, processor gate (kg CO2e/kg)"),INDIRECT($K151)),GETPIVOTDATA(IF($J151=1,"StdDev of ACTIVE     GHGE, FARM GATE (kg CO2e/kg)","StdDev of GHGE, processor gate (kg CO2e/kg)"),'Pivot Table_GHG'!$A$3,"SUB TYPE",$B151))</f>
        <v>0.17039463997829674</v>
      </c>
      <c r="T151" s="99">
        <v>5.282</v>
      </c>
      <c r="U151" s="100">
        <v>0.97907912607999992</v>
      </c>
      <c r="W151" s="248" t="str">
        <f t="shared" ca="1" si="22"/>
        <v>peach</v>
      </c>
      <c r="X151" s="246">
        <f ca="1">IF($W151="DIRECT",M151,DCOUNT('literature entries'!$D:$AI,IF($J151=1,"ACTIVE     CED, FARM GATE (MJ/kg)","CED, processor gate (MJ/kg)"),INDIRECT($W151)))</f>
        <v>5</v>
      </c>
      <c r="Y151" s="246">
        <f ca="1">IF($W151="DIRECT","",DAVERAGE('literature entries'!$D:$AI,IF($J151=1,"ACTIVE     CED, FARM GATE (MJ/kg)","CED, processor gate (MJ/kg)"),INDIRECT($W151)))</f>
        <v>2.786</v>
      </c>
      <c r="Z151" s="246">
        <f ca="1">IF($W151="DIRECT",$O151,DSTDEV('literature entries'!$D:$AI,IF($J151=1,"ACTIVE     CED, FARM GATE (MJ/kg)","CED, processor gate (MJ/kg)"),INDIRECT($W151)))</f>
        <v>2.443968084898001</v>
      </c>
      <c r="AA151" s="246">
        <f t="shared" ca="1" si="20"/>
        <v>2.443968084898001</v>
      </c>
      <c r="AB151" s="254" t="str">
        <f t="shared" ca="1" si="23"/>
        <v>peach</v>
      </c>
      <c r="AC151" s="247">
        <f ca="1">IF($AB151="DIRECT",Q151,DCOUNT('literature entries'!$D:$AI,IF($J151=1,"ACTIVE     GHGE, FARM GATE (kg CO2e/kg)","GHGE, processor gate (kg CO2e/kg)"),INDIRECT($AB151)))</f>
        <v>7</v>
      </c>
      <c r="AD151" s="247">
        <f ca="1">IF($AB151="DIRECT","",DAVERAGE('literature entries'!$D:$AI,IF($J151=1,"ACTIVE     GHGE, FARM GATE (kg CO2e/kg)","GHGE, processor gate (kg CO2e/kg)"),INDIRECT($AB151)))</f>
        <v>0.26299999999999996</v>
      </c>
      <c r="AE151" s="247">
        <f ca="1">IF($AB151="DIRECT",$S151,DSTDEV('literature entries'!$D:$AI,IF($J151=1,"ACTIVE     GHGE, FARM GATE (kg CO2e/kg)","GHGE, processor gate (kg CO2e/kg)"),INDIRECT($AB151)))</f>
        <v>0.17039463997829674</v>
      </c>
      <c r="AF151" s="247">
        <f t="shared" ca="1" si="21"/>
        <v>0.17039463997829674</v>
      </c>
    </row>
    <row r="152" spans="1:32" s="21" customFormat="1" thickBot="1" x14ac:dyDescent="0.25">
      <c r="A152" s="129">
        <v>1203285000</v>
      </c>
      <c r="B152" s="130" t="s">
        <v>2177</v>
      </c>
      <c r="C152" s="131" t="s">
        <v>2178</v>
      </c>
      <c r="D152" s="131" t="s">
        <v>2179</v>
      </c>
      <c r="E152" s="131">
        <v>417</v>
      </c>
      <c r="F152" s="126">
        <f t="shared" ca="1" si="16"/>
        <v>2.1538846666666669</v>
      </c>
      <c r="G152" s="127">
        <f t="shared" ca="1" si="17"/>
        <v>0.57593333333333341</v>
      </c>
      <c r="H152" s="132">
        <v>1.06</v>
      </c>
      <c r="I152" s="132" t="s">
        <v>2724</v>
      </c>
      <c r="J152" s="91">
        <v>1</v>
      </c>
      <c r="K152" s="90" t="s">
        <v>3268</v>
      </c>
      <c r="L152" s="152" t="str">
        <f>IF(ISERROR(GETPIVOTDATA(IF($J152=1,"Count of ACTIVE     CED, FARM GATE (MJ/kg)","Count of CED, processor gate (MJ/kg)"),'Pivot Table_CED'!$A$3,"SUB TYPE",$B152)),"PROXY",IF(GETPIVOTDATA(IF($J152=1,"Count of ACTIVE     CED, FARM GATE (MJ/kg)","Count of CED, processor gate (MJ/kg)"),'Pivot Table_CED'!$A$3,"SUB TYPE",$B152)=0,"PROXY","DB value"))</f>
        <v>PROXY</v>
      </c>
      <c r="M152" s="134">
        <f ca="1">IF($L152="PROXY",DCOUNT('literature entries'!$D:$AI,IF($J152=1,"ACTIVE     CED, FARM GATE (MJ/kg)","CED, processor gate (MJ/kg)"),INDIRECT($K152)),GETPIVOTDATA(IF($J152=1,"Count of ACTIVE     CED, FARM GATE (MJ/kg)","Count of CED, processor gate (MJ/kg)"),'Pivot Table_CED'!$A$3,"SUB TYPE",$B152))</f>
        <v>30</v>
      </c>
      <c r="N152" s="135">
        <f ca="1">IF($L152="PROXY",DAVERAGE('literature entries'!$D:$AI,IF($J152=1,"ACTIVE     CED, FARM GATE (MJ/kg)","CED, processor gate (MJ/kg)"),INDIRECT($K152)),GETPIVOTDATA(IF($J152=1,"Average of ACTIVE     CED, FARM GATE (MJ/kg)","Average of CED, processor gate (MJ/kg)"),'Pivot Table_CED'!$A$3,"SUB TYPE",$B152))</f>
        <v>2.0319666666666669</v>
      </c>
      <c r="O152" s="135">
        <f ca="1">IF($L152="PROXY",DSTDEV('literature entries'!D:AI,IF($J152=1,"ACTIVE     CED, FARM GATE (MJ/kg)","CED, processor gate (MJ/kg)"),INDIRECT($K152)),GETPIVOTDATA(IF($J152=1,"StdDev of ACTIVE     CED, FARM GATE (MJ/kg)","StdDev of CED, processor gate (MJ/kg)"),'Pivot Table_CED'!$A$3,"SUB TYPE",$B152))</f>
        <v>1.7780728376790285</v>
      </c>
      <c r="P152" s="152" t="str">
        <f>IF(ISERROR(GETPIVOTDATA(IF($J152=1,"Count of ACTIVE     GHGE, FARM GATE (kg CO2e/kg)","Count of GHGE, processor gate (kg CO2e/kg)"),'Pivot Table_GHG'!$A$3,"SUB TYPE",$B152)),"PROXY",IF(GETPIVOTDATA(IF($J152=1,"Count of ACTIVE     GHGE, FARM GATE (kg CO2e/kg)","Count of GHGE, processor gate (kg CO2e/kg)"),'Pivot Table_GHG'!$A$3,"SUB TYPE",$B152)=0,"PROXY","DB value"))</f>
        <v>DB value</v>
      </c>
      <c r="Q152" s="141">
        <f ca="1">IF($P152="PROXY",DCOUNT('literature entries'!$D:$AI,IF($J152=1,"ACTIVE     GHGE, FARM GATE (kg CO2e/kg)","GHGE, processor gate (kg CO2e/kg)"),INDIRECT($K152)),GETPIVOTDATA(IF($J152=1,"ACTIVE     GHGE, FARM GATE (kg CO2e/kg)","Count of GHGE, processor gate (kg CO2e/kg)"),'Pivot Table_GHG'!$A$3,"SUB TYPE",$B152))</f>
        <v>3</v>
      </c>
      <c r="R152" s="221">
        <f ca="1">IF($P152="PROXY",DAVERAGE('literature entries'!$D:$AI,IF($J152=1,"ACTIVE     GHGE, FARM GATE (kg CO2e/kg)","GHGE, processor gate (kg CO2e/kg)"),INDIRECT($K152)),GETPIVOTDATA(IF($J152=1,"Average of ACTIVE     GHGE, FARM GATE (kg CO2e/kg)","Average of GHGE, processor gate (kg CO2e/kg)"),'Pivot Table_GHG'!$A$3,"SUB TYPE",$B152))</f>
        <v>0.54333333333333333</v>
      </c>
      <c r="S152" s="221">
        <f ca="1">IF($P152="PROXY",DSTDEV('literature entries'!$D:$AI,IF($J152=1,"ACTIVE     GHGE, FARM GATE (kg CO2e/kg)","GHGE, processor gate (kg CO2e/kg)"),INDIRECT($K152)),GETPIVOTDATA(IF($J152=1,"StdDev of ACTIVE     GHGE, FARM GATE (kg CO2e/kg)","StdDev of GHGE, processor gate (kg CO2e/kg)"),'Pivot Table_GHG'!$A$3,"SUB TYPE",$B152))</f>
        <v>0.29670411748631564</v>
      </c>
      <c r="T152" s="101"/>
      <c r="U152" s="102"/>
      <c r="W152" s="248" t="str">
        <f t="shared" ca="1" si="22"/>
        <v>tree_fruit</v>
      </c>
      <c r="X152" s="246">
        <f ca="1">IF($W152="DIRECT",M152,DCOUNT('literature entries'!$D:$AI,IF($J152=1,"ACTIVE     CED, FARM GATE (MJ/kg)","CED, processor gate (MJ/kg)"),INDIRECT($W152)))</f>
        <v>30</v>
      </c>
      <c r="Y152" s="246">
        <f ca="1">IF($W152="DIRECT","",DAVERAGE('literature entries'!$D:$AI,IF($J152=1,"ACTIVE     CED, FARM GATE (MJ/kg)","CED, processor gate (MJ/kg)"),INDIRECT($W152)))</f>
        <v>2.0319666666666669</v>
      </c>
      <c r="Z152" s="246">
        <f ca="1">IF($W152="DIRECT",$O152,DSTDEV('literature entries'!$D:$AI,IF($J152=1,"ACTIVE     CED, FARM GATE (MJ/kg)","CED, processor gate (MJ/kg)"),INDIRECT($W152)))</f>
        <v>1.7780728376790285</v>
      </c>
      <c r="AA152" s="246">
        <f t="shared" ca="1" si="20"/>
        <v>1.7780728376790285</v>
      </c>
      <c r="AB152" s="254" t="s">
        <v>3268</v>
      </c>
      <c r="AC152" s="247">
        <f ca="1">IF($AB152="DIRECT",Q152,DCOUNT('literature entries'!$D:$AI,IF($J152=1,"ACTIVE     GHGE, FARM GATE (kg CO2e/kg)","GHGE, processor gate (kg CO2e/kg)"),INDIRECT($AB152)))</f>
        <v>59</v>
      </c>
      <c r="AD152" s="247">
        <f ca="1">IF($AB152="DIRECT","",DAVERAGE('literature entries'!$D:$AI,IF($J152=1,"ACTIVE     GHGE, FARM GATE (kg CO2e/kg)","GHGE, processor gate (kg CO2e/kg)"),INDIRECT($AB152)))</f>
        <v>0.25792391165713047</v>
      </c>
      <c r="AE152" s="247">
        <f ca="1">IF($AB152="DIRECT",$S152,DSTDEV('literature entries'!$D:$AI,IF($J152=1,"ACTIVE     GHGE, FARM GATE (kg CO2e/kg)","GHGE, processor gate (kg CO2e/kg)"),INDIRECT($AB152)))</f>
        <v>0.22451998550634089</v>
      </c>
      <c r="AF152" s="247">
        <f t="shared" ca="1" si="21"/>
        <v>0.47296581127878307</v>
      </c>
    </row>
    <row r="153" spans="1:32" s="21" customFormat="1" thickBot="1" x14ac:dyDescent="0.25">
      <c r="A153" s="129">
        <v>1203286000</v>
      </c>
      <c r="B153" s="130" t="s">
        <v>2182</v>
      </c>
      <c r="C153" s="131" t="s">
        <v>2183</v>
      </c>
      <c r="D153" s="131"/>
      <c r="E153" s="131">
        <v>50</v>
      </c>
      <c r="F153" s="126">
        <f t="shared" ca="1" si="16"/>
        <v>2.1538846666666669</v>
      </c>
      <c r="G153" s="127">
        <f t="shared" ca="1" si="17"/>
        <v>0.27339934635655833</v>
      </c>
      <c r="H153" s="132">
        <v>1.06</v>
      </c>
      <c r="I153" s="132" t="s">
        <v>2724</v>
      </c>
      <c r="J153" s="91">
        <v>1</v>
      </c>
      <c r="K153" s="90" t="s">
        <v>3268</v>
      </c>
      <c r="L153" s="152" t="str">
        <f>IF(ISERROR(GETPIVOTDATA(IF($J153=1,"Count of ACTIVE     CED, FARM GATE (MJ/kg)","Count of CED, processor gate (MJ/kg)"),'Pivot Table_CED'!$A$3,"SUB TYPE",$B153)),"PROXY",IF(GETPIVOTDATA(IF($J153=1,"Count of ACTIVE     CED, FARM GATE (MJ/kg)","Count of CED, processor gate (MJ/kg)"),'Pivot Table_CED'!$A$3,"SUB TYPE",$B153)=0,"PROXY","DB value"))</f>
        <v>PROXY</v>
      </c>
      <c r="M153" s="134">
        <f ca="1">IF($L153="PROXY",DCOUNT('literature entries'!$D:$AI,IF($J153=1,"ACTIVE     CED, FARM GATE (MJ/kg)","CED, processor gate (MJ/kg)"),INDIRECT($K153)),GETPIVOTDATA(IF($J153=1,"Count of ACTIVE     CED, FARM GATE (MJ/kg)","Count of CED, processor gate (MJ/kg)"),'Pivot Table_CED'!$A$3,"SUB TYPE",$B153))</f>
        <v>30</v>
      </c>
      <c r="N153" s="135">
        <f ca="1">IF($L153="PROXY",DAVERAGE('literature entries'!$D:$AI,IF($J153=1,"ACTIVE     CED, FARM GATE (MJ/kg)","CED, processor gate (MJ/kg)"),INDIRECT($K153)),GETPIVOTDATA(IF($J153=1,"Average of ACTIVE     CED, FARM GATE (MJ/kg)","Average of CED, processor gate (MJ/kg)"),'Pivot Table_CED'!$A$3,"SUB TYPE",$B153))</f>
        <v>2.0319666666666669</v>
      </c>
      <c r="O153" s="135">
        <f ca="1">IF($L153="PROXY",DSTDEV('literature entries'!D:AI,IF($J153=1,"ACTIVE     CED, FARM GATE (MJ/kg)","CED, processor gate (MJ/kg)"),INDIRECT($K153)),GETPIVOTDATA(IF($J153=1,"StdDev of ACTIVE     CED, FARM GATE (MJ/kg)","StdDev of CED, processor gate (MJ/kg)"),'Pivot Table_CED'!$A$3,"SUB TYPE",$B153))</f>
        <v>1.7780728376790285</v>
      </c>
      <c r="P153" s="152" t="str">
        <f>IF(ISERROR(GETPIVOTDATA(IF($J153=1,"Count of ACTIVE     GHGE, FARM GATE (kg CO2e/kg)","Count of GHGE, processor gate (kg CO2e/kg)"),'Pivot Table_GHG'!$A$3,"SUB TYPE",$B153)),"PROXY",IF(GETPIVOTDATA(IF($J153=1,"Count of ACTIVE     GHGE, FARM GATE (kg CO2e/kg)","Count of GHGE, processor gate (kg CO2e/kg)"),'Pivot Table_GHG'!$A$3,"SUB TYPE",$B153)=0,"PROXY","DB value"))</f>
        <v>PROXY</v>
      </c>
      <c r="Q153" s="141">
        <f ca="1">IF($P153="PROXY",DCOUNT('literature entries'!$D:$AI,IF($J153=1,"ACTIVE     GHGE, FARM GATE (kg CO2e/kg)","GHGE, processor gate (kg CO2e/kg)"),INDIRECT($K153)),GETPIVOTDATA(IF($J153=1,"ACTIVE     GHGE, FARM GATE (kg CO2e/kg)","Count of GHGE, processor gate (kg CO2e/kg)"),'Pivot Table_GHG'!$A$3,"SUB TYPE",$B153))</f>
        <v>59</v>
      </c>
      <c r="R153" s="221">
        <f ca="1">IF($P153="PROXY",DAVERAGE('literature entries'!$D:$AI,IF($J153=1,"ACTIVE     GHGE, FARM GATE (kg CO2e/kg)","GHGE, processor gate (kg CO2e/kg)"),INDIRECT($K153)),GETPIVOTDATA(IF($J153=1,"Average of ACTIVE     GHGE, FARM GATE (kg CO2e/kg)","Average of GHGE, processor gate (kg CO2e/kg)"),'Pivot Table_GHG'!$A$3,"SUB TYPE",$B153))</f>
        <v>0.25792391165713047</v>
      </c>
      <c r="S153" s="221">
        <f ca="1">IF($P153="PROXY",DSTDEV('literature entries'!$D:$AI,IF($J153=1,"ACTIVE     GHGE, FARM GATE (kg CO2e/kg)","GHGE, processor gate (kg CO2e/kg)"),INDIRECT($K153)),GETPIVOTDATA(IF($J153=1,"StdDev of ACTIVE     GHGE, FARM GATE (kg CO2e/kg)","StdDev of GHGE, processor gate (kg CO2e/kg)"),'Pivot Table_GHG'!$A$3,"SUB TYPE",$B153))</f>
        <v>0.22451998550634089</v>
      </c>
      <c r="T153" s="101"/>
      <c r="U153" s="102"/>
      <c r="W153" s="248" t="str">
        <f t="shared" ca="1" si="22"/>
        <v>tree_fruit</v>
      </c>
      <c r="X153" s="246">
        <f ca="1">IF($W153="DIRECT",M153,DCOUNT('literature entries'!$D:$AI,IF($J153=1,"ACTIVE     CED, FARM GATE (MJ/kg)","CED, processor gate (MJ/kg)"),INDIRECT($W153)))</f>
        <v>30</v>
      </c>
      <c r="Y153" s="246">
        <f ca="1">IF($W153="DIRECT","",DAVERAGE('literature entries'!$D:$AI,IF($J153=1,"ACTIVE     CED, FARM GATE (MJ/kg)","CED, processor gate (MJ/kg)"),INDIRECT($W153)))</f>
        <v>2.0319666666666669</v>
      </c>
      <c r="Z153" s="246">
        <f ca="1">IF($W153="DIRECT",$O153,DSTDEV('literature entries'!$D:$AI,IF($J153=1,"ACTIVE     CED, FARM GATE (MJ/kg)","CED, processor gate (MJ/kg)"),INDIRECT($W153)))</f>
        <v>1.7780728376790285</v>
      </c>
      <c r="AA153" s="246">
        <f t="shared" ca="1" si="20"/>
        <v>1.7780728376790285</v>
      </c>
      <c r="AB153" s="254" t="str">
        <f t="shared" ref="AB153:AB158" ca="1" si="24">IF(P153="PROXY",IF(Q153&gt;=5,K153,"need group"),IF(Q153&gt;=5,"DIRECT","need group"))</f>
        <v>tree_fruit</v>
      </c>
      <c r="AC153" s="247">
        <f ca="1">IF($AB153="DIRECT",Q153,DCOUNT('literature entries'!$D:$AI,IF($J153=1,"ACTIVE     GHGE, FARM GATE (kg CO2e/kg)","GHGE, processor gate (kg CO2e/kg)"),INDIRECT($AB153)))</f>
        <v>59</v>
      </c>
      <c r="AD153" s="247">
        <f ca="1">IF($AB153="DIRECT","",DAVERAGE('literature entries'!$D:$AI,IF($J153=1,"ACTIVE     GHGE, FARM GATE (kg CO2e/kg)","GHGE, processor gate (kg CO2e/kg)"),INDIRECT($AB153)))</f>
        <v>0.25792391165713047</v>
      </c>
      <c r="AE153" s="247">
        <f ca="1">IF($AB153="DIRECT",$S153,DSTDEV('literature entries'!$D:$AI,IF($J153=1,"ACTIVE     GHGE, FARM GATE (kg CO2e/kg)","GHGE, processor gate (kg CO2e/kg)"),INDIRECT($AB153)))</f>
        <v>0.22451998550634089</v>
      </c>
      <c r="AF153" s="247">
        <f t="shared" ca="1" si="21"/>
        <v>0.22451998550634089</v>
      </c>
    </row>
    <row r="154" spans="1:32" s="21" customFormat="1" ht="17" thickBot="1" x14ac:dyDescent="0.25">
      <c r="A154" s="129">
        <v>1203287000</v>
      </c>
      <c r="B154" s="130" t="s">
        <v>2180</v>
      </c>
      <c r="C154" s="131" t="s">
        <v>2181</v>
      </c>
      <c r="D154" s="131"/>
      <c r="E154" s="131">
        <v>260</v>
      </c>
      <c r="F154" s="126">
        <f t="shared" ca="1" si="16"/>
        <v>11.643169000000002</v>
      </c>
      <c r="G154" s="127">
        <f t="shared" ca="1" si="17"/>
        <v>1.4779040137953576</v>
      </c>
      <c r="H154" s="132">
        <v>5.73</v>
      </c>
      <c r="I154" s="133" t="s">
        <v>2724</v>
      </c>
      <c r="J154" s="91">
        <v>1</v>
      </c>
      <c r="K154" s="90" t="s">
        <v>3268</v>
      </c>
      <c r="L154" s="152" t="str">
        <f>IF(ISERROR(GETPIVOTDATA(IF($J154=1,"Count of ACTIVE     CED, FARM GATE (MJ/kg)","Count of CED, processor gate (MJ/kg)"),'Pivot Table_CED'!$A$3,"SUB TYPE",$B154)),"PROXY",IF(GETPIVOTDATA(IF($J154=1,"Count of ACTIVE     CED, FARM GATE (MJ/kg)","Count of CED, processor gate (MJ/kg)"),'Pivot Table_CED'!$A$3,"SUB TYPE",$B154)=0,"PROXY","DB value"))</f>
        <v>PROXY</v>
      </c>
      <c r="M154" s="134">
        <f ca="1">IF($L154="PROXY",DCOUNT('literature entries'!$D:$AI,IF($J154=1,"ACTIVE     CED, FARM GATE (MJ/kg)","CED, processor gate (MJ/kg)"),INDIRECT($K154)),GETPIVOTDATA(IF($J154=1,"Count of ACTIVE     CED, FARM GATE (MJ/kg)","Count of CED, processor gate (MJ/kg)"),'Pivot Table_CED'!$A$3,"SUB TYPE",$B154))</f>
        <v>30</v>
      </c>
      <c r="N154" s="135">
        <f ca="1">IF($L154="PROXY",DAVERAGE('literature entries'!$D:$AI,IF($J154=1,"ACTIVE     CED, FARM GATE (MJ/kg)","CED, processor gate (MJ/kg)"),INDIRECT($K154)),GETPIVOTDATA(IF($J154=1,"Average of ACTIVE     CED, FARM GATE (MJ/kg)","Average of CED, processor gate (MJ/kg)"),'Pivot Table_CED'!$A$3,"SUB TYPE",$B154))</f>
        <v>2.0319666666666669</v>
      </c>
      <c r="O154" s="135">
        <f ca="1">IF($L154="PROXY",DSTDEV('literature entries'!D:AI,IF($J154=1,"ACTIVE     CED, FARM GATE (MJ/kg)","CED, processor gate (MJ/kg)"),INDIRECT($K154)),GETPIVOTDATA(IF($J154=1,"StdDev of ACTIVE     CED, FARM GATE (MJ/kg)","StdDev of CED, processor gate (MJ/kg)"),'Pivot Table_CED'!$A$3,"SUB TYPE",$B154))</f>
        <v>1.7780728376790285</v>
      </c>
      <c r="P154" s="152" t="str">
        <f>IF(ISERROR(GETPIVOTDATA(IF($J154=1,"Count of ACTIVE     GHGE, FARM GATE (kg CO2e/kg)","Count of GHGE, processor gate (kg CO2e/kg)"),'Pivot Table_GHG'!$A$3,"SUB TYPE",$B154)),"PROXY",IF(GETPIVOTDATA(IF($J154=1,"Count of ACTIVE     GHGE, FARM GATE (kg CO2e/kg)","Count of GHGE, processor gate (kg CO2e/kg)"),'Pivot Table_GHG'!$A$3,"SUB TYPE",$B154)=0,"PROXY","DB value"))</f>
        <v>PROXY</v>
      </c>
      <c r="Q154" s="141">
        <f ca="1">IF($P154="PROXY",DCOUNT('literature entries'!$D:$AI,IF($J154=1,"ACTIVE     GHGE, FARM GATE (kg CO2e/kg)","GHGE, processor gate (kg CO2e/kg)"),INDIRECT($K154)),GETPIVOTDATA(IF($J154=1,"ACTIVE     GHGE, FARM GATE (kg CO2e/kg)","Count of GHGE, processor gate (kg CO2e/kg)"),'Pivot Table_GHG'!$A$3,"SUB TYPE",$B154))</f>
        <v>59</v>
      </c>
      <c r="R154" s="221">
        <f ca="1">IF($P154="PROXY",DAVERAGE('literature entries'!$D:$AI,IF($J154=1,"ACTIVE     GHGE, FARM GATE (kg CO2e/kg)","GHGE, processor gate (kg CO2e/kg)"),INDIRECT($K154)),GETPIVOTDATA(IF($J154=1,"Average of ACTIVE     GHGE, FARM GATE (kg CO2e/kg)","Average of GHGE, processor gate (kg CO2e/kg)"),'Pivot Table_GHG'!$A$3,"SUB TYPE",$B154))</f>
        <v>0.25792391165713047</v>
      </c>
      <c r="S154" s="221">
        <f ca="1">IF($P154="PROXY",DSTDEV('literature entries'!$D:$AI,IF($J154=1,"ACTIVE     GHGE, FARM GATE (kg CO2e/kg)","GHGE, processor gate (kg CO2e/kg)"),INDIRECT($K154)),GETPIVOTDATA(IF($J154=1,"StdDev of ACTIVE     GHGE, FARM GATE (kg CO2e/kg)","StdDev of GHGE, processor gate (kg CO2e/kg)"),'Pivot Table_GHG'!$A$3,"SUB TYPE",$B154))</f>
        <v>0.22451998550634089</v>
      </c>
      <c r="T154" s="101"/>
      <c r="U154" s="102"/>
      <c r="W154" s="248" t="str">
        <f t="shared" ca="1" si="22"/>
        <v>tree_fruit</v>
      </c>
      <c r="X154" s="246">
        <f ca="1">IF($W154="DIRECT",M154,DCOUNT('literature entries'!$D:$AI,IF($J154=1,"ACTIVE     CED, FARM GATE (MJ/kg)","CED, processor gate (MJ/kg)"),INDIRECT($W154)))</f>
        <v>30</v>
      </c>
      <c r="Y154" s="246">
        <f ca="1">IF($W154="DIRECT","",DAVERAGE('literature entries'!$D:$AI,IF($J154=1,"ACTIVE     CED, FARM GATE (MJ/kg)","CED, processor gate (MJ/kg)"),INDIRECT($W154)))</f>
        <v>2.0319666666666669</v>
      </c>
      <c r="Z154" s="246">
        <f ca="1">IF($W154="DIRECT",$O154,DSTDEV('literature entries'!$D:$AI,IF($J154=1,"ACTIVE     CED, FARM GATE (MJ/kg)","CED, processor gate (MJ/kg)"),INDIRECT($W154)))</f>
        <v>1.7780728376790285</v>
      </c>
      <c r="AA154" s="246">
        <f t="shared" ca="1" si="20"/>
        <v>1.7780728376790285</v>
      </c>
      <c r="AB154" s="254" t="str">
        <f t="shared" ca="1" si="24"/>
        <v>tree_fruit</v>
      </c>
      <c r="AC154" s="247">
        <f ca="1">IF($AB154="DIRECT",Q154,DCOUNT('literature entries'!$D:$AI,IF($J154=1,"ACTIVE     GHGE, FARM GATE (kg CO2e/kg)","GHGE, processor gate (kg CO2e/kg)"),INDIRECT($AB154)))</f>
        <v>59</v>
      </c>
      <c r="AD154" s="247">
        <f ca="1">IF($AB154="DIRECT","",DAVERAGE('literature entries'!$D:$AI,IF($J154=1,"ACTIVE     GHGE, FARM GATE (kg CO2e/kg)","GHGE, processor gate (kg CO2e/kg)"),INDIRECT($AB154)))</f>
        <v>0.25792391165713047</v>
      </c>
      <c r="AE154" s="247">
        <f ca="1">IF($AB154="DIRECT",$S154,DSTDEV('literature entries'!$D:$AI,IF($J154=1,"ACTIVE     GHGE, FARM GATE (kg CO2e/kg)","GHGE, processor gate (kg CO2e/kg)"),INDIRECT($AB154)))</f>
        <v>0.22451998550634089</v>
      </c>
      <c r="AF154" s="247">
        <f t="shared" ca="1" si="21"/>
        <v>0.22451998550634089</v>
      </c>
    </row>
    <row r="155" spans="1:32" s="21" customFormat="1" ht="17" thickBot="1" x14ac:dyDescent="0.25">
      <c r="A155" s="129">
        <v>1203288000</v>
      </c>
      <c r="B155" s="130" t="s">
        <v>2184</v>
      </c>
      <c r="C155" s="131" t="s">
        <v>1742</v>
      </c>
      <c r="D155" s="131"/>
      <c r="E155" s="131">
        <v>125</v>
      </c>
      <c r="F155" s="126">
        <f t="shared" ca="1" si="16"/>
        <v>8.5941056666666675</v>
      </c>
      <c r="G155" s="127">
        <f t="shared" ca="1" si="17"/>
        <v>1.3994951020811226</v>
      </c>
      <c r="H155" s="132">
        <v>1.63</v>
      </c>
      <c r="I155" s="133" t="s">
        <v>2724</v>
      </c>
      <c r="J155" s="91">
        <v>1</v>
      </c>
      <c r="K155" s="90" t="s">
        <v>3268</v>
      </c>
      <c r="L155" s="152" t="str">
        <f>IF(ISERROR(GETPIVOTDATA(IF($J155=1,"Count of ACTIVE     CED, FARM GATE (MJ/kg)","Count of CED, processor gate (MJ/kg)"),'Pivot Table_CED'!$A$3,"SUB TYPE",$B155)),"PROXY",IF(GETPIVOTDATA(IF($J155=1,"Count of ACTIVE     CED, FARM GATE (MJ/kg)","Count of CED, processor gate (MJ/kg)"),'Pivot Table_CED'!$A$3,"SUB TYPE",$B155)=0,"PROXY","DB value"))</f>
        <v>PROXY</v>
      </c>
      <c r="M155" s="134">
        <f ca="1">IF($L155="PROXY",DCOUNT('literature entries'!$D:$AI,IF($J155=1,"ACTIVE     CED, FARM GATE (MJ/kg)","CED, processor gate (MJ/kg)"),INDIRECT($K155)),GETPIVOTDATA(IF($J155=1,"Count of ACTIVE     CED, FARM GATE (MJ/kg)","Count of CED, processor gate (MJ/kg)"),'Pivot Table_CED'!$A$3,"SUB TYPE",$B155))</f>
        <v>30</v>
      </c>
      <c r="N155" s="135">
        <f ca="1">IF($L155="PROXY",DAVERAGE('literature entries'!$D:$AI,IF($J155=1,"ACTIVE     CED, FARM GATE (MJ/kg)","CED, processor gate (MJ/kg)"),INDIRECT($K155)),GETPIVOTDATA(IF($J155=1,"Average of ACTIVE     CED, FARM GATE (MJ/kg)","Average of CED, processor gate (MJ/kg)"),'Pivot Table_CED'!$A$3,"SUB TYPE",$B155))</f>
        <v>2.0319666666666669</v>
      </c>
      <c r="O155" s="135">
        <f ca="1">IF($L155="PROXY",DSTDEV('literature entries'!D:AI,IF($J155=1,"ACTIVE     CED, FARM GATE (MJ/kg)","CED, processor gate (MJ/kg)"),INDIRECT($K155)),GETPIVOTDATA(IF($J155=1,"StdDev of ACTIVE     CED, FARM GATE (MJ/kg)","StdDev of CED, processor gate (MJ/kg)"),'Pivot Table_CED'!$A$3,"SUB TYPE",$B155))</f>
        <v>1.7780728376790285</v>
      </c>
      <c r="P155" s="152" t="str">
        <f>IF(ISERROR(GETPIVOTDATA(IF($J155=1,"Count of ACTIVE     GHGE, FARM GATE (kg CO2e/kg)","Count of GHGE, processor gate (kg CO2e/kg)"),'Pivot Table_GHG'!$A$3,"SUB TYPE",$B155)),"PROXY",IF(GETPIVOTDATA(IF($J155=1,"Count of ACTIVE     GHGE, FARM GATE (kg CO2e/kg)","Count of GHGE, processor gate (kg CO2e/kg)"),'Pivot Table_GHG'!$A$3,"SUB TYPE",$B155)=0,"PROXY","DB value"))</f>
        <v>PROXY</v>
      </c>
      <c r="Q155" s="141">
        <f ca="1">IF($P155="PROXY",DCOUNT('literature entries'!$D:$AI,IF($J155=1,"ACTIVE     GHGE, FARM GATE (kg CO2e/kg)","GHGE, processor gate (kg CO2e/kg)"),INDIRECT($K155)),GETPIVOTDATA(IF($J155=1,"ACTIVE     GHGE, FARM GATE (kg CO2e/kg)","Count of GHGE, processor gate (kg CO2e/kg)"),'Pivot Table_GHG'!$A$3,"SUB TYPE",$B155))</f>
        <v>59</v>
      </c>
      <c r="R155" s="221">
        <f ca="1">IF($P155="PROXY",DAVERAGE('literature entries'!$D:$AI,IF($J155=1,"ACTIVE     GHGE, FARM GATE (kg CO2e/kg)","GHGE, processor gate (kg CO2e/kg)"),INDIRECT($K155)),GETPIVOTDATA(IF($J155=1,"Average of ACTIVE     GHGE, FARM GATE (kg CO2e/kg)","Average of GHGE, processor gate (kg CO2e/kg)"),'Pivot Table_GHG'!$A$3,"SUB TYPE",$B155))</f>
        <v>0.25792391165713047</v>
      </c>
      <c r="S155" s="221">
        <f ca="1">IF($P155="PROXY",DSTDEV('literature entries'!$D:$AI,IF($J155=1,"ACTIVE     GHGE, FARM GATE (kg CO2e/kg)","GHGE, processor gate (kg CO2e/kg)"),INDIRECT($K155)),GETPIVOTDATA(IF($J155=1,"StdDev of ACTIVE     GHGE, FARM GATE (kg CO2e/kg)","StdDev of GHGE, processor gate (kg CO2e/kg)"),'Pivot Table_GHG'!$A$3,"SUB TYPE",$B155))</f>
        <v>0.22451998550634089</v>
      </c>
      <c r="T155" s="99">
        <v>5.282</v>
      </c>
      <c r="U155" s="100">
        <v>0.97907912607999992</v>
      </c>
      <c r="W155" s="248" t="str">
        <f t="shared" ca="1" si="22"/>
        <v>tree_fruit</v>
      </c>
      <c r="X155" s="246">
        <f ca="1">IF($W155="DIRECT",M155,DCOUNT('literature entries'!$D:$AI,IF($J155=1,"ACTIVE     CED, FARM GATE (MJ/kg)","CED, processor gate (MJ/kg)"),INDIRECT($W155)))</f>
        <v>30</v>
      </c>
      <c r="Y155" s="246">
        <f ca="1">IF($W155="DIRECT","",DAVERAGE('literature entries'!$D:$AI,IF($J155=1,"ACTIVE     CED, FARM GATE (MJ/kg)","CED, processor gate (MJ/kg)"),INDIRECT($W155)))</f>
        <v>2.0319666666666669</v>
      </c>
      <c r="Z155" s="246">
        <f ca="1">IF($W155="DIRECT",$O155,DSTDEV('literature entries'!$D:$AI,IF($J155=1,"ACTIVE     CED, FARM GATE (MJ/kg)","CED, processor gate (MJ/kg)"),INDIRECT($W155)))</f>
        <v>1.7780728376790285</v>
      </c>
      <c r="AA155" s="246">
        <f t="shared" ca="1" si="20"/>
        <v>1.7780728376790285</v>
      </c>
      <c r="AB155" s="254" t="str">
        <f t="shared" ca="1" si="24"/>
        <v>tree_fruit</v>
      </c>
      <c r="AC155" s="247">
        <f ca="1">IF($AB155="DIRECT",Q155,DCOUNT('literature entries'!$D:$AI,IF($J155=1,"ACTIVE     GHGE, FARM GATE (kg CO2e/kg)","GHGE, processor gate (kg CO2e/kg)"),INDIRECT($AB155)))</f>
        <v>59</v>
      </c>
      <c r="AD155" s="247">
        <f ca="1">IF($AB155="DIRECT","",DAVERAGE('literature entries'!$D:$AI,IF($J155=1,"ACTIVE     GHGE, FARM GATE (kg CO2e/kg)","GHGE, processor gate (kg CO2e/kg)"),INDIRECT($AB155)))</f>
        <v>0.25792391165713047</v>
      </c>
      <c r="AE155" s="247">
        <f ca="1">IF($AB155="DIRECT",$S155,DSTDEV('literature entries'!$D:$AI,IF($J155=1,"ACTIVE     GHGE, FARM GATE (kg CO2e/kg)","GHGE, processor gate (kg CO2e/kg)"),INDIRECT($AB155)))</f>
        <v>0.22451998550634089</v>
      </c>
      <c r="AF155" s="247">
        <f t="shared" ca="1" si="21"/>
        <v>0.22451998550634089</v>
      </c>
    </row>
    <row r="156" spans="1:32" s="21" customFormat="1" thickBot="1" x14ac:dyDescent="0.25">
      <c r="A156" s="129">
        <v>1301055000</v>
      </c>
      <c r="B156" s="130" t="s">
        <v>1833</v>
      </c>
      <c r="C156" s="131" t="s">
        <v>1834</v>
      </c>
      <c r="D156" s="131" t="s">
        <v>1835</v>
      </c>
      <c r="E156" s="131">
        <v>7185</v>
      </c>
      <c r="F156" s="126">
        <f t="shared" ca="1" si="16"/>
        <v>6.4746404823428074</v>
      </c>
      <c r="G156" s="127">
        <f t="shared" ca="1" si="17"/>
        <v>0.59900881127303396</v>
      </c>
      <c r="H156" s="132">
        <v>1.04</v>
      </c>
      <c r="I156" s="132" t="s">
        <v>2724</v>
      </c>
      <c r="J156" s="91">
        <v>1</v>
      </c>
      <c r="K156" s="90" t="s">
        <v>2453</v>
      </c>
      <c r="L156" s="152" t="str">
        <f>IF(ISERROR(GETPIVOTDATA(IF($J156=1,"Count of ACTIVE     CED, FARM GATE (MJ/kg)","Count of CED, processor gate (MJ/kg)"),'Pivot Table_CED'!$A$3,"SUB TYPE",$B156)),"PROXY",IF(GETPIVOTDATA(IF($J156=1,"Count of ACTIVE     CED, FARM GATE (MJ/kg)","Count of CED, processor gate (MJ/kg)"),'Pivot Table_CED'!$A$3,"SUB TYPE",$B156)=0,"PROXY","DB value"))</f>
        <v>PROXY</v>
      </c>
      <c r="M156" s="134">
        <f ca="1">IF($L156="PROXY",DCOUNT('literature entries'!$D:$AI,IF($J156=1,"ACTIVE     CED, FARM GATE (MJ/kg)","CED, processor gate (MJ/kg)"),INDIRECT($K156)),GETPIVOTDATA(IF($J156=1,"Count of ACTIVE     CED, FARM GATE (MJ/kg)","Count of CED, processor gate (MJ/kg)"),'Pivot Table_CED'!$A$3,"SUB TYPE",$B156))</f>
        <v>9</v>
      </c>
      <c r="N156" s="135">
        <f ca="1">IF($L156="PROXY",DAVERAGE('literature entries'!$D:$AI,IF($J156=1,"ACTIVE     CED, FARM GATE (MJ/kg)","CED, processor gate (MJ/kg)"),INDIRECT($K156)),GETPIVOTDATA(IF($J156=1,"Average of ACTIVE     CED, FARM GATE (MJ/kg)","Average of CED, processor gate (MJ/kg)"),'Pivot Table_CED'!$A$3,"SUB TYPE",$B156))</f>
        <v>6.2256158484065454</v>
      </c>
      <c r="O156" s="135">
        <f ca="1">IF($L156="PROXY",DSTDEV('literature entries'!D:AI,IF($J156=1,"ACTIVE     CED, FARM GATE (MJ/kg)","CED, processor gate (MJ/kg)"),INDIRECT($K156)),GETPIVOTDATA(IF($J156=1,"StdDev of ACTIVE     CED, FARM GATE (MJ/kg)","StdDev of CED, processor gate (MJ/kg)"),'Pivot Table_CED'!$A$3,"SUB TYPE",$B156))</f>
        <v>3.4581080763456375</v>
      </c>
      <c r="P156" s="152" t="str">
        <f>IF(ISERROR(GETPIVOTDATA(IF($J156=1,"Count of ACTIVE     GHGE, FARM GATE (kg CO2e/kg)","Count of GHGE, processor gate (kg CO2e/kg)"),'Pivot Table_GHG'!$A$3,"SUB TYPE",$B156)),"PROXY",IF(GETPIVOTDATA(IF($J156=1,"Count of ACTIVE     GHGE, FARM GATE (kg CO2e/kg)","Count of GHGE, processor gate (kg CO2e/kg)"),'Pivot Table_GHG'!$A$3,"SUB TYPE",$B156)=0,"PROXY","DB value"))</f>
        <v>PROXY</v>
      </c>
      <c r="Q156" s="141">
        <f ca="1">IF($P156="PROXY",DCOUNT('literature entries'!$D:$AI,IF($J156=1,"ACTIVE     GHGE, FARM GATE (kg CO2e/kg)","GHGE, processor gate (kg CO2e/kg)"),INDIRECT($K156)),GETPIVOTDATA(IF($J156=1,"ACTIVE     GHGE, FARM GATE (kg CO2e/kg)","Count of GHGE, processor gate (kg CO2e/kg)"),'Pivot Table_GHG'!$A$3,"SUB TYPE",$B156))</f>
        <v>19</v>
      </c>
      <c r="R156" s="221">
        <f ca="1">IF($P156="PROXY",DAVERAGE('literature entries'!$D:$AI,IF($J156=1,"ACTIVE     GHGE, FARM GATE (kg CO2e/kg)","GHGE, processor gate (kg CO2e/kg)"),INDIRECT($K156)),GETPIVOTDATA(IF($J156=1,"Average of ACTIVE     GHGE, FARM GATE (kg CO2e/kg)","Average of GHGE, processor gate (kg CO2e/kg)"),'Pivot Table_GHG'!$A$3,"SUB TYPE",$B156))</f>
        <v>0.57597001083945576</v>
      </c>
      <c r="S156" s="221">
        <f ca="1">IF($P156="PROXY",DSTDEV('literature entries'!$D:$AI,IF($J156=1,"ACTIVE     GHGE, FARM GATE (kg CO2e/kg)","GHGE, processor gate (kg CO2e/kg)"),INDIRECT($K156)),GETPIVOTDATA(IF($J156=1,"StdDev of ACTIVE     GHGE, FARM GATE (kg CO2e/kg)","StdDev of GHGE, processor gate (kg CO2e/kg)"),'Pivot Table_GHG'!$A$3,"SUB TYPE",$B156))</f>
        <v>0.40302432016659151</v>
      </c>
      <c r="T156" s="101"/>
      <c r="U156" s="102"/>
      <c r="W156" s="248" t="str">
        <f t="shared" ca="1" si="22"/>
        <v>berry</v>
      </c>
      <c r="X156" s="246">
        <f ca="1">IF($W156="DIRECT",M156,DCOUNT('literature entries'!$D:$AI,IF($J156=1,"ACTIVE     CED, FARM GATE (MJ/kg)","CED, processor gate (MJ/kg)"),INDIRECT($W156)))</f>
        <v>9</v>
      </c>
      <c r="Y156" s="246">
        <f ca="1">IF($W156="DIRECT","",DAVERAGE('literature entries'!$D:$AI,IF($J156=1,"ACTIVE     CED, FARM GATE (MJ/kg)","CED, processor gate (MJ/kg)"),INDIRECT($W156)))</f>
        <v>6.2256158484065454</v>
      </c>
      <c r="Z156" s="246">
        <f ca="1">IF($W156="DIRECT",$O156,DSTDEV('literature entries'!$D:$AI,IF($J156=1,"ACTIVE     CED, FARM GATE (MJ/kg)","CED, processor gate (MJ/kg)"),INDIRECT($W156)))</f>
        <v>3.4581080763456375</v>
      </c>
      <c r="AA156" s="246">
        <f t="shared" ca="1" si="20"/>
        <v>3.4581080763456375</v>
      </c>
      <c r="AB156" s="254" t="str">
        <f t="shared" ca="1" si="24"/>
        <v>berry</v>
      </c>
      <c r="AC156" s="247">
        <f ca="1">IF($AB156="DIRECT",Q156,DCOUNT('literature entries'!$D:$AI,IF($J156=1,"ACTIVE     GHGE, FARM GATE (kg CO2e/kg)","GHGE, processor gate (kg CO2e/kg)"),INDIRECT($AB156)))</f>
        <v>19</v>
      </c>
      <c r="AD156" s="247">
        <f ca="1">IF($AB156="DIRECT","",DAVERAGE('literature entries'!$D:$AI,IF($J156=1,"ACTIVE     GHGE, FARM GATE (kg CO2e/kg)","GHGE, processor gate (kg CO2e/kg)"),INDIRECT($AB156)))</f>
        <v>0.57597001083945576</v>
      </c>
      <c r="AE156" s="247">
        <f ca="1">IF($AB156="DIRECT",$S156,DSTDEV('literature entries'!$D:$AI,IF($J156=1,"ACTIVE     GHGE, FARM GATE (kg CO2e/kg)","GHGE, processor gate (kg CO2e/kg)"),INDIRECT($AB156)))</f>
        <v>0.40302432016659151</v>
      </c>
      <c r="AF156" s="247">
        <f t="shared" ca="1" si="21"/>
        <v>0.40302432016659151</v>
      </c>
    </row>
    <row r="157" spans="1:32" s="21" customFormat="1" thickBot="1" x14ac:dyDescent="0.25">
      <c r="A157" s="129">
        <v>1301056000</v>
      </c>
      <c r="B157" s="130" t="s">
        <v>1836</v>
      </c>
      <c r="C157" s="131" t="s">
        <v>1742</v>
      </c>
      <c r="D157" s="131" t="s">
        <v>1835</v>
      </c>
      <c r="E157" s="131">
        <v>10</v>
      </c>
      <c r="F157" s="126">
        <f t="shared" ca="1" si="16"/>
        <v>13.37530060292851</v>
      </c>
      <c r="G157" s="127">
        <f t="shared" ca="1" si="17"/>
        <v>1.7278401401712924</v>
      </c>
      <c r="H157" s="132">
        <v>1.3</v>
      </c>
      <c r="I157" s="132" t="s">
        <v>2724</v>
      </c>
      <c r="J157" s="91">
        <v>1</v>
      </c>
      <c r="K157" s="90" t="s">
        <v>2453</v>
      </c>
      <c r="L157" s="152" t="str">
        <f>IF(ISERROR(GETPIVOTDATA(IF($J157=1,"Count of ACTIVE     CED, FARM GATE (MJ/kg)","Count of CED, processor gate (MJ/kg)"),'Pivot Table_CED'!$A$3,"SUB TYPE",$B157)),"PROXY",IF(GETPIVOTDATA(IF($J157=1,"Count of ACTIVE     CED, FARM GATE (MJ/kg)","Count of CED, processor gate (MJ/kg)"),'Pivot Table_CED'!$A$3,"SUB TYPE",$B157)=0,"PROXY","DB value"))</f>
        <v>PROXY</v>
      </c>
      <c r="M157" s="134">
        <f ca="1">IF($L157="PROXY",DCOUNT('literature entries'!$D:$AI,IF($J157=1,"ACTIVE     CED, FARM GATE (MJ/kg)","CED, processor gate (MJ/kg)"),INDIRECT($K157)),GETPIVOTDATA(IF($J157=1,"Count of ACTIVE     CED, FARM GATE (MJ/kg)","Count of CED, processor gate (MJ/kg)"),'Pivot Table_CED'!$A$3,"SUB TYPE",$B157))</f>
        <v>9</v>
      </c>
      <c r="N157" s="135">
        <f ca="1">IF($L157="PROXY",DAVERAGE('literature entries'!$D:$AI,IF($J157=1,"ACTIVE     CED, FARM GATE (MJ/kg)","CED, processor gate (MJ/kg)"),INDIRECT($K157)),GETPIVOTDATA(IF($J157=1,"Average of ACTIVE     CED, FARM GATE (MJ/kg)","Average of CED, processor gate (MJ/kg)"),'Pivot Table_CED'!$A$3,"SUB TYPE",$B157))</f>
        <v>6.2256158484065454</v>
      </c>
      <c r="O157" s="135">
        <f ca="1">IF($L157="PROXY",DSTDEV('literature entries'!D:AI,IF($J157=1,"ACTIVE     CED, FARM GATE (MJ/kg)","CED, processor gate (MJ/kg)"),INDIRECT($K157)),GETPIVOTDATA(IF($J157=1,"StdDev of ACTIVE     CED, FARM GATE (MJ/kg)","StdDev of CED, processor gate (MJ/kg)"),'Pivot Table_CED'!$A$3,"SUB TYPE",$B157))</f>
        <v>3.4581080763456375</v>
      </c>
      <c r="P157" s="152" t="str">
        <f>IF(ISERROR(GETPIVOTDATA(IF($J157=1,"Count of ACTIVE     GHGE, FARM GATE (kg CO2e/kg)","Count of GHGE, processor gate (kg CO2e/kg)"),'Pivot Table_GHG'!$A$3,"SUB TYPE",$B157)),"PROXY",IF(GETPIVOTDATA(IF($J157=1,"Count of ACTIVE     GHGE, FARM GATE (kg CO2e/kg)","Count of GHGE, processor gate (kg CO2e/kg)"),'Pivot Table_GHG'!$A$3,"SUB TYPE",$B157)=0,"PROXY","DB value"))</f>
        <v>PROXY</v>
      </c>
      <c r="Q157" s="141">
        <f ca="1">IF($P157="PROXY",DCOUNT('literature entries'!$D:$AI,IF($J157=1,"ACTIVE     GHGE, FARM GATE (kg CO2e/kg)","GHGE, processor gate (kg CO2e/kg)"),INDIRECT($K157)),GETPIVOTDATA(IF($J157=1,"ACTIVE     GHGE, FARM GATE (kg CO2e/kg)","Count of GHGE, processor gate (kg CO2e/kg)"),'Pivot Table_GHG'!$A$3,"SUB TYPE",$B157))</f>
        <v>19</v>
      </c>
      <c r="R157" s="221">
        <f ca="1">IF($P157="PROXY",DAVERAGE('literature entries'!$D:$AI,IF($J157=1,"ACTIVE     GHGE, FARM GATE (kg CO2e/kg)","GHGE, processor gate (kg CO2e/kg)"),INDIRECT($K157)),GETPIVOTDATA(IF($J157=1,"Average of ACTIVE     GHGE, FARM GATE (kg CO2e/kg)","Average of GHGE, processor gate (kg CO2e/kg)"),'Pivot Table_GHG'!$A$3,"SUB TYPE",$B157))</f>
        <v>0.57597001083945576</v>
      </c>
      <c r="S157" s="221">
        <f ca="1">IF($P157="PROXY",DSTDEV('literature entries'!$D:$AI,IF($J157=1,"ACTIVE     GHGE, FARM GATE (kg CO2e/kg)","GHGE, processor gate (kg CO2e/kg)"),INDIRECT($K157)),GETPIVOTDATA(IF($J157=1,"StdDev of ACTIVE     GHGE, FARM GATE (kg CO2e/kg)","StdDev of GHGE, processor gate (kg CO2e/kg)"),'Pivot Table_GHG'!$A$3,"SUB TYPE",$B157))</f>
        <v>0.40302432016659151</v>
      </c>
      <c r="T157" s="99">
        <v>5.282</v>
      </c>
      <c r="U157" s="100">
        <v>0.97907912607999992</v>
      </c>
      <c r="W157" s="248" t="str">
        <f t="shared" ca="1" si="22"/>
        <v>berry</v>
      </c>
      <c r="X157" s="246">
        <f ca="1">IF($W157="DIRECT",M157,DCOUNT('literature entries'!$D:$AI,IF($J157=1,"ACTIVE     CED, FARM GATE (MJ/kg)","CED, processor gate (MJ/kg)"),INDIRECT($W157)))</f>
        <v>9</v>
      </c>
      <c r="Y157" s="246">
        <f ca="1">IF($W157="DIRECT","",DAVERAGE('literature entries'!$D:$AI,IF($J157=1,"ACTIVE     CED, FARM GATE (MJ/kg)","CED, processor gate (MJ/kg)"),INDIRECT($W157)))</f>
        <v>6.2256158484065454</v>
      </c>
      <c r="Z157" s="246">
        <f ca="1">IF($W157="DIRECT",$O157,DSTDEV('literature entries'!$D:$AI,IF($J157=1,"ACTIVE     CED, FARM GATE (MJ/kg)","CED, processor gate (MJ/kg)"),INDIRECT($W157)))</f>
        <v>3.4581080763456375</v>
      </c>
      <c r="AA157" s="246">
        <f t="shared" ca="1" si="20"/>
        <v>3.4581080763456375</v>
      </c>
      <c r="AB157" s="254" t="str">
        <f t="shared" ca="1" si="24"/>
        <v>berry</v>
      </c>
      <c r="AC157" s="247">
        <f ca="1">IF($AB157="DIRECT",Q157,DCOUNT('literature entries'!$D:$AI,IF($J157=1,"ACTIVE     GHGE, FARM GATE (kg CO2e/kg)","GHGE, processor gate (kg CO2e/kg)"),INDIRECT($AB157)))</f>
        <v>19</v>
      </c>
      <c r="AD157" s="247">
        <f ca="1">IF($AB157="DIRECT","",DAVERAGE('literature entries'!$D:$AI,IF($J157=1,"ACTIVE     GHGE, FARM GATE (kg CO2e/kg)","GHGE, processor gate (kg CO2e/kg)"),INDIRECT($AB157)))</f>
        <v>0.57597001083945576</v>
      </c>
      <c r="AE157" s="247">
        <f ca="1">IF($AB157="DIRECT",$S157,DSTDEV('literature entries'!$D:$AI,IF($J157=1,"ACTIVE     GHGE, FARM GATE (kg CO2e/kg)","GHGE, processor gate (kg CO2e/kg)"),INDIRECT($AB157)))</f>
        <v>0.40302432016659151</v>
      </c>
      <c r="AF157" s="247">
        <f t="shared" ca="1" si="21"/>
        <v>0.40302432016659151</v>
      </c>
    </row>
    <row r="158" spans="1:32" s="21" customFormat="1" thickBot="1" x14ac:dyDescent="0.25">
      <c r="A158" s="129">
        <v>1301058000</v>
      </c>
      <c r="B158" s="130" t="s">
        <v>1839</v>
      </c>
      <c r="C158" s="131" t="s">
        <v>1834</v>
      </c>
      <c r="D158" s="131"/>
      <c r="E158" s="131">
        <v>6145</v>
      </c>
      <c r="F158" s="126">
        <f t="shared" ca="1" si="16"/>
        <v>6.4746404823428074</v>
      </c>
      <c r="G158" s="127">
        <f t="shared" ca="1" si="17"/>
        <v>0.59900881127303396</v>
      </c>
      <c r="H158" s="132">
        <v>1.04</v>
      </c>
      <c r="I158" s="132" t="s">
        <v>2724</v>
      </c>
      <c r="J158" s="91">
        <v>1</v>
      </c>
      <c r="K158" s="90" t="s">
        <v>2453</v>
      </c>
      <c r="L158" s="152" t="str">
        <f>IF(ISERROR(GETPIVOTDATA(IF($J158=1,"Count of ACTIVE     CED, FARM GATE (MJ/kg)","Count of CED, processor gate (MJ/kg)"),'Pivot Table_CED'!$A$3,"SUB TYPE",$B158)),"PROXY",IF(GETPIVOTDATA(IF($J158=1,"Count of ACTIVE     CED, FARM GATE (MJ/kg)","Count of CED, processor gate (MJ/kg)"),'Pivot Table_CED'!$A$3,"SUB TYPE",$B158)=0,"PROXY","DB value"))</f>
        <v>PROXY</v>
      </c>
      <c r="M158" s="134">
        <f ca="1">IF($L158="PROXY",DCOUNT('literature entries'!$D:$AI,IF($J158=1,"ACTIVE     CED, FARM GATE (MJ/kg)","CED, processor gate (MJ/kg)"),INDIRECT($K158)),GETPIVOTDATA(IF($J158=1,"Count of ACTIVE     CED, FARM GATE (MJ/kg)","Count of CED, processor gate (MJ/kg)"),'Pivot Table_CED'!$A$3,"SUB TYPE",$B158))</f>
        <v>9</v>
      </c>
      <c r="N158" s="135">
        <f ca="1">IF($L158="PROXY",DAVERAGE('literature entries'!$D:$AI,IF($J158=1,"ACTIVE     CED, FARM GATE (MJ/kg)","CED, processor gate (MJ/kg)"),INDIRECT($K158)),GETPIVOTDATA(IF($J158=1,"Average of ACTIVE     CED, FARM GATE (MJ/kg)","Average of CED, processor gate (MJ/kg)"),'Pivot Table_CED'!$A$3,"SUB TYPE",$B158))</f>
        <v>6.2256158484065454</v>
      </c>
      <c r="O158" s="135">
        <f ca="1">IF($L158="PROXY",DSTDEV('literature entries'!D:AI,IF($J158=1,"ACTIVE     CED, FARM GATE (MJ/kg)","CED, processor gate (MJ/kg)"),INDIRECT($K158)),GETPIVOTDATA(IF($J158=1,"StdDev of ACTIVE     CED, FARM GATE (MJ/kg)","StdDev of CED, processor gate (MJ/kg)"),'Pivot Table_CED'!$A$3,"SUB TYPE",$B158))</f>
        <v>3.4581080763456375</v>
      </c>
      <c r="P158" s="152" t="str">
        <f>IF(ISERROR(GETPIVOTDATA(IF($J158=1,"Count of ACTIVE     GHGE, FARM GATE (kg CO2e/kg)","Count of GHGE, processor gate (kg CO2e/kg)"),'Pivot Table_GHG'!$A$3,"SUB TYPE",$B158)),"PROXY",IF(GETPIVOTDATA(IF($J158=1,"Count of ACTIVE     GHGE, FARM GATE (kg CO2e/kg)","Count of GHGE, processor gate (kg CO2e/kg)"),'Pivot Table_GHG'!$A$3,"SUB TYPE",$B158)=0,"PROXY","DB value"))</f>
        <v>PROXY</v>
      </c>
      <c r="Q158" s="141">
        <f ca="1">IF($P158="PROXY",DCOUNT('literature entries'!$D:$AI,IF($J158=1,"ACTIVE     GHGE, FARM GATE (kg CO2e/kg)","GHGE, processor gate (kg CO2e/kg)"),INDIRECT($K158)),GETPIVOTDATA(IF($J158=1,"ACTIVE     GHGE, FARM GATE (kg CO2e/kg)","Count of GHGE, processor gate (kg CO2e/kg)"),'Pivot Table_GHG'!$A$3,"SUB TYPE",$B158))</f>
        <v>19</v>
      </c>
      <c r="R158" s="221">
        <f ca="1">IF($P158="PROXY",DAVERAGE('literature entries'!$D:$AI,IF($J158=1,"ACTIVE     GHGE, FARM GATE (kg CO2e/kg)","GHGE, processor gate (kg CO2e/kg)"),INDIRECT($K158)),GETPIVOTDATA(IF($J158=1,"Average of ACTIVE     GHGE, FARM GATE (kg CO2e/kg)","Average of GHGE, processor gate (kg CO2e/kg)"),'Pivot Table_GHG'!$A$3,"SUB TYPE",$B158))</f>
        <v>0.57597001083945576</v>
      </c>
      <c r="S158" s="221">
        <f ca="1">IF($P158="PROXY",DSTDEV('literature entries'!$D:$AI,IF($J158=1,"ACTIVE     GHGE, FARM GATE (kg CO2e/kg)","GHGE, processor gate (kg CO2e/kg)"),INDIRECT($K158)),GETPIVOTDATA(IF($J158=1,"StdDev of ACTIVE     GHGE, FARM GATE (kg CO2e/kg)","StdDev of GHGE, processor gate (kg CO2e/kg)"),'Pivot Table_GHG'!$A$3,"SUB TYPE",$B158))</f>
        <v>0.40302432016659151</v>
      </c>
      <c r="T158" s="101"/>
      <c r="U158" s="102"/>
      <c r="W158" s="248" t="str">
        <f t="shared" ca="1" si="22"/>
        <v>berry</v>
      </c>
      <c r="X158" s="246">
        <f ca="1">IF($W158="DIRECT",M158,DCOUNT('literature entries'!$D:$AI,IF($J158=1,"ACTIVE     CED, FARM GATE (MJ/kg)","CED, processor gate (MJ/kg)"),INDIRECT($W158)))</f>
        <v>9</v>
      </c>
      <c r="Y158" s="246">
        <f ca="1">IF($W158="DIRECT","",DAVERAGE('literature entries'!$D:$AI,IF($J158=1,"ACTIVE     CED, FARM GATE (MJ/kg)","CED, processor gate (MJ/kg)"),INDIRECT($W158)))</f>
        <v>6.2256158484065454</v>
      </c>
      <c r="Z158" s="246">
        <f ca="1">IF($W158="DIRECT",$O158,DSTDEV('literature entries'!$D:$AI,IF($J158=1,"ACTIVE     CED, FARM GATE (MJ/kg)","CED, processor gate (MJ/kg)"),INDIRECT($W158)))</f>
        <v>3.4581080763456375</v>
      </c>
      <c r="AA158" s="246">
        <f t="shared" ca="1" si="20"/>
        <v>3.4581080763456375</v>
      </c>
      <c r="AB158" s="254" t="str">
        <f t="shared" ca="1" si="24"/>
        <v>berry</v>
      </c>
      <c r="AC158" s="247">
        <f ca="1">IF($AB158="DIRECT",Q158,DCOUNT('literature entries'!$D:$AI,IF($J158=1,"ACTIVE     GHGE, FARM GATE (kg CO2e/kg)","GHGE, processor gate (kg CO2e/kg)"),INDIRECT($AB158)))</f>
        <v>19</v>
      </c>
      <c r="AD158" s="247">
        <f ca="1">IF($AB158="DIRECT","",DAVERAGE('literature entries'!$D:$AI,IF($J158=1,"ACTIVE     GHGE, FARM GATE (kg CO2e/kg)","GHGE, processor gate (kg CO2e/kg)"),INDIRECT($AB158)))</f>
        <v>0.57597001083945576</v>
      </c>
      <c r="AE158" s="247">
        <f ca="1">IF($AB158="DIRECT",$S158,DSTDEV('literature entries'!$D:$AI,IF($J158=1,"ACTIVE     GHGE, FARM GATE (kg CO2e/kg)","GHGE, processor gate (kg CO2e/kg)"),INDIRECT($AB158)))</f>
        <v>0.40302432016659151</v>
      </c>
      <c r="AF158" s="247">
        <f t="shared" ca="1" si="21"/>
        <v>0.40302432016659151</v>
      </c>
    </row>
    <row r="159" spans="1:32" s="21" customFormat="1" thickBot="1" x14ac:dyDescent="0.25">
      <c r="A159" s="129">
        <v>1301320000</v>
      </c>
      <c r="B159" s="130" t="s">
        <v>2230</v>
      </c>
      <c r="C159" s="131" t="s">
        <v>1834</v>
      </c>
      <c r="D159" s="131" t="s">
        <v>2231</v>
      </c>
      <c r="E159" s="131">
        <v>11006</v>
      </c>
      <c r="F159" s="126">
        <f t="shared" ca="1" si="16"/>
        <v>5.3275088372093027</v>
      </c>
      <c r="G159" s="127">
        <f t="shared" ca="1" si="17"/>
        <v>0.23657739130434774</v>
      </c>
      <c r="H159" s="132">
        <v>1.04</v>
      </c>
      <c r="I159" s="132" t="s">
        <v>2724</v>
      </c>
      <c r="J159" s="91">
        <v>1</v>
      </c>
      <c r="K159" s="90"/>
      <c r="L159" s="152" t="str">
        <f>IF(ISERROR(GETPIVOTDATA(IF($J159=1,"Count of ACTIVE     CED, FARM GATE (MJ/kg)","Count of CED, processor gate (MJ/kg)"),'Pivot Table_CED'!$A$3,"SUB TYPE",$B159)),"PROXY",IF(GETPIVOTDATA(IF($J159=1,"Count of ACTIVE     CED, FARM GATE (MJ/kg)","Count of CED, processor gate (MJ/kg)"),'Pivot Table_CED'!$A$3,"SUB TYPE",$B159)=0,"PROXY","DB value"))</f>
        <v>DB value</v>
      </c>
      <c r="M159" s="134">
        <f ca="1">IF($L159="PROXY",DCOUNT('literature entries'!$D:$AI,IF($J159=1,"ACTIVE     CED, FARM GATE (MJ/kg)","CED, processor gate (MJ/kg)"),INDIRECT($K159)),GETPIVOTDATA(IF($J159=1,"Count of ACTIVE     CED, FARM GATE (MJ/kg)","Count of CED, processor gate (MJ/kg)"),'Pivot Table_CED'!$A$3,"SUB TYPE",$B159))</f>
        <v>2</v>
      </c>
      <c r="N159" s="135">
        <f ca="1">IF($L159="PROXY",DAVERAGE('literature entries'!$D:$AI,IF($J159=1,"ACTIVE     CED, FARM GATE (MJ/kg)","CED, processor gate (MJ/kg)"),INDIRECT($K159)),GETPIVOTDATA(IF($J159=1,"Average of ACTIVE     CED, FARM GATE (MJ/kg)","Average of CED, processor gate (MJ/kg)"),'Pivot Table_CED'!$A$3,"SUB TYPE",$B159))</f>
        <v>5.1226046511627912</v>
      </c>
      <c r="O159" s="135">
        <f ca="1">IF($L159="PROXY",DSTDEV('literature entries'!D:AI,IF($J159=1,"ACTIVE     CED, FARM GATE (MJ/kg)","CED, processor gate (MJ/kg)"),INDIRECT($K159)),GETPIVOTDATA(IF($J159=1,"StdDev of ACTIVE     CED, FARM GATE (MJ/kg)","StdDev of CED, processor gate (MJ/kg)"),'Pivot Table_CED'!$A$3,"SUB TYPE",$B159))</f>
        <v>1.8025631843382495</v>
      </c>
      <c r="P159" s="152" t="str">
        <f>IF(ISERROR(GETPIVOTDATA(IF($J159=1,"Count of ACTIVE     GHGE, FARM GATE (kg CO2e/kg)","Count of GHGE, processor gate (kg CO2e/kg)"),'Pivot Table_GHG'!$A$3,"SUB TYPE",$B159)),"PROXY",IF(GETPIVOTDATA(IF($J159=1,"Count of ACTIVE     GHGE, FARM GATE (kg CO2e/kg)","Count of GHGE, processor gate (kg CO2e/kg)"),'Pivot Table_GHG'!$A$3,"SUB TYPE",$B159)=0,"PROXY","DB value"))</f>
        <v>DB value</v>
      </c>
      <c r="Q159" s="141">
        <f ca="1">IF($P159="PROXY",DCOUNT('literature entries'!$D:$AI,IF($J159=1,"ACTIVE     GHGE, FARM GATE (kg CO2e/kg)","GHGE, processor gate (kg CO2e/kg)"),INDIRECT($K159)),GETPIVOTDATA(IF($J159=1,"ACTIVE     GHGE, FARM GATE (kg CO2e/kg)","Count of GHGE, processor gate (kg CO2e/kg)"),'Pivot Table_GHG'!$A$3,"SUB TYPE",$B159))</f>
        <v>2</v>
      </c>
      <c r="R159" s="221">
        <f ca="1">IF($P159="PROXY",DAVERAGE('literature entries'!$D:$AI,IF($J159=1,"ACTIVE     GHGE, FARM GATE (kg CO2e/kg)","GHGE, processor gate (kg CO2e/kg)"),INDIRECT($K159)),GETPIVOTDATA(IF($J159=1,"Average of ACTIVE     GHGE, FARM GATE (kg CO2e/kg)","Average of GHGE, processor gate (kg CO2e/kg)"),'Pivot Table_GHG'!$A$3,"SUB TYPE",$B159))</f>
        <v>0.22747826086956513</v>
      </c>
      <c r="S159" s="221">
        <f ca="1">IF($P159="PROXY",DSTDEV('literature entries'!$D:$AI,IF($J159=1,"ACTIVE     GHGE, FARM GATE (kg CO2e/kg)","GHGE, processor gate (kg CO2e/kg)"),INDIRECT($K159)),GETPIVOTDATA(IF($J159=1,"StdDev of ACTIVE     GHGE, FARM GATE (kg CO2e/kg)","StdDev of GHGE, processor gate (kg CO2e/kg)"),'Pivot Table_GHG'!$A$3,"SUB TYPE",$B159))</f>
        <v>5.0173837691149539E-2</v>
      </c>
      <c r="T159" s="101"/>
      <c r="U159" s="102"/>
      <c r="W159" s="248" t="s">
        <v>2453</v>
      </c>
      <c r="X159" s="246">
        <f ca="1">IF($W159="DIRECT",M159,DCOUNT('literature entries'!$D:$AI,IF($J159=1,"ACTIVE     CED, FARM GATE (MJ/kg)","CED, processor gate (MJ/kg)"),INDIRECT($W159)))</f>
        <v>9</v>
      </c>
      <c r="Y159" s="246">
        <f ca="1">IF($W159="DIRECT","",DAVERAGE('literature entries'!$D:$AI,IF($J159=1,"ACTIVE     CED, FARM GATE (MJ/kg)","CED, processor gate (MJ/kg)"),INDIRECT($W159)))</f>
        <v>6.2256158484065454</v>
      </c>
      <c r="Z159" s="246">
        <f ca="1">IF($W159="DIRECT",$O159,DSTDEV('literature entries'!$D:$AI,IF($J159=1,"ACTIVE     CED, FARM GATE (MJ/kg)","CED, processor gate (MJ/kg)"),INDIRECT($W159)))</f>
        <v>3.4581080763456375</v>
      </c>
      <c r="AA159" s="246">
        <f t="shared" ca="1" si="20"/>
        <v>2.845424604964315</v>
      </c>
      <c r="AB159" s="254" t="s">
        <v>2453</v>
      </c>
      <c r="AC159" s="247">
        <f ca="1">IF($AB159="DIRECT",Q159,DCOUNT('literature entries'!$D:$AI,IF($J159=1,"ACTIVE     GHGE, FARM GATE (kg CO2e/kg)","GHGE, processor gate (kg CO2e/kg)"),INDIRECT($AB159)))</f>
        <v>19</v>
      </c>
      <c r="AD159" s="247">
        <f ca="1">IF($AB159="DIRECT","",DAVERAGE('literature entries'!$D:$AI,IF($J159=1,"ACTIVE     GHGE, FARM GATE (kg CO2e/kg)","GHGE, processor gate (kg CO2e/kg)"),INDIRECT($AB159)))</f>
        <v>0.57597001083945576</v>
      </c>
      <c r="AE159" s="247">
        <f ca="1">IF($AB159="DIRECT",$S159,DSTDEV('literature entries'!$D:$AI,IF($J159=1,"ACTIVE     GHGE, FARM GATE (kg CO2e/kg)","GHGE, processor gate (kg CO2e/kg)"),INDIRECT($AB159)))</f>
        <v>0.40302432016659151</v>
      </c>
      <c r="AF159" s="247">
        <f t="shared" ca="1" si="21"/>
        <v>0.15917368910581953</v>
      </c>
    </row>
    <row r="160" spans="1:32" s="21" customFormat="1" ht="17" thickBot="1" x14ac:dyDescent="0.25">
      <c r="A160" s="129">
        <v>1301321000</v>
      </c>
      <c r="B160" s="130" t="s">
        <v>2232</v>
      </c>
      <c r="C160" s="131" t="s">
        <v>1742</v>
      </c>
      <c r="D160" s="131" t="s">
        <v>2231</v>
      </c>
      <c r="E160" s="131">
        <v>6120</v>
      </c>
      <c r="F160" s="126">
        <f t="shared" ca="1" si="16"/>
        <v>11.507615848406545</v>
      </c>
      <c r="G160" s="127">
        <f t="shared" ca="1" si="17"/>
        <v>1.5550491369194557</v>
      </c>
      <c r="H160" s="132">
        <v>1</v>
      </c>
      <c r="I160" s="133" t="s">
        <v>594</v>
      </c>
      <c r="J160" s="91">
        <v>1</v>
      </c>
      <c r="K160" s="90" t="s">
        <v>2453</v>
      </c>
      <c r="L160" s="152" t="str">
        <f>IF(ISERROR(GETPIVOTDATA(IF($J160=1,"Count of ACTIVE     CED, FARM GATE (MJ/kg)","Count of CED, processor gate (MJ/kg)"),'Pivot Table_CED'!$A$3,"SUB TYPE",$B160)),"PROXY",IF(GETPIVOTDATA(IF($J160=1,"Count of ACTIVE     CED, FARM GATE (MJ/kg)","Count of CED, processor gate (MJ/kg)"),'Pivot Table_CED'!$A$3,"SUB TYPE",$B160)=0,"PROXY","DB value"))</f>
        <v>PROXY</v>
      </c>
      <c r="M160" s="134">
        <f ca="1">IF($L160="PROXY",DCOUNT('literature entries'!$D:$AI,IF($J160=1,"ACTIVE     CED, FARM GATE (MJ/kg)","CED, processor gate (MJ/kg)"),INDIRECT($K160)),GETPIVOTDATA(IF($J160=1,"Count of ACTIVE     CED, FARM GATE (MJ/kg)","Count of CED, processor gate (MJ/kg)"),'Pivot Table_CED'!$A$3,"SUB TYPE",$B160))</f>
        <v>9</v>
      </c>
      <c r="N160" s="135">
        <f ca="1">IF($L160="PROXY",DAVERAGE('literature entries'!$D:$AI,IF($J160=1,"ACTIVE     CED, FARM GATE (MJ/kg)","CED, processor gate (MJ/kg)"),INDIRECT($K160)),GETPIVOTDATA(IF($J160=1,"Average of ACTIVE     CED, FARM GATE (MJ/kg)","Average of CED, processor gate (MJ/kg)"),'Pivot Table_CED'!$A$3,"SUB TYPE",$B160))</f>
        <v>6.2256158484065454</v>
      </c>
      <c r="O160" s="135">
        <f ca="1">IF($L160="PROXY",DSTDEV('literature entries'!D:AI,IF($J160=1,"ACTIVE     CED, FARM GATE (MJ/kg)","CED, processor gate (MJ/kg)"),INDIRECT($K160)),GETPIVOTDATA(IF($J160=1,"StdDev of ACTIVE     CED, FARM GATE (MJ/kg)","StdDev of CED, processor gate (MJ/kg)"),'Pivot Table_CED'!$A$3,"SUB TYPE",$B160))</f>
        <v>3.4581080763456375</v>
      </c>
      <c r="P160" s="152" t="str">
        <f>IF(ISERROR(GETPIVOTDATA(IF($J160=1,"Count of ACTIVE     GHGE, FARM GATE (kg CO2e/kg)","Count of GHGE, processor gate (kg CO2e/kg)"),'Pivot Table_GHG'!$A$3,"SUB TYPE",$B160)),"PROXY",IF(GETPIVOTDATA(IF($J160=1,"Count of ACTIVE     GHGE, FARM GATE (kg CO2e/kg)","Count of GHGE, processor gate (kg CO2e/kg)"),'Pivot Table_GHG'!$A$3,"SUB TYPE",$B160)=0,"PROXY","DB value"))</f>
        <v>PROXY</v>
      </c>
      <c r="Q160" s="141">
        <f ca="1">IF($P160="PROXY",DCOUNT('literature entries'!$D:$AI,IF($J160=1,"ACTIVE     GHGE, FARM GATE (kg CO2e/kg)","GHGE, processor gate (kg CO2e/kg)"),INDIRECT($K160)),GETPIVOTDATA(IF($J160=1,"ACTIVE     GHGE, FARM GATE (kg CO2e/kg)","Count of GHGE, processor gate (kg CO2e/kg)"),'Pivot Table_GHG'!$A$3,"SUB TYPE",$B160))</f>
        <v>19</v>
      </c>
      <c r="R160" s="221">
        <f ca="1">IF($P160="PROXY",DAVERAGE('literature entries'!$D:$AI,IF($J160=1,"ACTIVE     GHGE, FARM GATE (kg CO2e/kg)","GHGE, processor gate (kg CO2e/kg)"),INDIRECT($K160)),GETPIVOTDATA(IF($J160=1,"Average of ACTIVE     GHGE, FARM GATE (kg CO2e/kg)","Average of GHGE, processor gate (kg CO2e/kg)"),'Pivot Table_GHG'!$A$3,"SUB TYPE",$B160))</f>
        <v>0.57597001083945576</v>
      </c>
      <c r="S160" s="221">
        <f ca="1">IF($P160="PROXY",DSTDEV('literature entries'!$D:$AI,IF($J160=1,"ACTIVE     GHGE, FARM GATE (kg CO2e/kg)","GHGE, processor gate (kg CO2e/kg)"),INDIRECT($K160)),GETPIVOTDATA(IF($J160=1,"StdDev of ACTIVE     GHGE, FARM GATE (kg CO2e/kg)","StdDev of GHGE, processor gate (kg CO2e/kg)"),'Pivot Table_GHG'!$A$3,"SUB TYPE",$B160))</f>
        <v>0.40302432016659151</v>
      </c>
      <c r="T160" s="99">
        <v>5.282</v>
      </c>
      <c r="U160" s="100">
        <v>0.97907912607999992</v>
      </c>
      <c r="W160" s="248" t="str">
        <f ca="1">IF(L160="PROXY",IF(M160&gt;=5,K160,"need group"),IF(M160&gt;=5,"DIRECT","need group"))</f>
        <v>berry</v>
      </c>
      <c r="X160" s="246">
        <f ca="1">IF($W160="DIRECT",M160,DCOUNT('literature entries'!$D:$AI,IF($J160=1,"ACTIVE     CED, FARM GATE (MJ/kg)","CED, processor gate (MJ/kg)"),INDIRECT($W160)))</f>
        <v>9</v>
      </c>
      <c r="Y160" s="246">
        <f ca="1">IF($W160="DIRECT","",DAVERAGE('literature entries'!$D:$AI,IF($J160=1,"ACTIVE     CED, FARM GATE (MJ/kg)","CED, processor gate (MJ/kg)"),INDIRECT($W160)))</f>
        <v>6.2256158484065454</v>
      </c>
      <c r="Z160" s="246">
        <f ca="1">IF($W160="DIRECT",$O160,DSTDEV('literature entries'!$D:$AI,IF($J160=1,"ACTIVE     CED, FARM GATE (MJ/kg)","CED, processor gate (MJ/kg)"),INDIRECT($W160)))</f>
        <v>3.4581080763456375</v>
      </c>
      <c r="AA160" s="246">
        <f t="shared" ca="1" si="20"/>
        <v>3.4581080763456375</v>
      </c>
      <c r="AB160" s="254" t="str">
        <f ca="1">IF(P160="PROXY",IF(Q160&gt;=5,K160,"need group"),IF(Q160&gt;=5,"DIRECT","need group"))</f>
        <v>berry</v>
      </c>
      <c r="AC160" s="247">
        <f ca="1">IF($AB160="DIRECT",Q160,DCOUNT('literature entries'!$D:$AI,IF($J160=1,"ACTIVE     GHGE, FARM GATE (kg CO2e/kg)","GHGE, processor gate (kg CO2e/kg)"),INDIRECT($AB160)))</f>
        <v>19</v>
      </c>
      <c r="AD160" s="247">
        <f ca="1">IF($AB160="DIRECT","",DAVERAGE('literature entries'!$D:$AI,IF($J160=1,"ACTIVE     GHGE, FARM GATE (kg CO2e/kg)","GHGE, processor gate (kg CO2e/kg)"),INDIRECT($AB160)))</f>
        <v>0.57597001083945576</v>
      </c>
      <c r="AE160" s="247">
        <f ca="1">IF($AB160="DIRECT",$S160,DSTDEV('literature entries'!$D:$AI,IF($J160=1,"ACTIVE     GHGE, FARM GATE (kg CO2e/kg)","GHGE, processor gate (kg CO2e/kg)"),INDIRECT($AB160)))</f>
        <v>0.40302432016659151</v>
      </c>
      <c r="AF160" s="247">
        <f t="shared" ca="1" si="21"/>
        <v>0.40302432016659151</v>
      </c>
    </row>
    <row r="161" spans="1:32" s="21" customFormat="1" thickBot="1" x14ac:dyDescent="0.25">
      <c r="A161" s="129">
        <v>1302057000</v>
      </c>
      <c r="B161" s="130" t="s">
        <v>1837</v>
      </c>
      <c r="C161" s="131" t="s">
        <v>1834</v>
      </c>
      <c r="D161" s="131" t="s">
        <v>1838</v>
      </c>
      <c r="E161" s="131">
        <v>16469</v>
      </c>
      <c r="F161" s="126">
        <f t="shared" ca="1" si="16"/>
        <v>3.5098000000000007</v>
      </c>
      <c r="G161" s="127">
        <f t="shared" ca="1" si="17"/>
        <v>0.49598684210526323</v>
      </c>
      <c r="H161" s="132">
        <v>1.05</v>
      </c>
      <c r="I161" s="132" t="s">
        <v>2724</v>
      </c>
      <c r="J161" s="91">
        <v>1</v>
      </c>
      <c r="K161" s="90"/>
      <c r="L161" s="152" t="str">
        <f>IF(ISERROR(GETPIVOTDATA(IF($J161=1,"Count of ACTIVE     CED, FARM GATE (MJ/kg)","Count of CED, processor gate (MJ/kg)"),'Pivot Table_CED'!$A$3,"SUB TYPE",$B161)),"PROXY",IF(GETPIVOTDATA(IF($J161=1,"Count of ACTIVE     CED, FARM GATE (MJ/kg)","Count of CED, processor gate (MJ/kg)"),'Pivot Table_CED'!$A$3,"SUB TYPE",$B161)=0,"PROXY","DB value"))</f>
        <v>DB value</v>
      </c>
      <c r="M161" s="134">
        <f ca="1">IF($L161="PROXY",DCOUNT('literature entries'!$D:$AI,IF($J161=1,"ACTIVE     CED, FARM GATE (MJ/kg)","CED, processor gate (MJ/kg)"),INDIRECT($K161)),GETPIVOTDATA(IF($J161=1,"Count of ACTIVE     CED, FARM GATE (MJ/kg)","Count of CED, processor gate (MJ/kg)"),'Pivot Table_CED'!$A$3,"SUB TYPE",$B161))</f>
        <v>2</v>
      </c>
      <c r="N161" s="135">
        <f ca="1">IF($L161="PROXY",DAVERAGE('literature entries'!$D:$AI,IF($J161=1,"ACTIVE     CED, FARM GATE (MJ/kg)","CED, processor gate (MJ/kg)"),INDIRECT($K161)),GETPIVOTDATA(IF($J161=1,"Average of ACTIVE     CED, FARM GATE (MJ/kg)","Average of CED, processor gate (MJ/kg)"),'Pivot Table_CED'!$A$3,"SUB TYPE",$B161))</f>
        <v>3.3426666666666671</v>
      </c>
      <c r="O161" s="135">
        <f ca="1">IF($L161="PROXY",DSTDEV('literature entries'!D:AI,IF($J161=1,"ACTIVE     CED, FARM GATE (MJ/kg)","CED, processor gate (MJ/kg)"),INDIRECT($K161)),GETPIVOTDATA(IF($J161=1,"StdDev of ACTIVE     CED, FARM GATE (MJ/kg)","StdDev of CED, processor gate (MJ/kg)"),'Pivot Table_CED'!$A$3,"SUB TYPE",$B161))</f>
        <v>0.15650630090263803</v>
      </c>
      <c r="P161" s="152" t="str">
        <f>IF(ISERROR(GETPIVOTDATA(IF($J161=1,"Count of ACTIVE     GHGE, FARM GATE (kg CO2e/kg)","Count of GHGE, processor gate (kg CO2e/kg)"),'Pivot Table_GHG'!$A$3,"SUB TYPE",$B161)),"PROXY",IF(GETPIVOTDATA(IF($J161=1,"Count of ACTIVE     GHGE, FARM GATE (kg CO2e/kg)","Count of GHGE, processor gate (kg CO2e/kg)"),'Pivot Table_GHG'!$A$3,"SUB TYPE",$B161)=0,"PROXY","DB value"))</f>
        <v>DB value</v>
      </c>
      <c r="Q161" s="141">
        <f ca="1">IF($P161="PROXY",DCOUNT('literature entries'!$D:$AI,IF($J161=1,"ACTIVE     GHGE, FARM GATE (kg CO2e/kg)","GHGE, processor gate (kg CO2e/kg)"),INDIRECT($K161)),GETPIVOTDATA(IF($J161=1,"ACTIVE     GHGE, FARM GATE (kg CO2e/kg)","Count of GHGE, processor gate (kg CO2e/kg)"),'Pivot Table_GHG'!$A$3,"SUB TYPE",$B161))</f>
        <v>4</v>
      </c>
      <c r="R161" s="221">
        <f ca="1">IF($P161="PROXY",DAVERAGE('literature entries'!$D:$AI,IF($J161=1,"ACTIVE     GHGE, FARM GATE (kg CO2e/kg)","GHGE, processor gate (kg CO2e/kg)"),INDIRECT($K161)),GETPIVOTDATA(IF($J161=1,"Average of ACTIVE     GHGE, FARM GATE (kg CO2e/kg)","Average of GHGE, processor gate (kg CO2e/kg)"),'Pivot Table_GHG'!$A$3,"SUB TYPE",$B161))</f>
        <v>0.4723684210526316</v>
      </c>
      <c r="S161" s="221">
        <f ca="1">IF($P161="PROXY",DSTDEV('literature entries'!$D:$AI,IF($J161=1,"ACTIVE     GHGE, FARM GATE (kg CO2e/kg)","GHGE, processor gate (kg CO2e/kg)"),INDIRECT($K161)),GETPIVOTDATA(IF($J161=1,"StdDev of ACTIVE     GHGE, FARM GATE (kg CO2e/kg)","StdDev of GHGE, processor gate (kg CO2e/kg)"),'Pivot Table_GHG'!$A$3,"SUB TYPE",$B161))</f>
        <v>0.35326459809839617</v>
      </c>
      <c r="T161" s="101"/>
      <c r="U161" s="102"/>
      <c r="W161" s="248" t="s">
        <v>2453</v>
      </c>
      <c r="X161" s="246">
        <f ca="1">IF($W161="DIRECT",M161,DCOUNT('literature entries'!$D:$AI,IF($J161=1,"ACTIVE     CED, FARM GATE (MJ/kg)","CED, processor gate (MJ/kg)"),INDIRECT($W161)))</f>
        <v>9</v>
      </c>
      <c r="Y161" s="246">
        <f ca="1">IF($W161="DIRECT","",DAVERAGE('literature entries'!$D:$AI,IF($J161=1,"ACTIVE     CED, FARM GATE (MJ/kg)","CED, processor gate (MJ/kg)"),INDIRECT($W161)))</f>
        <v>6.2256158484065454</v>
      </c>
      <c r="Z161" s="246">
        <f ca="1">IF($W161="DIRECT",$O161,DSTDEV('literature entries'!$D:$AI,IF($J161=1,"ACTIVE     CED, FARM GATE (MJ/kg)","CED, processor gate (MJ/kg)"),INDIRECT($W161)))</f>
        <v>3.4581080763456375</v>
      </c>
      <c r="AA161" s="246">
        <f t="shared" ca="1" si="20"/>
        <v>1.8567323904975555</v>
      </c>
      <c r="AB161" s="254" t="s">
        <v>2453</v>
      </c>
      <c r="AC161" s="247">
        <f ca="1">IF($AB161="DIRECT",Q161,DCOUNT('literature entries'!$D:$AI,IF($J161=1,"ACTIVE     GHGE, FARM GATE (kg CO2e/kg)","GHGE, processor gate (kg CO2e/kg)"),INDIRECT($AB161)))</f>
        <v>19</v>
      </c>
      <c r="AD161" s="247">
        <f ca="1">IF($AB161="DIRECT","",DAVERAGE('literature entries'!$D:$AI,IF($J161=1,"ACTIVE     GHGE, FARM GATE (kg CO2e/kg)","GHGE, processor gate (kg CO2e/kg)"),INDIRECT($AB161)))</f>
        <v>0.57597001083945576</v>
      </c>
      <c r="AE161" s="247">
        <f ca="1">IF($AB161="DIRECT",$S161,DSTDEV('literature entries'!$D:$AI,IF($J161=1,"ACTIVE     GHGE, FARM GATE (kg CO2e/kg)","GHGE, processor gate (kg CO2e/kg)"),INDIRECT($AB161)))</f>
        <v>0.40302432016659151</v>
      </c>
      <c r="AF161" s="247">
        <f t="shared" ca="1" si="21"/>
        <v>0.33053103144282964</v>
      </c>
    </row>
    <row r="162" spans="1:32" s="21" customFormat="1" thickBot="1" x14ac:dyDescent="0.25">
      <c r="A162" s="129">
        <v>1302137000</v>
      </c>
      <c r="B162" s="130" t="s">
        <v>1954</v>
      </c>
      <c r="C162" s="131" t="s">
        <v>1950</v>
      </c>
      <c r="D162" s="131" t="s">
        <v>1955</v>
      </c>
      <c r="E162" s="131">
        <v>17</v>
      </c>
      <c r="F162" s="126">
        <f t="shared" ca="1" si="16"/>
        <v>28.264295951765718</v>
      </c>
      <c r="G162" s="127">
        <f t="shared" ca="1" si="17"/>
        <v>0.6835</v>
      </c>
      <c r="H162" s="132">
        <v>1</v>
      </c>
      <c r="I162" s="132" t="s">
        <v>628</v>
      </c>
      <c r="J162" s="91">
        <v>1</v>
      </c>
      <c r="K162" s="90" t="s">
        <v>3278</v>
      </c>
      <c r="L162" s="152" t="str">
        <f>IF(ISERROR(GETPIVOTDATA(IF($J162=1,"Count of ACTIVE     CED, FARM GATE (MJ/kg)","Count of CED, processor gate (MJ/kg)"),'Pivot Table_CED'!$A$3,"SUB TYPE",$B162)),"PROXY",IF(GETPIVOTDATA(IF($J162=1,"Count of ACTIVE     CED, FARM GATE (MJ/kg)","Count of CED, processor gate (MJ/kg)"),'Pivot Table_CED'!$A$3,"SUB TYPE",$B162)=0,"PROXY","DB value"))</f>
        <v>PROXY</v>
      </c>
      <c r="M162" s="134">
        <f ca="1">IF($L162="PROXY",DCOUNT('literature entries'!$D:$AI,IF($J162=1,"ACTIVE     CED, FARM GATE (MJ/kg)","CED, processor gate (MJ/kg)"),INDIRECT($K162)),GETPIVOTDATA(IF($J162=1,"Count of ACTIVE     CED, FARM GATE (MJ/kg)","Count of CED, processor gate (MJ/kg)"),'Pivot Table_CED'!$A$3,"SUB TYPE",$B162))</f>
        <v>1</v>
      </c>
      <c r="N162" s="135">
        <f ca="1">IF($L162="PROXY",DAVERAGE('literature entries'!$D:$AI,IF($J162=1,"ACTIVE     CED, FARM GATE (MJ/kg)","CED, processor gate (MJ/kg)"),INDIRECT($K162)),GETPIVOTDATA(IF($J162=1,"Average of ACTIVE     CED, FARM GATE (MJ/kg)","Average of CED, processor gate (MJ/kg)"),'Pivot Table_CED'!$A$3,"SUB TYPE",$B162))</f>
        <v>28.264295951765718</v>
      </c>
      <c r="O162" s="135" t="e">
        <f ca="1">IF($L162="PROXY",DSTDEV('literature entries'!D:AI,IF($J162=1,"ACTIVE     CED, FARM GATE (MJ/kg)","CED, processor gate (MJ/kg)"),INDIRECT($K162)),GETPIVOTDATA(IF($J162=1,"StdDev of ACTIVE     CED, FARM GATE (MJ/kg)","StdDev of CED, processor gate (MJ/kg)"),'Pivot Table_CED'!$A$3,"SUB TYPE",$B162))</f>
        <v>#DIV/0!</v>
      </c>
      <c r="P162" s="152" t="str">
        <f>IF(ISERROR(GETPIVOTDATA(IF($J162=1,"Count of ACTIVE     GHGE, FARM GATE (kg CO2e/kg)","Count of GHGE, processor gate (kg CO2e/kg)"),'Pivot Table_GHG'!$A$3,"SUB TYPE",$B162)),"PROXY",IF(GETPIVOTDATA(IF($J162=1,"Count of ACTIVE     GHGE, FARM GATE (kg CO2e/kg)","Count of GHGE, processor gate (kg CO2e/kg)"),'Pivot Table_GHG'!$A$3,"SUB TYPE",$B162)=0,"PROXY","DB value"))</f>
        <v>PROXY</v>
      </c>
      <c r="Q162" s="141">
        <f ca="1">IF($P162="PROXY",DCOUNT('literature entries'!$D:$AI,IF($J162=1,"ACTIVE     GHGE, FARM GATE (kg CO2e/kg)","GHGE, processor gate (kg CO2e/kg)"),INDIRECT($K162)),GETPIVOTDATA(IF($J162=1,"ACTIVE     GHGE, FARM GATE (kg CO2e/kg)","Count of GHGE, processor gate (kg CO2e/kg)"),'Pivot Table_GHG'!$A$3,"SUB TYPE",$B162))</f>
        <v>2</v>
      </c>
      <c r="R162" s="221">
        <f ca="1">IF($P162="PROXY",DAVERAGE('literature entries'!$D:$AI,IF($J162=1,"ACTIVE     GHGE, FARM GATE (kg CO2e/kg)","GHGE, processor gate (kg CO2e/kg)"),INDIRECT($K162)),GETPIVOTDATA(IF($J162=1,"Average of ACTIVE     GHGE, FARM GATE (kg CO2e/kg)","Average of GHGE, processor gate (kg CO2e/kg)"),'Pivot Table_GHG'!$A$3,"SUB TYPE",$B162))</f>
        <v>0.6835</v>
      </c>
      <c r="S162" s="221">
        <f ca="1">IF($P162="PROXY",DSTDEV('literature entries'!$D:$AI,IF($J162=1,"ACTIVE     GHGE, FARM GATE (kg CO2e/kg)","GHGE, processor gate (kg CO2e/kg)"),INDIRECT($K162)),GETPIVOTDATA(IF($J162=1,"StdDev of ACTIVE     GHGE, FARM GATE (kg CO2e/kg)","StdDev of GHGE, processor gate (kg CO2e/kg)"),'Pivot Table_GHG'!$A$3,"SUB TYPE",$B162))</f>
        <v>2.333452377915601E-2</v>
      </c>
      <c r="T162" s="101"/>
      <c r="U162" s="102"/>
      <c r="W162" s="248" t="s">
        <v>2453</v>
      </c>
      <c r="X162" s="246">
        <f ca="1">IF($W162="DIRECT",M162,DCOUNT('literature entries'!$D:$AI,IF($J162=1,"ACTIVE     CED, FARM GATE (MJ/kg)","CED, processor gate (MJ/kg)"),INDIRECT($W162)))</f>
        <v>9</v>
      </c>
      <c r="Y162" s="246">
        <f ca="1">IF($W162="DIRECT","",DAVERAGE('literature entries'!$D:$AI,IF($J162=1,"ACTIVE     CED, FARM GATE (MJ/kg)","CED, processor gate (MJ/kg)"),INDIRECT($W162)))</f>
        <v>6.2256158484065454</v>
      </c>
      <c r="Z162" s="246">
        <f ca="1">IF($W162="DIRECT",$O162,DSTDEV('literature entries'!$D:$AI,IF($J162=1,"ACTIVE     CED, FARM GATE (MJ/kg)","CED, processor gate (MJ/kg)"),INDIRECT($W162)))</f>
        <v>3.4581080763456375</v>
      </c>
      <c r="AA162" s="246">
        <f t="shared" ca="1" si="20"/>
        <v>15.699810666609194</v>
      </c>
      <c r="AB162" s="254" t="s">
        <v>2453</v>
      </c>
      <c r="AC162" s="247">
        <f ca="1">IF($AB162="DIRECT",Q162,DCOUNT('literature entries'!$D:$AI,IF($J162=1,"ACTIVE     GHGE, FARM GATE (kg CO2e/kg)","GHGE, processor gate (kg CO2e/kg)"),INDIRECT($AB162)))</f>
        <v>19</v>
      </c>
      <c r="AD162" s="247">
        <f ca="1">IF($AB162="DIRECT","",DAVERAGE('literature entries'!$D:$AI,IF($J162=1,"ACTIVE     GHGE, FARM GATE (kg CO2e/kg)","GHGE, processor gate (kg CO2e/kg)"),INDIRECT($AB162)))</f>
        <v>0.57597001083945576</v>
      </c>
      <c r="AE162" s="247">
        <f ca="1">IF($AB162="DIRECT",$S162,DSTDEV('literature entries'!$D:$AI,IF($J162=1,"ACTIVE     GHGE, FARM GATE (kg CO2e/kg)","GHGE, processor gate (kg CO2e/kg)"),INDIRECT($AB162)))</f>
        <v>0.40302432016659151</v>
      </c>
      <c r="AF162" s="247">
        <f t="shared" ca="1" si="21"/>
        <v>0.47826643340749941</v>
      </c>
    </row>
    <row r="163" spans="1:32" s="21" customFormat="1" ht="17" thickBot="1" x14ac:dyDescent="0.25">
      <c r="A163" s="129">
        <v>1302174000</v>
      </c>
      <c r="B163" s="130" t="s">
        <v>2010</v>
      </c>
      <c r="C163" s="131" t="s">
        <v>1834</v>
      </c>
      <c r="D163" s="131"/>
      <c r="E163" s="131">
        <v>15</v>
      </c>
      <c r="F163" s="126">
        <f t="shared" ca="1" si="16"/>
        <v>6.2256158484065454</v>
      </c>
      <c r="G163" s="127">
        <f t="shared" ca="1" si="17"/>
        <v>0.84</v>
      </c>
      <c r="H163" s="132">
        <v>1</v>
      </c>
      <c r="I163" s="133" t="s">
        <v>594</v>
      </c>
      <c r="J163" s="91">
        <v>1</v>
      </c>
      <c r="K163" s="90" t="s">
        <v>2453</v>
      </c>
      <c r="L163" s="152" t="str">
        <f>IF(ISERROR(GETPIVOTDATA(IF($J163=1,"Count of ACTIVE     CED, FARM GATE (MJ/kg)","Count of CED, processor gate (MJ/kg)"),'Pivot Table_CED'!$A$3,"SUB TYPE",$B163)),"PROXY",IF(GETPIVOTDATA(IF($J163=1,"Count of ACTIVE     CED, FARM GATE (MJ/kg)","Count of CED, processor gate (MJ/kg)"),'Pivot Table_CED'!$A$3,"SUB TYPE",$B163)=0,"PROXY","DB value"))</f>
        <v>PROXY</v>
      </c>
      <c r="M163" s="134">
        <f ca="1">IF($L163="PROXY",DCOUNT('literature entries'!$D:$AI,IF($J163=1,"ACTIVE     CED, FARM GATE (MJ/kg)","CED, processor gate (MJ/kg)"),INDIRECT($K163)),GETPIVOTDATA(IF($J163=1,"Count of ACTIVE     CED, FARM GATE (MJ/kg)","Count of CED, processor gate (MJ/kg)"),'Pivot Table_CED'!$A$3,"SUB TYPE",$B163))</f>
        <v>9</v>
      </c>
      <c r="N163" s="135">
        <f ca="1">IF($L163="PROXY",DAVERAGE('literature entries'!$D:$AI,IF($J163=1,"ACTIVE     CED, FARM GATE (MJ/kg)","CED, processor gate (MJ/kg)"),INDIRECT($K163)),GETPIVOTDATA(IF($J163=1,"Average of ACTIVE     CED, FARM GATE (MJ/kg)","Average of CED, processor gate (MJ/kg)"),'Pivot Table_CED'!$A$3,"SUB TYPE",$B163))</f>
        <v>6.2256158484065454</v>
      </c>
      <c r="O163" s="135">
        <f ca="1">IF($L163="PROXY",DSTDEV('literature entries'!D:AI,IF($J163=1,"ACTIVE     CED, FARM GATE (MJ/kg)","CED, processor gate (MJ/kg)"),INDIRECT($K163)),GETPIVOTDATA(IF($J163=1,"StdDev of ACTIVE     CED, FARM GATE (MJ/kg)","StdDev of CED, processor gate (MJ/kg)"),'Pivot Table_CED'!$A$3,"SUB TYPE",$B163))</f>
        <v>3.4581080763456375</v>
      </c>
      <c r="P163" s="152" t="str">
        <f>IF(ISERROR(GETPIVOTDATA(IF($J163=1,"Count of ACTIVE     GHGE, FARM GATE (kg CO2e/kg)","Count of GHGE, processor gate (kg CO2e/kg)"),'Pivot Table_GHG'!$A$3,"SUB TYPE",$B163)),"PROXY",IF(GETPIVOTDATA(IF($J163=1,"Count of ACTIVE     GHGE, FARM GATE (kg CO2e/kg)","Count of GHGE, processor gate (kg CO2e/kg)"),'Pivot Table_GHG'!$A$3,"SUB TYPE",$B163)=0,"PROXY","DB value"))</f>
        <v>DB value</v>
      </c>
      <c r="Q163" s="141">
        <f ca="1">IF($P163="PROXY",DCOUNT('literature entries'!$D:$AI,IF($J163=1,"ACTIVE     GHGE, FARM GATE (kg CO2e/kg)","GHGE, processor gate (kg CO2e/kg)"),INDIRECT($K163)),GETPIVOTDATA(IF($J163=1,"ACTIVE     GHGE, FARM GATE (kg CO2e/kg)","Count of GHGE, processor gate (kg CO2e/kg)"),'Pivot Table_GHG'!$A$3,"SUB TYPE",$B163))</f>
        <v>1</v>
      </c>
      <c r="R163" s="221">
        <f ca="1">IF($P163="PROXY",DAVERAGE('literature entries'!$D:$AI,IF($J163=1,"ACTIVE     GHGE, FARM GATE (kg CO2e/kg)","GHGE, processor gate (kg CO2e/kg)"),INDIRECT($K163)),GETPIVOTDATA(IF($J163=1,"Average of ACTIVE     GHGE, FARM GATE (kg CO2e/kg)","Average of GHGE, processor gate (kg CO2e/kg)"),'Pivot Table_GHG'!$A$3,"SUB TYPE",$B163))</f>
        <v>0.84</v>
      </c>
      <c r="S163" s="221" t="e">
        <f ca="1">IF($P163="PROXY",DSTDEV('literature entries'!$D:$AI,IF($J163=1,"ACTIVE     GHGE, FARM GATE (kg CO2e/kg)","GHGE, processor gate (kg CO2e/kg)"),INDIRECT($K163)),GETPIVOTDATA(IF($J163=1,"StdDev of ACTIVE     GHGE, FARM GATE (kg CO2e/kg)","StdDev of GHGE, processor gate (kg CO2e/kg)"),'Pivot Table_GHG'!$A$3,"SUB TYPE",$B163))</f>
        <v>#DIV/0!</v>
      </c>
      <c r="T163" s="101"/>
      <c r="U163" s="102"/>
      <c r="W163" s="248" t="str">
        <f ca="1">IF(L163="PROXY",IF(M163&gt;=5,K163,"need group"),IF(M163&gt;=5,"DIRECT","need group"))</f>
        <v>berry</v>
      </c>
      <c r="X163" s="246">
        <f ca="1">IF($W163="DIRECT",M163,DCOUNT('literature entries'!$D:$AI,IF($J163=1,"ACTIVE     CED, FARM GATE (MJ/kg)","CED, processor gate (MJ/kg)"),INDIRECT($W163)))</f>
        <v>9</v>
      </c>
      <c r="Y163" s="246">
        <f ca="1">IF($W163="DIRECT","",DAVERAGE('literature entries'!$D:$AI,IF($J163=1,"ACTIVE     CED, FARM GATE (MJ/kg)","CED, processor gate (MJ/kg)"),INDIRECT($W163)))</f>
        <v>6.2256158484065454</v>
      </c>
      <c r="Z163" s="246">
        <f ca="1">IF($W163="DIRECT",$O163,DSTDEV('literature entries'!$D:$AI,IF($J163=1,"ACTIVE     CED, FARM GATE (MJ/kg)","CED, processor gate (MJ/kg)"),INDIRECT($W163)))</f>
        <v>3.4581080763456375</v>
      </c>
      <c r="AA163" s="246">
        <f t="shared" ca="1" si="20"/>
        <v>3.4581080763456375</v>
      </c>
      <c r="AB163" s="254" t="s">
        <v>2453</v>
      </c>
      <c r="AC163" s="247">
        <f ca="1">IF($AB163="DIRECT",Q163,DCOUNT('literature entries'!$D:$AI,IF($J163=1,"ACTIVE     GHGE, FARM GATE (kg CO2e/kg)","GHGE, processor gate (kg CO2e/kg)"),INDIRECT($AB163)))</f>
        <v>19</v>
      </c>
      <c r="AD163" s="247">
        <f ca="1">IF($AB163="DIRECT","",DAVERAGE('literature entries'!$D:$AI,IF($J163=1,"ACTIVE     GHGE, FARM GATE (kg CO2e/kg)","GHGE, processor gate (kg CO2e/kg)"),INDIRECT($AB163)))</f>
        <v>0.57597001083945576</v>
      </c>
      <c r="AE163" s="247">
        <f ca="1">IF($AB163="DIRECT",$S163,DSTDEV('literature entries'!$D:$AI,IF($J163=1,"ACTIVE     GHGE, FARM GATE (kg CO2e/kg)","GHGE, processor gate (kg CO2e/kg)"),INDIRECT($AB163)))</f>
        <v>0.40302432016659151</v>
      </c>
      <c r="AF163" s="247">
        <f t="shared" ca="1" si="21"/>
        <v>0.58777440243204027</v>
      </c>
    </row>
    <row r="164" spans="1:32" s="21" customFormat="1" thickBot="1" x14ac:dyDescent="0.25">
      <c r="A164" s="129">
        <v>1302191000</v>
      </c>
      <c r="B164" s="130" t="s">
        <v>2039</v>
      </c>
      <c r="C164" s="131" t="s">
        <v>1834</v>
      </c>
      <c r="D164" s="131"/>
      <c r="E164" s="131">
        <v>36</v>
      </c>
      <c r="F164" s="126">
        <f t="shared" ca="1" si="16"/>
        <v>6.5368966408268729</v>
      </c>
      <c r="G164" s="127">
        <f t="shared" ca="1" si="17"/>
        <v>0.60476851138142862</v>
      </c>
      <c r="H164" s="132">
        <v>1.05</v>
      </c>
      <c r="I164" s="132" t="s">
        <v>2724</v>
      </c>
      <c r="J164" s="91">
        <v>1</v>
      </c>
      <c r="K164" s="90" t="s">
        <v>2453</v>
      </c>
      <c r="L164" s="152" t="str">
        <f>IF(ISERROR(GETPIVOTDATA(IF($J164=1,"Count of ACTIVE     CED, FARM GATE (MJ/kg)","Count of CED, processor gate (MJ/kg)"),'Pivot Table_CED'!$A$3,"SUB TYPE",$B164)),"PROXY",IF(GETPIVOTDATA(IF($J164=1,"Count of ACTIVE     CED, FARM GATE (MJ/kg)","Count of CED, processor gate (MJ/kg)"),'Pivot Table_CED'!$A$3,"SUB TYPE",$B164)=0,"PROXY","DB value"))</f>
        <v>PROXY</v>
      </c>
      <c r="M164" s="134">
        <f ca="1">IF($L164="PROXY",DCOUNT('literature entries'!$D:$AI,IF($J164=1,"ACTIVE     CED, FARM GATE (MJ/kg)","CED, processor gate (MJ/kg)"),INDIRECT($K164)),GETPIVOTDATA(IF($J164=1,"Count of ACTIVE     CED, FARM GATE (MJ/kg)","Count of CED, processor gate (MJ/kg)"),'Pivot Table_CED'!$A$3,"SUB TYPE",$B164))</f>
        <v>9</v>
      </c>
      <c r="N164" s="135">
        <f ca="1">IF($L164="PROXY",DAVERAGE('literature entries'!$D:$AI,IF($J164=1,"ACTIVE     CED, FARM GATE (MJ/kg)","CED, processor gate (MJ/kg)"),INDIRECT($K164)),GETPIVOTDATA(IF($J164=1,"Average of ACTIVE     CED, FARM GATE (MJ/kg)","Average of CED, processor gate (MJ/kg)"),'Pivot Table_CED'!$A$3,"SUB TYPE",$B164))</f>
        <v>6.2256158484065454</v>
      </c>
      <c r="O164" s="135">
        <f ca="1">IF($L164="PROXY",DSTDEV('literature entries'!D:AI,IF($J164=1,"ACTIVE     CED, FARM GATE (MJ/kg)","CED, processor gate (MJ/kg)"),INDIRECT($K164)),GETPIVOTDATA(IF($J164=1,"StdDev of ACTIVE     CED, FARM GATE (MJ/kg)","StdDev of CED, processor gate (MJ/kg)"),'Pivot Table_CED'!$A$3,"SUB TYPE",$B164))</f>
        <v>3.4581080763456375</v>
      </c>
      <c r="P164" s="152" t="str">
        <f>IF(ISERROR(GETPIVOTDATA(IF($J164=1,"Count of ACTIVE     GHGE, FARM GATE (kg CO2e/kg)","Count of GHGE, processor gate (kg CO2e/kg)"),'Pivot Table_GHG'!$A$3,"SUB TYPE",$B164)),"PROXY",IF(GETPIVOTDATA(IF($J164=1,"Count of ACTIVE     GHGE, FARM GATE (kg CO2e/kg)","Count of GHGE, processor gate (kg CO2e/kg)"),'Pivot Table_GHG'!$A$3,"SUB TYPE",$B164)=0,"PROXY","DB value"))</f>
        <v>PROXY</v>
      </c>
      <c r="Q164" s="141">
        <f ca="1">IF($P164="PROXY",DCOUNT('literature entries'!$D:$AI,IF($J164=1,"ACTIVE     GHGE, FARM GATE (kg CO2e/kg)","GHGE, processor gate (kg CO2e/kg)"),INDIRECT($K164)),GETPIVOTDATA(IF($J164=1,"ACTIVE     GHGE, FARM GATE (kg CO2e/kg)","Count of GHGE, processor gate (kg CO2e/kg)"),'Pivot Table_GHG'!$A$3,"SUB TYPE",$B164))</f>
        <v>19</v>
      </c>
      <c r="R164" s="221">
        <f ca="1">IF($P164="PROXY",DAVERAGE('literature entries'!$D:$AI,IF($J164=1,"ACTIVE     GHGE, FARM GATE (kg CO2e/kg)","GHGE, processor gate (kg CO2e/kg)"),INDIRECT($K164)),GETPIVOTDATA(IF($J164=1,"Average of ACTIVE     GHGE, FARM GATE (kg CO2e/kg)","Average of GHGE, processor gate (kg CO2e/kg)"),'Pivot Table_GHG'!$A$3,"SUB TYPE",$B164))</f>
        <v>0.57597001083945576</v>
      </c>
      <c r="S164" s="221">
        <f ca="1">IF($P164="PROXY",DSTDEV('literature entries'!$D:$AI,IF($J164=1,"ACTIVE     GHGE, FARM GATE (kg CO2e/kg)","GHGE, processor gate (kg CO2e/kg)"),INDIRECT($K164)),GETPIVOTDATA(IF($J164=1,"StdDev of ACTIVE     GHGE, FARM GATE (kg CO2e/kg)","StdDev of GHGE, processor gate (kg CO2e/kg)"),'Pivot Table_GHG'!$A$3,"SUB TYPE",$B164))</f>
        <v>0.40302432016659151</v>
      </c>
      <c r="T164" s="101"/>
      <c r="U164" s="102"/>
      <c r="W164" s="248" t="str">
        <f ca="1">IF(L164="PROXY",IF(M164&gt;=5,K164,"need group"),IF(M164&gt;=5,"DIRECT","need group"))</f>
        <v>berry</v>
      </c>
      <c r="X164" s="246">
        <f ca="1">IF($W164="DIRECT",M164,DCOUNT('literature entries'!$D:$AI,IF($J164=1,"ACTIVE     CED, FARM GATE (MJ/kg)","CED, processor gate (MJ/kg)"),INDIRECT($W164)))</f>
        <v>9</v>
      </c>
      <c r="Y164" s="246">
        <f ca="1">IF($W164="DIRECT","",DAVERAGE('literature entries'!$D:$AI,IF($J164=1,"ACTIVE     CED, FARM GATE (MJ/kg)","CED, processor gate (MJ/kg)"),INDIRECT($W164)))</f>
        <v>6.2256158484065454</v>
      </c>
      <c r="Z164" s="246">
        <f ca="1">IF($W164="DIRECT",$O164,DSTDEV('literature entries'!$D:$AI,IF($J164=1,"ACTIVE     CED, FARM GATE (MJ/kg)","CED, processor gate (MJ/kg)"),INDIRECT($W164)))</f>
        <v>3.4581080763456375</v>
      </c>
      <c r="AA164" s="246">
        <f t="shared" ca="1" si="20"/>
        <v>3.4581080763456375</v>
      </c>
      <c r="AB164" s="254" t="str">
        <f ca="1">IF(P164="PROXY",IF(Q164&gt;=5,K164,"need group"),IF(Q164&gt;=5,"DIRECT","need group"))</f>
        <v>berry</v>
      </c>
      <c r="AC164" s="247">
        <f ca="1">IF($AB164="DIRECT",Q164,DCOUNT('literature entries'!$D:$AI,IF($J164=1,"ACTIVE     GHGE, FARM GATE (kg CO2e/kg)","GHGE, processor gate (kg CO2e/kg)"),INDIRECT($AB164)))</f>
        <v>19</v>
      </c>
      <c r="AD164" s="247">
        <f ca="1">IF($AB164="DIRECT","",DAVERAGE('literature entries'!$D:$AI,IF($J164=1,"ACTIVE     GHGE, FARM GATE (kg CO2e/kg)","GHGE, processor gate (kg CO2e/kg)"),INDIRECT($AB164)))</f>
        <v>0.57597001083945576</v>
      </c>
      <c r="AE164" s="247">
        <f ca="1">IF($AB164="DIRECT",$S164,DSTDEV('literature entries'!$D:$AI,IF($J164=1,"ACTIVE     GHGE, FARM GATE (kg CO2e/kg)","GHGE, processor gate (kg CO2e/kg)"),INDIRECT($AB164)))</f>
        <v>0.40302432016659151</v>
      </c>
      <c r="AF164" s="247">
        <f t="shared" ca="1" si="21"/>
        <v>0.40302432016659151</v>
      </c>
    </row>
    <row r="165" spans="1:32" s="21" customFormat="1" thickBot="1" x14ac:dyDescent="0.25">
      <c r="A165" s="129">
        <v>1303227000</v>
      </c>
      <c r="B165" s="130" t="s">
        <v>2085</v>
      </c>
      <c r="C165" s="131" t="s">
        <v>1877</v>
      </c>
      <c r="D165" s="131" t="s">
        <v>2086</v>
      </c>
      <c r="E165" s="131">
        <v>1</v>
      </c>
      <c r="F165" s="126">
        <f t="shared" ca="1" si="16"/>
        <v>6.4746404823428074</v>
      </c>
      <c r="G165" s="127">
        <f t="shared" ca="1" si="17"/>
        <v>0.59900881127303396</v>
      </c>
      <c r="H165" s="132">
        <v>1.04</v>
      </c>
      <c r="I165" s="132" t="s">
        <v>2724</v>
      </c>
      <c r="J165" s="91">
        <v>1</v>
      </c>
      <c r="K165" s="90" t="s">
        <v>2453</v>
      </c>
      <c r="L165" s="152" t="str">
        <f>IF(ISERROR(GETPIVOTDATA(IF($J165=1,"Count of ACTIVE     CED, FARM GATE (MJ/kg)","Count of CED, processor gate (MJ/kg)"),'Pivot Table_CED'!$A$3,"SUB TYPE",$B165)),"PROXY",IF(GETPIVOTDATA(IF($J165=1,"Count of ACTIVE     CED, FARM GATE (MJ/kg)","Count of CED, processor gate (MJ/kg)"),'Pivot Table_CED'!$A$3,"SUB TYPE",$B165)=0,"PROXY","DB value"))</f>
        <v>PROXY</v>
      </c>
      <c r="M165" s="134">
        <f ca="1">IF($L165="PROXY",DCOUNT('literature entries'!$D:$AI,IF($J165=1,"ACTIVE     CED, FARM GATE (MJ/kg)","CED, processor gate (MJ/kg)"),INDIRECT($K165)),GETPIVOTDATA(IF($J165=1,"Count of ACTIVE     CED, FARM GATE (MJ/kg)","Count of CED, processor gate (MJ/kg)"),'Pivot Table_CED'!$A$3,"SUB TYPE",$B165))</f>
        <v>9</v>
      </c>
      <c r="N165" s="135">
        <f ca="1">IF($L165="PROXY",DAVERAGE('literature entries'!$D:$AI,IF($J165=1,"ACTIVE     CED, FARM GATE (MJ/kg)","CED, processor gate (MJ/kg)"),INDIRECT($K165)),GETPIVOTDATA(IF($J165=1,"Average of ACTIVE     CED, FARM GATE (MJ/kg)","Average of CED, processor gate (MJ/kg)"),'Pivot Table_CED'!$A$3,"SUB TYPE",$B165))</f>
        <v>6.2256158484065454</v>
      </c>
      <c r="O165" s="135">
        <f ca="1">IF($L165="PROXY",DSTDEV('literature entries'!D:AI,IF($J165=1,"ACTIVE     CED, FARM GATE (MJ/kg)","CED, processor gate (MJ/kg)"),INDIRECT($K165)),GETPIVOTDATA(IF($J165=1,"StdDev of ACTIVE     CED, FARM GATE (MJ/kg)","StdDev of CED, processor gate (MJ/kg)"),'Pivot Table_CED'!$A$3,"SUB TYPE",$B165))</f>
        <v>3.4581080763456375</v>
      </c>
      <c r="P165" s="152" t="str">
        <f>IF(ISERROR(GETPIVOTDATA(IF($J165=1,"Count of ACTIVE     GHGE, FARM GATE (kg CO2e/kg)","Count of GHGE, processor gate (kg CO2e/kg)"),'Pivot Table_GHG'!$A$3,"SUB TYPE",$B165)),"PROXY",IF(GETPIVOTDATA(IF($J165=1,"Count of ACTIVE     GHGE, FARM GATE (kg CO2e/kg)","Count of GHGE, processor gate (kg CO2e/kg)"),'Pivot Table_GHG'!$A$3,"SUB TYPE",$B165)=0,"PROXY","DB value"))</f>
        <v>PROXY</v>
      </c>
      <c r="Q165" s="141">
        <f ca="1">IF($P165="PROXY",DCOUNT('literature entries'!$D:$AI,IF($J165=1,"ACTIVE     GHGE, FARM GATE (kg CO2e/kg)","GHGE, processor gate (kg CO2e/kg)"),INDIRECT($K165)),GETPIVOTDATA(IF($J165=1,"ACTIVE     GHGE, FARM GATE (kg CO2e/kg)","Count of GHGE, processor gate (kg CO2e/kg)"),'Pivot Table_GHG'!$A$3,"SUB TYPE",$B165))</f>
        <v>19</v>
      </c>
      <c r="R165" s="221">
        <f ca="1">IF($P165="PROXY",DAVERAGE('literature entries'!$D:$AI,IF($J165=1,"ACTIVE     GHGE, FARM GATE (kg CO2e/kg)","GHGE, processor gate (kg CO2e/kg)"),INDIRECT($K165)),GETPIVOTDATA(IF($J165=1,"Average of ACTIVE     GHGE, FARM GATE (kg CO2e/kg)","Average of GHGE, processor gate (kg CO2e/kg)"),'Pivot Table_GHG'!$A$3,"SUB TYPE",$B165))</f>
        <v>0.57597001083945576</v>
      </c>
      <c r="S165" s="221">
        <f ca="1">IF($P165="PROXY",DSTDEV('literature entries'!$D:$AI,IF($J165=1,"ACTIVE     GHGE, FARM GATE (kg CO2e/kg)","GHGE, processor gate (kg CO2e/kg)"),INDIRECT($K165)),GETPIVOTDATA(IF($J165=1,"StdDev of ACTIVE     GHGE, FARM GATE (kg CO2e/kg)","StdDev of GHGE, processor gate (kg CO2e/kg)"),'Pivot Table_GHG'!$A$3,"SUB TYPE",$B165))</f>
        <v>0.40302432016659151</v>
      </c>
      <c r="T165" s="101"/>
      <c r="U165" s="102"/>
      <c r="W165" s="248" t="str">
        <f ca="1">IF(L165="PROXY",IF(M165&gt;=5,K165,"need group"),IF(M165&gt;=5,"DIRECT","need group"))</f>
        <v>berry</v>
      </c>
      <c r="X165" s="246">
        <f ca="1">IF($W165="DIRECT",M165,DCOUNT('literature entries'!$D:$AI,IF($J165=1,"ACTIVE     CED, FARM GATE (MJ/kg)","CED, processor gate (MJ/kg)"),INDIRECT($W165)))</f>
        <v>9</v>
      </c>
      <c r="Y165" s="246">
        <f ca="1">IF($W165="DIRECT","",DAVERAGE('literature entries'!$D:$AI,IF($J165=1,"ACTIVE     CED, FARM GATE (MJ/kg)","CED, processor gate (MJ/kg)"),INDIRECT($W165)))</f>
        <v>6.2256158484065454</v>
      </c>
      <c r="Z165" s="246">
        <f ca="1">IF($W165="DIRECT",$O165,DSTDEV('literature entries'!$D:$AI,IF($J165=1,"ACTIVE     CED, FARM GATE (MJ/kg)","CED, processor gate (MJ/kg)"),INDIRECT($W165)))</f>
        <v>3.4581080763456375</v>
      </c>
      <c r="AA165" s="246">
        <f t="shared" ca="1" si="20"/>
        <v>3.4581080763456375</v>
      </c>
      <c r="AB165" s="254" t="str">
        <f ca="1">IF(P165="PROXY",IF(Q165&gt;=5,K165,"need group"),IF(Q165&gt;=5,"DIRECT","need group"))</f>
        <v>berry</v>
      </c>
      <c r="AC165" s="247">
        <f ca="1">IF($AB165="DIRECT",Q165,DCOUNT('literature entries'!$D:$AI,IF($J165=1,"ACTIVE     GHGE, FARM GATE (kg CO2e/kg)","GHGE, processor gate (kg CO2e/kg)"),INDIRECT($AB165)))</f>
        <v>19</v>
      </c>
      <c r="AD165" s="247">
        <f ca="1">IF($AB165="DIRECT","",DAVERAGE('literature entries'!$D:$AI,IF($J165=1,"ACTIVE     GHGE, FARM GATE (kg CO2e/kg)","GHGE, processor gate (kg CO2e/kg)"),INDIRECT($AB165)))</f>
        <v>0.57597001083945576</v>
      </c>
      <c r="AE165" s="247">
        <f ca="1">IF($AB165="DIRECT",$S165,DSTDEV('literature entries'!$D:$AI,IF($J165=1,"ACTIVE     GHGE, FARM GATE (kg CO2e/kg)","GHGE, processor gate (kg CO2e/kg)"),INDIRECT($AB165)))</f>
        <v>0.40302432016659151</v>
      </c>
      <c r="AF165" s="247">
        <f t="shared" ca="1" si="21"/>
        <v>0.40302432016659151</v>
      </c>
    </row>
    <row r="166" spans="1:32" s="21" customFormat="1" thickBot="1" x14ac:dyDescent="0.25">
      <c r="A166" s="129">
        <v>1304175000</v>
      </c>
      <c r="B166" s="130" t="s">
        <v>2011</v>
      </c>
      <c r="C166" s="131" t="s">
        <v>2012</v>
      </c>
      <c r="D166" s="131" t="s">
        <v>2013</v>
      </c>
      <c r="E166" s="131">
        <v>5959</v>
      </c>
      <c r="F166" s="126">
        <f t="shared" ca="1" si="16"/>
        <v>2.8101475271999998</v>
      </c>
      <c r="G166" s="127">
        <f t="shared" ca="1" si="17"/>
        <v>0.47781760000000001</v>
      </c>
      <c r="H166" s="132">
        <v>1.04</v>
      </c>
      <c r="I166" s="132" t="s">
        <v>2724</v>
      </c>
      <c r="J166" s="91">
        <v>1</v>
      </c>
      <c r="K166" s="90"/>
      <c r="L166" s="152" t="str">
        <f>IF(ISERROR(GETPIVOTDATA(IF($J166=1,"Count of ACTIVE     CED, FARM GATE (MJ/kg)","Count of CED, processor gate (MJ/kg)"),'Pivot Table_CED'!$A$3,"SUB TYPE",$B166)),"PROXY",IF(GETPIVOTDATA(IF($J166=1,"Count of ACTIVE     CED, FARM GATE (MJ/kg)","Count of CED, processor gate (MJ/kg)"),'Pivot Table_CED'!$A$3,"SUB TYPE",$B166)=0,"PROXY","DB value"))</f>
        <v>DB value</v>
      </c>
      <c r="M166" s="134">
        <f ca="1">IF($L166="PROXY",DCOUNT('literature entries'!$D:$AI,IF($J166=1,"ACTIVE     CED, FARM GATE (MJ/kg)","CED, processor gate (MJ/kg)"),INDIRECT($K166)),GETPIVOTDATA(IF($J166=1,"Count of ACTIVE     CED, FARM GATE (MJ/kg)","Count of CED, processor gate (MJ/kg)"),'Pivot Table_CED'!$A$3,"SUB TYPE",$B166))</f>
        <v>1</v>
      </c>
      <c r="N166" s="135">
        <f ca="1">IF($L166="PROXY",DAVERAGE('literature entries'!$D:$AI,IF($J166=1,"ACTIVE     CED, FARM GATE (MJ/kg)","CED, processor gate (MJ/kg)"),INDIRECT($K166)),GETPIVOTDATA(IF($J166=1,"Average of ACTIVE     CED, FARM GATE (MJ/kg)","Average of CED, processor gate (MJ/kg)"),'Pivot Table_CED'!$A$3,"SUB TYPE",$B166))</f>
        <v>2.7020649299999997</v>
      </c>
      <c r="O166" s="135">
        <f ca="1">IF($L166="PROXY",DSTDEV('literature entries'!D:AI,IF($J166=1,"ACTIVE     CED, FARM GATE (MJ/kg)","CED, processor gate (MJ/kg)"),INDIRECT($K166)),GETPIVOTDATA(IF($J166=1,"StdDev of ACTIVE     CED, FARM GATE (MJ/kg)","StdDev of CED, processor gate (MJ/kg)"),'Pivot Table_CED'!$A$3,"SUB TYPE",$B166))</f>
        <v>0</v>
      </c>
      <c r="P166" s="152" t="str">
        <f>IF(ISERROR(GETPIVOTDATA(IF($J166=1,"Count of ACTIVE     GHGE, FARM GATE (kg CO2e/kg)","Count of GHGE, processor gate (kg CO2e/kg)"),'Pivot Table_GHG'!$A$3,"SUB TYPE",$B166)),"PROXY",IF(GETPIVOTDATA(IF($J166=1,"Count of ACTIVE     GHGE, FARM GATE (kg CO2e/kg)","Count of GHGE, processor gate (kg CO2e/kg)"),'Pivot Table_GHG'!$A$3,"SUB TYPE",$B166)=0,"PROXY","DB value"))</f>
        <v>DB value</v>
      </c>
      <c r="Q166" s="141">
        <f ca="1">IF($P166="PROXY",DCOUNT('literature entries'!$D:$AI,IF($J166=1,"ACTIVE     GHGE, FARM GATE (kg CO2e/kg)","GHGE, processor gate (kg CO2e/kg)"),INDIRECT($K166)),GETPIVOTDATA(IF($J166=1,"ACTIVE     GHGE, FARM GATE (kg CO2e/kg)","Count of GHGE, processor gate (kg CO2e/kg)"),'Pivot Table_GHG'!$A$3,"SUB TYPE",$B166))</f>
        <v>3</v>
      </c>
      <c r="R166" s="221">
        <f ca="1">IF($P166="PROXY",DAVERAGE('literature entries'!$D:$AI,IF($J166=1,"ACTIVE     GHGE, FARM GATE (kg CO2e/kg)","GHGE, processor gate (kg CO2e/kg)"),INDIRECT($K166)),GETPIVOTDATA(IF($J166=1,"Average of ACTIVE     GHGE, FARM GATE (kg CO2e/kg)","Average of GHGE, processor gate (kg CO2e/kg)"),'Pivot Table_GHG'!$A$3,"SUB TYPE",$B166))</f>
        <v>0.45944000000000002</v>
      </c>
      <c r="S166" s="221">
        <f ca="1">IF($P166="PROXY",DSTDEV('literature entries'!$D:$AI,IF($J166=1,"ACTIVE     GHGE, FARM GATE (kg CO2e/kg)","GHGE, processor gate (kg CO2e/kg)"),INDIRECT($K166)),GETPIVOTDATA(IF($J166=1,"StdDev of ACTIVE     GHGE, FARM GATE (kg CO2e/kg)","StdDev of GHGE, processor gate (kg CO2e/kg)"),'Pivot Table_GHG'!$A$3,"SUB TYPE",$B166))</f>
        <v>0.27298523916138762</v>
      </c>
      <c r="T166" s="101"/>
      <c r="U166" s="102"/>
      <c r="W166" s="248" t="s">
        <v>2453</v>
      </c>
      <c r="X166" s="246">
        <f ca="1">IF($W166="DIRECT",M166,DCOUNT('literature entries'!$D:$AI,IF($J166=1,"ACTIVE     CED, FARM GATE (MJ/kg)","CED, processor gate (MJ/kg)"),INDIRECT($W166)))</f>
        <v>9</v>
      </c>
      <c r="Y166" s="246">
        <f ca="1">IF($W166="DIRECT","",DAVERAGE('literature entries'!$D:$AI,IF($J166=1,"ACTIVE     CED, FARM GATE (MJ/kg)","CED, processor gate (MJ/kg)"),INDIRECT($W166)))</f>
        <v>6.2256158484065454</v>
      </c>
      <c r="Z166" s="246">
        <f ca="1">IF($W166="DIRECT",$O166,DSTDEV('literature entries'!$D:$AI,IF($J166=1,"ACTIVE     CED, FARM GATE (MJ/kg)","CED, processor gate (MJ/kg)"),INDIRECT($W166)))</f>
        <v>3.4581080763456375</v>
      </c>
      <c r="AA166" s="246">
        <f t="shared" ca="1" si="20"/>
        <v>1.5009009204502919</v>
      </c>
      <c r="AB166" s="254" t="s">
        <v>2453</v>
      </c>
      <c r="AC166" s="247">
        <f ca="1">IF($AB166="DIRECT",Q166,DCOUNT('literature entries'!$D:$AI,IF($J166=1,"ACTIVE     GHGE, FARM GATE (kg CO2e/kg)","GHGE, processor gate (kg CO2e/kg)"),INDIRECT($AB166)))</f>
        <v>19</v>
      </c>
      <c r="AD166" s="247">
        <f ca="1">IF($AB166="DIRECT","",DAVERAGE('literature entries'!$D:$AI,IF($J166=1,"ACTIVE     GHGE, FARM GATE (kg CO2e/kg)","GHGE, processor gate (kg CO2e/kg)"),INDIRECT($AB166)))</f>
        <v>0.57597001083945576</v>
      </c>
      <c r="AE166" s="247">
        <f ca="1">IF($AB166="DIRECT",$S166,DSTDEV('literature entries'!$D:$AI,IF($J166=1,"ACTIVE     GHGE, FARM GATE (kg CO2e/kg)","GHGE, processor gate (kg CO2e/kg)"),INDIRECT($AB166)))</f>
        <v>0.40302432016659151</v>
      </c>
      <c r="AF166" s="247">
        <f t="shared" ca="1" si="21"/>
        <v>0.32148460887306735</v>
      </c>
    </row>
    <row r="167" spans="1:32" s="21" customFormat="1" thickBot="1" x14ac:dyDescent="0.25">
      <c r="A167" s="129">
        <v>1304176000</v>
      </c>
      <c r="B167" s="130" t="s">
        <v>2014</v>
      </c>
      <c r="C167" s="131" t="s">
        <v>1742</v>
      </c>
      <c r="D167" s="130" t="s">
        <v>2015</v>
      </c>
      <c r="E167" s="131">
        <v>12486</v>
      </c>
      <c r="F167" s="126">
        <f t="shared" ca="1" si="16"/>
        <v>8.7946844090000003</v>
      </c>
      <c r="G167" s="127">
        <f t="shared" ca="1" si="17"/>
        <v>1.5763511260800001</v>
      </c>
      <c r="H167" s="132">
        <v>1.3</v>
      </c>
      <c r="I167" s="132" t="s">
        <v>2724</v>
      </c>
      <c r="J167" s="91">
        <v>1</v>
      </c>
      <c r="K167" s="90" t="s">
        <v>2011</v>
      </c>
      <c r="L167" s="152" t="str">
        <f>IF(ISERROR(GETPIVOTDATA(IF($J167=1,"Count of ACTIVE     CED, FARM GATE (MJ/kg)","Count of CED, processor gate (MJ/kg)"),'Pivot Table_CED'!$A$3,"SUB TYPE",$B167)),"PROXY",IF(GETPIVOTDATA(IF($J167=1,"Count of ACTIVE     CED, FARM GATE (MJ/kg)","Count of CED, processor gate (MJ/kg)"),'Pivot Table_CED'!$A$3,"SUB TYPE",$B167)=0,"PROXY","DB value"))</f>
        <v>PROXY</v>
      </c>
      <c r="M167" s="134">
        <f ca="1">IF($L167="PROXY",DCOUNT('literature entries'!$D:$AI,IF($J167=1,"ACTIVE     CED, FARM GATE (MJ/kg)","CED, processor gate (MJ/kg)"),INDIRECT($K167)),GETPIVOTDATA(IF($J167=1,"Count of ACTIVE     CED, FARM GATE (MJ/kg)","Count of CED, processor gate (MJ/kg)"),'Pivot Table_CED'!$A$3,"SUB TYPE",$B167))</f>
        <v>1</v>
      </c>
      <c r="N167" s="135">
        <f ca="1">IF($L167="PROXY",DAVERAGE('literature entries'!$D:$AI,IF($J167=1,"ACTIVE     CED, FARM GATE (MJ/kg)","CED, processor gate (MJ/kg)"),INDIRECT($K167)),GETPIVOTDATA(IF($J167=1,"Average of ACTIVE     CED, FARM GATE (MJ/kg)","Average of CED, processor gate (MJ/kg)"),'Pivot Table_CED'!$A$3,"SUB TYPE",$B167))</f>
        <v>2.7020649299999997</v>
      </c>
      <c r="O167" s="135" t="e">
        <f ca="1">IF($L167="PROXY",DSTDEV('literature entries'!D:AI,IF($J167=1,"ACTIVE     CED, FARM GATE (MJ/kg)","CED, processor gate (MJ/kg)"),INDIRECT($K167)),GETPIVOTDATA(IF($J167=1,"StdDev of ACTIVE     CED, FARM GATE (MJ/kg)","StdDev of CED, processor gate (MJ/kg)"),'Pivot Table_CED'!$A$3,"SUB TYPE",$B167))</f>
        <v>#DIV/0!</v>
      </c>
      <c r="P167" s="152" t="str">
        <f>IF(ISERROR(GETPIVOTDATA(IF($J167=1,"Count of ACTIVE     GHGE, FARM GATE (kg CO2e/kg)","Count of GHGE, processor gate (kg CO2e/kg)"),'Pivot Table_GHG'!$A$3,"SUB TYPE",$B167)),"PROXY",IF(GETPIVOTDATA(IF($J167=1,"Count of ACTIVE     GHGE, FARM GATE (kg CO2e/kg)","Count of GHGE, processor gate (kg CO2e/kg)"),'Pivot Table_GHG'!$A$3,"SUB TYPE",$B167)=0,"PROXY","DB value"))</f>
        <v>PROXY</v>
      </c>
      <c r="Q167" s="141">
        <f ca="1">IF($P167="PROXY",DCOUNT('literature entries'!$D:$AI,IF($J167=1,"ACTIVE     GHGE, FARM GATE (kg CO2e/kg)","GHGE, processor gate (kg CO2e/kg)"),INDIRECT($K167)),GETPIVOTDATA(IF($J167=1,"ACTIVE     GHGE, FARM GATE (kg CO2e/kg)","Count of GHGE, processor gate (kg CO2e/kg)"),'Pivot Table_GHG'!$A$3,"SUB TYPE",$B167))</f>
        <v>3</v>
      </c>
      <c r="R167" s="221">
        <f ca="1">IF($P167="PROXY",DAVERAGE('literature entries'!$D:$AI,IF($J167=1,"ACTIVE     GHGE, FARM GATE (kg CO2e/kg)","GHGE, processor gate (kg CO2e/kg)"),INDIRECT($K167)),GETPIVOTDATA(IF($J167=1,"Average of ACTIVE     GHGE, FARM GATE (kg CO2e/kg)","Average of GHGE, processor gate (kg CO2e/kg)"),'Pivot Table_GHG'!$A$3,"SUB TYPE",$B167))</f>
        <v>0.45944000000000002</v>
      </c>
      <c r="S167" s="221">
        <f ca="1">IF($P167="PROXY",DSTDEV('literature entries'!$D:$AI,IF($J167=1,"ACTIVE     GHGE, FARM GATE (kg CO2e/kg)","GHGE, processor gate (kg CO2e/kg)"),INDIRECT($K167)),GETPIVOTDATA(IF($J167=1,"StdDev of ACTIVE     GHGE, FARM GATE (kg CO2e/kg)","StdDev of GHGE, processor gate (kg CO2e/kg)"),'Pivot Table_GHG'!$A$3,"SUB TYPE",$B167))</f>
        <v>0.27298523916138762</v>
      </c>
      <c r="T167" s="99">
        <v>5.282</v>
      </c>
      <c r="U167" s="100">
        <v>0.97907912607999992</v>
      </c>
      <c r="W167" s="248" t="s">
        <v>2453</v>
      </c>
      <c r="X167" s="246">
        <f ca="1">IF($W167="DIRECT",M167,DCOUNT('literature entries'!$D:$AI,IF($J167=1,"ACTIVE     CED, FARM GATE (MJ/kg)","CED, processor gate (MJ/kg)"),INDIRECT($W167)))</f>
        <v>9</v>
      </c>
      <c r="Y167" s="246">
        <f ca="1">IF($W167="DIRECT","",DAVERAGE('literature entries'!$D:$AI,IF($J167=1,"ACTIVE     CED, FARM GATE (MJ/kg)","CED, processor gate (MJ/kg)"),INDIRECT($W167)))</f>
        <v>6.2256158484065454</v>
      </c>
      <c r="Z167" s="246">
        <f ca="1">IF($W167="DIRECT",$O167,DSTDEV('literature entries'!$D:$AI,IF($J167=1,"ACTIVE     CED, FARM GATE (MJ/kg)","CED, processor gate (MJ/kg)"),INDIRECT($W167)))</f>
        <v>3.4581080763456375</v>
      </c>
      <c r="AA167" s="246">
        <f t="shared" ca="1" si="20"/>
        <v>1.5009009204502919</v>
      </c>
      <c r="AB167" s="254" t="s">
        <v>2453</v>
      </c>
      <c r="AC167" s="247">
        <f ca="1">IF($AB167="DIRECT",Q167,DCOUNT('literature entries'!$D:$AI,IF($J167=1,"ACTIVE     GHGE, FARM GATE (kg CO2e/kg)","GHGE, processor gate (kg CO2e/kg)"),INDIRECT($AB167)))</f>
        <v>19</v>
      </c>
      <c r="AD167" s="247">
        <f ca="1">IF($AB167="DIRECT","",DAVERAGE('literature entries'!$D:$AI,IF($J167=1,"ACTIVE     GHGE, FARM GATE (kg CO2e/kg)","GHGE, processor gate (kg CO2e/kg)"),INDIRECT($AB167)))</f>
        <v>0.57597001083945576</v>
      </c>
      <c r="AE167" s="247">
        <f ca="1">IF($AB167="DIRECT",$S167,DSTDEV('literature entries'!$D:$AI,IF($J167=1,"ACTIVE     GHGE, FARM GATE (kg CO2e/kg)","GHGE, processor gate (kg CO2e/kg)"),INDIRECT($AB167)))</f>
        <v>0.40302432016659151</v>
      </c>
      <c r="AF167" s="247">
        <f t="shared" ca="1" si="21"/>
        <v>0.32148460887306735</v>
      </c>
    </row>
    <row r="168" spans="1:32" s="21" customFormat="1" ht="17" thickBot="1" x14ac:dyDescent="0.25">
      <c r="A168" s="129">
        <v>1304178000</v>
      </c>
      <c r="B168" s="130" t="s">
        <v>2017</v>
      </c>
      <c r="C168" s="131" t="s">
        <v>2018</v>
      </c>
      <c r="D168" s="131" t="s">
        <v>2019</v>
      </c>
      <c r="E168" s="131">
        <v>8179</v>
      </c>
      <c r="F168" s="126">
        <f t="shared" ca="1" si="16"/>
        <v>28.264295951765718</v>
      </c>
      <c r="G168" s="127">
        <f t="shared" ca="1" si="17"/>
        <v>0.6835</v>
      </c>
      <c r="H168" s="132">
        <v>1</v>
      </c>
      <c r="I168" s="133" t="s">
        <v>628</v>
      </c>
      <c r="J168" s="91">
        <v>1</v>
      </c>
      <c r="K168" s="90"/>
      <c r="L168" s="152" t="str">
        <f>IF(ISERROR(GETPIVOTDATA(IF($J168=1,"Count of ACTIVE     CED, FARM GATE (MJ/kg)","Count of CED, processor gate (MJ/kg)"),'Pivot Table_CED'!$A$3,"SUB TYPE",$B168)),"PROXY",IF(GETPIVOTDATA(IF($J168=1,"Count of ACTIVE     CED, FARM GATE (MJ/kg)","Count of CED, processor gate (MJ/kg)"),'Pivot Table_CED'!$A$3,"SUB TYPE",$B168)=0,"PROXY","DB value"))</f>
        <v>DB value</v>
      </c>
      <c r="M168" s="134">
        <f ca="1">IF($L168="PROXY",DCOUNT('literature entries'!$D:$AI,IF($J168=1,"ACTIVE     CED, FARM GATE (MJ/kg)","CED, processor gate (MJ/kg)"),INDIRECT($K168)),GETPIVOTDATA(IF($J168=1,"Count of ACTIVE     CED, FARM GATE (MJ/kg)","Count of CED, processor gate (MJ/kg)"),'Pivot Table_CED'!$A$3,"SUB TYPE",$B168))</f>
        <v>1</v>
      </c>
      <c r="N168" s="135">
        <f ca="1">IF($L168="PROXY",DAVERAGE('literature entries'!$D:$AI,IF($J168=1,"ACTIVE     CED, FARM GATE (MJ/kg)","CED, processor gate (MJ/kg)"),INDIRECT($K168)),GETPIVOTDATA(IF($J168=1,"Average of ACTIVE     CED, FARM GATE (MJ/kg)","Average of CED, processor gate (MJ/kg)"),'Pivot Table_CED'!$A$3,"SUB TYPE",$B168))</f>
        <v>28.264295951765718</v>
      </c>
      <c r="O168" s="135">
        <f ca="1">IF($L168="PROXY",DSTDEV('literature entries'!D:AI,IF($J168=1,"ACTIVE     CED, FARM GATE (MJ/kg)","CED, processor gate (MJ/kg)"),INDIRECT($K168)),GETPIVOTDATA(IF($J168=1,"StdDev of ACTIVE     CED, FARM GATE (MJ/kg)","StdDev of CED, processor gate (MJ/kg)"),'Pivot Table_CED'!$A$3,"SUB TYPE",$B168))</f>
        <v>0</v>
      </c>
      <c r="P168" s="152" t="str">
        <f>IF(ISERROR(GETPIVOTDATA(IF($J168=1,"Count of ACTIVE     GHGE, FARM GATE (kg CO2e/kg)","Count of GHGE, processor gate (kg CO2e/kg)"),'Pivot Table_GHG'!$A$3,"SUB TYPE",$B168)),"PROXY",IF(GETPIVOTDATA(IF($J168=1,"Count of ACTIVE     GHGE, FARM GATE (kg CO2e/kg)","Count of GHGE, processor gate (kg CO2e/kg)"),'Pivot Table_GHG'!$A$3,"SUB TYPE",$B168)=0,"PROXY","DB value"))</f>
        <v>DB value</v>
      </c>
      <c r="Q168" s="141">
        <f ca="1">IF($P168="PROXY",DCOUNT('literature entries'!$D:$AI,IF($J168=1,"ACTIVE     GHGE, FARM GATE (kg CO2e/kg)","GHGE, processor gate (kg CO2e/kg)"),INDIRECT($K168)),GETPIVOTDATA(IF($J168=1,"ACTIVE     GHGE, FARM GATE (kg CO2e/kg)","Count of GHGE, processor gate (kg CO2e/kg)"),'Pivot Table_GHG'!$A$3,"SUB TYPE",$B168))</f>
        <v>2</v>
      </c>
      <c r="R168" s="221">
        <f ca="1">IF($P168="PROXY",DAVERAGE('literature entries'!$D:$AI,IF($J168=1,"ACTIVE     GHGE, FARM GATE (kg CO2e/kg)","GHGE, processor gate (kg CO2e/kg)"),INDIRECT($K168)),GETPIVOTDATA(IF($J168=1,"Average of ACTIVE     GHGE, FARM GATE (kg CO2e/kg)","Average of GHGE, processor gate (kg CO2e/kg)"),'Pivot Table_GHG'!$A$3,"SUB TYPE",$B168))</f>
        <v>0.6835</v>
      </c>
      <c r="S168" s="221">
        <f ca="1">IF($P168="PROXY",DSTDEV('literature entries'!$D:$AI,IF($J168=1,"ACTIVE     GHGE, FARM GATE (kg CO2e/kg)","GHGE, processor gate (kg CO2e/kg)"),INDIRECT($K168)),GETPIVOTDATA(IF($J168=1,"StdDev of ACTIVE     GHGE, FARM GATE (kg CO2e/kg)","StdDev of GHGE, processor gate (kg CO2e/kg)"),'Pivot Table_GHG'!$A$3,"SUB TYPE",$B168))</f>
        <v>2.3334523779154948E-2</v>
      </c>
      <c r="T168" s="101"/>
      <c r="U168" s="102"/>
      <c r="W168" s="248" t="s">
        <v>2453</v>
      </c>
      <c r="X168" s="246">
        <f ca="1">IF($W168="DIRECT",M168,DCOUNT('literature entries'!$D:$AI,IF($J168=1,"ACTIVE     CED, FARM GATE (MJ/kg)","CED, processor gate (MJ/kg)"),INDIRECT($W168)))</f>
        <v>9</v>
      </c>
      <c r="Y168" s="246">
        <f ca="1">IF($W168="DIRECT","",DAVERAGE('literature entries'!$D:$AI,IF($J168=1,"ACTIVE     CED, FARM GATE (MJ/kg)","CED, processor gate (MJ/kg)"),INDIRECT($W168)))</f>
        <v>6.2256158484065454</v>
      </c>
      <c r="Z168" s="246">
        <f ca="1">IF($W168="DIRECT",$O168,DSTDEV('literature entries'!$D:$AI,IF($J168=1,"ACTIVE     CED, FARM GATE (MJ/kg)","CED, processor gate (MJ/kg)"),INDIRECT($W168)))</f>
        <v>3.4581080763456375</v>
      </c>
      <c r="AA168" s="246">
        <f t="shared" ca="1" si="20"/>
        <v>15.699810666609194</v>
      </c>
      <c r="AB168" s="254" t="s">
        <v>2453</v>
      </c>
      <c r="AC168" s="247">
        <f ca="1">IF($AB168="DIRECT",Q168,DCOUNT('literature entries'!$D:$AI,IF($J168=1,"ACTIVE     GHGE, FARM GATE (kg CO2e/kg)","GHGE, processor gate (kg CO2e/kg)"),INDIRECT($AB168)))</f>
        <v>19</v>
      </c>
      <c r="AD168" s="247">
        <f ca="1">IF($AB168="DIRECT","",DAVERAGE('literature entries'!$D:$AI,IF($J168=1,"ACTIVE     GHGE, FARM GATE (kg CO2e/kg)","GHGE, processor gate (kg CO2e/kg)"),INDIRECT($AB168)))</f>
        <v>0.57597001083945576</v>
      </c>
      <c r="AE168" s="247">
        <f ca="1">IF($AB168="DIRECT",$S168,DSTDEV('literature entries'!$D:$AI,IF($J168=1,"ACTIVE     GHGE, FARM GATE (kg CO2e/kg)","GHGE, processor gate (kg CO2e/kg)"),INDIRECT($AB168)))</f>
        <v>0.40302432016659151</v>
      </c>
      <c r="AF168" s="247">
        <f t="shared" ca="1" si="21"/>
        <v>0.47826643340749941</v>
      </c>
    </row>
    <row r="169" spans="1:32" s="21" customFormat="1" ht="17" thickBot="1" x14ac:dyDescent="0.25">
      <c r="A169" s="129">
        <v>1304179000</v>
      </c>
      <c r="B169" s="130" t="s">
        <v>2020</v>
      </c>
      <c r="C169" s="131" t="s">
        <v>2021</v>
      </c>
      <c r="D169" s="131"/>
      <c r="E169" s="131">
        <v>6014</v>
      </c>
      <c r="F169" s="126">
        <f t="shared" ca="1" si="16"/>
        <v>7.6742138364779864</v>
      </c>
      <c r="G169" s="127">
        <f t="shared" ca="1" si="17"/>
        <v>0.77988901978973402</v>
      </c>
      <c r="H169" s="132">
        <v>1</v>
      </c>
      <c r="I169" s="133" t="s">
        <v>594</v>
      </c>
      <c r="J169" s="103">
        <v>2</v>
      </c>
      <c r="K169" s="90" t="s">
        <v>2785</v>
      </c>
      <c r="L169" s="152" t="str">
        <f>IF(ISERROR(GETPIVOTDATA(IF($J169=1,"Count of ACTIVE     CED, FARM GATE (MJ/kg)","Count of CED, processor gate (MJ/kg)"),'Pivot Table_CED'!$A$3,"SUB TYPE",$B169)),"PROXY",IF(GETPIVOTDATA(IF($J169=1,"Count of ACTIVE     CED, FARM GATE (MJ/kg)","Count of CED, processor gate (MJ/kg)"),'Pivot Table_CED'!$A$3,"SUB TYPE",$B169)=0,"PROXY","DB value"))</f>
        <v>PROXY</v>
      </c>
      <c r="M169" s="134">
        <f ca="1">IF($L169="PROXY",DCOUNT('literature entries'!$D:$AI,IF($J169=1,"ACTIVE     CED, FARM GATE (MJ/kg)","CED, processor gate (MJ/kg)"),INDIRECT($K169)),GETPIVOTDATA(IF($J169=1,"Count of ACTIVE     CED, FARM GATE (MJ/kg)","Count of CED, processor gate (MJ/kg)"),'Pivot Table_CED'!$A$3,"SUB TYPE",$B169))</f>
        <v>3</v>
      </c>
      <c r="N169" s="135">
        <f ca="1">IF($L169="PROXY",DAVERAGE('literature entries'!$D:$AI,IF($J169=1,"ACTIVE     CED, FARM GATE (MJ/kg)","CED, processor gate (MJ/kg)"),INDIRECT($K169)),GETPIVOTDATA(IF($J169=1,"Average of ACTIVE     CED, FARM GATE (MJ/kg)","Average of CED, processor gate (MJ/kg)"),'Pivot Table_CED'!$A$3,"SUB TYPE",$B169))</f>
        <v>7.6742138364779864</v>
      </c>
      <c r="O169" s="135">
        <f ca="1">IF($L169="PROXY",DSTDEV('literature entries'!D:AI,IF($J169=1,"ACTIVE     CED, FARM GATE (MJ/kg)","CED, processor gate (MJ/kg)"),INDIRECT($K169)),GETPIVOTDATA(IF($J169=1,"StdDev of ACTIVE     CED, FARM GATE (MJ/kg)","StdDev of CED, processor gate (MJ/kg)"),'Pivot Table_CED'!$A$3,"SUB TYPE",$B169))</f>
        <v>0.53259068904300144</v>
      </c>
      <c r="P169" s="152" t="str">
        <f>IF(ISERROR(GETPIVOTDATA(IF($J169=1,"Count of ACTIVE     GHGE, FARM GATE (kg CO2e/kg)","Count of GHGE, processor gate (kg CO2e/kg)"),'Pivot Table_GHG'!$A$3,"SUB TYPE",$B169)),"PROXY",IF(GETPIVOTDATA(IF($J169=1,"Count of ACTIVE     GHGE, FARM GATE (kg CO2e/kg)","Count of GHGE, processor gate (kg CO2e/kg)"),'Pivot Table_GHG'!$A$3,"SUB TYPE",$B169)=0,"PROXY","DB value"))</f>
        <v>DB value</v>
      </c>
      <c r="Q169" s="141">
        <f ca="1">IF($P169="PROXY",DCOUNT('literature entries'!$D:$AI,IF($J169=1,"ACTIVE     GHGE, FARM GATE (kg CO2e/kg)","GHGE, processor gate (kg CO2e/kg)"),INDIRECT($K169)),GETPIVOTDATA(IF($J169=1,"ACTIVE     GHGE, FARM GATE (kg CO2e/kg)","Count of GHGE, processor gate (kg CO2e/kg)"),'Pivot Table_GHG'!$A$3,"SUB TYPE",$B169))</f>
        <v>44</v>
      </c>
      <c r="R169" s="221">
        <f ca="1">IF($P169="PROXY",DAVERAGE('literature entries'!$D:$AI,IF($J169=1,"ACTIVE     GHGE, FARM GATE (kg CO2e/kg)","GHGE, processor gate (kg CO2e/kg)"),INDIRECT($K169)),GETPIVOTDATA(IF($J169=1,"Average of ACTIVE     GHGE, FARM GATE (kg CO2e/kg)","Average of GHGE, processor gate (kg CO2e/kg)"),'Pivot Table_GHG'!$A$3,"SUB TYPE",$B169))</f>
        <v>0.77988901978973402</v>
      </c>
      <c r="S169" s="221">
        <f ca="1">IF($P169="PROXY",DSTDEV('literature entries'!$D:$AI,IF($J169=1,"ACTIVE     GHGE, FARM GATE (kg CO2e/kg)","GHGE, processor gate (kg CO2e/kg)"),INDIRECT($K169)),GETPIVOTDATA(IF($J169=1,"StdDev of ACTIVE     GHGE, FARM GATE (kg CO2e/kg)","StdDev of GHGE, processor gate (kg CO2e/kg)"),'Pivot Table_GHG'!$A$3,"SUB TYPE",$B169))</f>
        <v>0.79168603453409458</v>
      </c>
      <c r="T169" s="101"/>
      <c r="U169" s="102"/>
      <c r="W169" s="256" t="s">
        <v>3367</v>
      </c>
      <c r="X169" s="246"/>
      <c r="Y169" s="246"/>
      <c r="Z169" s="246">
        <v>0</v>
      </c>
      <c r="AA169" s="246">
        <v>0</v>
      </c>
      <c r="AB169" s="254" t="str">
        <f ca="1">IF(P169="PROXY",IF(Q169&gt;=5,K169,"need group"),IF(Q169&gt;=5,"DIRECT","need group"))</f>
        <v>DIRECT</v>
      </c>
      <c r="AC169" s="247">
        <f ca="1">IF($AB169="DIRECT",Q169,DCOUNT('literature entries'!$D:$AI,IF($J169=1,"ACTIVE     GHGE, FARM GATE (kg CO2e/kg)","GHGE, processor gate (kg CO2e/kg)"),INDIRECT($AB169)))</f>
        <v>44</v>
      </c>
      <c r="AD169" s="247" t="str">
        <f ca="1">IF($AB169="DIRECT","",DAVERAGE('literature entries'!$D:$AI,IF($J169=1,"ACTIVE     GHGE, FARM GATE (kg CO2e/kg)","GHGE, processor gate (kg CO2e/kg)"),INDIRECT($AB169)))</f>
        <v/>
      </c>
      <c r="AE169" s="247">
        <f ca="1">IF($AB169="DIRECT",$S169,DSTDEV('literature entries'!$D:$AI,IF($J169=1,"ACTIVE     GHGE, FARM GATE (kg CO2e/kg)","GHGE, processor gate (kg CO2e/kg)"),INDIRECT($AB169)))</f>
        <v>0.79168603453409458</v>
      </c>
      <c r="AF169" s="247">
        <f t="shared" ref="AF169:AF198" ca="1" si="25">IF($AB169="DIRECT",$S169,$AE169/$AD169*$R169)</f>
        <v>0.79168603453409458</v>
      </c>
    </row>
    <row r="170" spans="1:32" s="21" customFormat="1" thickBot="1" x14ac:dyDescent="0.25">
      <c r="A170" s="129">
        <v>1304195000</v>
      </c>
      <c r="B170" s="130" t="s">
        <v>2042</v>
      </c>
      <c r="C170" s="131" t="s">
        <v>2043</v>
      </c>
      <c r="D170" s="131"/>
      <c r="E170" s="131">
        <v>169</v>
      </c>
      <c r="F170" s="126">
        <f t="shared" ca="1" si="16"/>
        <v>6.3104118319999989</v>
      </c>
      <c r="G170" s="127">
        <f t="shared" ca="1" si="17"/>
        <v>0.26384663999999997</v>
      </c>
      <c r="H170" s="132">
        <v>1.1599999999999999</v>
      </c>
      <c r="I170" s="132" t="s">
        <v>2724</v>
      </c>
      <c r="J170" s="91">
        <v>1</v>
      </c>
      <c r="K170" s="90"/>
      <c r="L170" s="152" t="str">
        <f>IF(ISERROR(GETPIVOTDATA(IF($J170=1,"Count of ACTIVE     CED, FARM GATE (MJ/kg)","Count of CED, processor gate (MJ/kg)"),'Pivot Table_CED'!$A$3,"SUB TYPE",$B170)),"PROXY",IF(GETPIVOTDATA(IF($J170=1,"Count of ACTIVE     CED, FARM GATE (MJ/kg)","Count of CED, processor gate (MJ/kg)"),'Pivot Table_CED'!$A$3,"SUB TYPE",$B170)=0,"PROXY","DB value"))</f>
        <v>DB value</v>
      </c>
      <c r="M170" s="134">
        <f ca="1">IF($L170="PROXY",DCOUNT('literature entries'!$D:$AI,IF($J170=1,"ACTIVE     CED, FARM GATE (MJ/kg)","CED, processor gate (MJ/kg)"),INDIRECT($K170)),GETPIVOTDATA(IF($J170=1,"Count of ACTIVE     CED, FARM GATE (MJ/kg)","Count of CED, processor gate (MJ/kg)"),'Pivot Table_CED'!$A$3,"SUB TYPE",$B170))</f>
        <v>1</v>
      </c>
      <c r="N170" s="135">
        <f ca="1">IF($L170="PROXY",DAVERAGE('literature entries'!$D:$AI,IF($J170=1,"ACTIVE     CED, FARM GATE (MJ/kg)","CED, processor gate (MJ/kg)"),INDIRECT($K170)),GETPIVOTDATA(IF($J170=1,"Average of ACTIVE     CED, FARM GATE (MJ/kg)","Average of CED, processor gate (MJ/kg)"),'Pivot Table_CED'!$A$3,"SUB TYPE",$B170))</f>
        <v>5.4400101999999997</v>
      </c>
      <c r="O170" s="135">
        <f ca="1">IF($L170="PROXY",DSTDEV('literature entries'!D:AI,IF($J170=1,"ACTIVE     CED, FARM GATE (MJ/kg)","CED, processor gate (MJ/kg)"),INDIRECT($K170)),GETPIVOTDATA(IF($J170=1,"StdDev of ACTIVE     CED, FARM GATE (MJ/kg)","StdDev of CED, processor gate (MJ/kg)"),'Pivot Table_CED'!$A$3,"SUB TYPE",$B170))</f>
        <v>0</v>
      </c>
      <c r="P170" s="152" t="str">
        <f>IF(ISERROR(GETPIVOTDATA(IF($J170=1,"Count of ACTIVE     GHGE, FARM GATE (kg CO2e/kg)","Count of GHGE, processor gate (kg CO2e/kg)"),'Pivot Table_GHG'!$A$3,"SUB TYPE",$B170)),"PROXY",IF(GETPIVOTDATA(IF($J170=1,"Count of ACTIVE     GHGE, FARM GATE (kg CO2e/kg)","Count of GHGE, processor gate (kg CO2e/kg)"),'Pivot Table_GHG'!$A$3,"SUB TYPE",$B170)=0,"PROXY","DB value"))</f>
        <v>DB value</v>
      </c>
      <c r="Q170" s="141">
        <f ca="1">IF($P170="PROXY",DCOUNT('literature entries'!$D:$AI,IF($J170=1,"ACTIVE     GHGE, FARM GATE (kg CO2e/kg)","GHGE, processor gate (kg CO2e/kg)"),INDIRECT($K170)),GETPIVOTDATA(IF($J170=1,"ACTIVE     GHGE, FARM GATE (kg CO2e/kg)","Count of GHGE, processor gate (kg CO2e/kg)"),'Pivot Table_GHG'!$A$3,"SUB TYPE",$B170))</f>
        <v>5</v>
      </c>
      <c r="R170" s="221">
        <f ca="1">IF($P170="PROXY",DAVERAGE('literature entries'!$D:$AI,IF($J170=1,"ACTIVE     GHGE, FARM GATE (kg CO2e/kg)","GHGE, processor gate (kg CO2e/kg)"),INDIRECT($K170)),GETPIVOTDATA(IF($J170=1,"Average of ACTIVE     GHGE, FARM GATE (kg CO2e/kg)","Average of GHGE, processor gate (kg CO2e/kg)"),'Pivot Table_GHG'!$A$3,"SUB TYPE",$B170))</f>
        <v>0.22745399999999999</v>
      </c>
      <c r="S170" s="221">
        <f ca="1">IF($P170="PROXY",DSTDEV('literature entries'!$D:$AI,IF($J170=1,"ACTIVE     GHGE, FARM GATE (kg CO2e/kg)","GHGE, processor gate (kg CO2e/kg)"),INDIRECT($K170)),GETPIVOTDATA(IF($J170=1,"StdDev of ACTIVE     GHGE, FARM GATE (kg CO2e/kg)","StdDev of GHGE, processor gate (kg CO2e/kg)"),'Pivot Table_GHG'!$A$3,"SUB TYPE",$B170))</f>
        <v>0.121479794945497</v>
      </c>
      <c r="T170" s="101"/>
      <c r="U170" s="102"/>
      <c r="W170" s="248" t="s">
        <v>2453</v>
      </c>
      <c r="X170" s="246">
        <f ca="1">IF($W170="DIRECT",M170,DCOUNT('literature entries'!$D:$AI,IF($J170=1,"ACTIVE     CED, FARM GATE (MJ/kg)","CED, processor gate (MJ/kg)"),INDIRECT($W170)))</f>
        <v>9</v>
      </c>
      <c r="Y170" s="246">
        <f ca="1">IF($W170="DIRECT","",DAVERAGE('literature entries'!$D:$AI,IF($J170=1,"ACTIVE     CED, FARM GATE (MJ/kg)","CED, processor gate (MJ/kg)"),INDIRECT($W170)))</f>
        <v>6.2256158484065454</v>
      </c>
      <c r="Z170" s="246">
        <f ca="1">IF($W170="DIRECT",$O170,DSTDEV('literature entries'!$D:$AI,IF($J170=1,"ACTIVE     CED, FARM GATE (MJ/kg)","CED, processor gate (MJ/kg)"),INDIRECT($W170)))</f>
        <v>3.4581080763456375</v>
      </c>
      <c r="AA170" s="246">
        <f t="shared" ref="AA170:AA198" ca="1" si="26">IF($W170="DIRECT",$O170,$Z170/$Y170*$N170)</f>
        <v>3.0217320930326337</v>
      </c>
      <c r="AB170" s="254" t="str">
        <f ca="1">IF(P170="PROXY",IF(Q170&gt;=5,K170,"need group"),IF(Q170&gt;=5,"DIRECT","need group"))</f>
        <v>DIRECT</v>
      </c>
      <c r="AC170" s="247">
        <f ca="1">IF($AB170="DIRECT",Q170,DCOUNT('literature entries'!$D:$AI,IF($J170=1,"ACTIVE     GHGE, FARM GATE (kg CO2e/kg)","GHGE, processor gate (kg CO2e/kg)"),INDIRECT($AB170)))</f>
        <v>5</v>
      </c>
      <c r="AD170" s="247" t="str">
        <f ca="1">IF($AB170="DIRECT","",DAVERAGE('literature entries'!$D:$AI,IF($J170=1,"ACTIVE     GHGE, FARM GATE (kg CO2e/kg)","GHGE, processor gate (kg CO2e/kg)"),INDIRECT($AB170)))</f>
        <v/>
      </c>
      <c r="AE170" s="247">
        <f ca="1">IF($AB170="DIRECT",$S170,DSTDEV('literature entries'!$D:$AI,IF($J170=1,"ACTIVE     GHGE, FARM GATE (kg CO2e/kg)","GHGE, processor gate (kg CO2e/kg)"),INDIRECT($AB170)))</f>
        <v>0.121479794945497</v>
      </c>
      <c r="AF170" s="247">
        <f t="shared" ca="1" si="25"/>
        <v>0.121479794945497</v>
      </c>
    </row>
    <row r="171" spans="1:32" s="21" customFormat="1" thickBot="1" x14ac:dyDescent="0.25">
      <c r="A171" s="129">
        <v>1307130000</v>
      </c>
      <c r="B171" s="130" t="s">
        <v>1948</v>
      </c>
      <c r="C171" s="131" t="s">
        <v>1834</v>
      </c>
      <c r="D171" s="131"/>
      <c r="E171" s="131">
        <v>174</v>
      </c>
      <c r="F171" s="126">
        <f t="shared" ca="1" si="16"/>
        <v>6.3501281653746764</v>
      </c>
      <c r="G171" s="127">
        <f t="shared" ca="1" si="17"/>
        <v>1.4177999999999999</v>
      </c>
      <c r="H171" s="132">
        <v>1.02</v>
      </c>
      <c r="I171" s="132" t="s">
        <v>2724</v>
      </c>
      <c r="J171" s="91">
        <v>1</v>
      </c>
      <c r="K171" s="90" t="s">
        <v>2453</v>
      </c>
      <c r="L171" s="152" t="str">
        <f>IF(ISERROR(GETPIVOTDATA(IF($J171=1,"Count of ACTIVE     CED, FARM GATE (MJ/kg)","Count of CED, processor gate (MJ/kg)"),'Pivot Table_CED'!$A$3,"SUB TYPE",$B171)),"PROXY",IF(GETPIVOTDATA(IF($J171=1,"Count of ACTIVE     CED, FARM GATE (MJ/kg)","Count of CED, processor gate (MJ/kg)"),'Pivot Table_CED'!$A$3,"SUB TYPE",$B171)=0,"PROXY","DB value"))</f>
        <v>PROXY</v>
      </c>
      <c r="M171" s="134">
        <f ca="1">IF($L171="PROXY",DCOUNT('literature entries'!$D:$AI,IF($J171=1,"ACTIVE     CED, FARM GATE (MJ/kg)","CED, processor gate (MJ/kg)"),INDIRECT($K171)),GETPIVOTDATA(IF($J171=1,"Count of ACTIVE     CED, FARM GATE (MJ/kg)","Count of CED, processor gate (MJ/kg)"),'Pivot Table_CED'!$A$3,"SUB TYPE",$B171))</f>
        <v>9</v>
      </c>
      <c r="N171" s="135">
        <f ca="1">IF($L171="PROXY",DAVERAGE('literature entries'!$D:$AI,IF($J171=1,"ACTIVE     CED, FARM GATE (MJ/kg)","CED, processor gate (MJ/kg)"),INDIRECT($K171)),GETPIVOTDATA(IF($J171=1,"Average of ACTIVE     CED, FARM GATE (MJ/kg)","Average of CED, processor gate (MJ/kg)"),'Pivot Table_CED'!$A$3,"SUB TYPE",$B171))</f>
        <v>6.2256158484065454</v>
      </c>
      <c r="O171" s="135">
        <f ca="1">IF($L171="PROXY",DSTDEV('literature entries'!D:AI,IF($J171=1,"ACTIVE     CED, FARM GATE (MJ/kg)","CED, processor gate (MJ/kg)"),INDIRECT($K171)),GETPIVOTDATA(IF($J171=1,"StdDev of ACTIVE     CED, FARM GATE (MJ/kg)","StdDev of CED, processor gate (MJ/kg)"),'Pivot Table_CED'!$A$3,"SUB TYPE",$B171))</f>
        <v>3.4581080763456375</v>
      </c>
      <c r="P171" s="152" t="str">
        <f>IF(ISERROR(GETPIVOTDATA(IF($J171=1,"Count of ACTIVE     GHGE, FARM GATE (kg CO2e/kg)","Count of GHGE, processor gate (kg CO2e/kg)"),'Pivot Table_GHG'!$A$3,"SUB TYPE",$B171)),"PROXY",IF(GETPIVOTDATA(IF($J171=1,"Count of ACTIVE     GHGE, FARM GATE (kg CO2e/kg)","Count of GHGE, processor gate (kg CO2e/kg)"),'Pivot Table_GHG'!$A$3,"SUB TYPE",$B171)=0,"PROXY","DB value"))</f>
        <v>DB value</v>
      </c>
      <c r="Q171" s="141">
        <f ca="1">IF($P171="PROXY",DCOUNT('literature entries'!$D:$AI,IF($J171=1,"ACTIVE     GHGE, FARM GATE (kg CO2e/kg)","GHGE, processor gate (kg CO2e/kg)"),INDIRECT($K171)),GETPIVOTDATA(IF($J171=1,"ACTIVE     GHGE, FARM GATE (kg CO2e/kg)","Count of GHGE, processor gate (kg CO2e/kg)"),'Pivot Table_GHG'!$A$3,"SUB TYPE",$B171))</f>
        <v>1</v>
      </c>
      <c r="R171" s="221">
        <f ca="1">IF($P171="PROXY",DAVERAGE('literature entries'!$D:$AI,IF($J171=1,"ACTIVE     GHGE, FARM GATE (kg CO2e/kg)","GHGE, processor gate (kg CO2e/kg)"),INDIRECT($K171)),GETPIVOTDATA(IF($J171=1,"Average of ACTIVE     GHGE, FARM GATE (kg CO2e/kg)","Average of GHGE, processor gate (kg CO2e/kg)"),'Pivot Table_GHG'!$A$3,"SUB TYPE",$B171))</f>
        <v>1.39</v>
      </c>
      <c r="S171" s="221" t="e">
        <f ca="1">IF($P171="PROXY",DSTDEV('literature entries'!$D:$AI,IF($J171=1,"ACTIVE     GHGE, FARM GATE (kg CO2e/kg)","GHGE, processor gate (kg CO2e/kg)"),INDIRECT($K171)),GETPIVOTDATA(IF($J171=1,"StdDev of ACTIVE     GHGE, FARM GATE (kg CO2e/kg)","StdDev of GHGE, processor gate (kg CO2e/kg)"),'Pivot Table_GHG'!$A$3,"SUB TYPE",$B171))</f>
        <v>#DIV/0!</v>
      </c>
      <c r="T171" s="104"/>
      <c r="U171" s="104"/>
      <c r="W171" s="248" t="str">
        <f ca="1">IF(L171="PROXY",IF(M171&gt;=5,K171,"need group"),IF(M171&gt;=5,"DIRECT","need group"))</f>
        <v>berry</v>
      </c>
      <c r="X171" s="246">
        <f ca="1">IF($W171="DIRECT",M171,DCOUNT('literature entries'!$D:$AI,IF($J171=1,"ACTIVE     CED, FARM GATE (MJ/kg)","CED, processor gate (MJ/kg)"),INDIRECT($W171)))</f>
        <v>9</v>
      </c>
      <c r="Y171" s="246">
        <f ca="1">IF($W171="DIRECT","",DAVERAGE('literature entries'!$D:$AI,IF($J171=1,"ACTIVE     CED, FARM GATE (MJ/kg)","CED, processor gate (MJ/kg)"),INDIRECT($W171)))</f>
        <v>6.2256158484065454</v>
      </c>
      <c r="Z171" s="246">
        <f ca="1">IF($W171="DIRECT",$O171,DSTDEV('literature entries'!$D:$AI,IF($J171=1,"ACTIVE     CED, FARM GATE (MJ/kg)","CED, processor gate (MJ/kg)"),INDIRECT($W171)))</f>
        <v>3.4581080763456375</v>
      </c>
      <c r="AA171" s="246">
        <f t="shared" ca="1" si="26"/>
        <v>3.4581080763456375</v>
      </c>
      <c r="AB171" s="254" t="s">
        <v>2453</v>
      </c>
      <c r="AC171" s="247">
        <f ca="1">IF($AB171="DIRECT",Q171,DCOUNT('literature entries'!$D:$AI,IF($J171=1,"ACTIVE     GHGE, FARM GATE (kg CO2e/kg)","GHGE, processor gate (kg CO2e/kg)"),INDIRECT($AB171)))</f>
        <v>19</v>
      </c>
      <c r="AD171" s="247">
        <f ca="1">IF($AB171="DIRECT","",DAVERAGE('literature entries'!$D:$AI,IF($J171=1,"ACTIVE     GHGE, FARM GATE (kg CO2e/kg)","GHGE, processor gate (kg CO2e/kg)"),INDIRECT($AB171)))</f>
        <v>0.57597001083945576</v>
      </c>
      <c r="AE171" s="247">
        <f ca="1">IF($AB171="DIRECT",$S171,DSTDEV('literature entries'!$D:$AI,IF($J171=1,"ACTIVE     GHGE, FARM GATE (kg CO2e/kg)","GHGE, processor gate (kg CO2e/kg)"),INDIRECT($AB171)))</f>
        <v>0.40302432016659151</v>
      </c>
      <c r="AF171" s="247">
        <f t="shared" ca="1" si="25"/>
        <v>0.97262668973873323</v>
      </c>
    </row>
    <row r="172" spans="1:32" s="21" customFormat="1" ht="17" thickBot="1" x14ac:dyDescent="0.25">
      <c r="A172" s="129">
        <v>1307131000</v>
      </c>
      <c r="B172" s="130" t="s">
        <v>1949</v>
      </c>
      <c r="C172" s="131" t="s">
        <v>1950</v>
      </c>
      <c r="D172" s="131"/>
      <c r="E172" s="131">
        <v>813</v>
      </c>
      <c r="F172" s="126">
        <f t="shared" ca="1" si="16"/>
        <v>41.345355725103708</v>
      </c>
      <c r="G172" s="127">
        <f t="shared" ca="1" si="17"/>
        <v>3.8251131398099805</v>
      </c>
      <c r="H172" s="136">
        <v>6.6411671924290197</v>
      </c>
      <c r="I172" s="133" t="s">
        <v>2737</v>
      </c>
      <c r="J172" s="91">
        <v>1</v>
      </c>
      <c r="K172" s="90" t="s">
        <v>2453</v>
      </c>
      <c r="L172" s="152" t="str">
        <f>IF(ISERROR(GETPIVOTDATA(IF($J172=1,"Count of ACTIVE     CED, FARM GATE (MJ/kg)","Count of CED, processor gate (MJ/kg)"),'Pivot Table_CED'!$A$3,"SUB TYPE",$B172)),"PROXY",IF(GETPIVOTDATA(IF($J172=1,"Count of ACTIVE     CED, FARM GATE (MJ/kg)","Count of CED, processor gate (MJ/kg)"),'Pivot Table_CED'!$A$3,"SUB TYPE",$B172)=0,"PROXY","DB value"))</f>
        <v>PROXY</v>
      </c>
      <c r="M172" s="134">
        <f ca="1">IF($L172="PROXY",DCOUNT('literature entries'!$D:$AI,IF($J172=1,"ACTIVE     CED, FARM GATE (MJ/kg)","CED, processor gate (MJ/kg)"),INDIRECT($K172)),GETPIVOTDATA(IF($J172=1,"Count of ACTIVE     CED, FARM GATE (MJ/kg)","Count of CED, processor gate (MJ/kg)"),'Pivot Table_CED'!$A$3,"SUB TYPE",$B172))</f>
        <v>9</v>
      </c>
      <c r="N172" s="135">
        <f ca="1">IF($L172="PROXY",DAVERAGE('literature entries'!$D:$AI,IF($J172=1,"ACTIVE     CED, FARM GATE (MJ/kg)","CED, processor gate (MJ/kg)"),INDIRECT($K172)),GETPIVOTDATA(IF($J172=1,"Average of ACTIVE     CED, FARM GATE (MJ/kg)","Average of CED, processor gate (MJ/kg)"),'Pivot Table_CED'!$A$3,"SUB TYPE",$B172))</f>
        <v>6.2256158484065454</v>
      </c>
      <c r="O172" s="135">
        <f ca="1">IF($L172="PROXY",DSTDEV('literature entries'!D:AI,IF($J172=1,"ACTIVE     CED, FARM GATE (MJ/kg)","CED, processor gate (MJ/kg)"),INDIRECT($K172)),GETPIVOTDATA(IF($J172=1,"StdDev of ACTIVE     CED, FARM GATE (MJ/kg)","StdDev of CED, processor gate (MJ/kg)"),'Pivot Table_CED'!$A$3,"SUB TYPE",$B172))</f>
        <v>3.4581080763456375</v>
      </c>
      <c r="P172" s="152" t="str">
        <f>IF(ISERROR(GETPIVOTDATA(IF($J172=1,"Count of ACTIVE     GHGE, FARM GATE (kg CO2e/kg)","Count of GHGE, processor gate (kg CO2e/kg)"),'Pivot Table_GHG'!$A$3,"SUB TYPE",$B172)),"PROXY",IF(GETPIVOTDATA(IF($J172=1,"Count of ACTIVE     GHGE, FARM GATE (kg CO2e/kg)","Count of GHGE, processor gate (kg CO2e/kg)"),'Pivot Table_GHG'!$A$3,"SUB TYPE",$B172)=0,"PROXY","DB value"))</f>
        <v>PROXY</v>
      </c>
      <c r="Q172" s="141">
        <f ca="1">IF($P172="PROXY",DCOUNT('literature entries'!$D:$AI,IF($J172=1,"ACTIVE     GHGE, FARM GATE (kg CO2e/kg)","GHGE, processor gate (kg CO2e/kg)"),INDIRECT($K172)),GETPIVOTDATA(IF($J172=1,"ACTIVE     GHGE, FARM GATE (kg CO2e/kg)","Count of GHGE, processor gate (kg CO2e/kg)"),'Pivot Table_GHG'!$A$3,"SUB TYPE",$B172))</f>
        <v>19</v>
      </c>
      <c r="R172" s="221">
        <f ca="1">IF($P172="PROXY",DAVERAGE('literature entries'!$D:$AI,IF($J172=1,"ACTIVE     GHGE, FARM GATE (kg CO2e/kg)","GHGE, processor gate (kg CO2e/kg)"),INDIRECT($K172)),GETPIVOTDATA(IF($J172=1,"Average of ACTIVE     GHGE, FARM GATE (kg CO2e/kg)","Average of GHGE, processor gate (kg CO2e/kg)"),'Pivot Table_GHG'!$A$3,"SUB TYPE",$B172))</f>
        <v>0.57597001083945576</v>
      </c>
      <c r="S172" s="221">
        <f ca="1">IF($P172="PROXY",DSTDEV('literature entries'!$D:$AI,IF($J172=1,"ACTIVE     GHGE, FARM GATE (kg CO2e/kg)","GHGE, processor gate (kg CO2e/kg)"),INDIRECT($K172)),GETPIVOTDATA(IF($J172=1,"StdDev of ACTIVE     GHGE, FARM GATE (kg CO2e/kg)","StdDev of GHGE, processor gate (kg CO2e/kg)"),'Pivot Table_GHG'!$A$3,"SUB TYPE",$B172))</f>
        <v>0.40302432016659151</v>
      </c>
      <c r="T172" s="101"/>
      <c r="U172" s="102"/>
      <c r="W172" s="248" t="str">
        <f ca="1">IF(L172="PROXY",IF(M172&gt;=5,K172,"need group"),IF(M172&gt;=5,"DIRECT","need group"))</f>
        <v>berry</v>
      </c>
      <c r="X172" s="246">
        <f ca="1">IF($W172="DIRECT",M172,DCOUNT('literature entries'!$D:$AI,IF($J172=1,"ACTIVE     CED, FARM GATE (MJ/kg)","CED, processor gate (MJ/kg)"),INDIRECT($W172)))</f>
        <v>9</v>
      </c>
      <c r="Y172" s="246">
        <f ca="1">IF($W172="DIRECT","",DAVERAGE('literature entries'!$D:$AI,IF($J172=1,"ACTIVE     CED, FARM GATE (MJ/kg)","CED, processor gate (MJ/kg)"),INDIRECT($W172)))</f>
        <v>6.2256158484065454</v>
      </c>
      <c r="Z172" s="246">
        <f ca="1">IF($W172="DIRECT",$O172,DSTDEV('literature entries'!$D:$AI,IF($J172=1,"ACTIVE     CED, FARM GATE (MJ/kg)","CED, processor gate (MJ/kg)"),INDIRECT($W172)))</f>
        <v>3.4581080763456375</v>
      </c>
      <c r="AA172" s="246">
        <f t="shared" ca="1" si="26"/>
        <v>3.4581080763456375</v>
      </c>
      <c r="AB172" s="254" t="str">
        <f t="shared" ref="AB172:AB179" ca="1" si="27">IF(P172="PROXY",IF(Q172&gt;=5,K172,"need group"),IF(Q172&gt;=5,"DIRECT","need group"))</f>
        <v>berry</v>
      </c>
      <c r="AC172" s="247">
        <f ca="1">IF($AB172="DIRECT",Q172,DCOUNT('literature entries'!$D:$AI,IF($J172=1,"ACTIVE     GHGE, FARM GATE (kg CO2e/kg)","GHGE, processor gate (kg CO2e/kg)"),INDIRECT($AB172)))</f>
        <v>19</v>
      </c>
      <c r="AD172" s="247">
        <f ca="1">IF($AB172="DIRECT","",DAVERAGE('literature entries'!$D:$AI,IF($J172=1,"ACTIVE     GHGE, FARM GATE (kg CO2e/kg)","GHGE, processor gate (kg CO2e/kg)"),INDIRECT($AB172)))</f>
        <v>0.57597001083945576</v>
      </c>
      <c r="AE172" s="247">
        <f ca="1">IF($AB172="DIRECT",$S172,DSTDEV('literature entries'!$D:$AI,IF($J172=1,"ACTIVE     GHGE, FARM GATE (kg CO2e/kg)","GHGE, processor gate (kg CO2e/kg)"),INDIRECT($AB172)))</f>
        <v>0.40302432016659151</v>
      </c>
      <c r="AF172" s="247">
        <f t="shared" ca="1" si="25"/>
        <v>0.40302432016659151</v>
      </c>
    </row>
    <row r="173" spans="1:32" s="21" customFormat="1" thickBot="1" x14ac:dyDescent="0.25">
      <c r="A173" s="129">
        <v>1307132000</v>
      </c>
      <c r="B173" s="130" t="s">
        <v>1951</v>
      </c>
      <c r="C173" s="131" t="s">
        <v>1742</v>
      </c>
      <c r="D173" s="131"/>
      <c r="E173" s="131">
        <v>7477</v>
      </c>
      <c r="F173" s="126">
        <f t="shared" ca="1" si="16"/>
        <v>13.37530060292851</v>
      </c>
      <c r="G173" s="127">
        <f t="shared" ca="1" si="17"/>
        <v>1.7278401401712924</v>
      </c>
      <c r="H173" s="132">
        <v>1.3</v>
      </c>
      <c r="I173" s="132" t="s">
        <v>2724</v>
      </c>
      <c r="J173" s="91">
        <v>1</v>
      </c>
      <c r="K173" s="90" t="s">
        <v>2453</v>
      </c>
      <c r="L173" s="152" t="str">
        <f>IF(ISERROR(GETPIVOTDATA(IF($J173=1,"Count of ACTIVE     CED, FARM GATE (MJ/kg)","Count of CED, processor gate (MJ/kg)"),'Pivot Table_CED'!$A$3,"SUB TYPE",$B173)),"PROXY",IF(GETPIVOTDATA(IF($J173=1,"Count of ACTIVE     CED, FARM GATE (MJ/kg)","Count of CED, processor gate (MJ/kg)"),'Pivot Table_CED'!$A$3,"SUB TYPE",$B173)=0,"PROXY","DB value"))</f>
        <v>PROXY</v>
      </c>
      <c r="M173" s="134">
        <f ca="1">IF($L173="PROXY",DCOUNT('literature entries'!$D:$AI,IF($J173=1,"ACTIVE     CED, FARM GATE (MJ/kg)","CED, processor gate (MJ/kg)"),INDIRECT($K173)),GETPIVOTDATA(IF($J173=1,"Count of ACTIVE     CED, FARM GATE (MJ/kg)","Count of CED, processor gate (MJ/kg)"),'Pivot Table_CED'!$A$3,"SUB TYPE",$B173))</f>
        <v>9</v>
      </c>
      <c r="N173" s="135">
        <f ca="1">IF($L173="PROXY",DAVERAGE('literature entries'!$D:$AI,IF($J173=1,"ACTIVE     CED, FARM GATE (MJ/kg)","CED, processor gate (MJ/kg)"),INDIRECT($K173)),GETPIVOTDATA(IF($J173=1,"Average of ACTIVE     CED, FARM GATE (MJ/kg)","Average of CED, processor gate (MJ/kg)"),'Pivot Table_CED'!$A$3,"SUB TYPE",$B173))</f>
        <v>6.2256158484065454</v>
      </c>
      <c r="O173" s="135">
        <f ca="1">IF($L173="PROXY",DSTDEV('literature entries'!D:AI,IF($J173=1,"ACTIVE     CED, FARM GATE (MJ/kg)","CED, processor gate (MJ/kg)"),INDIRECT($K173)),GETPIVOTDATA(IF($J173=1,"StdDev of ACTIVE     CED, FARM GATE (MJ/kg)","StdDev of CED, processor gate (MJ/kg)"),'Pivot Table_CED'!$A$3,"SUB TYPE",$B173))</f>
        <v>3.4581080763456375</v>
      </c>
      <c r="P173" s="152" t="str">
        <f>IF(ISERROR(GETPIVOTDATA(IF($J173=1,"Count of ACTIVE     GHGE, FARM GATE (kg CO2e/kg)","Count of GHGE, processor gate (kg CO2e/kg)"),'Pivot Table_GHG'!$A$3,"SUB TYPE",$B173)),"PROXY",IF(GETPIVOTDATA(IF($J173=1,"Count of ACTIVE     GHGE, FARM GATE (kg CO2e/kg)","Count of GHGE, processor gate (kg CO2e/kg)"),'Pivot Table_GHG'!$A$3,"SUB TYPE",$B173)=0,"PROXY","DB value"))</f>
        <v>PROXY</v>
      </c>
      <c r="Q173" s="141">
        <f ca="1">IF($P173="PROXY",DCOUNT('literature entries'!$D:$AI,IF($J173=1,"ACTIVE     GHGE, FARM GATE (kg CO2e/kg)","GHGE, processor gate (kg CO2e/kg)"),INDIRECT($K173)),GETPIVOTDATA(IF($J173=1,"ACTIVE     GHGE, FARM GATE (kg CO2e/kg)","Count of GHGE, processor gate (kg CO2e/kg)"),'Pivot Table_GHG'!$A$3,"SUB TYPE",$B173))</f>
        <v>19</v>
      </c>
      <c r="R173" s="221">
        <f ca="1">IF($P173="PROXY",DAVERAGE('literature entries'!$D:$AI,IF($J173=1,"ACTIVE     GHGE, FARM GATE (kg CO2e/kg)","GHGE, processor gate (kg CO2e/kg)"),INDIRECT($K173)),GETPIVOTDATA(IF($J173=1,"Average of ACTIVE     GHGE, FARM GATE (kg CO2e/kg)","Average of GHGE, processor gate (kg CO2e/kg)"),'Pivot Table_GHG'!$A$3,"SUB TYPE",$B173))</f>
        <v>0.57597001083945576</v>
      </c>
      <c r="S173" s="221">
        <f ca="1">IF($P173="PROXY",DSTDEV('literature entries'!$D:$AI,IF($J173=1,"ACTIVE     GHGE, FARM GATE (kg CO2e/kg)","GHGE, processor gate (kg CO2e/kg)"),INDIRECT($K173)),GETPIVOTDATA(IF($J173=1,"StdDev of ACTIVE     GHGE, FARM GATE (kg CO2e/kg)","StdDev of GHGE, processor gate (kg CO2e/kg)"),'Pivot Table_GHG'!$A$3,"SUB TYPE",$B173))</f>
        <v>0.40302432016659151</v>
      </c>
      <c r="T173" s="99">
        <v>5.282</v>
      </c>
      <c r="U173" s="100">
        <v>0.97907912607999992</v>
      </c>
      <c r="W173" s="248" t="str">
        <f ca="1">IF(L173="PROXY",IF(M173&gt;=5,K173,"need group"),IF(M173&gt;=5,"DIRECT","need group"))</f>
        <v>berry</v>
      </c>
      <c r="X173" s="246">
        <f ca="1">IF($W173="DIRECT",M173,DCOUNT('literature entries'!$D:$AI,IF($J173=1,"ACTIVE     CED, FARM GATE (MJ/kg)","CED, processor gate (MJ/kg)"),INDIRECT($W173)))</f>
        <v>9</v>
      </c>
      <c r="Y173" s="246">
        <f ca="1">IF($W173="DIRECT","",DAVERAGE('literature entries'!$D:$AI,IF($J173=1,"ACTIVE     CED, FARM GATE (MJ/kg)","CED, processor gate (MJ/kg)"),INDIRECT($W173)))</f>
        <v>6.2256158484065454</v>
      </c>
      <c r="Z173" s="246">
        <f ca="1">IF($W173="DIRECT",$O173,DSTDEV('literature entries'!$D:$AI,IF($J173=1,"ACTIVE     CED, FARM GATE (MJ/kg)","CED, processor gate (MJ/kg)"),INDIRECT($W173)))</f>
        <v>3.4581080763456375</v>
      </c>
      <c r="AA173" s="246">
        <f t="shared" ca="1" si="26"/>
        <v>3.4581080763456375</v>
      </c>
      <c r="AB173" s="254" t="str">
        <f t="shared" ca="1" si="27"/>
        <v>berry</v>
      </c>
      <c r="AC173" s="247">
        <f ca="1">IF($AB173="DIRECT",Q173,DCOUNT('literature entries'!$D:$AI,IF($J173=1,"ACTIVE     GHGE, FARM GATE (kg CO2e/kg)","GHGE, processor gate (kg CO2e/kg)"),INDIRECT($AB173)))</f>
        <v>19</v>
      </c>
      <c r="AD173" s="247">
        <f ca="1">IF($AB173="DIRECT","",DAVERAGE('literature entries'!$D:$AI,IF($J173=1,"ACTIVE     GHGE, FARM GATE (kg CO2e/kg)","GHGE, processor gate (kg CO2e/kg)"),INDIRECT($AB173)))</f>
        <v>0.57597001083945576</v>
      </c>
      <c r="AE173" s="247">
        <f ca="1">IF($AB173="DIRECT",$S173,DSTDEV('literature entries'!$D:$AI,IF($J173=1,"ACTIVE     GHGE, FARM GATE (kg CO2e/kg)","GHGE, processor gate (kg CO2e/kg)"),INDIRECT($AB173)))</f>
        <v>0.40302432016659151</v>
      </c>
      <c r="AF173" s="247">
        <f t="shared" ca="1" si="25"/>
        <v>0.40302432016659151</v>
      </c>
    </row>
    <row r="174" spans="1:32" s="21" customFormat="1" thickBot="1" x14ac:dyDescent="0.25">
      <c r="A174" s="129">
        <v>1307359000</v>
      </c>
      <c r="B174" s="130" t="s">
        <v>2282</v>
      </c>
      <c r="C174" s="131" t="s">
        <v>2283</v>
      </c>
      <c r="D174" s="131"/>
      <c r="E174" s="131">
        <v>12636</v>
      </c>
      <c r="F174" s="126">
        <f t="shared" ca="1" si="16"/>
        <v>8.289200000000001</v>
      </c>
      <c r="G174" s="127">
        <f t="shared" ca="1" si="17"/>
        <v>0.61373999999999995</v>
      </c>
      <c r="H174" s="132">
        <v>1.06</v>
      </c>
      <c r="I174" s="132" t="s">
        <v>2724</v>
      </c>
      <c r="J174" s="91">
        <v>1</v>
      </c>
      <c r="K174" s="90"/>
      <c r="L174" s="152" t="str">
        <f>IF(ISERROR(GETPIVOTDATA(IF($J174=1,"Count of ACTIVE     CED, FARM GATE (MJ/kg)","Count of CED, processor gate (MJ/kg)"),'Pivot Table_CED'!$A$3,"SUB TYPE",$B174)),"PROXY",IF(GETPIVOTDATA(IF($J174=1,"Count of ACTIVE     CED, FARM GATE (MJ/kg)","Count of CED, processor gate (MJ/kg)"),'Pivot Table_CED'!$A$3,"SUB TYPE",$B174)=0,"PROXY","DB value"))</f>
        <v>DB value</v>
      </c>
      <c r="M174" s="134">
        <f ca="1">IF($L174="PROXY",DCOUNT('literature entries'!$D:$AI,IF($J174=1,"ACTIVE     CED, FARM GATE (MJ/kg)","CED, processor gate (MJ/kg)"),INDIRECT($K174)),GETPIVOTDATA(IF($J174=1,"Count of ACTIVE     CED, FARM GATE (MJ/kg)","Count of CED, processor gate (MJ/kg)"),'Pivot Table_CED'!$A$3,"SUB TYPE",$B174))</f>
        <v>5</v>
      </c>
      <c r="N174" s="135">
        <f ca="1">IF($L174="PROXY",DAVERAGE('literature entries'!$D:$AI,IF($J174=1,"ACTIVE     CED, FARM GATE (MJ/kg)","CED, processor gate (MJ/kg)"),INDIRECT($K174)),GETPIVOTDATA(IF($J174=1,"Average of ACTIVE     CED, FARM GATE (MJ/kg)","Average of CED, processor gate (MJ/kg)"),'Pivot Table_CED'!$A$3,"SUB TYPE",$B174))</f>
        <v>7.82</v>
      </c>
      <c r="O174" s="135">
        <f ca="1">IF($L174="PROXY",DSTDEV('literature entries'!D:AI,IF($J174=1,"ACTIVE     CED, FARM GATE (MJ/kg)","CED, processor gate (MJ/kg)"),INDIRECT($K174)),GETPIVOTDATA(IF($J174=1,"StdDev of ACTIVE     CED, FARM GATE (MJ/kg)","StdDev of CED, processor gate (MJ/kg)"),'Pivot Table_CED'!$A$3,"SUB TYPE",$B174))</f>
        <v>3.8931991986026073</v>
      </c>
      <c r="P174" s="152" t="str">
        <f>IF(ISERROR(GETPIVOTDATA(IF($J174=1,"Count of ACTIVE     GHGE, FARM GATE (kg CO2e/kg)","Count of GHGE, processor gate (kg CO2e/kg)"),'Pivot Table_GHG'!$A$3,"SUB TYPE",$B174)),"PROXY",IF(GETPIVOTDATA(IF($J174=1,"Count of ACTIVE     GHGE, FARM GATE (kg CO2e/kg)","Count of GHGE, processor gate (kg CO2e/kg)"),'Pivot Table_GHG'!$A$3,"SUB TYPE",$B174)=0,"PROXY","DB value"))</f>
        <v>DB value</v>
      </c>
      <c r="Q174" s="141">
        <f ca="1">IF($P174="PROXY",DCOUNT('literature entries'!$D:$AI,IF($J174=1,"ACTIVE     GHGE, FARM GATE (kg CO2e/kg)","GHGE, processor gate (kg CO2e/kg)"),INDIRECT($K174)),GETPIVOTDATA(IF($J174=1,"ACTIVE     GHGE, FARM GATE (kg CO2e/kg)","Count of GHGE, processor gate (kg CO2e/kg)"),'Pivot Table_GHG'!$A$3,"SUB TYPE",$B174))</f>
        <v>11</v>
      </c>
      <c r="R174" s="221">
        <f ca="1">IF($P174="PROXY",DAVERAGE('literature entries'!$D:$AI,IF($J174=1,"ACTIVE     GHGE, FARM GATE (kg CO2e/kg)","GHGE, processor gate (kg CO2e/kg)"),INDIRECT($K174)),GETPIVOTDATA(IF($J174=1,"Average of ACTIVE     GHGE, FARM GATE (kg CO2e/kg)","Average of GHGE, processor gate (kg CO2e/kg)"),'Pivot Table_GHG'!$A$3,"SUB TYPE",$B174))</f>
        <v>0.57899999999999996</v>
      </c>
      <c r="S174" s="221">
        <f ca="1">IF($P174="PROXY",DSTDEV('literature entries'!$D:$AI,IF($J174=1,"ACTIVE     GHGE, FARM GATE (kg CO2e/kg)","GHGE, processor gate (kg CO2e/kg)"),INDIRECT($K174)),GETPIVOTDATA(IF($J174=1,"StdDev of ACTIVE     GHGE, FARM GATE (kg CO2e/kg)","StdDev of GHGE, processor gate (kg CO2e/kg)"),'Pivot Table_GHG'!$A$3,"SUB TYPE",$B174))</f>
        <v>0.39096368117767671</v>
      </c>
      <c r="T174" s="101"/>
      <c r="U174" s="102"/>
      <c r="W174" s="248" t="s">
        <v>2453</v>
      </c>
      <c r="X174" s="246">
        <f ca="1">IF($W174="DIRECT",M174,DCOUNT('literature entries'!$D:$AI,IF($J174=1,"ACTIVE     CED, FARM GATE (MJ/kg)","CED, processor gate (MJ/kg)"),INDIRECT($W174)))</f>
        <v>9</v>
      </c>
      <c r="Y174" s="246">
        <f ca="1">IF($W174="DIRECT","",DAVERAGE('literature entries'!$D:$AI,IF($J174=1,"ACTIVE     CED, FARM GATE (MJ/kg)","CED, processor gate (MJ/kg)"),INDIRECT($W174)))</f>
        <v>6.2256158484065454</v>
      </c>
      <c r="Z174" s="246">
        <f ca="1">IF($W174="DIRECT",$O174,DSTDEV('literature entries'!$D:$AI,IF($J174=1,"ACTIVE     CED, FARM GATE (MJ/kg)","CED, processor gate (MJ/kg)"),INDIRECT($W174)))</f>
        <v>3.4581080763456375</v>
      </c>
      <c r="AA174" s="246">
        <f t="shared" ca="1" si="26"/>
        <v>4.3437317392374002</v>
      </c>
      <c r="AB174" s="254" t="str">
        <f t="shared" ca="1" si="27"/>
        <v>DIRECT</v>
      </c>
      <c r="AC174" s="247">
        <f ca="1">IF($AB174="DIRECT",Q174,DCOUNT('literature entries'!$D:$AI,IF($J174=1,"ACTIVE     GHGE, FARM GATE (kg CO2e/kg)","GHGE, processor gate (kg CO2e/kg)"),INDIRECT($AB174)))</f>
        <v>11</v>
      </c>
      <c r="AD174" s="247" t="str">
        <f ca="1">IF($AB174="DIRECT","",DAVERAGE('literature entries'!$D:$AI,IF($J174=1,"ACTIVE     GHGE, FARM GATE (kg CO2e/kg)","GHGE, processor gate (kg CO2e/kg)"),INDIRECT($AB174)))</f>
        <v/>
      </c>
      <c r="AE174" s="247">
        <f ca="1">IF($AB174="DIRECT",$S174,DSTDEV('literature entries'!$D:$AI,IF($J174=1,"ACTIVE     GHGE, FARM GATE (kg CO2e/kg)","GHGE, processor gate (kg CO2e/kg)"),INDIRECT($AB174)))</f>
        <v>0.39096368117767671</v>
      </c>
      <c r="AF174" s="247">
        <f t="shared" ca="1" si="25"/>
        <v>0.39096368117767671</v>
      </c>
    </row>
    <row r="175" spans="1:32" s="21" customFormat="1" ht="17" thickBot="1" x14ac:dyDescent="0.25">
      <c r="A175" s="129">
        <v>1307360000</v>
      </c>
      <c r="B175" s="130" t="s">
        <v>2284</v>
      </c>
      <c r="C175" s="131" t="s">
        <v>1742</v>
      </c>
      <c r="D175" s="131"/>
      <c r="E175" s="131">
        <v>9565</v>
      </c>
      <c r="F175" s="126">
        <f t="shared" ca="1" si="16"/>
        <v>15.448</v>
      </c>
      <c r="G175" s="127">
        <f t="shared" ca="1" si="17"/>
        <v>1.7317791260799997</v>
      </c>
      <c r="H175" s="132">
        <v>1.3</v>
      </c>
      <c r="I175" s="133" t="s">
        <v>2724</v>
      </c>
      <c r="J175" s="91">
        <v>1</v>
      </c>
      <c r="K175" s="90" t="s">
        <v>866</v>
      </c>
      <c r="L175" s="152" t="str">
        <f>IF(ISERROR(GETPIVOTDATA(IF($J175=1,"Count of ACTIVE     CED, FARM GATE (MJ/kg)","Count of CED, processor gate (MJ/kg)"),'Pivot Table_CED'!$A$3,"SUB TYPE",$B175)),"PROXY",IF(GETPIVOTDATA(IF($J175=1,"Count of ACTIVE     CED, FARM GATE (MJ/kg)","Count of CED, processor gate (MJ/kg)"),'Pivot Table_CED'!$A$3,"SUB TYPE",$B175)=0,"PROXY","DB value"))</f>
        <v>PROXY</v>
      </c>
      <c r="M175" s="134">
        <f ca="1">IF($L175="PROXY",DCOUNT('literature entries'!$D:$AI,IF($J175=1,"ACTIVE     CED, FARM GATE (MJ/kg)","CED, processor gate (MJ/kg)"),INDIRECT($K175)),GETPIVOTDATA(IF($J175=1,"Count of ACTIVE     CED, FARM GATE (MJ/kg)","Count of CED, processor gate (MJ/kg)"),'Pivot Table_CED'!$A$3,"SUB TYPE",$B175))</f>
        <v>5</v>
      </c>
      <c r="N175" s="135">
        <f ca="1">IF($L175="PROXY",DAVERAGE('literature entries'!$D:$AI,IF($J175=1,"ACTIVE     CED, FARM GATE (MJ/kg)","CED, processor gate (MJ/kg)"),INDIRECT($K175)),GETPIVOTDATA(IF($J175=1,"Average of ACTIVE     CED, FARM GATE (MJ/kg)","Average of CED, processor gate (MJ/kg)"),'Pivot Table_CED'!$A$3,"SUB TYPE",$B175))</f>
        <v>7.82</v>
      </c>
      <c r="O175" s="135">
        <f ca="1">IF($L175="PROXY",DSTDEV('literature entries'!D:AI,IF($J175=1,"ACTIVE     CED, FARM GATE (MJ/kg)","CED, processor gate (MJ/kg)"),INDIRECT($K175)),GETPIVOTDATA(IF($J175=1,"StdDev of ACTIVE     CED, FARM GATE (MJ/kg)","StdDev of CED, processor gate (MJ/kg)"),'Pivot Table_CED'!$A$3,"SUB TYPE",$B175))</f>
        <v>3.8931991986026073</v>
      </c>
      <c r="P175" s="152" t="str">
        <f>IF(ISERROR(GETPIVOTDATA(IF($J175=1,"Count of ACTIVE     GHGE, FARM GATE (kg CO2e/kg)","Count of GHGE, processor gate (kg CO2e/kg)"),'Pivot Table_GHG'!$A$3,"SUB TYPE",$B175)),"PROXY",IF(GETPIVOTDATA(IF($J175=1,"Count of ACTIVE     GHGE, FARM GATE (kg CO2e/kg)","Count of GHGE, processor gate (kg CO2e/kg)"),'Pivot Table_GHG'!$A$3,"SUB TYPE",$B175)=0,"PROXY","DB value"))</f>
        <v>PROXY</v>
      </c>
      <c r="Q175" s="141">
        <f ca="1">IF($P175="PROXY",DCOUNT('literature entries'!$D:$AI,IF($J175=1,"ACTIVE     GHGE, FARM GATE (kg CO2e/kg)","GHGE, processor gate (kg CO2e/kg)"),INDIRECT($K175)),GETPIVOTDATA(IF($J175=1,"ACTIVE     GHGE, FARM GATE (kg CO2e/kg)","Count of GHGE, processor gate (kg CO2e/kg)"),'Pivot Table_GHG'!$A$3,"SUB TYPE",$B175))</f>
        <v>11</v>
      </c>
      <c r="R175" s="221">
        <f ca="1">IF($P175="PROXY",DAVERAGE('literature entries'!$D:$AI,IF($J175=1,"ACTIVE     GHGE, FARM GATE (kg CO2e/kg)","GHGE, processor gate (kg CO2e/kg)"),INDIRECT($K175)),GETPIVOTDATA(IF($J175=1,"Average of ACTIVE     GHGE, FARM GATE (kg CO2e/kg)","Average of GHGE, processor gate (kg CO2e/kg)"),'Pivot Table_GHG'!$A$3,"SUB TYPE",$B175))</f>
        <v>0.57899999999999996</v>
      </c>
      <c r="S175" s="221">
        <f ca="1">IF($P175="PROXY",DSTDEV('literature entries'!$D:$AI,IF($J175=1,"ACTIVE     GHGE, FARM GATE (kg CO2e/kg)","GHGE, processor gate (kg CO2e/kg)"),INDIRECT($K175)),GETPIVOTDATA(IF($J175=1,"StdDev of ACTIVE     GHGE, FARM GATE (kg CO2e/kg)","StdDev of GHGE, processor gate (kg CO2e/kg)"),'Pivot Table_GHG'!$A$3,"SUB TYPE",$B175))</f>
        <v>0.39096368117767671</v>
      </c>
      <c r="T175" s="99">
        <v>5.282</v>
      </c>
      <c r="U175" s="100">
        <v>0.97907912607999992</v>
      </c>
      <c r="W175" s="248" t="s">
        <v>2453</v>
      </c>
      <c r="X175" s="246">
        <f ca="1">IF($W175="DIRECT",M175,DCOUNT('literature entries'!$D:$AI,IF($J175=1,"ACTIVE     CED, FARM GATE (MJ/kg)","CED, processor gate (MJ/kg)"),INDIRECT($W175)))</f>
        <v>9</v>
      </c>
      <c r="Y175" s="246">
        <f ca="1">IF($W175="DIRECT","",DAVERAGE('literature entries'!$D:$AI,IF($J175=1,"ACTIVE     CED, FARM GATE (MJ/kg)","CED, processor gate (MJ/kg)"),INDIRECT($W175)))</f>
        <v>6.2256158484065454</v>
      </c>
      <c r="Z175" s="246">
        <f ca="1">IF($W175="DIRECT",$O175,DSTDEV('literature entries'!$D:$AI,IF($J175=1,"ACTIVE     CED, FARM GATE (MJ/kg)","CED, processor gate (MJ/kg)"),INDIRECT($W175)))</f>
        <v>3.4581080763456375</v>
      </c>
      <c r="AA175" s="246">
        <f t="shared" ca="1" si="26"/>
        <v>4.3437317392374002</v>
      </c>
      <c r="AB175" s="254" t="str">
        <f t="shared" ca="1" si="27"/>
        <v>strawberry</v>
      </c>
      <c r="AC175" s="247">
        <f ca="1">IF($AB175="DIRECT",Q175,DCOUNT('literature entries'!$D:$AI,IF($J175=1,"ACTIVE     GHGE, FARM GATE (kg CO2e/kg)","GHGE, processor gate (kg CO2e/kg)"),INDIRECT($AB175)))</f>
        <v>11</v>
      </c>
      <c r="AD175" s="247">
        <f ca="1">IF($AB175="DIRECT","",DAVERAGE('literature entries'!$D:$AI,IF($J175=1,"ACTIVE     GHGE, FARM GATE (kg CO2e/kg)","GHGE, processor gate (kg CO2e/kg)"),INDIRECT($AB175)))</f>
        <v>0.57899999999999996</v>
      </c>
      <c r="AE175" s="247">
        <f ca="1">IF($AB175="DIRECT",$S175,DSTDEV('literature entries'!$D:$AI,IF($J175=1,"ACTIVE     GHGE, FARM GATE (kg CO2e/kg)","GHGE, processor gate (kg CO2e/kg)"),INDIRECT($AB175)))</f>
        <v>0.39096368117767671</v>
      </c>
      <c r="AF175" s="247">
        <f t="shared" ca="1" si="25"/>
        <v>0.39096368117767671</v>
      </c>
    </row>
    <row r="176" spans="1:32" s="21" customFormat="1" thickBot="1" x14ac:dyDescent="0.25">
      <c r="A176" s="129">
        <v>1400003000</v>
      </c>
      <c r="B176" s="130" t="s">
        <v>1728</v>
      </c>
      <c r="C176" s="131" t="s">
        <v>1729</v>
      </c>
      <c r="D176" s="131"/>
      <c r="E176" s="131">
        <v>6948</v>
      </c>
      <c r="F176" s="126">
        <f t="shared" ca="1" si="16"/>
        <v>23.2</v>
      </c>
      <c r="G176" s="127">
        <f t="shared" ca="1" si="17"/>
        <v>2.2720312499999999</v>
      </c>
      <c r="H176" s="133">
        <v>1</v>
      </c>
      <c r="I176" s="132" t="s">
        <v>2724</v>
      </c>
      <c r="J176" s="91">
        <v>1</v>
      </c>
      <c r="K176" s="90"/>
      <c r="L176" s="152" t="str">
        <f>IF(ISERROR(GETPIVOTDATA(IF($J176=1,"Count of ACTIVE     CED, FARM GATE (MJ/kg)","Count of CED, processor gate (MJ/kg)"),'Pivot Table_CED'!$A$3,"SUB TYPE",$B176)),"PROXY",IF(GETPIVOTDATA(IF($J176=1,"Count of ACTIVE     CED, FARM GATE (MJ/kg)","Count of CED, processor gate (MJ/kg)"),'Pivot Table_CED'!$A$3,"SUB TYPE",$B176)=0,"PROXY","DB value"))</f>
        <v>DB value</v>
      </c>
      <c r="M176" s="134">
        <f ca="1">IF($L176="PROXY",DCOUNT('literature entries'!$D:$AI,IF($J176=1,"ACTIVE     CED, FARM GATE (MJ/kg)","CED, processor gate (MJ/kg)"),INDIRECT($K176)),GETPIVOTDATA(IF($J176=1,"Count of ACTIVE     CED, FARM GATE (MJ/kg)","Count of CED, processor gate (MJ/kg)"),'Pivot Table_CED'!$A$3,"SUB TYPE",$B176))</f>
        <v>2</v>
      </c>
      <c r="N176" s="135">
        <f ca="1">IF($L176="PROXY",DAVERAGE('literature entries'!$D:$AI,IF($J176=1,"ACTIVE     CED, FARM GATE (MJ/kg)","CED, processor gate (MJ/kg)"),INDIRECT($K176)),GETPIVOTDATA(IF($J176=1,"Average of ACTIVE     CED, FARM GATE (MJ/kg)","Average of CED, processor gate (MJ/kg)"),'Pivot Table_CED'!$A$3,"SUB TYPE",$B176))</f>
        <v>23.2</v>
      </c>
      <c r="O176" s="135">
        <f ca="1">IF($L176="PROXY",DSTDEV('literature entries'!D:AI,IF($J176=1,"ACTIVE     CED, FARM GATE (MJ/kg)","CED, processor gate (MJ/kg)"),INDIRECT($K176)),GETPIVOTDATA(IF($J176=1,"StdDev of ACTIVE     CED, FARM GATE (MJ/kg)","StdDev of CED, processor gate (MJ/kg)"),'Pivot Table_CED'!$A$3,"SUB TYPE",$B176))</f>
        <v>1.131370849898464</v>
      </c>
      <c r="P176" s="152" t="str">
        <f>IF(ISERROR(GETPIVOTDATA(IF($J176=1,"Count of ACTIVE     GHGE, FARM GATE (kg CO2e/kg)","Count of GHGE, processor gate (kg CO2e/kg)"),'Pivot Table_GHG'!$A$3,"SUB TYPE",$B176)),"PROXY",IF(GETPIVOTDATA(IF($J176=1,"Count of ACTIVE     GHGE, FARM GATE (kg CO2e/kg)","Count of GHGE, processor gate (kg CO2e/kg)"),'Pivot Table_GHG'!$A$3,"SUB TYPE",$B176)=0,"PROXY","DB value"))</f>
        <v>DB value</v>
      </c>
      <c r="Q176" s="141">
        <f ca="1">IF($P176="PROXY",DCOUNT('literature entries'!$D:$AI,IF($J176=1,"ACTIVE     GHGE, FARM GATE (kg CO2e/kg)","GHGE, processor gate (kg CO2e/kg)"),INDIRECT($K176)),GETPIVOTDATA(IF($J176=1,"ACTIVE     GHGE, FARM GATE (kg CO2e/kg)","Count of GHGE, processor gate (kg CO2e/kg)"),'Pivot Table_GHG'!$A$3,"SUB TYPE",$B176))</f>
        <v>8</v>
      </c>
      <c r="R176" s="221">
        <f ca="1">IF($P176="PROXY",DAVERAGE('literature entries'!$D:$AI,IF($J176=1,"ACTIVE     GHGE, FARM GATE (kg CO2e/kg)","GHGE, processor gate (kg CO2e/kg)"),INDIRECT($K176)),GETPIVOTDATA(IF($J176=1,"Average of ACTIVE     GHGE, FARM GATE (kg CO2e/kg)","Average of GHGE, processor gate (kg CO2e/kg)"),'Pivot Table_GHG'!$A$3,"SUB TYPE",$B176))</f>
        <v>2.2720312499999999</v>
      </c>
      <c r="S176" s="221">
        <f ca="1">IF($P176="PROXY",DSTDEV('literature entries'!$D:$AI,IF($J176=1,"ACTIVE     GHGE, FARM GATE (kg CO2e/kg)","GHGE, processor gate (kg CO2e/kg)"),INDIRECT($K176)),GETPIVOTDATA(IF($J176=1,"StdDev of ACTIVE     GHGE, FARM GATE (kg CO2e/kg)","StdDev of GHGE, processor gate (kg CO2e/kg)"),'Pivot Table_GHG'!$A$3,"SUB TYPE",$B176))</f>
        <v>1.1714696541821485</v>
      </c>
      <c r="T176" s="92"/>
      <c r="U176" s="93"/>
      <c r="W176" s="248" t="s">
        <v>2463</v>
      </c>
      <c r="X176" s="246">
        <f ca="1">IF($W176="DIRECT",M176,DCOUNT('literature entries'!$D:$AI,IF($J176=1,"ACTIVE     CED, FARM GATE (MJ/kg)","CED, processor gate (MJ/kg)"),INDIRECT($W176)))</f>
        <v>6</v>
      </c>
      <c r="Y176" s="246">
        <f ca="1">IF($W176="DIRECT","",DAVERAGE('literature entries'!$D:$AI,IF($J176=1,"ACTIVE     CED, FARM GATE (MJ/kg)","CED, processor gate (MJ/kg)"),INDIRECT($W176)))</f>
        <v>13.969722222222222</v>
      </c>
      <c r="Z176" s="246">
        <f ca="1">IF($W176="DIRECT",$O176,DSTDEV('literature entries'!$D:$AI,IF($J176=1,"ACTIVE     CED, FARM GATE (MJ/kg)","CED, processor gate (MJ/kg)"),INDIRECT($W176)))</f>
        <v>12.174509288584247</v>
      </c>
      <c r="AA176" s="246">
        <f t="shared" ca="1" si="26"/>
        <v>20.218627901265759</v>
      </c>
      <c r="AB176" s="254" t="str">
        <f t="shared" ca="1" si="27"/>
        <v>DIRECT</v>
      </c>
      <c r="AC176" s="247">
        <f ca="1">IF($AB176="DIRECT",Q176,DCOUNT('literature entries'!$D:$AI,IF($J176=1,"ACTIVE     GHGE, FARM GATE (kg CO2e/kg)","GHGE, processor gate (kg CO2e/kg)"),INDIRECT($AB176)))</f>
        <v>8</v>
      </c>
      <c r="AD176" s="247" t="str">
        <f ca="1">IF($AB176="DIRECT","",DAVERAGE('literature entries'!$D:$AI,IF($J176=1,"ACTIVE     GHGE, FARM GATE (kg CO2e/kg)","GHGE, processor gate (kg CO2e/kg)"),INDIRECT($AB176)))</f>
        <v/>
      </c>
      <c r="AE176" s="247">
        <f ca="1">IF($AB176="DIRECT",$S176,DSTDEV('literature entries'!$D:$AI,IF($J176=1,"ACTIVE     GHGE, FARM GATE (kg CO2e/kg)","GHGE, processor gate (kg CO2e/kg)"),INDIRECT($AB176)))</f>
        <v>1.1714696541821485</v>
      </c>
      <c r="AF176" s="247">
        <f t="shared" ca="1" si="25"/>
        <v>1.1714696541821485</v>
      </c>
    </row>
    <row r="177" spans="1:32" s="21" customFormat="1" thickBot="1" x14ac:dyDescent="0.25">
      <c r="A177" s="129">
        <v>1400004000</v>
      </c>
      <c r="B177" s="130" t="s">
        <v>1730</v>
      </c>
      <c r="C177" s="131" t="s">
        <v>1731</v>
      </c>
      <c r="D177" s="131"/>
      <c r="E177" s="131">
        <v>51</v>
      </c>
      <c r="F177" s="126">
        <f t="shared" ca="1" si="16"/>
        <v>23.2</v>
      </c>
      <c r="G177" s="127">
        <f t="shared" ca="1" si="17"/>
        <v>2.2720312499999999</v>
      </c>
      <c r="H177" s="132">
        <v>1</v>
      </c>
      <c r="I177" s="132" t="s">
        <v>2724</v>
      </c>
      <c r="J177" s="91">
        <v>1</v>
      </c>
      <c r="K177" s="90" t="s">
        <v>2449</v>
      </c>
      <c r="L177" s="152" t="str">
        <f>IF(ISERROR(GETPIVOTDATA(IF($J177=1,"Count of ACTIVE     CED, FARM GATE (MJ/kg)","Count of CED, processor gate (MJ/kg)"),'Pivot Table_CED'!$A$3,"SUB TYPE",$B177)),"PROXY",IF(GETPIVOTDATA(IF($J177=1,"Count of ACTIVE     CED, FARM GATE (MJ/kg)","Count of CED, processor gate (MJ/kg)"),'Pivot Table_CED'!$A$3,"SUB TYPE",$B177)=0,"PROXY","DB value"))</f>
        <v>PROXY</v>
      </c>
      <c r="M177" s="134">
        <f ca="1">IF($L177="PROXY",DCOUNT('literature entries'!$D:$AI,IF($J177=1,"ACTIVE     CED, FARM GATE (MJ/kg)","CED, processor gate (MJ/kg)"),INDIRECT($K177)),GETPIVOTDATA(IF($J177=1,"Count of ACTIVE     CED, FARM GATE (MJ/kg)","Count of CED, processor gate (MJ/kg)"),'Pivot Table_CED'!$A$3,"SUB TYPE",$B177))</f>
        <v>2</v>
      </c>
      <c r="N177" s="135">
        <f ca="1">IF($L177="PROXY",DAVERAGE('literature entries'!$D:$AI,IF($J177=1,"ACTIVE     CED, FARM GATE (MJ/kg)","CED, processor gate (MJ/kg)"),INDIRECT($K177)),GETPIVOTDATA(IF($J177=1,"Average of ACTIVE     CED, FARM GATE (MJ/kg)","Average of CED, processor gate (MJ/kg)"),'Pivot Table_CED'!$A$3,"SUB TYPE",$B177))</f>
        <v>23.2</v>
      </c>
      <c r="O177" s="135">
        <f ca="1">IF($L177="PROXY",DSTDEV('literature entries'!D:AI,IF($J177=1,"ACTIVE     CED, FARM GATE (MJ/kg)","CED, processor gate (MJ/kg)"),INDIRECT($K177)),GETPIVOTDATA(IF($J177=1,"StdDev of ACTIVE     CED, FARM GATE (MJ/kg)","StdDev of CED, processor gate (MJ/kg)"),'Pivot Table_CED'!$A$3,"SUB TYPE",$B177))</f>
        <v>1.1313708498984771</v>
      </c>
      <c r="P177" s="152" t="str">
        <f>IF(ISERROR(GETPIVOTDATA(IF($J177=1,"Count of ACTIVE     GHGE, FARM GATE (kg CO2e/kg)","Count of GHGE, processor gate (kg CO2e/kg)"),'Pivot Table_GHG'!$A$3,"SUB TYPE",$B177)),"PROXY",IF(GETPIVOTDATA(IF($J177=1,"Count of ACTIVE     GHGE, FARM GATE (kg CO2e/kg)","Count of GHGE, processor gate (kg CO2e/kg)"),'Pivot Table_GHG'!$A$3,"SUB TYPE",$B177)=0,"PROXY","DB value"))</f>
        <v>PROXY</v>
      </c>
      <c r="Q177" s="141">
        <f ca="1">IF($P177="PROXY",DCOUNT('literature entries'!$D:$AI,IF($J177=1,"ACTIVE     GHGE, FARM GATE (kg CO2e/kg)","GHGE, processor gate (kg CO2e/kg)"),INDIRECT($K177)),GETPIVOTDATA(IF($J177=1,"ACTIVE     GHGE, FARM GATE (kg CO2e/kg)","Count of GHGE, processor gate (kg CO2e/kg)"),'Pivot Table_GHG'!$A$3,"SUB TYPE",$B177))</f>
        <v>8</v>
      </c>
      <c r="R177" s="221">
        <f ca="1">IF($P177="PROXY",DAVERAGE('literature entries'!$D:$AI,IF($J177=1,"ACTIVE     GHGE, FARM GATE (kg CO2e/kg)","GHGE, processor gate (kg CO2e/kg)"),INDIRECT($K177)),GETPIVOTDATA(IF($J177=1,"Average of ACTIVE     GHGE, FARM GATE (kg CO2e/kg)","Average of GHGE, processor gate (kg CO2e/kg)"),'Pivot Table_GHG'!$A$3,"SUB TYPE",$B177))</f>
        <v>2.2720312499999999</v>
      </c>
      <c r="S177" s="221">
        <f ca="1">IF($P177="PROXY",DSTDEV('literature entries'!$D:$AI,IF($J177=1,"ACTIVE     GHGE, FARM GATE (kg CO2e/kg)","GHGE, processor gate (kg CO2e/kg)"),INDIRECT($K177)),GETPIVOTDATA(IF($J177=1,"StdDev of ACTIVE     GHGE, FARM GATE (kg CO2e/kg)","StdDev of GHGE, processor gate (kg CO2e/kg)"),'Pivot Table_GHG'!$A$3,"SUB TYPE",$B177))</f>
        <v>1.1714696541821485</v>
      </c>
      <c r="T177" s="92"/>
      <c r="U177" s="93"/>
      <c r="W177" s="248" t="s">
        <v>2463</v>
      </c>
      <c r="X177" s="246">
        <f ca="1">IF($W177="DIRECT",M177,DCOUNT('literature entries'!$D:$AI,IF($J177=1,"ACTIVE     CED, FARM GATE (MJ/kg)","CED, processor gate (MJ/kg)"),INDIRECT($W177)))</f>
        <v>6</v>
      </c>
      <c r="Y177" s="246">
        <f ca="1">IF($W177="DIRECT","",DAVERAGE('literature entries'!$D:$AI,IF($J177=1,"ACTIVE     CED, FARM GATE (MJ/kg)","CED, processor gate (MJ/kg)"),INDIRECT($W177)))</f>
        <v>13.969722222222222</v>
      </c>
      <c r="Z177" s="246">
        <f ca="1">IF($W177="DIRECT",$O177,DSTDEV('literature entries'!$D:$AI,IF($J177=1,"ACTIVE     CED, FARM GATE (MJ/kg)","CED, processor gate (MJ/kg)"),INDIRECT($W177)))</f>
        <v>12.174509288584247</v>
      </c>
      <c r="AA177" s="246">
        <f t="shared" ca="1" si="26"/>
        <v>20.218627901265759</v>
      </c>
      <c r="AB177" s="254" t="str">
        <f t="shared" ca="1" si="27"/>
        <v>almond</v>
      </c>
      <c r="AC177" s="247">
        <f ca="1">IF($AB177="DIRECT",Q177,DCOUNT('literature entries'!$D:$AI,IF($J177=1,"ACTIVE     GHGE, FARM GATE (kg CO2e/kg)","GHGE, processor gate (kg CO2e/kg)"),INDIRECT($AB177)))</f>
        <v>8</v>
      </c>
      <c r="AD177" s="247">
        <f ca="1">IF($AB177="DIRECT","",DAVERAGE('literature entries'!$D:$AI,IF($J177=1,"ACTIVE     GHGE, FARM GATE (kg CO2e/kg)","GHGE, processor gate (kg CO2e/kg)"),INDIRECT($AB177)))</f>
        <v>2.2720312499999999</v>
      </c>
      <c r="AE177" s="247">
        <f ca="1">IF($AB177="DIRECT",$S177,DSTDEV('literature entries'!$D:$AI,IF($J177=1,"ACTIVE     GHGE, FARM GATE (kg CO2e/kg)","GHGE, processor gate (kg CO2e/kg)"),INDIRECT($AB177)))</f>
        <v>1.1714696541821485</v>
      </c>
      <c r="AF177" s="247">
        <f t="shared" ca="1" si="25"/>
        <v>1.1714696541821485</v>
      </c>
    </row>
    <row r="178" spans="1:32" s="21" customFormat="1" ht="17" thickBot="1" x14ac:dyDescent="0.25">
      <c r="A178" s="129">
        <v>1400059000</v>
      </c>
      <c r="B178" s="130" t="s">
        <v>1840</v>
      </c>
      <c r="C178" s="131" t="s">
        <v>1729</v>
      </c>
      <c r="D178" s="131"/>
      <c r="E178" s="131">
        <v>64</v>
      </c>
      <c r="F178" s="126">
        <f t="shared" ca="1" si="16"/>
        <v>13.969722222222222</v>
      </c>
      <c r="G178" s="127">
        <f t="shared" ca="1" si="17"/>
        <v>2.0569628623188403</v>
      </c>
      <c r="H178" s="132">
        <v>1</v>
      </c>
      <c r="I178" s="133" t="s">
        <v>2724</v>
      </c>
      <c r="J178" s="91">
        <v>1</v>
      </c>
      <c r="K178" s="90" t="s">
        <v>2463</v>
      </c>
      <c r="L178" s="152" t="str">
        <f>IF(ISERROR(GETPIVOTDATA(IF($J178=1,"Count of ACTIVE     CED, FARM GATE (MJ/kg)","Count of CED, processor gate (MJ/kg)"),'Pivot Table_CED'!$A$3,"SUB TYPE",$B178)),"PROXY",IF(GETPIVOTDATA(IF($J178=1,"Count of ACTIVE     CED, FARM GATE (MJ/kg)","Count of CED, processor gate (MJ/kg)"),'Pivot Table_CED'!$A$3,"SUB TYPE",$B178)=0,"PROXY","DB value"))</f>
        <v>PROXY</v>
      </c>
      <c r="M178" s="134">
        <f ca="1">IF($L178="PROXY",DCOUNT('literature entries'!$D:$AI,IF($J178=1,"ACTIVE     CED, FARM GATE (MJ/kg)","CED, processor gate (MJ/kg)"),INDIRECT($K178)),GETPIVOTDATA(IF($J178=1,"Count of ACTIVE     CED, FARM GATE (MJ/kg)","Count of CED, processor gate (MJ/kg)"),'Pivot Table_CED'!$A$3,"SUB TYPE",$B178))</f>
        <v>6</v>
      </c>
      <c r="N178" s="135">
        <f ca="1">IF($L178="PROXY",DAVERAGE('literature entries'!$D:$AI,IF($J178=1,"ACTIVE     CED, FARM GATE (MJ/kg)","CED, processor gate (MJ/kg)"),INDIRECT($K178)),GETPIVOTDATA(IF($J178=1,"Average of ACTIVE     CED, FARM GATE (MJ/kg)","Average of CED, processor gate (MJ/kg)"),'Pivot Table_CED'!$A$3,"SUB TYPE",$B178))</f>
        <v>13.969722222222222</v>
      </c>
      <c r="O178" s="135">
        <f ca="1">IF($L178="PROXY",DSTDEV('literature entries'!D:AI,IF($J178=1,"ACTIVE     CED, FARM GATE (MJ/kg)","CED, processor gate (MJ/kg)"),INDIRECT($K178)),GETPIVOTDATA(IF($J178=1,"StdDev of ACTIVE     CED, FARM GATE (MJ/kg)","StdDev of CED, processor gate (MJ/kg)"),'Pivot Table_CED'!$A$3,"SUB TYPE",$B178))</f>
        <v>12.174509288584247</v>
      </c>
      <c r="P178" s="152" t="str">
        <f>IF(ISERROR(GETPIVOTDATA(IF($J178=1,"Count of ACTIVE     GHGE, FARM GATE (kg CO2e/kg)","Count of GHGE, processor gate (kg CO2e/kg)"),'Pivot Table_GHG'!$A$3,"SUB TYPE",$B178)),"PROXY",IF(GETPIVOTDATA(IF($J178=1,"Count of ACTIVE     GHGE, FARM GATE (kg CO2e/kg)","Count of GHGE, processor gate (kg CO2e/kg)"),'Pivot Table_GHG'!$A$3,"SUB TYPE",$B178)=0,"PROXY","DB value"))</f>
        <v>PROXY</v>
      </c>
      <c r="Q178" s="141">
        <f ca="1">IF($P178="PROXY",DCOUNT('literature entries'!$D:$AI,IF($J178=1,"ACTIVE     GHGE, FARM GATE (kg CO2e/kg)","GHGE, processor gate (kg CO2e/kg)"),INDIRECT($K178)),GETPIVOTDATA(IF($J178=1,"ACTIVE     GHGE, FARM GATE (kg CO2e/kg)","Count of GHGE, processor gate (kg CO2e/kg)"),'Pivot Table_GHG'!$A$3,"SUB TYPE",$B178))</f>
        <v>23</v>
      </c>
      <c r="R178" s="221">
        <f ca="1">IF($P178="PROXY",DAVERAGE('literature entries'!$D:$AI,IF($J178=1,"ACTIVE     GHGE, FARM GATE (kg CO2e/kg)","GHGE, processor gate (kg CO2e/kg)"),INDIRECT($K178)),GETPIVOTDATA(IF($J178=1,"Average of ACTIVE     GHGE, FARM GATE (kg CO2e/kg)","Average of GHGE, processor gate (kg CO2e/kg)"),'Pivot Table_GHG'!$A$3,"SUB TYPE",$B178))</f>
        <v>2.0569628623188403</v>
      </c>
      <c r="S178" s="221">
        <f ca="1">IF($P178="PROXY",DSTDEV('literature entries'!$D:$AI,IF($J178=1,"ACTIVE     GHGE, FARM GATE (kg CO2e/kg)","GHGE, processor gate (kg CO2e/kg)"),INDIRECT($K178)),GETPIVOTDATA(IF($J178=1,"StdDev of ACTIVE     GHGE, FARM GATE (kg CO2e/kg)","StdDev of GHGE, processor gate (kg CO2e/kg)"),'Pivot Table_GHG'!$A$3,"SUB TYPE",$B178))</f>
        <v>1.8731562532671704</v>
      </c>
      <c r="T178" s="101"/>
      <c r="U178" s="102"/>
      <c r="W178" s="248" t="s">
        <v>2463</v>
      </c>
      <c r="X178" s="246">
        <f ca="1">IF($W178="DIRECT",M178,DCOUNT('literature entries'!$D:$AI,IF($J178=1,"ACTIVE     CED, FARM GATE (MJ/kg)","CED, processor gate (MJ/kg)"),INDIRECT($W178)))</f>
        <v>6</v>
      </c>
      <c r="Y178" s="246">
        <f ca="1">IF($W178="DIRECT","",DAVERAGE('literature entries'!$D:$AI,IF($J178=1,"ACTIVE     CED, FARM GATE (MJ/kg)","CED, processor gate (MJ/kg)"),INDIRECT($W178)))</f>
        <v>13.969722222222222</v>
      </c>
      <c r="Z178" s="246">
        <f ca="1">IF($W178="DIRECT",$O178,DSTDEV('literature entries'!$D:$AI,IF($J178=1,"ACTIVE     CED, FARM GATE (MJ/kg)","CED, processor gate (MJ/kg)"),INDIRECT($W178)))</f>
        <v>12.174509288584247</v>
      </c>
      <c r="AA178" s="246">
        <f t="shared" ca="1" si="26"/>
        <v>12.174509288584247</v>
      </c>
      <c r="AB178" s="254" t="str">
        <f t="shared" ca="1" si="27"/>
        <v>nut</v>
      </c>
      <c r="AC178" s="247">
        <f ca="1">IF($AB178="DIRECT",Q178,DCOUNT('literature entries'!$D:$AI,IF($J178=1,"ACTIVE     GHGE, FARM GATE (kg CO2e/kg)","GHGE, processor gate (kg CO2e/kg)"),INDIRECT($AB178)))</f>
        <v>23</v>
      </c>
      <c r="AD178" s="247">
        <f ca="1">IF($AB178="DIRECT","",DAVERAGE('literature entries'!$D:$AI,IF($J178=1,"ACTIVE     GHGE, FARM GATE (kg CO2e/kg)","GHGE, processor gate (kg CO2e/kg)"),INDIRECT($AB178)))</f>
        <v>2.0569628623188403</v>
      </c>
      <c r="AE178" s="247">
        <f ca="1">IF($AB178="DIRECT",$S178,DSTDEV('literature entries'!$D:$AI,IF($J178=1,"ACTIVE     GHGE, FARM GATE (kg CO2e/kg)","GHGE, processor gate (kg CO2e/kg)"),INDIRECT($AB178)))</f>
        <v>1.8731562532671704</v>
      </c>
      <c r="AF178" s="247">
        <f t="shared" ca="1" si="25"/>
        <v>1.8731562532671704</v>
      </c>
    </row>
    <row r="179" spans="1:32" s="21" customFormat="1" ht="17" thickBot="1" x14ac:dyDescent="0.25">
      <c r="A179" s="129">
        <v>1400068000</v>
      </c>
      <c r="B179" s="130" t="s">
        <v>1852</v>
      </c>
      <c r="C179" s="131" t="s">
        <v>1729</v>
      </c>
      <c r="D179" s="131"/>
      <c r="E179" s="131">
        <v>9</v>
      </c>
      <c r="F179" s="126">
        <f t="shared" ca="1" si="16"/>
        <v>13.969722222222222</v>
      </c>
      <c r="G179" s="127">
        <f t="shared" ca="1" si="17"/>
        <v>2.0569628623188403</v>
      </c>
      <c r="H179" s="132">
        <v>1</v>
      </c>
      <c r="I179" s="133" t="s">
        <v>594</v>
      </c>
      <c r="J179" s="91">
        <v>1</v>
      </c>
      <c r="K179" s="90" t="s">
        <v>2463</v>
      </c>
      <c r="L179" s="152" t="str">
        <f>IF(ISERROR(GETPIVOTDATA(IF($J179=1,"Count of ACTIVE     CED, FARM GATE (MJ/kg)","Count of CED, processor gate (MJ/kg)"),'Pivot Table_CED'!$A$3,"SUB TYPE",$B179)),"PROXY",IF(GETPIVOTDATA(IF($J179=1,"Count of ACTIVE     CED, FARM GATE (MJ/kg)","Count of CED, processor gate (MJ/kg)"),'Pivot Table_CED'!$A$3,"SUB TYPE",$B179)=0,"PROXY","DB value"))</f>
        <v>PROXY</v>
      </c>
      <c r="M179" s="134">
        <f ca="1">IF($L179="PROXY",DCOUNT('literature entries'!$D:$AI,IF($J179=1,"ACTIVE     CED, FARM GATE (MJ/kg)","CED, processor gate (MJ/kg)"),INDIRECT($K179)),GETPIVOTDATA(IF($J179=1,"Count of ACTIVE     CED, FARM GATE (MJ/kg)","Count of CED, processor gate (MJ/kg)"),'Pivot Table_CED'!$A$3,"SUB TYPE",$B179))</f>
        <v>6</v>
      </c>
      <c r="N179" s="135">
        <f ca="1">IF($L179="PROXY",DAVERAGE('literature entries'!$D:$AI,IF($J179=1,"ACTIVE     CED, FARM GATE (MJ/kg)","CED, processor gate (MJ/kg)"),INDIRECT($K179)),GETPIVOTDATA(IF($J179=1,"Average of ACTIVE     CED, FARM GATE (MJ/kg)","Average of CED, processor gate (MJ/kg)"),'Pivot Table_CED'!$A$3,"SUB TYPE",$B179))</f>
        <v>13.969722222222222</v>
      </c>
      <c r="O179" s="135">
        <f ca="1">IF($L179="PROXY",DSTDEV('literature entries'!D:AI,IF($J179=1,"ACTIVE     CED, FARM GATE (MJ/kg)","CED, processor gate (MJ/kg)"),INDIRECT($K179)),GETPIVOTDATA(IF($J179=1,"StdDev of ACTIVE     CED, FARM GATE (MJ/kg)","StdDev of CED, processor gate (MJ/kg)"),'Pivot Table_CED'!$A$3,"SUB TYPE",$B179))</f>
        <v>12.174509288584247</v>
      </c>
      <c r="P179" s="152" t="str">
        <f>IF(ISERROR(GETPIVOTDATA(IF($J179=1,"Count of ACTIVE     GHGE, FARM GATE (kg CO2e/kg)","Count of GHGE, processor gate (kg CO2e/kg)"),'Pivot Table_GHG'!$A$3,"SUB TYPE",$B179)),"PROXY",IF(GETPIVOTDATA(IF($J179=1,"Count of ACTIVE     GHGE, FARM GATE (kg CO2e/kg)","Count of GHGE, processor gate (kg CO2e/kg)"),'Pivot Table_GHG'!$A$3,"SUB TYPE",$B179)=0,"PROXY","DB value"))</f>
        <v>PROXY</v>
      </c>
      <c r="Q179" s="141">
        <f ca="1">IF($P179="PROXY",DCOUNT('literature entries'!$D:$AI,IF($J179=1,"ACTIVE     GHGE, FARM GATE (kg CO2e/kg)","GHGE, processor gate (kg CO2e/kg)"),INDIRECT($K179)),GETPIVOTDATA(IF($J179=1,"ACTIVE     GHGE, FARM GATE (kg CO2e/kg)","Count of GHGE, processor gate (kg CO2e/kg)"),'Pivot Table_GHG'!$A$3,"SUB TYPE",$B179))</f>
        <v>23</v>
      </c>
      <c r="R179" s="221">
        <f ca="1">IF($P179="PROXY",DAVERAGE('literature entries'!$D:$AI,IF($J179=1,"ACTIVE     GHGE, FARM GATE (kg CO2e/kg)","GHGE, processor gate (kg CO2e/kg)"),INDIRECT($K179)),GETPIVOTDATA(IF($J179=1,"Average of ACTIVE     GHGE, FARM GATE (kg CO2e/kg)","Average of GHGE, processor gate (kg CO2e/kg)"),'Pivot Table_GHG'!$A$3,"SUB TYPE",$B179))</f>
        <v>2.0569628623188403</v>
      </c>
      <c r="S179" s="221">
        <f ca="1">IF($P179="PROXY",DSTDEV('literature entries'!$D:$AI,IF($J179=1,"ACTIVE     GHGE, FARM GATE (kg CO2e/kg)","GHGE, processor gate (kg CO2e/kg)"),INDIRECT($K179)),GETPIVOTDATA(IF($J179=1,"StdDev of ACTIVE     GHGE, FARM GATE (kg CO2e/kg)","StdDev of GHGE, processor gate (kg CO2e/kg)"),'Pivot Table_GHG'!$A$3,"SUB TYPE",$B179))</f>
        <v>1.8731562532671704</v>
      </c>
      <c r="T179" s="101"/>
      <c r="U179" s="102"/>
      <c r="W179" s="248" t="s">
        <v>2463</v>
      </c>
      <c r="X179" s="246">
        <f ca="1">IF($W179="DIRECT",M179,DCOUNT('literature entries'!$D:$AI,IF($J179=1,"ACTIVE     CED, FARM GATE (MJ/kg)","CED, processor gate (MJ/kg)"),INDIRECT($W179)))</f>
        <v>6</v>
      </c>
      <c r="Y179" s="246">
        <f ca="1">IF($W179="DIRECT","",DAVERAGE('literature entries'!$D:$AI,IF($J179=1,"ACTIVE     CED, FARM GATE (MJ/kg)","CED, processor gate (MJ/kg)"),INDIRECT($W179)))</f>
        <v>13.969722222222222</v>
      </c>
      <c r="Z179" s="246">
        <f ca="1">IF($W179="DIRECT",$O179,DSTDEV('literature entries'!$D:$AI,IF($J179=1,"ACTIVE     CED, FARM GATE (MJ/kg)","CED, processor gate (MJ/kg)"),INDIRECT($W179)))</f>
        <v>12.174509288584247</v>
      </c>
      <c r="AA179" s="246">
        <f t="shared" ca="1" si="26"/>
        <v>12.174509288584247</v>
      </c>
      <c r="AB179" s="254" t="str">
        <f t="shared" ca="1" si="27"/>
        <v>nut</v>
      </c>
      <c r="AC179" s="247">
        <f ca="1">IF($AB179="DIRECT",Q179,DCOUNT('literature entries'!$D:$AI,IF($J179=1,"ACTIVE     GHGE, FARM GATE (kg CO2e/kg)","GHGE, processor gate (kg CO2e/kg)"),INDIRECT($AB179)))</f>
        <v>23</v>
      </c>
      <c r="AD179" s="247">
        <f ca="1">IF($AB179="DIRECT","",DAVERAGE('literature entries'!$D:$AI,IF($J179=1,"ACTIVE     GHGE, FARM GATE (kg CO2e/kg)","GHGE, processor gate (kg CO2e/kg)"),INDIRECT($AB179)))</f>
        <v>2.0569628623188403</v>
      </c>
      <c r="AE179" s="247">
        <f ca="1">IF($AB179="DIRECT",$S179,DSTDEV('literature entries'!$D:$AI,IF($J179=1,"ACTIVE     GHGE, FARM GATE (kg CO2e/kg)","GHGE, processor gate (kg CO2e/kg)"),INDIRECT($AB179)))</f>
        <v>1.8731562532671704</v>
      </c>
      <c r="AF179" s="247">
        <f t="shared" ca="1" si="25"/>
        <v>1.8731562532671704</v>
      </c>
    </row>
    <row r="180" spans="1:32" s="21" customFormat="1" ht="17" thickBot="1" x14ac:dyDescent="0.25">
      <c r="A180" s="129">
        <v>1400081000</v>
      </c>
      <c r="B180" s="130" t="s">
        <v>1867</v>
      </c>
      <c r="C180" s="131" t="s">
        <v>1729</v>
      </c>
      <c r="D180" s="131"/>
      <c r="E180" s="131">
        <v>2217</v>
      </c>
      <c r="F180" s="126">
        <f t="shared" ca="1" si="16"/>
        <v>13.969722222222222</v>
      </c>
      <c r="G180" s="127">
        <f t="shared" ca="1" si="17"/>
        <v>4.9989999999999997</v>
      </c>
      <c r="H180" s="132">
        <v>1</v>
      </c>
      <c r="I180" s="133" t="s">
        <v>628</v>
      </c>
      <c r="J180" s="91">
        <v>1</v>
      </c>
      <c r="K180" s="90" t="s">
        <v>2463</v>
      </c>
      <c r="L180" s="152" t="str">
        <f>IF(ISERROR(GETPIVOTDATA(IF($J180=1,"Count of ACTIVE     CED, FARM GATE (MJ/kg)","Count of CED, processor gate (MJ/kg)"),'Pivot Table_CED'!$A$3,"SUB TYPE",$B180)),"PROXY",IF(GETPIVOTDATA(IF($J180=1,"Count of ACTIVE     CED, FARM GATE (MJ/kg)","Count of CED, processor gate (MJ/kg)"),'Pivot Table_CED'!$A$3,"SUB TYPE",$B180)=0,"PROXY","DB value"))</f>
        <v>PROXY</v>
      </c>
      <c r="M180" s="134">
        <f ca="1">IF($L180="PROXY",DCOUNT('literature entries'!$D:$AI,IF($J180=1,"ACTIVE     CED, FARM GATE (MJ/kg)","CED, processor gate (MJ/kg)"),INDIRECT($K180)),GETPIVOTDATA(IF($J180=1,"Count of ACTIVE     CED, FARM GATE (MJ/kg)","Count of CED, processor gate (MJ/kg)"),'Pivot Table_CED'!$A$3,"SUB TYPE",$B180))</f>
        <v>6</v>
      </c>
      <c r="N180" s="135">
        <f ca="1">IF($L180="PROXY",DAVERAGE('literature entries'!$D:$AI,IF($J180=1,"ACTIVE     CED, FARM GATE (MJ/kg)","CED, processor gate (MJ/kg)"),INDIRECT($K180)),GETPIVOTDATA(IF($J180=1,"Average of ACTIVE     CED, FARM GATE (MJ/kg)","Average of CED, processor gate (MJ/kg)"),'Pivot Table_CED'!$A$3,"SUB TYPE",$B180))</f>
        <v>13.969722222222222</v>
      </c>
      <c r="O180" s="135">
        <f ca="1">IF($L180="PROXY",DSTDEV('literature entries'!D:AI,IF($J180=1,"ACTIVE     CED, FARM GATE (MJ/kg)","CED, processor gate (MJ/kg)"),INDIRECT($K180)),GETPIVOTDATA(IF($J180=1,"StdDev of ACTIVE     CED, FARM GATE (MJ/kg)","StdDev of CED, processor gate (MJ/kg)"),'Pivot Table_CED'!$A$3,"SUB TYPE",$B180))</f>
        <v>12.174509288584247</v>
      </c>
      <c r="P180" s="152" t="str">
        <f>IF(ISERROR(GETPIVOTDATA(IF($J180=1,"Count of ACTIVE     GHGE, FARM GATE (kg CO2e/kg)","Count of GHGE, processor gate (kg CO2e/kg)"),'Pivot Table_GHG'!$A$3,"SUB TYPE",$B180)),"PROXY",IF(GETPIVOTDATA(IF($J180=1,"Count of ACTIVE     GHGE, FARM GATE (kg CO2e/kg)","Count of GHGE, processor gate (kg CO2e/kg)"),'Pivot Table_GHG'!$A$3,"SUB TYPE",$B180)=0,"PROXY","DB value"))</f>
        <v>DB value</v>
      </c>
      <c r="Q180" s="141">
        <f ca="1">IF($P180="PROXY",DCOUNT('literature entries'!$D:$AI,IF($J180=1,"ACTIVE     GHGE, FARM GATE (kg CO2e/kg)","GHGE, processor gate (kg CO2e/kg)"),INDIRECT($K180)),GETPIVOTDATA(IF($J180=1,"ACTIVE     GHGE, FARM GATE (kg CO2e/kg)","Count of GHGE, processor gate (kg CO2e/kg)"),'Pivot Table_GHG'!$A$3,"SUB TYPE",$B180))</f>
        <v>3</v>
      </c>
      <c r="R180" s="221">
        <f ca="1">IF($P180="PROXY",DAVERAGE('literature entries'!$D:$AI,IF($J180=1,"ACTIVE     GHGE, FARM GATE (kg CO2e/kg)","GHGE, processor gate (kg CO2e/kg)"),INDIRECT($K180)),GETPIVOTDATA(IF($J180=1,"Average of ACTIVE     GHGE, FARM GATE (kg CO2e/kg)","Average of GHGE, processor gate (kg CO2e/kg)"),'Pivot Table_GHG'!$A$3,"SUB TYPE",$B180))</f>
        <v>4.9989999999999997</v>
      </c>
      <c r="S180" s="221">
        <f ca="1">IF($P180="PROXY",DSTDEV('literature entries'!$D:$AI,IF($J180=1,"ACTIVE     GHGE, FARM GATE (kg CO2e/kg)","GHGE, processor gate (kg CO2e/kg)"),INDIRECT($K180)),GETPIVOTDATA(IF($J180=1,"StdDev of ACTIVE     GHGE, FARM GATE (kg CO2e/kg)","StdDev of GHGE, processor gate (kg CO2e/kg)"),'Pivot Table_GHG'!$A$3,"SUB TYPE",$B180))</f>
        <v>3.6052313379310337</v>
      </c>
      <c r="T180" s="101"/>
      <c r="U180" s="102"/>
      <c r="W180" s="248" t="s">
        <v>2463</v>
      </c>
      <c r="X180" s="246">
        <f ca="1">IF($W180="DIRECT",M180,DCOUNT('literature entries'!$D:$AI,IF($J180=1,"ACTIVE     CED, FARM GATE (MJ/kg)","CED, processor gate (MJ/kg)"),INDIRECT($W180)))</f>
        <v>6</v>
      </c>
      <c r="Y180" s="246">
        <f ca="1">IF($W180="DIRECT","",DAVERAGE('literature entries'!$D:$AI,IF($J180=1,"ACTIVE     CED, FARM GATE (MJ/kg)","CED, processor gate (MJ/kg)"),INDIRECT($W180)))</f>
        <v>13.969722222222222</v>
      </c>
      <c r="Z180" s="246">
        <f ca="1">IF($W180="DIRECT",$O180,DSTDEV('literature entries'!$D:$AI,IF($J180=1,"ACTIVE     CED, FARM GATE (MJ/kg)","CED, processor gate (MJ/kg)"),INDIRECT($W180)))</f>
        <v>12.174509288584247</v>
      </c>
      <c r="AA180" s="246">
        <f t="shared" ca="1" si="26"/>
        <v>12.174509288584247</v>
      </c>
      <c r="AB180" s="254" t="s">
        <v>2463</v>
      </c>
      <c r="AC180" s="247">
        <f ca="1">IF($AB180="DIRECT",Q180,DCOUNT('literature entries'!$D:$AI,IF($J180=1,"ACTIVE     GHGE, FARM GATE (kg CO2e/kg)","GHGE, processor gate (kg CO2e/kg)"),INDIRECT($AB180)))</f>
        <v>23</v>
      </c>
      <c r="AD180" s="247">
        <f ca="1">IF($AB180="DIRECT","",DAVERAGE('literature entries'!$D:$AI,IF($J180=1,"ACTIVE     GHGE, FARM GATE (kg CO2e/kg)","GHGE, processor gate (kg CO2e/kg)"),INDIRECT($AB180)))</f>
        <v>2.0569628623188403</v>
      </c>
      <c r="AE180" s="247">
        <f ca="1">IF($AB180="DIRECT",$S180,DSTDEV('literature entries'!$D:$AI,IF($J180=1,"ACTIVE     GHGE, FARM GATE (kg CO2e/kg)","GHGE, processor gate (kg CO2e/kg)"),INDIRECT($AB180)))</f>
        <v>1.8731562532671704</v>
      </c>
      <c r="AF180" s="247">
        <f t="shared" ca="1" si="25"/>
        <v>4.552298090363446</v>
      </c>
    </row>
    <row r="181" spans="1:32" s="21" customFormat="1" ht="17" thickBot="1" x14ac:dyDescent="0.25">
      <c r="A181" s="129">
        <v>1400092000</v>
      </c>
      <c r="B181" s="130" t="s">
        <v>1883</v>
      </c>
      <c r="C181" s="131" t="s">
        <v>1884</v>
      </c>
      <c r="D181" s="131"/>
      <c r="E181" s="131">
        <v>10</v>
      </c>
      <c r="F181" s="126">
        <f t="shared" ca="1" si="16"/>
        <v>17.322455555555557</v>
      </c>
      <c r="G181" s="127">
        <f t="shared" ca="1" si="17"/>
        <v>1.2689333333333335</v>
      </c>
      <c r="H181" s="132">
        <v>1.24</v>
      </c>
      <c r="I181" s="133" t="s">
        <v>2724</v>
      </c>
      <c r="J181" s="91">
        <v>1</v>
      </c>
      <c r="K181" s="90" t="s">
        <v>2463</v>
      </c>
      <c r="L181" s="152" t="str">
        <f>IF(ISERROR(GETPIVOTDATA(IF($J181=1,"Count of ACTIVE     CED, FARM GATE (MJ/kg)","Count of CED, processor gate (MJ/kg)"),'Pivot Table_CED'!$A$3,"SUB TYPE",$B181)),"PROXY",IF(GETPIVOTDATA(IF($J181=1,"Count of ACTIVE     CED, FARM GATE (MJ/kg)","Count of CED, processor gate (MJ/kg)"),'Pivot Table_CED'!$A$3,"SUB TYPE",$B181)=0,"PROXY","DB value"))</f>
        <v>PROXY</v>
      </c>
      <c r="M181" s="134">
        <f ca="1">IF($L181="PROXY",DCOUNT('literature entries'!$D:$AI,IF($J181=1,"ACTIVE     CED, FARM GATE (MJ/kg)","CED, processor gate (MJ/kg)"),INDIRECT($K181)),GETPIVOTDATA(IF($J181=1,"Count of ACTIVE     CED, FARM GATE (MJ/kg)","Count of CED, processor gate (MJ/kg)"),'Pivot Table_CED'!$A$3,"SUB TYPE",$B181))</f>
        <v>6</v>
      </c>
      <c r="N181" s="135">
        <f ca="1">IF($L181="PROXY",DAVERAGE('literature entries'!$D:$AI,IF($J181=1,"ACTIVE     CED, FARM GATE (MJ/kg)","CED, processor gate (MJ/kg)"),INDIRECT($K181)),GETPIVOTDATA(IF($J181=1,"Average of ACTIVE     CED, FARM GATE (MJ/kg)","Average of CED, processor gate (MJ/kg)"),'Pivot Table_CED'!$A$3,"SUB TYPE",$B181))</f>
        <v>13.969722222222222</v>
      </c>
      <c r="O181" s="135">
        <f ca="1">IF($L181="PROXY",DSTDEV('literature entries'!D:AI,IF($J181=1,"ACTIVE     CED, FARM GATE (MJ/kg)","CED, processor gate (MJ/kg)"),INDIRECT($K181)),GETPIVOTDATA(IF($J181=1,"StdDev of ACTIVE     CED, FARM GATE (MJ/kg)","StdDev of CED, processor gate (MJ/kg)"),'Pivot Table_CED'!$A$3,"SUB TYPE",$B181))</f>
        <v>12.174509288584247</v>
      </c>
      <c r="P181" s="152" t="str">
        <f>IF(ISERROR(GETPIVOTDATA(IF($J181=1,"Count of ACTIVE     GHGE, FARM GATE (kg CO2e/kg)","Count of GHGE, processor gate (kg CO2e/kg)"),'Pivot Table_GHG'!$A$3,"SUB TYPE",$B181)),"PROXY",IF(GETPIVOTDATA(IF($J181=1,"Count of ACTIVE     GHGE, FARM GATE (kg CO2e/kg)","Count of GHGE, processor gate (kg CO2e/kg)"),'Pivot Table_GHG'!$A$3,"SUB TYPE",$B181)=0,"PROXY","DB value"))</f>
        <v>DB value</v>
      </c>
      <c r="Q181" s="141">
        <f ca="1">IF($P181="PROXY",DCOUNT('literature entries'!$D:$AI,IF($J181=1,"ACTIVE     GHGE, FARM GATE (kg CO2e/kg)","GHGE, processor gate (kg CO2e/kg)"),INDIRECT($K181)),GETPIVOTDATA(IF($J181=1,"ACTIVE     GHGE, FARM GATE (kg CO2e/kg)","Count of GHGE, processor gate (kg CO2e/kg)"),'Pivot Table_GHG'!$A$3,"SUB TYPE",$B181))</f>
        <v>3</v>
      </c>
      <c r="R181" s="221">
        <f ca="1">IF($P181="PROXY",DAVERAGE('literature entries'!$D:$AI,IF($J181=1,"ACTIVE     GHGE, FARM GATE (kg CO2e/kg)","GHGE, processor gate (kg CO2e/kg)"),INDIRECT($K181)),GETPIVOTDATA(IF($J181=1,"Average of ACTIVE     GHGE, FARM GATE (kg CO2e/kg)","Average of GHGE, processor gate (kg CO2e/kg)"),'Pivot Table_GHG'!$A$3,"SUB TYPE",$B181))</f>
        <v>1.0233333333333334</v>
      </c>
      <c r="S181" s="221">
        <f ca="1">IF($P181="PROXY",DSTDEV('literature entries'!$D:$AI,IF($J181=1,"ACTIVE     GHGE, FARM GATE (kg CO2e/kg)","GHGE, processor gate (kg CO2e/kg)"),INDIRECT($K181)),GETPIVOTDATA(IF($J181=1,"StdDev of ACTIVE     GHGE, FARM GATE (kg CO2e/kg)","StdDev of GHGE, processor gate (kg CO2e/kg)"),'Pivot Table_GHG'!$A$3,"SUB TYPE",$B181))</f>
        <v>0.51384173957876711</v>
      </c>
      <c r="T181" s="101"/>
      <c r="U181" s="102"/>
      <c r="W181" s="248" t="s">
        <v>2463</v>
      </c>
      <c r="X181" s="246">
        <f ca="1">IF($W181="DIRECT",M181,DCOUNT('literature entries'!$D:$AI,IF($J181=1,"ACTIVE     CED, FARM GATE (MJ/kg)","CED, processor gate (MJ/kg)"),INDIRECT($W181)))</f>
        <v>6</v>
      </c>
      <c r="Y181" s="246">
        <f ca="1">IF($W181="DIRECT","",DAVERAGE('literature entries'!$D:$AI,IF($J181=1,"ACTIVE     CED, FARM GATE (MJ/kg)","CED, processor gate (MJ/kg)"),INDIRECT($W181)))</f>
        <v>13.969722222222222</v>
      </c>
      <c r="Z181" s="246">
        <f ca="1">IF($W181="DIRECT",$O181,DSTDEV('literature entries'!$D:$AI,IF($J181=1,"ACTIVE     CED, FARM GATE (MJ/kg)","CED, processor gate (MJ/kg)"),INDIRECT($W181)))</f>
        <v>12.174509288584247</v>
      </c>
      <c r="AA181" s="246">
        <f t="shared" ca="1" si="26"/>
        <v>12.174509288584247</v>
      </c>
      <c r="AB181" s="254" t="s">
        <v>2463</v>
      </c>
      <c r="AC181" s="247">
        <f ca="1">IF($AB181="DIRECT",Q181,DCOUNT('literature entries'!$D:$AI,IF($J181=1,"ACTIVE     GHGE, FARM GATE (kg CO2e/kg)","GHGE, processor gate (kg CO2e/kg)"),INDIRECT($AB181)))</f>
        <v>23</v>
      </c>
      <c r="AD181" s="247">
        <f ca="1">IF($AB181="DIRECT","",DAVERAGE('literature entries'!$D:$AI,IF($J181=1,"ACTIVE     GHGE, FARM GATE (kg CO2e/kg)","GHGE, processor gate (kg CO2e/kg)"),INDIRECT($AB181)))</f>
        <v>2.0569628623188403</v>
      </c>
      <c r="AE181" s="247">
        <f ca="1">IF($AB181="DIRECT",$S181,DSTDEV('literature entries'!$D:$AI,IF($J181=1,"ACTIVE     GHGE, FARM GATE (kg CO2e/kg)","GHGE, processor gate (kg CO2e/kg)"),INDIRECT($AB181)))</f>
        <v>1.8731562532671704</v>
      </c>
      <c r="AF181" s="247">
        <f t="shared" ca="1" si="25"/>
        <v>0.93189005383848644</v>
      </c>
    </row>
    <row r="182" spans="1:32" s="21" customFormat="1" ht="17" thickBot="1" x14ac:dyDescent="0.25">
      <c r="A182" s="129">
        <v>1400111000</v>
      </c>
      <c r="B182" s="130" t="s">
        <v>1920</v>
      </c>
      <c r="C182" s="131" t="s">
        <v>1921</v>
      </c>
      <c r="D182" s="131" t="s">
        <v>1922</v>
      </c>
      <c r="E182" s="131">
        <v>98</v>
      </c>
      <c r="F182" s="126">
        <f t="shared" ca="1" si="16"/>
        <v>5.7717333333333327</v>
      </c>
      <c r="G182" s="127">
        <f t="shared" ca="1" si="17"/>
        <v>1.5205733333333333</v>
      </c>
      <c r="H182" s="132">
        <v>1.92</v>
      </c>
      <c r="I182" s="133" t="s">
        <v>2737</v>
      </c>
      <c r="J182" s="91">
        <v>1</v>
      </c>
      <c r="K182" s="90"/>
      <c r="L182" s="152" t="str">
        <f>IF(ISERROR(GETPIVOTDATA(IF($J182=1,"Count of ACTIVE     CED, FARM GATE (MJ/kg)","Count of CED, processor gate (MJ/kg)"),'Pivot Table_CED'!$A$3,"SUB TYPE",$B182)),"PROXY",IF(GETPIVOTDATA(IF($J182=1,"Count of ACTIVE     CED, FARM GATE (MJ/kg)","Count of CED, processor gate (MJ/kg)"),'Pivot Table_CED'!$A$3,"SUB TYPE",$B182)=0,"PROXY","DB value"))</f>
        <v>DB value</v>
      </c>
      <c r="M182" s="134">
        <f ca="1">IF($L182="PROXY",DCOUNT('literature entries'!$D:$AI,IF($J182=1,"ACTIVE     CED, FARM GATE (MJ/kg)","CED, processor gate (MJ/kg)"),INDIRECT($K182)),GETPIVOTDATA(IF($J182=1,"Count of ACTIVE     CED, FARM GATE (MJ/kg)","Count of CED, processor gate (MJ/kg)"),'Pivot Table_CED'!$A$3,"SUB TYPE",$B182))</f>
        <v>3</v>
      </c>
      <c r="N182" s="135">
        <f ca="1">IF($L182="PROXY",DAVERAGE('literature entries'!$D:$AI,IF($J182=1,"ACTIVE     CED, FARM GATE (MJ/kg)","CED, processor gate (MJ/kg)"),INDIRECT($K182)),GETPIVOTDATA(IF($J182=1,"Average of ACTIVE     CED, FARM GATE (MJ/kg)","Average of CED, processor gate (MJ/kg)"),'Pivot Table_CED'!$A$3,"SUB TYPE",$B182))</f>
        <v>3.0061111111111107</v>
      </c>
      <c r="O182" s="135">
        <f ca="1">IF($L182="PROXY",DSTDEV('literature entries'!D:AI,IF($J182=1,"ACTIVE     CED, FARM GATE (MJ/kg)","CED, processor gate (MJ/kg)"),INDIRECT($K182)),GETPIVOTDATA(IF($J182=1,"StdDev of ACTIVE     CED, FARM GATE (MJ/kg)","StdDev of CED, processor gate (MJ/kg)"),'Pivot Table_CED'!$A$3,"SUB TYPE",$B182))</f>
        <v>0.53949228371666036</v>
      </c>
      <c r="P182" s="152" t="str">
        <f>IF(ISERROR(GETPIVOTDATA(IF($J182=1,"Count of ACTIVE     GHGE, FARM GATE (kg CO2e/kg)","Count of GHGE, processor gate (kg CO2e/kg)"),'Pivot Table_GHG'!$A$3,"SUB TYPE",$B182)),"PROXY",IF(GETPIVOTDATA(IF($J182=1,"Count of ACTIVE     GHGE, FARM GATE (kg CO2e/kg)","Count of GHGE, processor gate (kg CO2e/kg)"),'Pivot Table_GHG'!$A$3,"SUB TYPE",$B182)=0,"PROXY","DB value"))</f>
        <v>DB value</v>
      </c>
      <c r="Q182" s="141">
        <f ca="1">IF($P182="PROXY",DCOUNT('literature entries'!$D:$AI,IF($J182=1,"ACTIVE     GHGE, FARM GATE (kg CO2e/kg)","GHGE, processor gate (kg CO2e/kg)"),INDIRECT($K182)),GETPIVOTDATA(IF($J182=1,"ACTIVE     GHGE, FARM GATE (kg CO2e/kg)","Count of GHGE, processor gate (kg CO2e/kg)"),'Pivot Table_GHG'!$A$3,"SUB TYPE",$B182))</f>
        <v>3</v>
      </c>
      <c r="R182" s="221">
        <f ca="1">IF($P182="PROXY",DAVERAGE('literature entries'!$D:$AI,IF($J182=1,"ACTIVE     GHGE, FARM GATE (kg CO2e/kg)","GHGE, processor gate (kg CO2e/kg)"),INDIRECT($K182)),GETPIVOTDATA(IF($J182=1,"Average of ACTIVE     GHGE, FARM GATE (kg CO2e/kg)","Average of GHGE, processor gate (kg CO2e/kg)"),'Pivot Table_GHG'!$A$3,"SUB TYPE",$B182))</f>
        <v>0.79196527777777781</v>
      </c>
      <c r="S182" s="221">
        <f ca="1">IF($P182="PROXY",DSTDEV('literature entries'!$D:$AI,IF($J182=1,"ACTIVE     GHGE, FARM GATE (kg CO2e/kg)","GHGE, processor gate (kg CO2e/kg)"),INDIRECT($K182)),GETPIVOTDATA(IF($J182=1,"StdDev of ACTIVE     GHGE, FARM GATE (kg CO2e/kg)","StdDev of GHGE, processor gate (kg CO2e/kg)"),'Pivot Table_GHG'!$A$3,"SUB TYPE",$B182))</f>
        <v>0.45384557138087972</v>
      </c>
      <c r="T182" s="101"/>
      <c r="U182" s="102"/>
      <c r="W182" s="248" t="s">
        <v>2463</v>
      </c>
      <c r="X182" s="246">
        <f ca="1">IF($W182="DIRECT",M182,DCOUNT('literature entries'!$D:$AI,IF($J182=1,"ACTIVE     CED, FARM GATE (MJ/kg)","CED, processor gate (MJ/kg)"),INDIRECT($W182)))</f>
        <v>6</v>
      </c>
      <c r="Y182" s="246">
        <f ca="1">IF($W182="DIRECT","",DAVERAGE('literature entries'!$D:$AI,IF($J182=1,"ACTIVE     CED, FARM GATE (MJ/kg)","CED, processor gate (MJ/kg)"),INDIRECT($W182)))</f>
        <v>13.969722222222222</v>
      </c>
      <c r="Z182" s="246">
        <f ca="1">IF($W182="DIRECT",$O182,DSTDEV('literature entries'!$D:$AI,IF($J182=1,"ACTIVE     CED, FARM GATE (MJ/kg)","CED, processor gate (MJ/kg)"),INDIRECT($W182)))</f>
        <v>12.174509288584247</v>
      </c>
      <c r="AA182" s="246">
        <f t="shared" ca="1" si="26"/>
        <v>2.6198035338541432</v>
      </c>
      <c r="AB182" s="254" t="s">
        <v>2463</v>
      </c>
      <c r="AC182" s="247">
        <f ca="1">IF($AB182="DIRECT",Q182,DCOUNT('literature entries'!$D:$AI,IF($J182=1,"ACTIVE     GHGE, FARM GATE (kg CO2e/kg)","GHGE, processor gate (kg CO2e/kg)"),INDIRECT($AB182)))</f>
        <v>23</v>
      </c>
      <c r="AD182" s="247">
        <f ca="1">IF($AB182="DIRECT","",DAVERAGE('literature entries'!$D:$AI,IF($J182=1,"ACTIVE     GHGE, FARM GATE (kg CO2e/kg)","GHGE, processor gate (kg CO2e/kg)"),INDIRECT($AB182)))</f>
        <v>2.0569628623188403</v>
      </c>
      <c r="AE182" s="247">
        <f ca="1">IF($AB182="DIRECT",$S182,DSTDEV('literature entries'!$D:$AI,IF($J182=1,"ACTIVE     GHGE, FARM GATE (kg CO2e/kg)","GHGE, processor gate (kg CO2e/kg)"),INDIRECT($AB182)))</f>
        <v>1.8731562532671704</v>
      </c>
      <c r="AF182" s="247">
        <f t="shared" ca="1" si="25"/>
        <v>0.72119664366111902</v>
      </c>
    </row>
    <row r="183" spans="1:32" s="21" customFormat="1" ht="17" thickBot="1" x14ac:dyDescent="0.25">
      <c r="A183" s="129">
        <v>1400112000</v>
      </c>
      <c r="B183" s="130" t="s">
        <v>1918</v>
      </c>
      <c r="C183" s="131" t="s">
        <v>1919</v>
      </c>
      <c r="D183" s="131"/>
      <c r="E183" s="131">
        <v>2027</v>
      </c>
      <c r="F183" s="126">
        <f t="shared" ca="1" si="16"/>
        <v>5.5007126537969775</v>
      </c>
      <c r="G183" s="127">
        <f t="shared" ca="1" si="17"/>
        <v>1.4491724569787674</v>
      </c>
      <c r="H183" s="136">
        <v>1.8298434257687231</v>
      </c>
      <c r="I183" s="133" t="s">
        <v>2737</v>
      </c>
      <c r="J183" s="91">
        <v>1</v>
      </c>
      <c r="K183" s="90" t="s">
        <v>3279</v>
      </c>
      <c r="L183" s="152" t="str">
        <f>IF(ISERROR(GETPIVOTDATA(IF($J183=1,"Count of ACTIVE     CED, FARM GATE (MJ/kg)","Count of CED, processor gate (MJ/kg)"),'Pivot Table_CED'!$A$3,"SUB TYPE",$B183)),"PROXY",IF(GETPIVOTDATA(IF($J183=1,"Count of ACTIVE     CED, FARM GATE (MJ/kg)","Count of CED, processor gate (MJ/kg)"),'Pivot Table_CED'!$A$3,"SUB TYPE",$B183)=0,"PROXY","DB value"))</f>
        <v>PROXY</v>
      </c>
      <c r="M183" s="134">
        <f ca="1">IF($L183="PROXY",DCOUNT('literature entries'!$D:$AI,IF($J183=1,"ACTIVE     CED, FARM GATE (MJ/kg)","CED, processor gate (MJ/kg)"),INDIRECT($K183)),GETPIVOTDATA(IF($J183=1,"Count of ACTIVE     CED, FARM GATE (MJ/kg)","Count of CED, processor gate (MJ/kg)"),'Pivot Table_CED'!$A$3,"SUB TYPE",$B183))</f>
        <v>3</v>
      </c>
      <c r="N183" s="135">
        <f ca="1">IF($L183="PROXY",DAVERAGE('literature entries'!$D:$AI,IF($J183=1,"ACTIVE     CED, FARM GATE (MJ/kg)","CED, processor gate (MJ/kg)"),INDIRECT($K183)),GETPIVOTDATA(IF($J183=1,"Average of ACTIVE     CED, FARM GATE (MJ/kg)","Average of CED, processor gate (MJ/kg)"),'Pivot Table_CED'!$A$3,"SUB TYPE",$B183))</f>
        <v>3.0061111111111107</v>
      </c>
      <c r="O183" s="135">
        <f ca="1">IF($L183="PROXY",DSTDEV('literature entries'!D:AI,IF($J183=1,"ACTIVE     CED, FARM GATE (MJ/kg)","CED, processor gate (MJ/kg)"),INDIRECT($K183)),GETPIVOTDATA(IF($J183=1,"StdDev of ACTIVE     CED, FARM GATE (MJ/kg)","StdDev of CED, processor gate (MJ/kg)"),'Pivot Table_CED'!$A$3,"SUB TYPE",$B183))</f>
        <v>0.53949228371666036</v>
      </c>
      <c r="P183" s="152" t="str">
        <f>IF(ISERROR(GETPIVOTDATA(IF($J183=1,"Count of ACTIVE     GHGE, FARM GATE (kg CO2e/kg)","Count of GHGE, processor gate (kg CO2e/kg)"),'Pivot Table_GHG'!$A$3,"SUB TYPE",$B183)),"PROXY",IF(GETPIVOTDATA(IF($J183=1,"Count of ACTIVE     GHGE, FARM GATE (kg CO2e/kg)","Count of GHGE, processor gate (kg CO2e/kg)"),'Pivot Table_GHG'!$A$3,"SUB TYPE",$B183)=0,"PROXY","DB value"))</f>
        <v>PROXY</v>
      </c>
      <c r="Q183" s="141">
        <f ca="1">IF($P183="PROXY",DCOUNT('literature entries'!$D:$AI,IF($J183=1,"ACTIVE     GHGE, FARM GATE (kg CO2e/kg)","GHGE, processor gate (kg CO2e/kg)"),INDIRECT($K183)),GETPIVOTDATA(IF($J183=1,"ACTIVE     GHGE, FARM GATE (kg CO2e/kg)","Count of GHGE, processor gate (kg CO2e/kg)"),'Pivot Table_GHG'!$A$3,"SUB TYPE",$B183))</f>
        <v>3</v>
      </c>
      <c r="R183" s="221">
        <f ca="1">IF($P183="PROXY",DAVERAGE('literature entries'!$D:$AI,IF($J183=1,"ACTIVE     GHGE, FARM GATE (kg CO2e/kg)","GHGE, processor gate (kg CO2e/kg)"),INDIRECT($K183)),GETPIVOTDATA(IF($J183=1,"Average of ACTIVE     GHGE, FARM GATE (kg CO2e/kg)","Average of GHGE, processor gate (kg CO2e/kg)"),'Pivot Table_GHG'!$A$3,"SUB TYPE",$B183))</f>
        <v>0.79196527777777781</v>
      </c>
      <c r="S183" s="221">
        <f ca="1">IF($P183="PROXY",DSTDEV('literature entries'!$D:$AI,IF($J183=1,"ACTIVE     GHGE, FARM GATE (kg CO2e/kg)","GHGE, processor gate (kg CO2e/kg)"),INDIRECT($K183)),GETPIVOTDATA(IF($J183=1,"StdDev of ACTIVE     GHGE, FARM GATE (kg CO2e/kg)","StdDev of GHGE, processor gate (kg CO2e/kg)"),'Pivot Table_GHG'!$A$3,"SUB TYPE",$B183))</f>
        <v>0.45384557138087972</v>
      </c>
      <c r="T183" s="101"/>
      <c r="U183" s="102"/>
      <c r="W183" s="248" t="s">
        <v>2463</v>
      </c>
      <c r="X183" s="246">
        <f ca="1">IF($W183="DIRECT",M183,DCOUNT('literature entries'!$D:$AI,IF($J183=1,"ACTIVE     CED, FARM GATE (MJ/kg)","CED, processor gate (MJ/kg)"),INDIRECT($W183)))</f>
        <v>6</v>
      </c>
      <c r="Y183" s="246">
        <f ca="1">IF($W183="DIRECT","",DAVERAGE('literature entries'!$D:$AI,IF($J183=1,"ACTIVE     CED, FARM GATE (MJ/kg)","CED, processor gate (MJ/kg)"),INDIRECT($W183)))</f>
        <v>13.969722222222222</v>
      </c>
      <c r="Z183" s="246">
        <f ca="1">IF($W183="DIRECT",$O183,DSTDEV('literature entries'!$D:$AI,IF($J183=1,"ACTIVE     CED, FARM GATE (MJ/kg)","CED, processor gate (MJ/kg)"),INDIRECT($W183)))</f>
        <v>12.174509288584247</v>
      </c>
      <c r="AA183" s="246">
        <f t="shared" ca="1" si="26"/>
        <v>2.6198035338541432</v>
      </c>
      <c r="AB183" s="254" t="s">
        <v>2463</v>
      </c>
      <c r="AC183" s="247">
        <f ca="1">IF($AB183="DIRECT",Q183,DCOUNT('literature entries'!$D:$AI,IF($J183=1,"ACTIVE     GHGE, FARM GATE (kg CO2e/kg)","GHGE, processor gate (kg CO2e/kg)"),INDIRECT($AB183)))</f>
        <v>23</v>
      </c>
      <c r="AD183" s="247">
        <f ca="1">IF($AB183="DIRECT","",DAVERAGE('literature entries'!$D:$AI,IF($J183=1,"ACTIVE     GHGE, FARM GATE (kg CO2e/kg)","GHGE, processor gate (kg CO2e/kg)"),INDIRECT($AB183)))</f>
        <v>2.0569628623188403</v>
      </c>
      <c r="AE183" s="247">
        <f ca="1">IF($AB183="DIRECT",$S183,DSTDEV('literature entries'!$D:$AI,IF($J183=1,"ACTIVE     GHGE, FARM GATE (kg CO2e/kg)","GHGE, processor gate (kg CO2e/kg)"),INDIRECT($AB183)))</f>
        <v>1.8731562532671704</v>
      </c>
      <c r="AF183" s="247">
        <f t="shared" ca="1" si="25"/>
        <v>0.72119664366111902</v>
      </c>
    </row>
    <row r="184" spans="1:32" s="21" customFormat="1" ht="17" thickBot="1" x14ac:dyDescent="0.25">
      <c r="A184" s="129">
        <v>1400113000</v>
      </c>
      <c r="B184" s="130" t="s">
        <v>1923</v>
      </c>
      <c r="C184" s="131" t="s">
        <v>1924</v>
      </c>
      <c r="D184" s="131"/>
      <c r="E184" s="131">
        <v>119</v>
      </c>
      <c r="F184" s="126">
        <f t="shared" ca="1" si="16"/>
        <v>3.0061111111111107</v>
      </c>
      <c r="G184" s="127">
        <f t="shared" ca="1" si="17"/>
        <v>0.79196527777777781</v>
      </c>
      <c r="H184" s="132">
        <v>1</v>
      </c>
      <c r="I184" s="133" t="s">
        <v>594</v>
      </c>
      <c r="J184" s="91">
        <v>1</v>
      </c>
      <c r="K184" s="226" t="s">
        <v>3279</v>
      </c>
      <c r="L184" s="152" t="str">
        <f>IF(ISERROR(GETPIVOTDATA(IF($J184=1,"Count of ACTIVE     CED, FARM GATE (MJ/kg)","Count of CED, processor gate (MJ/kg)"),'Pivot Table_CED'!$A$3,"SUB TYPE",$B184)),"PROXY",IF(GETPIVOTDATA(IF($J184=1,"Count of ACTIVE     CED, FARM GATE (MJ/kg)","Count of CED, processor gate (MJ/kg)"),'Pivot Table_CED'!$A$3,"SUB TYPE",$B184)=0,"PROXY","DB value"))</f>
        <v>PROXY</v>
      </c>
      <c r="M184" s="134">
        <f ca="1">IF($L184="PROXY",DCOUNT('literature entries'!$D:$AI,IF($J184=1,"ACTIVE     CED, FARM GATE (MJ/kg)","CED, processor gate (MJ/kg)"),INDIRECT($K184)),GETPIVOTDATA(IF($J184=1,"Count of ACTIVE     CED, FARM GATE (MJ/kg)","Count of CED, processor gate (MJ/kg)"),'Pivot Table_CED'!$A$3,"SUB TYPE",$B184))</f>
        <v>3</v>
      </c>
      <c r="N184" s="135">
        <f ca="1">IF($L184="PROXY",DAVERAGE('literature entries'!$D:$AI,IF($J184=1,"ACTIVE     CED, FARM GATE (MJ/kg)","CED, processor gate (MJ/kg)"),INDIRECT($K184)),GETPIVOTDATA(IF($J184=1,"Average of ACTIVE     CED, FARM GATE (MJ/kg)","Average of CED, processor gate (MJ/kg)"),'Pivot Table_CED'!$A$3,"SUB TYPE",$B184))</f>
        <v>3.0061111111111107</v>
      </c>
      <c r="O184" s="135">
        <f ca="1">IF($L184="PROXY",DSTDEV('literature entries'!D:AI,IF($J184=1,"ACTIVE     CED, FARM GATE (MJ/kg)","CED, processor gate (MJ/kg)"),INDIRECT($K184)),GETPIVOTDATA(IF($J184=1,"StdDev of ACTIVE     CED, FARM GATE (MJ/kg)","StdDev of CED, processor gate (MJ/kg)"),'Pivot Table_CED'!$A$3,"SUB TYPE",$B184))</f>
        <v>0.53949228371666036</v>
      </c>
      <c r="P184" s="152" t="str">
        <f>IF(ISERROR(GETPIVOTDATA(IF($J184=1,"Count of ACTIVE     GHGE, FARM GATE (kg CO2e/kg)","Count of GHGE, processor gate (kg CO2e/kg)"),'Pivot Table_GHG'!$A$3,"SUB TYPE",$B184)),"PROXY",IF(GETPIVOTDATA(IF($J184=1,"Count of ACTIVE     GHGE, FARM GATE (kg CO2e/kg)","Count of GHGE, processor gate (kg CO2e/kg)"),'Pivot Table_GHG'!$A$3,"SUB TYPE",$B184)=0,"PROXY","DB value"))</f>
        <v>PROXY</v>
      </c>
      <c r="Q184" s="141">
        <f ca="1">IF($P184="PROXY",DCOUNT('literature entries'!$D:$AI,IF($J184=1,"ACTIVE     GHGE, FARM GATE (kg CO2e/kg)","GHGE, processor gate (kg CO2e/kg)"),INDIRECT($K184)),GETPIVOTDATA(IF($J184=1,"ACTIVE     GHGE, FARM GATE (kg CO2e/kg)","Count of GHGE, processor gate (kg CO2e/kg)"),'Pivot Table_GHG'!$A$3,"SUB TYPE",$B184))</f>
        <v>3</v>
      </c>
      <c r="R184" s="221">
        <f ca="1">IF($P184="PROXY",DAVERAGE('literature entries'!$D:$AI,IF($J184=1,"ACTIVE     GHGE, FARM GATE (kg CO2e/kg)","GHGE, processor gate (kg CO2e/kg)"),INDIRECT($K184)),GETPIVOTDATA(IF($J184=1,"Average of ACTIVE     GHGE, FARM GATE (kg CO2e/kg)","Average of GHGE, processor gate (kg CO2e/kg)"),'Pivot Table_GHG'!$A$3,"SUB TYPE",$B184))</f>
        <v>0.79196527777777781</v>
      </c>
      <c r="S184" s="221">
        <f ca="1">IF($P184="PROXY",DSTDEV('literature entries'!$D:$AI,IF($J184=1,"ACTIVE     GHGE, FARM GATE (kg CO2e/kg)","GHGE, processor gate (kg CO2e/kg)"),INDIRECT($K184)),GETPIVOTDATA(IF($J184=1,"StdDev of ACTIVE     GHGE, FARM GATE (kg CO2e/kg)","StdDev of GHGE, processor gate (kg CO2e/kg)"),'Pivot Table_GHG'!$A$3,"SUB TYPE",$B184))</f>
        <v>0.45384557138087972</v>
      </c>
      <c r="T184" s="101"/>
      <c r="U184" s="102"/>
      <c r="W184" s="248" t="s">
        <v>2463</v>
      </c>
      <c r="X184" s="246">
        <f ca="1">IF($W184="DIRECT",M184,DCOUNT('literature entries'!$D:$AI,IF($J184=1,"ACTIVE     CED, FARM GATE (MJ/kg)","CED, processor gate (MJ/kg)"),INDIRECT($W184)))</f>
        <v>6</v>
      </c>
      <c r="Y184" s="246">
        <f ca="1">IF($W184="DIRECT","",DAVERAGE('literature entries'!$D:$AI,IF($J184=1,"ACTIVE     CED, FARM GATE (MJ/kg)","CED, processor gate (MJ/kg)"),INDIRECT($W184)))</f>
        <v>13.969722222222222</v>
      </c>
      <c r="Z184" s="246">
        <f ca="1">IF($W184="DIRECT",$O184,DSTDEV('literature entries'!$D:$AI,IF($J184=1,"ACTIVE     CED, FARM GATE (MJ/kg)","CED, processor gate (MJ/kg)"),INDIRECT($W184)))</f>
        <v>12.174509288584247</v>
      </c>
      <c r="AA184" s="246">
        <f t="shared" ca="1" si="26"/>
        <v>2.6198035338541432</v>
      </c>
      <c r="AB184" s="254" t="s">
        <v>2463</v>
      </c>
      <c r="AC184" s="247">
        <f ca="1">IF($AB184="DIRECT",Q184,DCOUNT('literature entries'!$D:$AI,IF($J184=1,"ACTIVE     GHGE, FARM GATE (kg CO2e/kg)","GHGE, processor gate (kg CO2e/kg)"),INDIRECT($AB184)))</f>
        <v>23</v>
      </c>
      <c r="AD184" s="247">
        <f ca="1">IF($AB184="DIRECT","",DAVERAGE('literature entries'!$D:$AI,IF($J184=1,"ACTIVE     GHGE, FARM GATE (kg CO2e/kg)","GHGE, processor gate (kg CO2e/kg)"),INDIRECT($AB184)))</f>
        <v>2.0569628623188403</v>
      </c>
      <c r="AE184" s="247">
        <f ca="1">IF($AB184="DIRECT",$S184,DSTDEV('literature entries'!$D:$AI,IF($J184=1,"ACTIVE     GHGE, FARM GATE (kg CO2e/kg)","GHGE, processor gate (kg CO2e/kg)"),INDIRECT($AB184)))</f>
        <v>1.8731562532671704</v>
      </c>
      <c r="AF184" s="247">
        <f t="shared" ca="1" si="25"/>
        <v>0.72119664366111902</v>
      </c>
    </row>
    <row r="185" spans="1:32" s="21" customFormat="1" ht="17" thickBot="1" x14ac:dyDescent="0.25">
      <c r="A185" s="129">
        <v>1400114000</v>
      </c>
      <c r="B185" s="130" t="s">
        <v>1925</v>
      </c>
      <c r="C185" s="131" t="s">
        <v>1731</v>
      </c>
      <c r="D185" s="131"/>
      <c r="E185" s="131">
        <v>11877</v>
      </c>
      <c r="F185" s="126">
        <f t="shared" ca="1" si="16"/>
        <v>11.899959666666668</v>
      </c>
      <c r="G185" s="127">
        <f t="shared" ca="1" si="17"/>
        <v>2.7294392999999997</v>
      </c>
      <c r="H185" s="132">
        <v>1</v>
      </c>
      <c r="I185" s="133" t="s">
        <v>2724</v>
      </c>
      <c r="J185" s="91">
        <v>2</v>
      </c>
      <c r="K185" s="90"/>
      <c r="L185" s="152" t="str">
        <f>IF(ISERROR(GETPIVOTDATA(IF($J185=1,"Count of ACTIVE     CED, FARM GATE (MJ/kg)","Count of CED, processor gate (MJ/kg)"),'Pivot Table_CED'!$A$3,"SUB TYPE",$B185)),"PROXY",IF(GETPIVOTDATA(IF($J185=1,"Count of ACTIVE     CED, FARM GATE (MJ/kg)","Count of CED, processor gate (MJ/kg)"),'Pivot Table_CED'!$A$3,"SUB TYPE",$B185)=0,"PROXY","DB value"))</f>
        <v>DB value</v>
      </c>
      <c r="M185" s="134">
        <f ca="1">IF($L185="PROXY",DCOUNT('literature entries'!$D:$AI,IF($J185=1,"ACTIVE     CED, FARM GATE (MJ/kg)","CED, processor gate (MJ/kg)"),INDIRECT($K185)),GETPIVOTDATA(IF($J185=1,"Count of ACTIVE     CED, FARM GATE (MJ/kg)","Count of CED, processor gate (MJ/kg)"),'Pivot Table_CED'!$A$3,"SUB TYPE",$B185))</f>
        <v>3</v>
      </c>
      <c r="N185" s="135">
        <f ca="1">IF($L185="PROXY",DAVERAGE('literature entries'!$D:$AI,IF($J185=1,"ACTIVE     CED, FARM GATE (MJ/kg)","CED, processor gate (MJ/kg)"),INDIRECT($K185)),GETPIVOTDATA(IF($J185=1,"Average of ACTIVE     CED, FARM GATE (MJ/kg)","Average of CED, processor gate (MJ/kg)"),'Pivot Table_CED'!$A$3,"SUB TYPE",$B185))</f>
        <v>11.899959666666668</v>
      </c>
      <c r="O185" s="135">
        <f ca="1">IF($L185="PROXY",DSTDEV('literature entries'!D:AI,IF($J185=1,"ACTIVE     CED, FARM GATE (MJ/kg)","CED, processor gate (MJ/kg)"),INDIRECT($K185)),GETPIVOTDATA(IF($J185=1,"StdDev of ACTIVE     CED, FARM GATE (MJ/kg)","StdDev of CED, processor gate (MJ/kg)"),'Pivot Table_CED'!$A$3,"SUB TYPE",$B185))</f>
        <v>0.99604112952744306</v>
      </c>
      <c r="P185" s="152" t="str">
        <f>IF(ISERROR(GETPIVOTDATA(IF($J185=1,"Count of ACTIVE     GHGE, FARM GATE (kg CO2e/kg)","Count of GHGE, processor gate (kg CO2e/kg)"),'Pivot Table_GHG'!$A$3,"SUB TYPE",$B185)),"PROXY",IF(GETPIVOTDATA(IF($J185=1,"Count of ACTIVE     GHGE, FARM GATE (kg CO2e/kg)","Count of GHGE, processor gate (kg CO2e/kg)"),'Pivot Table_GHG'!$A$3,"SUB TYPE",$B185)=0,"PROXY","DB value"))</f>
        <v>DB value</v>
      </c>
      <c r="Q185" s="141">
        <f ca="1">IF($P185="PROXY",DCOUNT('literature entries'!$D:$AI,IF($J185=1,"ACTIVE     GHGE, FARM GATE (kg CO2e/kg)","GHGE, processor gate (kg CO2e/kg)"),INDIRECT($K185)),GETPIVOTDATA(IF($J185=1,"ACTIVE     GHGE, FARM GATE (kg CO2e/kg)","Count of GHGE, processor gate (kg CO2e/kg)"),'Pivot Table_GHG'!$A$3,"SUB TYPE",$B185))</f>
        <v>3</v>
      </c>
      <c r="R185" s="221">
        <f ca="1">IF($P185="PROXY",DAVERAGE('literature entries'!$D:$AI,IF($J185=1,"ACTIVE     GHGE, FARM GATE (kg CO2e/kg)","GHGE, processor gate (kg CO2e/kg)"),INDIRECT($K185)),GETPIVOTDATA(IF($J185=1,"Average of ACTIVE     GHGE, FARM GATE (kg CO2e/kg)","Average of GHGE, processor gate (kg CO2e/kg)"),'Pivot Table_GHG'!$A$3,"SUB TYPE",$B185))</f>
        <v>2.7294392999999997</v>
      </c>
      <c r="S185" s="221">
        <f ca="1">IF($P185="PROXY",DSTDEV('literature entries'!$D:$AI,IF($J185=1,"ACTIVE     GHGE, FARM GATE (kg CO2e/kg)","GHGE, processor gate (kg CO2e/kg)"),INDIRECT($K185)),GETPIVOTDATA(IF($J185=1,"StdDev of ACTIVE     GHGE, FARM GATE (kg CO2e/kg)","StdDev of GHGE, processor gate (kg CO2e/kg)"),'Pivot Table_GHG'!$A$3,"SUB TYPE",$B185))</f>
        <v>0.98128140597347435</v>
      </c>
      <c r="T185" s="101"/>
      <c r="U185" s="102"/>
      <c r="W185" s="258" t="s">
        <v>2463</v>
      </c>
      <c r="X185" s="246">
        <f ca="1">IF($W185="DIRECT",M185,DCOUNT('literature entries'!$D:$AI,"ACTIVE     CED, FARM GATE (MJ/kg)",INDIRECT($W185)))</f>
        <v>6</v>
      </c>
      <c r="Y185" s="246">
        <f ca="1">IF($W185="DIRECT","",DAVERAGE('literature entries'!$D:$AI,"ACTIVE     CED, FARM GATE (MJ/kg)",INDIRECT($W185)))</f>
        <v>13.969722222222222</v>
      </c>
      <c r="Z185" s="246">
        <f ca="1">IF($W185="DIRECT",$O185,DSTDEV('literature entries'!$D:$AI,"ACTIVE     CED, FARM GATE (MJ/kg)",INDIRECT($W185)))</f>
        <v>12.174509288584247</v>
      </c>
      <c r="AA185" s="246">
        <f t="shared" ca="1" si="26"/>
        <v>10.370726575017409</v>
      </c>
      <c r="AB185" s="254" t="s">
        <v>2463</v>
      </c>
      <c r="AC185" s="247">
        <f ca="1">IF($AB185="DIRECT",Q185,DCOUNT('literature entries'!$D:$AI,IF($J185=1,"ACTIVE     GHGE, FARM GATE (kg CO2e/kg)","GHGE, processor gate (kg CO2e/kg)"),INDIRECT($AB185)))</f>
        <v>23</v>
      </c>
      <c r="AD185" s="247">
        <f ca="1">IF($AB185="DIRECT","",DAVERAGE('literature entries'!$D:$AI,IF($J185=1,"ACTIVE     GHGE, FARM GATE (kg CO2e/kg)","GHGE, processor gate (kg CO2e/kg)"),INDIRECT($AB185)))</f>
        <v>2.1019046376811592</v>
      </c>
      <c r="AE185" s="247">
        <f ca="1">IF($AB185="DIRECT",$S185,DSTDEV('literature entries'!$D:$AI,IF($J185=1,"ACTIVE     GHGE, FARM GATE (kg CO2e/kg)","GHGE, processor gate (kg CO2e/kg)"),INDIRECT($AB185)))</f>
        <v>1.1819483192160807</v>
      </c>
      <c r="AF185" s="247">
        <f t="shared" ca="1" si="25"/>
        <v>1.5348251938757465</v>
      </c>
    </row>
    <row r="186" spans="1:32" s="21" customFormat="1" ht="17" thickBot="1" x14ac:dyDescent="0.25">
      <c r="A186" s="129">
        <v>1400155000</v>
      </c>
      <c r="B186" s="130" t="s">
        <v>2029</v>
      </c>
      <c r="C186" s="131" t="s">
        <v>1729</v>
      </c>
      <c r="D186" s="131" t="s">
        <v>2030</v>
      </c>
      <c r="E186" s="131">
        <v>1707</v>
      </c>
      <c r="F186" s="126">
        <f t="shared" ca="1" si="16"/>
        <v>28.4</v>
      </c>
      <c r="G186" s="127">
        <f t="shared" ca="1" si="17"/>
        <v>0.99</v>
      </c>
      <c r="H186" s="132">
        <v>1</v>
      </c>
      <c r="I186" s="133" t="s">
        <v>628</v>
      </c>
      <c r="J186" s="91">
        <v>1</v>
      </c>
      <c r="K186" s="90"/>
      <c r="L186" s="152" t="str">
        <f>IF(ISERROR(GETPIVOTDATA(IF($J186=1,"Count of ACTIVE     CED, FARM GATE (MJ/kg)","Count of CED, processor gate (MJ/kg)"),'Pivot Table_CED'!$A$3,"SUB TYPE",$B186)),"PROXY",IF(GETPIVOTDATA(IF($J186=1,"Count of ACTIVE     CED, FARM GATE (MJ/kg)","Count of CED, processor gate (MJ/kg)"),'Pivot Table_CED'!$A$3,"SUB TYPE",$B186)=0,"PROXY","DB value"))</f>
        <v>DB value</v>
      </c>
      <c r="M186" s="134">
        <f ca="1">IF($L186="PROXY",DCOUNT('literature entries'!$D:$AI,IF($J186=1,"ACTIVE     CED, FARM GATE (MJ/kg)","CED, processor gate (MJ/kg)"),INDIRECT($K186)),GETPIVOTDATA(IF($J186=1,"Count of ACTIVE     CED, FARM GATE (MJ/kg)","Count of CED, processor gate (MJ/kg)"),'Pivot Table_CED'!$A$3,"SUB TYPE",$B186))</f>
        <v>1</v>
      </c>
      <c r="N186" s="135">
        <f ca="1">IF($L186="PROXY",DAVERAGE('literature entries'!$D:$AI,IF($J186=1,"ACTIVE     CED, FARM GATE (MJ/kg)","CED, processor gate (MJ/kg)"),INDIRECT($K186)),GETPIVOTDATA(IF($J186=1,"Average of ACTIVE     CED, FARM GATE (MJ/kg)","Average of CED, processor gate (MJ/kg)"),'Pivot Table_CED'!$A$3,"SUB TYPE",$B186))</f>
        <v>28.4</v>
      </c>
      <c r="O186" s="135">
        <f ca="1">IF($L186="PROXY",DSTDEV('literature entries'!D:AI,IF($J186=1,"ACTIVE     CED, FARM GATE (MJ/kg)","CED, processor gate (MJ/kg)"),INDIRECT($K186)),GETPIVOTDATA(IF($J186=1,"StdDev of ACTIVE     CED, FARM GATE (MJ/kg)","StdDev of CED, processor gate (MJ/kg)"),'Pivot Table_CED'!$A$3,"SUB TYPE",$B186))</f>
        <v>0</v>
      </c>
      <c r="P186" s="152" t="str">
        <f>IF(ISERROR(GETPIVOTDATA(IF($J186=1,"Count of ACTIVE     GHGE, FARM GATE (kg CO2e/kg)","Count of GHGE, processor gate (kg CO2e/kg)"),'Pivot Table_GHG'!$A$3,"SUB TYPE",$B186)),"PROXY",IF(GETPIVOTDATA(IF($J186=1,"Count of ACTIVE     GHGE, FARM GATE (kg CO2e/kg)","Count of GHGE, processor gate (kg CO2e/kg)"),'Pivot Table_GHG'!$A$3,"SUB TYPE",$B186)=0,"PROXY","DB value"))</f>
        <v>DB value</v>
      </c>
      <c r="Q186" s="141">
        <f ca="1">IF($P186="PROXY",DCOUNT('literature entries'!$D:$AI,IF($J186=1,"ACTIVE     GHGE, FARM GATE (kg CO2e/kg)","GHGE, processor gate (kg CO2e/kg)"),INDIRECT($K186)),GETPIVOTDATA(IF($J186=1,"ACTIVE     GHGE, FARM GATE (kg CO2e/kg)","Count of GHGE, processor gate (kg CO2e/kg)"),'Pivot Table_GHG'!$A$3,"SUB TYPE",$B186))</f>
        <v>2</v>
      </c>
      <c r="R186" s="221">
        <f ca="1">IF($P186="PROXY",DAVERAGE('literature entries'!$D:$AI,IF($J186=1,"ACTIVE     GHGE, FARM GATE (kg CO2e/kg)","GHGE, processor gate (kg CO2e/kg)"),INDIRECT($K186)),GETPIVOTDATA(IF($J186=1,"Average of ACTIVE     GHGE, FARM GATE (kg CO2e/kg)","Average of GHGE, processor gate (kg CO2e/kg)"),'Pivot Table_GHG'!$A$3,"SUB TYPE",$B186))</f>
        <v>0.99</v>
      </c>
      <c r="S186" s="221">
        <f ca="1">IF($P186="PROXY",DSTDEV('literature entries'!$D:$AI,IF($J186=1,"ACTIVE     GHGE, FARM GATE (kg CO2e/kg)","GHGE, processor gate (kg CO2e/kg)"),INDIRECT($K186)),GETPIVOTDATA(IF($J186=1,"StdDev of ACTIVE     GHGE, FARM GATE (kg CO2e/kg)","StdDev of GHGE, processor gate (kg CO2e/kg)"),'Pivot Table_GHG'!$A$3,"SUB TYPE",$B186))</f>
        <v>0.66468037431535454</v>
      </c>
      <c r="T186" s="101"/>
      <c r="U186" s="102"/>
      <c r="W186" s="248" t="s">
        <v>2463</v>
      </c>
      <c r="X186" s="246">
        <f ca="1">IF($W186="DIRECT",M186,DCOUNT('literature entries'!$D:$AI,IF($J186=1,"ACTIVE     CED, FARM GATE (MJ/kg)","CED, processor gate (MJ/kg)"),INDIRECT($W186)))</f>
        <v>6</v>
      </c>
      <c r="Y186" s="246">
        <f ca="1">IF($W186="DIRECT","",DAVERAGE('literature entries'!$D:$AI,IF($J186=1,"ACTIVE     CED, FARM GATE (MJ/kg)","CED, processor gate (MJ/kg)"),INDIRECT($W186)))</f>
        <v>13.969722222222222</v>
      </c>
      <c r="Z186" s="246">
        <f ca="1">IF($W186="DIRECT",$O186,DSTDEV('literature entries'!$D:$AI,IF($J186=1,"ACTIVE     CED, FARM GATE (MJ/kg)","CED, processor gate (MJ/kg)"),INDIRECT($W186)))</f>
        <v>12.174509288584247</v>
      </c>
      <c r="AA186" s="246">
        <f t="shared" ca="1" si="26"/>
        <v>24.750389327411533</v>
      </c>
      <c r="AB186" s="254" t="s">
        <v>2463</v>
      </c>
      <c r="AC186" s="247">
        <f ca="1">IF($AB186="DIRECT",Q186,DCOUNT('literature entries'!$D:$AI,IF($J186=1,"ACTIVE     GHGE, FARM GATE (kg CO2e/kg)","GHGE, processor gate (kg CO2e/kg)"),INDIRECT($AB186)))</f>
        <v>23</v>
      </c>
      <c r="AD186" s="247">
        <f ca="1">IF($AB186="DIRECT","",DAVERAGE('literature entries'!$D:$AI,IF($J186=1,"ACTIVE     GHGE, FARM GATE (kg CO2e/kg)","GHGE, processor gate (kg CO2e/kg)"),INDIRECT($AB186)))</f>
        <v>2.0569628623188403</v>
      </c>
      <c r="AE186" s="247">
        <f ca="1">IF($AB186="DIRECT",$S186,DSTDEV('literature entries'!$D:$AI,IF($J186=1,"ACTIVE     GHGE, FARM GATE (kg CO2e/kg)","GHGE, processor gate (kg CO2e/kg)"),INDIRECT($AB186)))</f>
        <v>1.8731562532671704</v>
      </c>
      <c r="AF186" s="247">
        <f t="shared" ca="1" si="25"/>
        <v>0.9015353289577539</v>
      </c>
    </row>
    <row r="187" spans="1:32" s="21" customFormat="1" ht="17" thickBot="1" x14ac:dyDescent="0.25">
      <c r="A187" s="129">
        <v>1400213000</v>
      </c>
      <c r="B187" s="130" t="s">
        <v>2064</v>
      </c>
      <c r="C187" s="131" t="s">
        <v>1729</v>
      </c>
      <c r="D187" s="131"/>
      <c r="E187" s="131">
        <v>11</v>
      </c>
      <c r="F187" s="126">
        <f t="shared" ca="1" si="16"/>
        <v>13.969722222222222</v>
      </c>
      <c r="G187" s="127">
        <f t="shared" ca="1" si="17"/>
        <v>2.0569628623188403</v>
      </c>
      <c r="H187" s="132">
        <v>1</v>
      </c>
      <c r="I187" s="133" t="s">
        <v>2724</v>
      </c>
      <c r="J187" s="91">
        <v>1</v>
      </c>
      <c r="K187" s="90" t="s">
        <v>2463</v>
      </c>
      <c r="L187" s="152" t="str">
        <f>IF(ISERROR(GETPIVOTDATA(IF($J187=1,"Count of ACTIVE     CED, FARM GATE (MJ/kg)","Count of CED, processor gate (MJ/kg)"),'Pivot Table_CED'!$A$3,"SUB TYPE",$B187)),"PROXY",IF(GETPIVOTDATA(IF($J187=1,"Count of ACTIVE     CED, FARM GATE (MJ/kg)","Count of CED, processor gate (MJ/kg)"),'Pivot Table_CED'!$A$3,"SUB TYPE",$B187)=0,"PROXY","DB value"))</f>
        <v>PROXY</v>
      </c>
      <c r="M187" s="134">
        <f ca="1">IF($L187="PROXY",DCOUNT('literature entries'!$D:$AI,IF($J187=1,"ACTIVE     CED, FARM GATE (MJ/kg)","CED, processor gate (MJ/kg)"),INDIRECT($K187)),GETPIVOTDATA(IF($J187=1,"Count of ACTIVE     CED, FARM GATE (MJ/kg)","Count of CED, processor gate (MJ/kg)"),'Pivot Table_CED'!$A$3,"SUB TYPE",$B187))</f>
        <v>6</v>
      </c>
      <c r="N187" s="135">
        <f ca="1">IF($L187="PROXY",DAVERAGE('literature entries'!$D:$AI,IF($J187=1,"ACTIVE     CED, FARM GATE (MJ/kg)","CED, processor gate (MJ/kg)"),INDIRECT($K187)),GETPIVOTDATA(IF($J187=1,"Average of ACTIVE     CED, FARM GATE (MJ/kg)","Average of CED, processor gate (MJ/kg)"),'Pivot Table_CED'!$A$3,"SUB TYPE",$B187))</f>
        <v>13.969722222222222</v>
      </c>
      <c r="O187" s="135">
        <f ca="1">IF($L187="PROXY",DSTDEV('literature entries'!D:AI,IF($J187=1,"ACTIVE     CED, FARM GATE (MJ/kg)","CED, processor gate (MJ/kg)"),INDIRECT($K187)),GETPIVOTDATA(IF($J187=1,"StdDev of ACTIVE     CED, FARM GATE (MJ/kg)","StdDev of CED, processor gate (MJ/kg)"),'Pivot Table_CED'!$A$3,"SUB TYPE",$B187))</f>
        <v>12.174509288584247</v>
      </c>
      <c r="P187" s="152" t="str">
        <f>IF(ISERROR(GETPIVOTDATA(IF($J187=1,"Count of ACTIVE     GHGE, FARM GATE (kg CO2e/kg)","Count of GHGE, processor gate (kg CO2e/kg)"),'Pivot Table_GHG'!$A$3,"SUB TYPE",$B187)),"PROXY",IF(GETPIVOTDATA(IF($J187=1,"Count of ACTIVE     GHGE, FARM GATE (kg CO2e/kg)","Count of GHGE, processor gate (kg CO2e/kg)"),'Pivot Table_GHG'!$A$3,"SUB TYPE",$B187)=0,"PROXY","DB value"))</f>
        <v>PROXY</v>
      </c>
      <c r="Q187" s="141">
        <f ca="1">IF($P187="PROXY",DCOUNT('literature entries'!$D:$AI,IF($J187=1,"ACTIVE     GHGE, FARM GATE (kg CO2e/kg)","GHGE, processor gate (kg CO2e/kg)"),INDIRECT($K187)),GETPIVOTDATA(IF($J187=1,"ACTIVE     GHGE, FARM GATE (kg CO2e/kg)","Count of GHGE, processor gate (kg CO2e/kg)"),'Pivot Table_GHG'!$A$3,"SUB TYPE",$B187))</f>
        <v>23</v>
      </c>
      <c r="R187" s="221">
        <f ca="1">IF($P187="PROXY",DAVERAGE('literature entries'!$D:$AI,IF($J187=1,"ACTIVE     GHGE, FARM GATE (kg CO2e/kg)","GHGE, processor gate (kg CO2e/kg)"),INDIRECT($K187)),GETPIVOTDATA(IF($J187=1,"Average of ACTIVE     GHGE, FARM GATE (kg CO2e/kg)","Average of GHGE, processor gate (kg CO2e/kg)"),'Pivot Table_GHG'!$A$3,"SUB TYPE",$B187))</f>
        <v>2.0569628623188403</v>
      </c>
      <c r="S187" s="221">
        <f ca="1">IF($P187="PROXY",DSTDEV('literature entries'!$D:$AI,IF($J187=1,"ACTIVE     GHGE, FARM GATE (kg CO2e/kg)","GHGE, processor gate (kg CO2e/kg)"),INDIRECT($K187)),GETPIVOTDATA(IF($J187=1,"StdDev of ACTIVE     GHGE, FARM GATE (kg CO2e/kg)","StdDev of GHGE, processor gate (kg CO2e/kg)"),'Pivot Table_GHG'!$A$3,"SUB TYPE",$B187))</f>
        <v>1.8731562532671704</v>
      </c>
      <c r="T187" s="101"/>
      <c r="U187" s="102"/>
      <c r="W187" s="248" t="s">
        <v>2463</v>
      </c>
      <c r="X187" s="246">
        <f ca="1">IF($W187="DIRECT",M187,DCOUNT('literature entries'!$D:$AI,IF($J187=1,"ACTIVE     CED, FARM GATE (MJ/kg)","CED, processor gate (MJ/kg)"),INDIRECT($W187)))</f>
        <v>6</v>
      </c>
      <c r="Y187" s="246">
        <f ca="1">IF($W187="DIRECT","",DAVERAGE('literature entries'!$D:$AI,IF($J187=1,"ACTIVE     CED, FARM GATE (MJ/kg)","CED, processor gate (MJ/kg)"),INDIRECT($W187)))</f>
        <v>13.969722222222222</v>
      </c>
      <c r="Z187" s="246">
        <f ca="1">IF($W187="DIRECT",$O187,DSTDEV('literature entries'!$D:$AI,IF($J187=1,"ACTIVE     CED, FARM GATE (MJ/kg)","CED, processor gate (MJ/kg)"),INDIRECT($W187)))</f>
        <v>12.174509288584247</v>
      </c>
      <c r="AA187" s="246">
        <f t="shared" ca="1" si="26"/>
        <v>12.174509288584247</v>
      </c>
      <c r="AB187" s="254" t="str">
        <f ca="1">IF(P187="PROXY",IF(Q187&gt;=5,K187,"need group"),IF(Q187&gt;=5,"DIRECT","need group"))</f>
        <v>nut</v>
      </c>
      <c r="AC187" s="247">
        <f ca="1">IF($AB187="DIRECT",Q187,DCOUNT('literature entries'!$D:$AI,IF($J187=1,"ACTIVE     GHGE, FARM GATE (kg CO2e/kg)","GHGE, processor gate (kg CO2e/kg)"),INDIRECT($AB187)))</f>
        <v>23</v>
      </c>
      <c r="AD187" s="247">
        <f ca="1">IF($AB187="DIRECT","",DAVERAGE('literature entries'!$D:$AI,IF($J187=1,"ACTIVE     GHGE, FARM GATE (kg CO2e/kg)","GHGE, processor gate (kg CO2e/kg)"),INDIRECT($AB187)))</f>
        <v>2.0569628623188403</v>
      </c>
      <c r="AE187" s="247">
        <f ca="1">IF($AB187="DIRECT",$S187,DSTDEV('literature entries'!$D:$AI,IF($J187=1,"ACTIVE     GHGE, FARM GATE (kg CO2e/kg)","GHGE, processor gate (kg CO2e/kg)"),INDIRECT($AB187)))</f>
        <v>1.8731562532671704</v>
      </c>
      <c r="AF187" s="247">
        <f t="shared" ca="1" si="25"/>
        <v>1.8731562532671704</v>
      </c>
    </row>
    <row r="188" spans="1:32" s="21" customFormat="1" ht="17" thickBot="1" x14ac:dyDescent="0.25">
      <c r="A188" s="129">
        <v>1400269000</v>
      </c>
      <c r="B188" s="130" t="s">
        <v>2151</v>
      </c>
      <c r="C188" s="131" t="s">
        <v>1729</v>
      </c>
      <c r="D188" s="131"/>
      <c r="E188" s="131">
        <v>2361</v>
      </c>
      <c r="F188" s="126">
        <f t="shared" ca="1" si="16"/>
        <v>13.969722222222222</v>
      </c>
      <c r="G188" s="127">
        <f t="shared" ca="1" si="17"/>
        <v>2.0569628623188403</v>
      </c>
      <c r="H188" s="132">
        <v>1</v>
      </c>
      <c r="I188" s="133" t="s">
        <v>2724</v>
      </c>
      <c r="J188" s="91">
        <v>1</v>
      </c>
      <c r="K188" s="90" t="s">
        <v>2463</v>
      </c>
      <c r="L188" s="152" t="str">
        <f>IF(ISERROR(GETPIVOTDATA(IF($J188=1,"Count of ACTIVE     CED, FARM GATE (MJ/kg)","Count of CED, processor gate (MJ/kg)"),'Pivot Table_CED'!$A$3,"SUB TYPE",$B188)),"PROXY",IF(GETPIVOTDATA(IF($J188=1,"Count of ACTIVE     CED, FARM GATE (MJ/kg)","Count of CED, processor gate (MJ/kg)"),'Pivot Table_CED'!$A$3,"SUB TYPE",$B188)=0,"PROXY","DB value"))</f>
        <v>PROXY</v>
      </c>
      <c r="M188" s="134">
        <f ca="1">IF($L188="PROXY",DCOUNT('literature entries'!$D:$AI,IF($J188=1,"ACTIVE     CED, FARM GATE (MJ/kg)","CED, processor gate (MJ/kg)"),INDIRECT($K188)),GETPIVOTDATA(IF($J188=1,"Count of ACTIVE     CED, FARM GATE (MJ/kg)","Count of CED, processor gate (MJ/kg)"),'Pivot Table_CED'!$A$3,"SUB TYPE",$B188))</f>
        <v>6</v>
      </c>
      <c r="N188" s="135">
        <f ca="1">IF($L188="PROXY",DAVERAGE('literature entries'!$D:$AI,IF($J188=1,"ACTIVE     CED, FARM GATE (MJ/kg)","CED, processor gate (MJ/kg)"),INDIRECT($K188)),GETPIVOTDATA(IF($J188=1,"Average of ACTIVE     CED, FARM GATE (MJ/kg)","Average of CED, processor gate (MJ/kg)"),'Pivot Table_CED'!$A$3,"SUB TYPE",$B188))</f>
        <v>13.969722222222222</v>
      </c>
      <c r="O188" s="135">
        <f ca="1">IF($L188="PROXY",DSTDEV('literature entries'!D:AI,IF($J188=1,"ACTIVE     CED, FARM GATE (MJ/kg)","CED, processor gate (MJ/kg)"),INDIRECT($K188)),GETPIVOTDATA(IF($J188=1,"StdDev of ACTIVE     CED, FARM GATE (MJ/kg)","StdDev of CED, processor gate (MJ/kg)"),'Pivot Table_CED'!$A$3,"SUB TYPE",$B188))</f>
        <v>12.174509288584247</v>
      </c>
      <c r="P188" s="152" t="str">
        <f>IF(ISERROR(GETPIVOTDATA(IF($J188=1,"Count of ACTIVE     GHGE, FARM GATE (kg CO2e/kg)","Count of GHGE, processor gate (kg CO2e/kg)"),'Pivot Table_GHG'!$A$3,"SUB TYPE",$B188)),"PROXY",IF(GETPIVOTDATA(IF($J188=1,"Count of ACTIVE     GHGE, FARM GATE (kg CO2e/kg)","Count of GHGE, processor gate (kg CO2e/kg)"),'Pivot Table_GHG'!$A$3,"SUB TYPE",$B188)=0,"PROXY","DB value"))</f>
        <v>PROXY</v>
      </c>
      <c r="Q188" s="141">
        <f ca="1">IF($P188="PROXY",DCOUNT('literature entries'!$D:$AI,IF($J188=1,"ACTIVE     GHGE, FARM GATE (kg CO2e/kg)","GHGE, processor gate (kg CO2e/kg)"),INDIRECT($K188)),GETPIVOTDATA(IF($J188=1,"ACTIVE     GHGE, FARM GATE (kg CO2e/kg)","Count of GHGE, processor gate (kg CO2e/kg)"),'Pivot Table_GHG'!$A$3,"SUB TYPE",$B188))</f>
        <v>23</v>
      </c>
      <c r="R188" s="221">
        <f ca="1">IF($P188="PROXY",DAVERAGE('literature entries'!$D:$AI,IF($J188=1,"ACTIVE     GHGE, FARM GATE (kg CO2e/kg)","GHGE, processor gate (kg CO2e/kg)"),INDIRECT($K188)),GETPIVOTDATA(IF($J188=1,"Average of ACTIVE     GHGE, FARM GATE (kg CO2e/kg)","Average of GHGE, processor gate (kg CO2e/kg)"),'Pivot Table_GHG'!$A$3,"SUB TYPE",$B188))</f>
        <v>2.0569628623188403</v>
      </c>
      <c r="S188" s="221">
        <f ca="1">IF($P188="PROXY",DSTDEV('literature entries'!$D:$AI,IF($J188=1,"ACTIVE     GHGE, FARM GATE (kg CO2e/kg)","GHGE, processor gate (kg CO2e/kg)"),INDIRECT($K188)),GETPIVOTDATA(IF($J188=1,"StdDev of ACTIVE     GHGE, FARM GATE (kg CO2e/kg)","StdDev of GHGE, processor gate (kg CO2e/kg)"),'Pivot Table_GHG'!$A$3,"SUB TYPE",$B188))</f>
        <v>1.8731562532671704</v>
      </c>
      <c r="T188" s="101"/>
      <c r="U188" s="102"/>
      <c r="W188" s="248" t="s">
        <v>2463</v>
      </c>
      <c r="X188" s="246">
        <f ca="1">IF($W188="DIRECT",M188,DCOUNT('literature entries'!$D:$AI,IF($J188=1,"ACTIVE     CED, FARM GATE (MJ/kg)","CED, processor gate (MJ/kg)"),INDIRECT($W188)))</f>
        <v>6</v>
      </c>
      <c r="Y188" s="246">
        <f ca="1">IF($W188="DIRECT","",DAVERAGE('literature entries'!$D:$AI,IF($J188=1,"ACTIVE     CED, FARM GATE (MJ/kg)","CED, processor gate (MJ/kg)"),INDIRECT($W188)))</f>
        <v>13.969722222222222</v>
      </c>
      <c r="Z188" s="246">
        <f ca="1">IF($W188="DIRECT",$O188,DSTDEV('literature entries'!$D:$AI,IF($J188=1,"ACTIVE     CED, FARM GATE (MJ/kg)","CED, processor gate (MJ/kg)"),INDIRECT($W188)))</f>
        <v>12.174509288584247</v>
      </c>
      <c r="AA188" s="246">
        <f t="shared" ca="1" si="26"/>
        <v>12.174509288584247</v>
      </c>
      <c r="AB188" s="254" t="str">
        <f ca="1">IF(P188="PROXY",IF(Q188&gt;=5,K188,"need group"),IF(Q188&gt;=5,"DIRECT","need group"))</f>
        <v>nut</v>
      </c>
      <c r="AC188" s="247">
        <f ca="1">IF($AB188="DIRECT",Q188,DCOUNT('literature entries'!$D:$AI,IF($J188=1,"ACTIVE     GHGE, FARM GATE (kg CO2e/kg)","GHGE, processor gate (kg CO2e/kg)"),INDIRECT($AB188)))</f>
        <v>23</v>
      </c>
      <c r="AD188" s="247">
        <f ca="1">IF($AB188="DIRECT","",DAVERAGE('literature entries'!$D:$AI,IF($J188=1,"ACTIVE     GHGE, FARM GATE (kg CO2e/kg)","GHGE, processor gate (kg CO2e/kg)"),INDIRECT($AB188)))</f>
        <v>2.0569628623188403</v>
      </c>
      <c r="AE188" s="247">
        <f ca="1">IF($AB188="DIRECT",$S188,DSTDEV('literature entries'!$D:$AI,IF($J188=1,"ACTIVE     GHGE, FARM GATE (kg CO2e/kg)","GHGE, processor gate (kg CO2e/kg)"),INDIRECT($AB188)))</f>
        <v>1.8731562532671704</v>
      </c>
      <c r="AF188" s="247">
        <f t="shared" ca="1" si="25"/>
        <v>1.8731562532671704</v>
      </c>
    </row>
    <row r="189" spans="1:32" s="21" customFormat="1" ht="17" thickBot="1" x14ac:dyDescent="0.25">
      <c r="A189" s="129">
        <v>1400278000</v>
      </c>
      <c r="B189" s="130" t="s">
        <v>2168</v>
      </c>
      <c r="C189" s="131" t="s">
        <v>1729</v>
      </c>
      <c r="D189" s="131" t="s">
        <v>2169</v>
      </c>
      <c r="E189" s="131">
        <v>65</v>
      </c>
      <c r="F189" s="126">
        <f t="shared" ca="1" si="16"/>
        <v>13.969722222222222</v>
      </c>
      <c r="G189" s="127">
        <f t="shared" ca="1" si="17"/>
        <v>2.0569628623188403</v>
      </c>
      <c r="H189" s="132">
        <v>1</v>
      </c>
      <c r="I189" s="133" t="s">
        <v>2724</v>
      </c>
      <c r="J189" s="91">
        <v>1</v>
      </c>
      <c r="K189" s="90" t="s">
        <v>2463</v>
      </c>
      <c r="L189" s="152" t="str">
        <f>IF(ISERROR(GETPIVOTDATA(IF($J189=1,"Count of ACTIVE     CED, FARM GATE (MJ/kg)","Count of CED, processor gate (MJ/kg)"),'Pivot Table_CED'!$A$3,"SUB TYPE",$B189)),"PROXY",IF(GETPIVOTDATA(IF($J189=1,"Count of ACTIVE     CED, FARM GATE (MJ/kg)","Count of CED, processor gate (MJ/kg)"),'Pivot Table_CED'!$A$3,"SUB TYPE",$B189)=0,"PROXY","DB value"))</f>
        <v>PROXY</v>
      </c>
      <c r="M189" s="134">
        <f ca="1">IF($L189="PROXY",DCOUNT('literature entries'!$D:$AI,IF($J189=1,"ACTIVE     CED, FARM GATE (MJ/kg)","CED, processor gate (MJ/kg)"),INDIRECT($K189)),GETPIVOTDATA(IF($J189=1,"Count of ACTIVE     CED, FARM GATE (MJ/kg)","Count of CED, processor gate (MJ/kg)"),'Pivot Table_CED'!$A$3,"SUB TYPE",$B189))</f>
        <v>6</v>
      </c>
      <c r="N189" s="135">
        <f ca="1">IF($L189="PROXY",DAVERAGE('literature entries'!$D:$AI,IF($J189=1,"ACTIVE     CED, FARM GATE (MJ/kg)","CED, processor gate (MJ/kg)"),INDIRECT($K189)),GETPIVOTDATA(IF($J189=1,"Average of ACTIVE     CED, FARM GATE (MJ/kg)","Average of CED, processor gate (MJ/kg)"),'Pivot Table_CED'!$A$3,"SUB TYPE",$B189))</f>
        <v>13.969722222222222</v>
      </c>
      <c r="O189" s="135">
        <f ca="1">IF($L189="PROXY",DSTDEV('literature entries'!D:AI,IF($J189=1,"ACTIVE     CED, FARM GATE (MJ/kg)","CED, processor gate (MJ/kg)"),INDIRECT($K189)),GETPIVOTDATA(IF($J189=1,"StdDev of ACTIVE     CED, FARM GATE (MJ/kg)","StdDev of CED, processor gate (MJ/kg)"),'Pivot Table_CED'!$A$3,"SUB TYPE",$B189))</f>
        <v>12.174509288584247</v>
      </c>
      <c r="P189" s="152" t="str">
        <f>IF(ISERROR(GETPIVOTDATA(IF($J189=1,"Count of ACTIVE     GHGE, FARM GATE (kg CO2e/kg)","Count of GHGE, processor gate (kg CO2e/kg)"),'Pivot Table_GHG'!$A$3,"SUB TYPE",$B189)),"PROXY",IF(GETPIVOTDATA(IF($J189=1,"Count of ACTIVE     GHGE, FARM GATE (kg CO2e/kg)","Count of GHGE, processor gate (kg CO2e/kg)"),'Pivot Table_GHG'!$A$3,"SUB TYPE",$B189)=0,"PROXY","DB value"))</f>
        <v>PROXY</v>
      </c>
      <c r="Q189" s="141">
        <f ca="1">IF($P189="PROXY",DCOUNT('literature entries'!$D:$AI,IF($J189=1,"ACTIVE     GHGE, FARM GATE (kg CO2e/kg)","GHGE, processor gate (kg CO2e/kg)"),INDIRECT($K189)),GETPIVOTDATA(IF($J189=1,"ACTIVE     GHGE, FARM GATE (kg CO2e/kg)","Count of GHGE, processor gate (kg CO2e/kg)"),'Pivot Table_GHG'!$A$3,"SUB TYPE",$B189))</f>
        <v>23</v>
      </c>
      <c r="R189" s="221">
        <f ca="1">IF($P189="PROXY",DAVERAGE('literature entries'!$D:$AI,IF($J189=1,"ACTIVE     GHGE, FARM GATE (kg CO2e/kg)","GHGE, processor gate (kg CO2e/kg)"),INDIRECT($K189)),GETPIVOTDATA(IF($J189=1,"Average of ACTIVE     GHGE, FARM GATE (kg CO2e/kg)","Average of GHGE, processor gate (kg CO2e/kg)"),'Pivot Table_GHG'!$A$3,"SUB TYPE",$B189))</f>
        <v>2.0569628623188403</v>
      </c>
      <c r="S189" s="221">
        <f ca="1">IF($P189="PROXY",DSTDEV('literature entries'!$D:$AI,IF($J189=1,"ACTIVE     GHGE, FARM GATE (kg CO2e/kg)","GHGE, processor gate (kg CO2e/kg)"),INDIRECT($K189)),GETPIVOTDATA(IF($J189=1,"StdDev of ACTIVE     GHGE, FARM GATE (kg CO2e/kg)","StdDev of GHGE, processor gate (kg CO2e/kg)"),'Pivot Table_GHG'!$A$3,"SUB TYPE",$B189))</f>
        <v>1.8731562532671704</v>
      </c>
      <c r="T189" s="101"/>
      <c r="U189" s="102"/>
      <c r="W189" s="248" t="s">
        <v>2463</v>
      </c>
      <c r="X189" s="246">
        <f ca="1">IF($W189="DIRECT",M189,DCOUNT('literature entries'!$D:$AI,IF($J189=1,"ACTIVE     CED, FARM GATE (MJ/kg)","CED, processor gate (MJ/kg)"),INDIRECT($W189)))</f>
        <v>6</v>
      </c>
      <c r="Y189" s="246">
        <f ca="1">IF($W189="DIRECT","",DAVERAGE('literature entries'!$D:$AI,IF($J189=1,"ACTIVE     CED, FARM GATE (MJ/kg)","CED, processor gate (MJ/kg)"),INDIRECT($W189)))</f>
        <v>13.969722222222222</v>
      </c>
      <c r="Z189" s="246">
        <f ca="1">IF($W189="DIRECT",$O189,DSTDEV('literature entries'!$D:$AI,IF($J189=1,"ACTIVE     CED, FARM GATE (MJ/kg)","CED, processor gate (MJ/kg)"),INDIRECT($W189)))</f>
        <v>12.174509288584247</v>
      </c>
      <c r="AA189" s="246">
        <f t="shared" ca="1" si="26"/>
        <v>12.174509288584247</v>
      </c>
      <c r="AB189" s="254" t="str">
        <f ca="1">IF(P189="PROXY",IF(Q189&gt;=5,K189,"need group"),IF(Q189&gt;=5,"DIRECT","need group"))</f>
        <v>nut</v>
      </c>
      <c r="AC189" s="247">
        <f ca="1">IF($AB189="DIRECT",Q189,DCOUNT('literature entries'!$D:$AI,IF($J189=1,"ACTIVE     GHGE, FARM GATE (kg CO2e/kg)","GHGE, processor gate (kg CO2e/kg)"),INDIRECT($AB189)))</f>
        <v>23</v>
      </c>
      <c r="AD189" s="247">
        <f ca="1">IF($AB189="DIRECT","",DAVERAGE('literature entries'!$D:$AI,IF($J189=1,"ACTIVE     GHGE, FARM GATE (kg CO2e/kg)","GHGE, processor gate (kg CO2e/kg)"),INDIRECT($AB189)))</f>
        <v>2.0569628623188403</v>
      </c>
      <c r="AE189" s="247">
        <f ca="1">IF($AB189="DIRECT",$S189,DSTDEV('literature entries'!$D:$AI,IF($J189=1,"ACTIVE     GHGE, FARM GATE (kg CO2e/kg)","GHGE, processor gate (kg CO2e/kg)"),INDIRECT($AB189)))</f>
        <v>1.8731562532671704</v>
      </c>
      <c r="AF189" s="247">
        <f t="shared" ca="1" si="25"/>
        <v>1.8731562532671704</v>
      </c>
    </row>
    <row r="190" spans="1:32" s="21" customFormat="1" ht="17" thickBot="1" x14ac:dyDescent="0.25">
      <c r="A190" s="129">
        <v>1400282000</v>
      </c>
      <c r="B190" s="130" t="s">
        <v>1463</v>
      </c>
      <c r="C190" s="131" t="s">
        <v>1729</v>
      </c>
      <c r="D190" s="131"/>
      <c r="E190" s="131">
        <v>155</v>
      </c>
      <c r="F190" s="126">
        <f t="shared" ca="1" si="16"/>
        <v>14.388813888888889</v>
      </c>
      <c r="G190" s="127">
        <f t="shared" ca="1" si="17"/>
        <v>1.7922</v>
      </c>
      <c r="H190" s="132">
        <v>1.03</v>
      </c>
      <c r="I190" s="133" t="s">
        <v>2724</v>
      </c>
      <c r="J190" s="91">
        <v>1</v>
      </c>
      <c r="K190" s="90" t="s">
        <v>2463</v>
      </c>
      <c r="L190" s="152" t="str">
        <f>IF(ISERROR(GETPIVOTDATA(IF($J190=1,"Count of ACTIVE     CED, FARM GATE (MJ/kg)","Count of CED, processor gate (MJ/kg)"),'Pivot Table_CED'!$A$3,"SUB TYPE",$B190)),"PROXY",IF(GETPIVOTDATA(IF($J190=1,"Count of ACTIVE     CED, FARM GATE (MJ/kg)","Count of CED, processor gate (MJ/kg)"),'Pivot Table_CED'!$A$3,"SUB TYPE",$B190)=0,"PROXY","DB value"))</f>
        <v>PROXY</v>
      </c>
      <c r="M190" s="134">
        <f ca="1">IF($L190="PROXY",DCOUNT('literature entries'!$D:$AI,IF($J190=1,"ACTIVE     CED, FARM GATE (MJ/kg)","CED, processor gate (MJ/kg)"),INDIRECT($K190)),GETPIVOTDATA(IF($J190=1,"Count of ACTIVE     CED, FARM GATE (MJ/kg)","Count of CED, processor gate (MJ/kg)"),'Pivot Table_CED'!$A$3,"SUB TYPE",$B190))</f>
        <v>6</v>
      </c>
      <c r="N190" s="135">
        <f ca="1">IF($L190="PROXY",DAVERAGE('literature entries'!$D:$AI,IF($J190=1,"ACTIVE     CED, FARM GATE (MJ/kg)","CED, processor gate (MJ/kg)"),INDIRECT($K190)),GETPIVOTDATA(IF($J190=1,"Average of ACTIVE     CED, FARM GATE (MJ/kg)","Average of CED, processor gate (MJ/kg)"),'Pivot Table_CED'!$A$3,"SUB TYPE",$B190))</f>
        <v>13.969722222222222</v>
      </c>
      <c r="O190" s="135">
        <f ca="1">IF($L190="PROXY",DSTDEV('literature entries'!D:AI,IF($J190=1,"ACTIVE     CED, FARM GATE (MJ/kg)","CED, processor gate (MJ/kg)"),INDIRECT($K190)),GETPIVOTDATA(IF($J190=1,"StdDev of ACTIVE     CED, FARM GATE (MJ/kg)","StdDev of CED, processor gate (MJ/kg)"),'Pivot Table_CED'!$A$3,"SUB TYPE",$B190))</f>
        <v>12.174509288584247</v>
      </c>
      <c r="P190" s="152" t="str">
        <f>IF(ISERROR(GETPIVOTDATA(IF($J190=1,"Count of ACTIVE     GHGE, FARM GATE (kg CO2e/kg)","Count of GHGE, processor gate (kg CO2e/kg)"),'Pivot Table_GHG'!$A$3,"SUB TYPE",$B190)),"PROXY",IF(GETPIVOTDATA(IF($J190=1,"Count of ACTIVE     GHGE, FARM GATE (kg CO2e/kg)","Count of GHGE, processor gate (kg CO2e/kg)"),'Pivot Table_GHG'!$A$3,"SUB TYPE",$B190)=0,"PROXY","DB value"))</f>
        <v>DB value</v>
      </c>
      <c r="Q190" s="141">
        <f ca="1">IF($P190="PROXY",DCOUNT('literature entries'!$D:$AI,IF($J190=1,"ACTIVE     GHGE, FARM GATE (kg CO2e/kg)","GHGE, processor gate (kg CO2e/kg)"),INDIRECT($K190)),GETPIVOTDATA(IF($J190=1,"ACTIVE     GHGE, FARM GATE (kg CO2e/kg)","Count of GHGE, processor gate (kg CO2e/kg)"),'Pivot Table_GHG'!$A$3,"SUB TYPE",$B190))</f>
        <v>1</v>
      </c>
      <c r="R190" s="221">
        <f ca="1">IF($P190="PROXY",DAVERAGE('literature entries'!$D:$AI,IF($J190=1,"ACTIVE     GHGE, FARM GATE (kg CO2e/kg)","GHGE, processor gate (kg CO2e/kg)"),INDIRECT($K190)),GETPIVOTDATA(IF($J190=1,"Average of ACTIVE     GHGE, FARM GATE (kg CO2e/kg)","Average of GHGE, processor gate (kg CO2e/kg)"),'Pivot Table_GHG'!$A$3,"SUB TYPE",$B190))</f>
        <v>1.74</v>
      </c>
      <c r="S190" s="221" t="e">
        <f ca="1">IF($P190="PROXY",DSTDEV('literature entries'!$D:$AI,IF($J190=1,"ACTIVE     GHGE, FARM GATE (kg CO2e/kg)","GHGE, processor gate (kg CO2e/kg)"),INDIRECT($K190)),GETPIVOTDATA(IF($J190=1,"StdDev of ACTIVE     GHGE, FARM GATE (kg CO2e/kg)","StdDev of GHGE, processor gate (kg CO2e/kg)"),'Pivot Table_GHG'!$A$3,"SUB TYPE",$B190))</f>
        <v>#DIV/0!</v>
      </c>
      <c r="T190" s="101"/>
      <c r="U190" s="102"/>
      <c r="W190" s="248" t="str">
        <f ca="1">IF(L190="PROXY",IF(M190&gt;=5,K190,"need group"),IF(M190&gt;=5,"DIRECT","need group"))</f>
        <v>nut</v>
      </c>
      <c r="X190" s="246">
        <f ca="1">IF($W190="DIRECT",M190,DCOUNT('literature entries'!$D:$AI,IF($J190=1,"ACTIVE     CED, FARM GATE (MJ/kg)","CED, processor gate (MJ/kg)"),INDIRECT($W190)))</f>
        <v>6</v>
      </c>
      <c r="Y190" s="246">
        <f ca="1">IF($W190="DIRECT","",DAVERAGE('literature entries'!$D:$AI,IF($J190=1,"ACTIVE     CED, FARM GATE (MJ/kg)","CED, processor gate (MJ/kg)"),INDIRECT($W190)))</f>
        <v>13.969722222222222</v>
      </c>
      <c r="Z190" s="246">
        <f ca="1">IF($W190="DIRECT",$O190,DSTDEV('literature entries'!$D:$AI,IF($J190=1,"ACTIVE     CED, FARM GATE (MJ/kg)","CED, processor gate (MJ/kg)"),INDIRECT($W190)))</f>
        <v>12.174509288584247</v>
      </c>
      <c r="AA190" s="246">
        <f t="shared" ca="1" si="26"/>
        <v>12.174509288584247</v>
      </c>
      <c r="AB190" s="254" t="s">
        <v>2463</v>
      </c>
      <c r="AC190" s="247">
        <f ca="1">IF($AB190="DIRECT",Q190,DCOUNT('literature entries'!$D:$AI,IF($J190=1,"ACTIVE     GHGE, FARM GATE (kg CO2e/kg)","GHGE, processor gate (kg CO2e/kg)"),INDIRECT($AB190)))</f>
        <v>23</v>
      </c>
      <c r="AD190" s="247">
        <f ca="1">IF($AB190="DIRECT","",DAVERAGE('literature entries'!$D:$AI,IF($J190=1,"ACTIVE     GHGE, FARM GATE (kg CO2e/kg)","GHGE, processor gate (kg CO2e/kg)"),INDIRECT($AB190)))</f>
        <v>2.0569628623188403</v>
      </c>
      <c r="AE190" s="247">
        <f ca="1">IF($AB190="DIRECT",$S190,DSTDEV('literature entries'!$D:$AI,IF($J190=1,"ACTIVE     GHGE, FARM GATE (kg CO2e/kg)","GHGE, processor gate (kg CO2e/kg)"),INDIRECT($AB190)))</f>
        <v>1.8731562532671704</v>
      </c>
      <c r="AF190" s="247">
        <f t="shared" ca="1" si="25"/>
        <v>1.584516638774234</v>
      </c>
    </row>
    <row r="191" spans="1:32" s="21" customFormat="1" ht="17" thickBot="1" x14ac:dyDescent="0.25">
      <c r="A191" s="129">
        <v>1400391000</v>
      </c>
      <c r="B191" s="130" t="s">
        <v>2335</v>
      </c>
      <c r="C191" s="131" t="s">
        <v>1729</v>
      </c>
      <c r="D191" s="131"/>
      <c r="E191" s="131">
        <v>3274</v>
      </c>
      <c r="F191" s="126">
        <f t="shared" ca="1" si="16"/>
        <v>13.969722222222222</v>
      </c>
      <c r="G191" s="127">
        <f t="shared" ca="1" si="17"/>
        <v>1.657</v>
      </c>
      <c r="H191" s="132">
        <v>1</v>
      </c>
      <c r="I191" s="133" t="s">
        <v>2724</v>
      </c>
      <c r="J191" s="91">
        <v>1</v>
      </c>
      <c r="K191" s="90" t="s">
        <v>2463</v>
      </c>
      <c r="L191" s="152" t="str">
        <f>IF(ISERROR(GETPIVOTDATA(IF($J191=1,"Count of ACTIVE     CED, FARM GATE (MJ/kg)","Count of CED, processor gate (MJ/kg)"),'Pivot Table_CED'!$A$3,"SUB TYPE",$B191)),"PROXY",IF(GETPIVOTDATA(IF($J191=1,"Count of ACTIVE     CED, FARM GATE (MJ/kg)","Count of CED, processor gate (MJ/kg)"),'Pivot Table_CED'!$A$3,"SUB TYPE",$B191)=0,"PROXY","DB value"))</f>
        <v>PROXY</v>
      </c>
      <c r="M191" s="134">
        <f ca="1">IF($L191="PROXY",DCOUNT('literature entries'!$D:$AI,IF($J191=1,"ACTIVE     CED, FARM GATE (MJ/kg)","CED, processor gate (MJ/kg)"),INDIRECT($K191)),GETPIVOTDATA(IF($J191=1,"Count of ACTIVE     CED, FARM GATE (MJ/kg)","Count of CED, processor gate (MJ/kg)"),'Pivot Table_CED'!$A$3,"SUB TYPE",$B191))</f>
        <v>6</v>
      </c>
      <c r="N191" s="135">
        <f ca="1">IF($L191="PROXY",DAVERAGE('literature entries'!$D:$AI,IF($J191=1,"ACTIVE     CED, FARM GATE (MJ/kg)","CED, processor gate (MJ/kg)"),INDIRECT($K191)),GETPIVOTDATA(IF($J191=1,"Average of ACTIVE     CED, FARM GATE (MJ/kg)","Average of CED, processor gate (MJ/kg)"),'Pivot Table_CED'!$A$3,"SUB TYPE",$B191))</f>
        <v>13.969722222222222</v>
      </c>
      <c r="O191" s="135">
        <f ca="1">IF($L191="PROXY",DSTDEV('literature entries'!D:AI,IF($J191=1,"ACTIVE     CED, FARM GATE (MJ/kg)","CED, processor gate (MJ/kg)"),INDIRECT($K191)),GETPIVOTDATA(IF($J191=1,"StdDev of ACTIVE     CED, FARM GATE (MJ/kg)","StdDev of CED, processor gate (MJ/kg)"),'Pivot Table_CED'!$A$3,"SUB TYPE",$B191))</f>
        <v>12.174509288584247</v>
      </c>
      <c r="P191" s="152" t="str">
        <f>IF(ISERROR(GETPIVOTDATA(IF($J191=1,"Count of ACTIVE     GHGE, FARM GATE (kg CO2e/kg)","Count of GHGE, processor gate (kg CO2e/kg)"),'Pivot Table_GHG'!$A$3,"SUB TYPE",$B191)),"PROXY",IF(GETPIVOTDATA(IF($J191=1,"Count of ACTIVE     GHGE, FARM GATE (kg CO2e/kg)","Count of GHGE, processor gate (kg CO2e/kg)"),'Pivot Table_GHG'!$A$3,"SUB TYPE",$B191)=0,"PROXY","DB value"))</f>
        <v>DB value</v>
      </c>
      <c r="Q191" s="141">
        <f ca="1">IF($P191="PROXY",DCOUNT('literature entries'!$D:$AI,IF($J191=1,"ACTIVE     GHGE, FARM GATE (kg CO2e/kg)","GHGE, processor gate (kg CO2e/kg)"),INDIRECT($K191)),GETPIVOTDATA(IF($J191=1,"ACTIVE     GHGE, FARM GATE (kg CO2e/kg)","Count of GHGE, processor gate (kg CO2e/kg)"),'Pivot Table_GHG'!$A$3,"SUB TYPE",$B191))</f>
        <v>3</v>
      </c>
      <c r="R191" s="221">
        <f ca="1">IF($P191="PROXY",DAVERAGE('literature entries'!$D:$AI,IF($J191=1,"ACTIVE     GHGE, FARM GATE (kg CO2e/kg)","GHGE, processor gate (kg CO2e/kg)"),INDIRECT($K191)),GETPIVOTDATA(IF($J191=1,"Average of ACTIVE     GHGE, FARM GATE (kg CO2e/kg)","Average of GHGE, processor gate (kg CO2e/kg)"),'Pivot Table_GHG'!$A$3,"SUB TYPE",$B191))</f>
        <v>1.657</v>
      </c>
      <c r="S191" s="221">
        <f ca="1">IF($P191="PROXY",DSTDEV('literature entries'!$D:$AI,IF($J191=1,"ACTIVE     GHGE, FARM GATE (kg CO2e/kg)","GHGE, processor gate (kg CO2e/kg)"),INDIRECT($K191)),GETPIVOTDATA(IF($J191=1,"StdDev of ACTIVE     GHGE, FARM GATE (kg CO2e/kg)","StdDev of GHGE, processor gate (kg CO2e/kg)"),'Pivot Table_GHG'!$A$3,"SUB TYPE",$B191))</f>
        <v>1.2264416007295249</v>
      </c>
      <c r="T191" s="101"/>
      <c r="U191" s="102"/>
      <c r="W191" s="248" t="str">
        <f ca="1">IF(L191="PROXY",IF(M191&gt;=5,K191,"need group"),IF(M191&gt;=5,"DIRECT","need group"))</f>
        <v>nut</v>
      </c>
      <c r="X191" s="246">
        <f ca="1">IF($W191="DIRECT",M191,DCOUNT('literature entries'!$D:$AI,IF($J191=1,"ACTIVE     CED, FARM GATE (MJ/kg)","CED, processor gate (MJ/kg)"),INDIRECT($W191)))</f>
        <v>6</v>
      </c>
      <c r="Y191" s="246">
        <f ca="1">IF($W191="DIRECT","",DAVERAGE('literature entries'!$D:$AI,IF($J191=1,"ACTIVE     CED, FARM GATE (MJ/kg)","CED, processor gate (MJ/kg)"),INDIRECT($W191)))</f>
        <v>13.969722222222222</v>
      </c>
      <c r="Z191" s="246">
        <f ca="1">IF($W191="DIRECT",$O191,DSTDEV('literature entries'!$D:$AI,IF($J191=1,"ACTIVE     CED, FARM GATE (MJ/kg)","CED, processor gate (MJ/kg)"),INDIRECT($W191)))</f>
        <v>12.174509288584247</v>
      </c>
      <c r="AA191" s="246">
        <f t="shared" ca="1" si="26"/>
        <v>12.174509288584247</v>
      </c>
      <c r="AB191" s="254" t="s">
        <v>2463</v>
      </c>
      <c r="AC191" s="247">
        <f ca="1">IF($AB191="DIRECT",Q191,DCOUNT('literature entries'!$D:$AI,IF($J191=1,"ACTIVE     GHGE, FARM GATE (kg CO2e/kg)","GHGE, processor gate (kg CO2e/kg)"),INDIRECT($AB191)))</f>
        <v>23</v>
      </c>
      <c r="AD191" s="247">
        <f ca="1">IF($AB191="DIRECT","",DAVERAGE('literature entries'!$D:$AI,IF($J191=1,"ACTIVE     GHGE, FARM GATE (kg CO2e/kg)","GHGE, processor gate (kg CO2e/kg)"),INDIRECT($AB191)))</f>
        <v>2.0569628623188403</v>
      </c>
      <c r="AE191" s="247">
        <f ca="1">IF($AB191="DIRECT",$S191,DSTDEV('literature entries'!$D:$AI,IF($J191=1,"ACTIVE     GHGE, FARM GATE (kg CO2e/kg)","GHGE, processor gate (kg CO2e/kg)"),INDIRECT($AB191)))</f>
        <v>1.8731562532671704</v>
      </c>
      <c r="AF191" s="247">
        <f t="shared" ca="1" si="25"/>
        <v>1.5089333738212103</v>
      </c>
    </row>
    <row r="192" spans="1:32" s="21" customFormat="1" ht="17" thickBot="1" x14ac:dyDescent="0.25">
      <c r="A192" s="129">
        <v>1500025000</v>
      </c>
      <c r="B192" s="130" t="s">
        <v>1777</v>
      </c>
      <c r="C192" s="131" t="s">
        <v>1778</v>
      </c>
      <c r="D192" s="131"/>
      <c r="E192" s="131">
        <v>729</v>
      </c>
      <c r="F192" s="126">
        <f t="shared" ca="1" si="16"/>
        <v>2.5841213096774194</v>
      </c>
      <c r="G192" s="127">
        <f t="shared" ca="1" si="17"/>
        <v>0.39349345733333324</v>
      </c>
      <c r="H192" s="136">
        <v>1</v>
      </c>
      <c r="I192" s="133" t="s">
        <v>628</v>
      </c>
      <c r="J192" s="91">
        <v>1</v>
      </c>
      <c r="K192" s="90" t="s">
        <v>2702</v>
      </c>
      <c r="L192" s="152" t="str">
        <f>IF(ISERROR(GETPIVOTDATA(IF($J192=1,"Count of ACTIVE     CED, FARM GATE (MJ/kg)","Count of CED, processor gate (MJ/kg)"),'Pivot Table_CED'!$A$3,"SUB TYPE",$B192)),"PROXY",IF(GETPIVOTDATA(IF($J192=1,"Count of ACTIVE     CED, FARM GATE (MJ/kg)","Count of CED, processor gate (MJ/kg)"),'Pivot Table_CED'!$A$3,"SUB TYPE",$B192)=0,"PROXY","DB value"))</f>
        <v>PROXY</v>
      </c>
      <c r="M192" s="134">
        <f ca="1">IF($L192="PROXY",DCOUNT('literature entries'!$D:$AI,IF($J192=1,"ACTIVE     CED, FARM GATE (MJ/kg)","CED, processor gate (MJ/kg)"),INDIRECT($K192)),GETPIVOTDATA(IF($J192=1,"Count of ACTIVE     CED, FARM GATE (MJ/kg)","Count of CED, processor gate (MJ/kg)"),'Pivot Table_CED'!$A$3,"SUB TYPE",$B192))</f>
        <v>31</v>
      </c>
      <c r="N192" s="135">
        <f ca="1">IF($L192="PROXY",DAVERAGE('literature entries'!$D:$AI,IF($J192=1,"ACTIVE     CED, FARM GATE (MJ/kg)","CED, processor gate (MJ/kg)"),INDIRECT($K192)),GETPIVOTDATA(IF($J192=1,"Average of ACTIVE     CED, FARM GATE (MJ/kg)","Average of CED, processor gate (MJ/kg)"),'Pivot Table_CED'!$A$3,"SUB TYPE",$B192))</f>
        <v>2.5841213096774194</v>
      </c>
      <c r="O192" s="135">
        <f ca="1">IF($L192="PROXY",DSTDEV('literature entries'!D:AI,IF($J192=1,"ACTIVE     CED, FARM GATE (MJ/kg)","CED, processor gate (MJ/kg)"),INDIRECT($K192)),GETPIVOTDATA(IF($J192=1,"StdDev of ACTIVE     CED, FARM GATE (MJ/kg)","StdDev of CED, processor gate (MJ/kg)"),'Pivot Table_CED'!$A$3,"SUB TYPE",$B192))</f>
        <v>1.1854190703188778</v>
      </c>
      <c r="P192" s="152" t="str">
        <f>IF(ISERROR(GETPIVOTDATA(IF($J192=1,"Count of ACTIVE     GHGE, FARM GATE (kg CO2e/kg)","Count of GHGE, processor gate (kg CO2e/kg)"),'Pivot Table_GHG'!$A$3,"SUB TYPE",$B192)),"PROXY",IF(GETPIVOTDATA(IF($J192=1,"Count of ACTIVE     GHGE, FARM GATE (kg CO2e/kg)","Count of GHGE, processor gate (kg CO2e/kg)"),'Pivot Table_GHG'!$A$3,"SUB TYPE",$B192)=0,"PROXY","DB value"))</f>
        <v>PROXY</v>
      </c>
      <c r="Q192" s="141">
        <f ca="1">IF($P192="PROXY",DCOUNT('literature entries'!$D:$AI,IF($J192=1,"ACTIVE     GHGE, FARM GATE (kg CO2e/kg)","GHGE, processor gate (kg CO2e/kg)"),INDIRECT($K192)),GETPIVOTDATA(IF($J192=1,"ACTIVE     GHGE, FARM GATE (kg CO2e/kg)","Count of GHGE, processor gate (kg CO2e/kg)"),'Pivot Table_GHG'!$A$3,"SUB TYPE",$B192))</f>
        <v>45</v>
      </c>
      <c r="R192" s="221">
        <f ca="1">IF($P192="PROXY",DAVERAGE('literature entries'!$D:$AI,IF($J192=1,"ACTIVE     GHGE, FARM GATE (kg CO2e/kg)","GHGE, processor gate (kg CO2e/kg)"),INDIRECT($K192)),GETPIVOTDATA(IF($J192=1,"Average of ACTIVE     GHGE, FARM GATE (kg CO2e/kg)","Average of GHGE, processor gate (kg CO2e/kg)"),'Pivot Table_GHG'!$A$3,"SUB TYPE",$B192))</f>
        <v>0.39349345733333324</v>
      </c>
      <c r="S192" s="221">
        <f ca="1">IF($P192="PROXY",DSTDEV('literature entries'!$D:$AI,IF($J192=1,"ACTIVE     GHGE, FARM GATE (kg CO2e/kg)","GHGE, processor gate (kg CO2e/kg)"),INDIRECT($K192)),GETPIVOTDATA(IF($J192=1,"StdDev of ACTIVE     GHGE, FARM GATE (kg CO2e/kg)","StdDev of GHGE, processor gate (kg CO2e/kg)"),'Pivot Table_GHG'!$A$3,"SUB TYPE",$B192))</f>
        <v>0.20361467618492471</v>
      </c>
      <c r="T192" s="101"/>
      <c r="U192" s="102"/>
      <c r="W192" s="248" t="str">
        <f ca="1">IF(L192="PROXY",IF(M192&gt;=5,K192,"need group"),IF(M192&gt;=5,"DIRECT","need group"))</f>
        <v>grains</v>
      </c>
      <c r="X192" s="246">
        <f ca="1">IF($W192="DIRECT",M192,DCOUNT('literature entries'!$D:$AI,IF($J192=1,"ACTIVE     CED, FARM GATE (MJ/kg)","CED, processor gate (MJ/kg)"),INDIRECT($W192)))</f>
        <v>31</v>
      </c>
      <c r="Y192" s="246">
        <f ca="1">IF($W192="DIRECT","",DAVERAGE('literature entries'!$D:$AI,IF($J192=1,"ACTIVE     CED, FARM GATE (MJ/kg)","CED, processor gate (MJ/kg)"),INDIRECT($W192)))</f>
        <v>2.5841213096774194</v>
      </c>
      <c r="Z192" s="246">
        <f ca="1">IF($W192="DIRECT",$O192,DSTDEV('literature entries'!$D:$AI,IF($J192=1,"ACTIVE     CED, FARM GATE (MJ/kg)","CED, processor gate (MJ/kg)"),INDIRECT($W192)))</f>
        <v>1.1854190703188778</v>
      </c>
      <c r="AA192" s="246">
        <f t="shared" ca="1" si="26"/>
        <v>1.1854190703188778</v>
      </c>
      <c r="AB192" s="254" t="str">
        <f ca="1">IF(P192="PROXY",IF(Q192&gt;=5,K192,"need group"),IF(Q192&gt;=5,"DIRECT","need group"))</f>
        <v>grains</v>
      </c>
      <c r="AC192" s="247">
        <f ca="1">IF($AB192="DIRECT",Q192,DCOUNT('literature entries'!$D:$AI,IF($J192=1,"ACTIVE     GHGE, FARM GATE (kg CO2e/kg)","GHGE, processor gate (kg CO2e/kg)"),INDIRECT($AB192)))</f>
        <v>45</v>
      </c>
      <c r="AD192" s="247">
        <f ca="1">IF($AB192="DIRECT","",DAVERAGE('literature entries'!$D:$AI,IF($J192=1,"ACTIVE     GHGE, FARM GATE (kg CO2e/kg)","GHGE, processor gate (kg CO2e/kg)"),INDIRECT($AB192)))</f>
        <v>0.39349345733333324</v>
      </c>
      <c r="AE192" s="247">
        <f ca="1">IF($AB192="DIRECT",$S192,DSTDEV('literature entries'!$D:$AI,IF($J192=1,"ACTIVE     GHGE, FARM GATE (kg CO2e/kg)","GHGE, processor gate (kg CO2e/kg)"),INDIRECT($AB192)))</f>
        <v>0.20361467618492471</v>
      </c>
      <c r="AF192" s="247">
        <f t="shared" ca="1" si="25"/>
        <v>0.20361467618492474</v>
      </c>
    </row>
    <row r="193" spans="1:32" s="21" customFormat="1" ht="17" thickBot="1" x14ac:dyDescent="0.25">
      <c r="A193" s="129">
        <v>1500026000</v>
      </c>
      <c r="B193" s="130" t="s">
        <v>1775</v>
      </c>
      <c r="C193" s="131" t="s">
        <v>1754</v>
      </c>
      <c r="D193" s="131" t="s">
        <v>1776</v>
      </c>
      <c r="E193" s="131">
        <v>19689</v>
      </c>
      <c r="F193" s="126">
        <f t="shared" ca="1" si="16"/>
        <v>2.3743276000000004</v>
      </c>
      <c r="G193" s="127">
        <f t="shared" ca="1" si="17"/>
        <v>0.35789944666666668</v>
      </c>
      <c r="H193" s="136">
        <v>1</v>
      </c>
      <c r="I193" s="133" t="s">
        <v>628</v>
      </c>
      <c r="J193" s="91">
        <v>2</v>
      </c>
      <c r="K193" s="90" t="s">
        <v>3283</v>
      </c>
      <c r="L193" s="152" t="str">
        <f>IF(ISERROR(GETPIVOTDATA(IF($J193=1,"Count of ACTIVE     CED, FARM GATE (MJ/kg)","Count of CED, processor gate (MJ/kg)"),'Pivot Table_CED'!$A$3,"SUB TYPE",$B193)),"PROXY",IF(GETPIVOTDATA(IF($J193=1,"Count of ACTIVE     CED, FARM GATE (MJ/kg)","Count of CED, processor gate (MJ/kg)"),'Pivot Table_CED'!$A$3,"SUB TYPE",$B193)=0,"PROXY","DB value"))</f>
        <v>PROXY</v>
      </c>
      <c r="M193" s="134">
        <f ca="1">IF($L193="PROXY",DCOUNT('literature entries'!$D:$AI,IF($J193=1,"ACTIVE     CED, FARM GATE (MJ/kg)","CED, processor gate (MJ/kg)"),INDIRECT($K193)),GETPIVOTDATA(IF($J193=1,"Count of ACTIVE     CED, FARM GATE (MJ/kg)","Count of CED, processor gate (MJ/kg)"),'Pivot Table_CED'!$A$3,"SUB TYPE",$B193))</f>
        <v>3</v>
      </c>
      <c r="N193" s="135">
        <f ca="1">IF($L193="PROXY",DAVERAGE('literature entries'!$D:$AI,IF($J193=1,"ACTIVE     CED, FARM GATE (MJ/kg)","CED, processor gate (MJ/kg)"),INDIRECT($K193)),GETPIVOTDATA(IF($J193=1,"Average of ACTIVE     CED, FARM GATE (MJ/kg)","Average of CED, processor gate (MJ/kg)"),'Pivot Table_CED'!$A$3,"SUB TYPE",$B193))</f>
        <v>2.3743276000000004</v>
      </c>
      <c r="O193" s="135">
        <f ca="1">IF($L193="PROXY",DSTDEV('literature entries'!D:AI,IF($J193=1,"ACTIVE     CED, FARM GATE (MJ/kg)","CED, processor gate (MJ/kg)"),INDIRECT($K193)),GETPIVOTDATA(IF($J193=1,"StdDev of ACTIVE     CED, FARM GATE (MJ/kg)","StdDev of CED, processor gate (MJ/kg)"),'Pivot Table_CED'!$A$3,"SUB TYPE",$B193))</f>
        <v>0.14835091570708298</v>
      </c>
      <c r="P193" s="152" t="str">
        <f>IF(ISERROR(GETPIVOTDATA(IF($J193=1,"Count of ACTIVE     GHGE, FARM GATE (kg CO2e/kg)","Count of GHGE, processor gate (kg CO2e/kg)"),'Pivot Table_GHG'!$A$3,"SUB TYPE",$B193)),"PROXY",IF(GETPIVOTDATA(IF($J193=1,"Count of ACTIVE     GHGE, FARM GATE (kg CO2e/kg)","Count of GHGE, processor gate (kg CO2e/kg)"),'Pivot Table_GHG'!$A$3,"SUB TYPE",$B193)=0,"PROXY","DB value"))</f>
        <v>PROXY</v>
      </c>
      <c r="Q193" s="141">
        <f ca="1">IF($P193="PROXY",DCOUNT('literature entries'!$D:$AI,IF($J193=1,"ACTIVE     GHGE, FARM GATE (kg CO2e/kg)","GHGE, processor gate (kg CO2e/kg)"),INDIRECT($K193)),GETPIVOTDATA(IF($J193=1,"ACTIVE     GHGE, FARM GATE (kg CO2e/kg)","Count of GHGE, processor gate (kg CO2e/kg)"),'Pivot Table_GHG'!$A$3,"SUB TYPE",$B193))</f>
        <v>3</v>
      </c>
      <c r="R193" s="221">
        <f ca="1">IF($P193="PROXY",DAVERAGE('literature entries'!$D:$AI,IF($J193=1,"ACTIVE     GHGE, FARM GATE (kg CO2e/kg)","GHGE, processor gate (kg CO2e/kg)"),INDIRECT($K193)),GETPIVOTDATA(IF($J193=1,"Average of ACTIVE     GHGE, FARM GATE (kg CO2e/kg)","Average of GHGE, processor gate (kg CO2e/kg)"),'Pivot Table_GHG'!$A$3,"SUB TYPE",$B193))</f>
        <v>0.35789944666666668</v>
      </c>
      <c r="S193" s="221">
        <f ca="1">IF($P193="PROXY",DSTDEV('literature entries'!$D:$AI,IF($J193=1,"ACTIVE     GHGE, FARM GATE (kg CO2e/kg)","GHGE, processor gate (kg CO2e/kg)"),INDIRECT($K193)),GETPIVOTDATA(IF($J193=1,"StdDev of ACTIVE     GHGE, FARM GATE (kg CO2e/kg)","StdDev of GHGE, processor gate (kg CO2e/kg)"),'Pivot Table_GHG'!$A$3,"SUB TYPE",$B193))</f>
        <v>1.0699711970937975E-2</v>
      </c>
      <c r="T193" s="101"/>
      <c r="U193" s="102"/>
      <c r="W193" s="248" t="s">
        <v>3358</v>
      </c>
      <c r="X193" s="246">
        <f ca="1">IF($W193="DIRECT",M193,DCOUNT('literature entries'!$D:$AI,IF($J193=1,"ACTIVE     CED, FARM GATE (MJ/kg)","CED, processor gate (MJ/kg)"),INDIRECT($W193)))</f>
        <v>9</v>
      </c>
      <c r="Y193" s="246">
        <f ca="1">IF($W193="DIRECT","",DAVERAGE('literature entries'!$D:$AI,IF($J193=1,"ACTIVE     CED, FARM GATE (MJ/kg)","CED, processor gate (MJ/kg)"),INDIRECT($W193)))</f>
        <v>3.7933851999999999</v>
      </c>
      <c r="Z193" s="246">
        <f ca="1">IF($W193="DIRECT",$O193,DSTDEV('literature entries'!$D:$AI,IF($J193=1,"ACTIVE     CED, FARM GATE (MJ/kg)","CED, processor gate (MJ/kg)"),INDIRECT($W193)))</f>
        <v>1.2312612173276687</v>
      </c>
      <c r="AA193" s="246">
        <f t="shared" ca="1" si="26"/>
        <v>0.7706619119805399</v>
      </c>
      <c r="AB193" s="254" t="s">
        <v>3358</v>
      </c>
      <c r="AC193" s="247">
        <f ca="1">IF($AB193="DIRECT",Q193,DCOUNT('literature entries'!$D:$AI,IF($J193=1,"ACTIVE     GHGE, FARM GATE (kg CO2e/kg)","GHGE, processor gate (kg CO2e/kg)"),INDIRECT($AB193)))</f>
        <v>9</v>
      </c>
      <c r="AD193" s="247">
        <f ca="1">IF($AB193="DIRECT","",DAVERAGE('literature entries'!$D:$AI,IF($J193=1,"ACTIVE     GHGE, FARM GATE (kg CO2e/kg)","GHGE, processor gate (kg CO2e/kg)"),INDIRECT($AB193)))</f>
        <v>0.43042331</v>
      </c>
      <c r="AE193" s="247">
        <f ca="1">IF($AB193="DIRECT",$S193,DSTDEV('literature entries'!$D:$AI,IF($J193=1,"ACTIVE     GHGE, FARM GATE (kg CO2e/kg)","GHGE, processor gate (kg CO2e/kg)"),INDIRECT($AB193)))</f>
        <v>7.2682317360146784E-2</v>
      </c>
      <c r="AF193" s="247">
        <f t="shared" ca="1" si="25"/>
        <v>6.04357630297662E-2</v>
      </c>
    </row>
    <row r="194" spans="1:32" s="21" customFormat="1" ht="17" thickBot="1" x14ac:dyDescent="0.25">
      <c r="A194" s="129">
        <v>1500027000</v>
      </c>
      <c r="B194" s="130" t="s">
        <v>1773</v>
      </c>
      <c r="C194" s="131" t="s">
        <v>1774</v>
      </c>
      <c r="D194" s="131"/>
      <c r="E194" s="131">
        <v>84</v>
      </c>
      <c r="F194" s="126">
        <f t="shared" ca="1" si="16"/>
        <v>2.5841213096774194</v>
      </c>
      <c r="G194" s="127">
        <f t="shared" ca="1" si="17"/>
        <v>0.39349345733333324</v>
      </c>
      <c r="H194" s="133">
        <v>1</v>
      </c>
      <c r="I194" s="133" t="s">
        <v>594</v>
      </c>
      <c r="J194" s="91">
        <v>1</v>
      </c>
      <c r="K194" s="90" t="s">
        <v>2702</v>
      </c>
      <c r="L194" s="152" t="str">
        <f>IF(ISERROR(GETPIVOTDATA(IF($J194=1,"Count of ACTIVE     CED, FARM GATE (MJ/kg)","Count of CED, processor gate (MJ/kg)"),'Pivot Table_CED'!$A$3,"SUB TYPE",$B194)),"PROXY",IF(GETPIVOTDATA(IF($J194=1,"Count of ACTIVE     CED, FARM GATE (MJ/kg)","Count of CED, processor gate (MJ/kg)"),'Pivot Table_CED'!$A$3,"SUB TYPE",$B194)=0,"PROXY","DB value"))</f>
        <v>PROXY</v>
      </c>
      <c r="M194" s="134">
        <f ca="1">IF($L194="PROXY",DCOUNT('literature entries'!$D:$AI,IF($J194=1,"ACTIVE     CED, FARM GATE (MJ/kg)","CED, processor gate (MJ/kg)"),INDIRECT($K194)),GETPIVOTDATA(IF($J194=1,"Count of ACTIVE     CED, FARM GATE (MJ/kg)","Count of CED, processor gate (MJ/kg)"),'Pivot Table_CED'!$A$3,"SUB TYPE",$B194))</f>
        <v>31</v>
      </c>
      <c r="N194" s="135">
        <f ca="1">IF($L194="PROXY",DAVERAGE('literature entries'!$D:$AI,IF($J194=1,"ACTIVE     CED, FARM GATE (MJ/kg)","CED, processor gate (MJ/kg)"),INDIRECT($K194)),GETPIVOTDATA(IF($J194=1,"Average of ACTIVE     CED, FARM GATE (MJ/kg)","Average of CED, processor gate (MJ/kg)"),'Pivot Table_CED'!$A$3,"SUB TYPE",$B194))</f>
        <v>2.5841213096774194</v>
      </c>
      <c r="O194" s="135">
        <f ca="1">IF($L194="PROXY",DSTDEV('literature entries'!D:AI,IF($J194=1,"ACTIVE     CED, FARM GATE (MJ/kg)","CED, processor gate (MJ/kg)"),INDIRECT($K194)),GETPIVOTDATA(IF($J194=1,"StdDev of ACTIVE     CED, FARM GATE (MJ/kg)","StdDev of CED, processor gate (MJ/kg)"),'Pivot Table_CED'!$A$3,"SUB TYPE",$B194))</f>
        <v>1.1854190703188778</v>
      </c>
      <c r="P194" s="152" t="str">
        <f>IF(ISERROR(GETPIVOTDATA(IF($J194=1,"Count of ACTIVE     GHGE, FARM GATE (kg CO2e/kg)","Count of GHGE, processor gate (kg CO2e/kg)"),'Pivot Table_GHG'!$A$3,"SUB TYPE",$B194)),"PROXY",IF(GETPIVOTDATA(IF($J194=1,"Count of ACTIVE     GHGE, FARM GATE (kg CO2e/kg)","Count of GHGE, processor gate (kg CO2e/kg)"),'Pivot Table_GHG'!$A$3,"SUB TYPE",$B194)=0,"PROXY","DB value"))</f>
        <v>PROXY</v>
      </c>
      <c r="Q194" s="141">
        <f ca="1">IF($P194="PROXY",DCOUNT('literature entries'!$D:$AI,IF($J194=1,"ACTIVE     GHGE, FARM GATE (kg CO2e/kg)","GHGE, processor gate (kg CO2e/kg)"),INDIRECT($K194)),GETPIVOTDATA(IF($J194=1,"ACTIVE     GHGE, FARM GATE (kg CO2e/kg)","Count of GHGE, processor gate (kg CO2e/kg)"),'Pivot Table_GHG'!$A$3,"SUB TYPE",$B194))</f>
        <v>45</v>
      </c>
      <c r="R194" s="221">
        <f ca="1">IF($P194="PROXY",DAVERAGE('literature entries'!$D:$AI,IF($J194=1,"ACTIVE     GHGE, FARM GATE (kg CO2e/kg)","GHGE, processor gate (kg CO2e/kg)"),INDIRECT($K194)),GETPIVOTDATA(IF($J194=1,"Average of ACTIVE     GHGE, FARM GATE (kg CO2e/kg)","Average of GHGE, processor gate (kg CO2e/kg)"),'Pivot Table_GHG'!$A$3,"SUB TYPE",$B194))</f>
        <v>0.39349345733333324</v>
      </c>
      <c r="S194" s="221">
        <f ca="1">IF($P194="PROXY",DSTDEV('literature entries'!$D:$AI,IF($J194=1,"ACTIVE     GHGE, FARM GATE (kg CO2e/kg)","GHGE, processor gate (kg CO2e/kg)"),INDIRECT($K194)),GETPIVOTDATA(IF($J194=1,"StdDev of ACTIVE     GHGE, FARM GATE (kg CO2e/kg)","StdDev of GHGE, processor gate (kg CO2e/kg)"),'Pivot Table_GHG'!$A$3,"SUB TYPE",$B194))</f>
        <v>0.20361467618492471</v>
      </c>
      <c r="T194" s="101"/>
      <c r="U194" s="102"/>
      <c r="W194" s="248" t="str">
        <f ca="1">IF(L194="PROXY",IF(M194&gt;=5,K194,"need group"),IF(M194&gt;=5,"DIRECT","need group"))</f>
        <v>grains</v>
      </c>
      <c r="X194" s="246">
        <f ca="1">IF($W194="DIRECT",M194,DCOUNT('literature entries'!$D:$AI,IF($J194=1,"ACTIVE     CED, FARM GATE (MJ/kg)","CED, processor gate (MJ/kg)"),INDIRECT($W194)))</f>
        <v>31</v>
      </c>
      <c r="Y194" s="246">
        <f ca="1">IF($W194="DIRECT","",DAVERAGE('literature entries'!$D:$AI,IF($J194=1,"ACTIVE     CED, FARM GATE (MJ/kg)","CED, processor gate (MJ/kg)"),INDIRECT($W194)))</f>
        <v>2.5841213096774194</v>
      </c>
      <c r="Z194" s="246">
        <f ca="1">IF($W194="DIRECT",$O194,DSTDEV('literature entries'!$D:$AI,IF($J194=1,"ACTIVE     CED, FARM GATE (MJ/kg)","CED, processor gate (MJ/kg)"),INDIRECT($W194)))</f>
        <v>1.1854190703188778</v>
      </c>
      <c r="AA194" s="246">
        <f t="shared" ca="1" si="26"/>
        <v>1.1854190703188778</v>
      </c>
      <c r="AB194" s="254" t="str">
        <f ca="1">IF(P194="PROXY",IF(Q194&gt;=5,K194,"need group"),IF(Q194&gt;=5,"DIRECT","need group"))</f>
        <v>grains</v>
      </c>
      <c r="AC194" s="247">
        <f ca="1">IF($AB194="DIRECT",Q194,DCOUNT('literature entries'!$D:$AI,IF($J194=1,"ACTIVE     GHGE, FARM GATE (kg CO2e/kg)","GHGE, processor gate (kg CO2e/kg)"),INDIRECT($AB194)))</f>
        <v>45</v>
      </c>
      <c r="AD194" s="247">
        <f ca="1">IF($AB194="DIRECT","",DAVERAGE('literature entries'!$D:$AI,IF($J194=1,"ACTIVE     GHGE, FARM GATE (kg CO2e/kg)","GHGE, processor gate (kg CO2e/kg)"),INDIRECT($AB194)))</f>
        <v>0.39349345733333324</v>
      </c>
      <c r="AE194" s="247">
        <f ca="1">IF($AB194="DIRECT",$S194,DSTDEV('literature entries'!$D:$AI,IF($J194=1,"ACTIVE     GHGE, FARM GATE (kg CO2e/kg)","GHGE, processor gate (kg CO2e/kg)"),INDIRECT($AB194)))</f>
        <v>0.20361467618492471</v>
      </c>
      <c r="AF194" s="247">
        <f t="shared" ca="1" si="25"/>
        <v>0.20361467618492474</v>
      </c>
    </row>
    <row r="195" spans="1:32" s="21" customFormat="1" ht="17" thickBot="1" x14ac:dyDescent="0.25">
      <c r="A195" s="129">
        <v>1500065000</v>
      </c>
      <c r="B195" s="130" t="s">
        <v>1848</v>
      </c>
      <c r="C195" s="131" t="s">
        <v>1849</v>
      </c>
      <c r="D195" s="131"/>
      <c r="E195" s="131">
        <v>277</v>
      </c>
      <c r="F195" s="126">
        <f t="shared" ca="1" si="16"/>
        <v>2.5841213096774194</v>
      </c>
      <c r="G195" s="127">
        <f t="shared" ca="1" si="17"/>
        <v>0.39349345733333324</v>
      </c>
      <c r="H195" s="132">
        <v>1</v>
      </c>
      <c r="I195" s="133" t="s">
        <v>594</v>
      </c>
      <c r="J195" s="91">
        <v>1</v>
      </c>
      <c r="K195" s="90" t="s">
        <v>2702</v>
      </c>
      <c r="L195" s="152" t="str">
        <f>IF(ISERROR(GETPIVOTDATA(IF($J195=1,"Count of ACTIVE     CED, FARM GATE (MJ/kg)","Count of CED, processor gate (MJ/kg)"),'Pivot Table_CED'!$A$3,"SUB TYPE",$B195)),"PROXY",IF(GETPIVOTDATA(IF($J195=1,"Count of ACTIVE     CED, FARM GATE (MJ/kg)","Count of CED, processor gate (MJ/kg)"),'Pivot Table_CED'!$A$3,"SUB TYPE",$B195)=0,"PROXY","DB value"))</f>
        <v>PROXY</v>
      </c>
      <c r="M195" s="134">
        <f ca="1">IF($L195="PROXY",DCOUNT('literature entries'!$D:$AI,IF($J195=1,"ACTIVE     CED, FARM GATE (MJ/kg)","CED, processor gate (MJ/kg)"),INDIRECT($K195)),GETPIVOTDATA(IF($J195=1,"Count of ACTIVE     CED, FARM GATE (MJ/kg)","Count of CED, processor gate (MJ/kg)"),'Pivot Table_CED'!$A$3,"SUB TYPE",$B195))</f>
        <v>31</v>
      </c>
      <c r="N195" s="135">
        <f ca="1">IF($L195="PROXY",DAVERAGE('literature entries'!$D:$AI,IF($J195=1,"ACTIVE     CED, FARM GATE (MJ/kg)","CED, processor gate (MJ/kg)"),INDIRECT($K195)),GETPIVOTDATA(IF($J195=1,"Average of ACTIVE     CED, FARM GATE (MJ/kg)","Average of CED, processor gate (MJ/kg)"),'Pivot Table_CED'!$A$3,"SUB TYPE",$B195))</f>
        <v>2.5841213096774194</v>
      </c>
      <c r="O195" s="135">
        <f ca="1">IF($L195="PROXY",DSTDEV('literature entries'!D:AI,IF($J195=1,"ACTIVE     CED, FARM GATE (MJ/kg)","CED, processor gate (MJ/kg)"),INDIRECT($K195)),GETPIVOTDATA(IF($J195=1,"StdDev of ACTIVE     CED, FARM GATE (MJ/kg)","StdDev of CED, processor gate (MJ/kg)"),'Pivot Table_CED'!$A$3,"SUB TYPE",$B195))</f>
        <v>1.1854190703188778</v>
      </c>
      <c r="P195" s="152" t="str">
        <f>IF(ISERROR(GETPIVOTDATA(IF($J195=1,"Count of ACTIVE     GHGE, FARM GATE (kg CO2e/kg)","Count of GHGE, processor gate (kg CO2e/kg)"),'Pivot Table_GHG'!$A$3,"SUB TYPE",$B195)),"PROXY",IF(GETPIVOTDATA(IF($J195=1,"Count of ACTIVE     GHGE, FARM GATE (kg CO2e/kg)","Count of GHGE, processor gate (kg CO2e/kg)"),'Pivot Table_GHG'!$A$3,"SUB TYPE",$B195)=0,"PROXY","DB value"))</f>
        <v>PROXY</v>
      </c>
      <c r="Q195" s="141">
        <f ca="1">IF($P195="PROXY",DCOUNT('literature entries'!$D:$AI,IF($J195=1,"ACTIVE     GHGE, FARM GATE (kg CO2e/kg)","GHGE, processor gate (kg CO2e/kg)"),INDIRECT($K195)),GETPIVOTDATA(IF($J195=1,"ACTIVE     GHGE, FARM GATE (kg CO2e/kg)","Count of GHGE, processor gate (kg CO2e/kg)"),'Pivot Table_GHG'!$A$3,"SUB TYPE",$B195))</f>
        <v>45</v>
      </c>
      <c r="R195" s="221">
        <f ca="1">IF($P195="PROXY",DAVERAGE('literature entries'!$D:$AI,IF($J195=1,"ACTIVE     GHGE, FARM GATE (kg CO2e/kg)","GHGE, processor gate (kg CO2e/kg)"),INDIRECT($K195)),GETPIVOTDATA(IF($J195=1,"Average of ACTIVE     GHGE, FARM GATE (kg CO2e/kg)","Average of GHGE, processor gate (kg CO2e/kg)"),'Pivot Table_GHG'!$A$3,"SUB TYPE",$B195))</f>
        <v>0.39349345733333324</v>
      </c>
      <c r="S195" s="221">
        <f ca="1">IF($P195="PROXY",DSTDEV('literature entries'!$D:$AI,IF($J195=1,"ACTIVE     GHGE, FARM GATE (kg CO2e/kg)","GHGE, processor gate (kg CO2e/kg)"),INDIRECT($K195)),GETPIVOTDATA(IF($J195=1,"StdDev of ACTIVE     GHGE, FARM GATE (kg CO2e/kg)","StdDev of GHGE, processor gate (kg CO2e/kg)"),'Pivot Table_GHG'!$A$3,"SUB TYPE",$B195))</f>
        <v>0.20361467618492471</v>
      </c>
      <c r="T195" s="101"/>
      <c r="U195" s="102"/>
      <c r="W195" s="248" t="str">
        <f ca="1">IF(L195="PROXY",IF(M195&gt;=5,K195,"need group"),IF(M195&gt;=5,"DIRECT","need group"))</f>
        <v>grains</v>
      </c>
      <c r="X195" s="246">
        <f ca="1">IF($W195="DIRECT",M195,DCOUNT('literature entries'!$D:$AI,IF($J195=1,"ACTIVE     CED, FARM GATE (MJ/kg)","CED, processor gate (MJ/kg)"),INDIRECT($W195)))</f>
        <v>31</v>
      </c>
      <c r="Y195" s="246">
        <f ca="1">IF($W195="DIRECT","",DAVERAGE('literature entries'!$D:$AI,IF($J195=1,"ACTIVE     CED, FARM GATE (MJ/kg)","CED, processor gate (MJ/kg)"),INDIRECT($W195)))</f>
        <v>2.5841213096774194</v>
      </c>
      <c r="Z195" s="246">
        <f ca="1">IF($W195="DIRECT",$O195,DSTDEV('literature entries'!$D:$AI,IF($J195=1,"ACTIVE     CED, FARM GATE (MJ/kg)","CED, processor gate (MJ/kg)"),INDIRECT($W195)))</f>
        <v>1.1854190703188778</v>
      </c>
      <c r="AA195" s="246">
        <f t="shared" ca="1" si="26"/>
        <v>1.1854190703188778</v>
      </c>
      <c r="AB195" s="254" t="str">
        <f ca="1">IF(P195="PROXY",IF(Q195&gt;=5,K195,"need group"),IF(Q195&gt;=5,"DIRECT","need group"))</f>
        <v>grains</v>
      </c>
      <c r="AC195" s="247">
        <f ca="1">IF($AB195="DIRECT",Q195,DCOUNT('literature entries'!$D:$AI,IF($J195=1,"ACTIVE     GHGE, FARM GATE (kg CO2e/kg)","GHGE, processor gate (kg CO2e/kg)"),INDIRECT($AB195)))</f>
        <v>45</v>
      </c>
      <c r="AD195" s="247">
        <f ca="1">IF($AB195="DIRECT","",DAVERAGE('literature entries'!$D:$AI,IF($J195=1,"ACTIVE     GHGE, FARM GATE (kg CO2e/kg)","GHGE, processor gate (kg CO2e/kg)"),INDIRECT($AB195)))</f>
        <v>0.39349345733333324</v>
      </c>
      <c r="AE195" s="247">
        <f ca="1">IF($AB195="DIRECT",$S195,DSTDEV('literature entries'!$D:$AI,IF($J195=1,"ACTIVE     GHGE, FARM GATE (kg CO2e/kg)","GHGE, processor gate (kg CO2e/kg)"),INDIRECT($AB195)))</f>
        <v>0.20361467618492471</v>
      </c>
      <c r="AF195" s="247">
        <f t="shared" ca="1" si="25"/>
        <v>0.20361467618492474</v>
      </c>
    </row>
    <row r="196" spans="1:32" s="21" customFormat="1" ht="17" thickBot="1" x14ac:dyDescent="0.25">
      <c r="A196" s="129">
        <v>1500120000</v>
      </c>
      <c r="B196" s="130" t="s">
        <v>1934</v>
      </c>
      <c r="C196" s="131" t="s">
        <v>1935</v>
      </c>
      <c r="D196" s="131"/>
      <c r="E196" s="131">
        <v>16081</v>
      </c>
      <c r="F196" s="126">
        <f t="shared" ref="F196:F259" ca="1" si="28">N196*H196+T196</f>
        <v>5.8</v>
      </c>
      <c r="G196" s="127">
        <f t="shared" ref="G196:G259" ca="1" si="29">R196*H196+U196</f>
        <v>0.55000000000000004</v>
      </c>
      <c r="H196" s="136">
        <v>1</v>
      </c>
      <c r="I196" s="133" t="s">
        <v>628</v>
      </c>
      <c r="J196" s="91">
        <v>2</v>
      </c>
      <c r="K196" s="90"/>
      <c r="L196" s="152" t="str">
        <f>IF(ISERROR(GETPIVOTDATA(IF($J196=1,"Count of ACTIVE     CED, FARM GATE (MJ/kg)","Count of CED, processor gate (MJ/kg)"),'Pivot Table_CED'!$A$3,"SUB TYPE",$B196)),"PROXY",IF(GETPIVOTDATA(IF($J196=1,"Count of ACTIVE     CED, FARM GATE (MJ/kg)","Count of CED, processor gate (MJ/kg)"),'Pivot Table_CED'!$A$3,"SUB TYPE",$B196)=0,"PROXY","DB value"))</f>
        <v>DB value</v>
      </c>
      <c r="M196" s="134">
        <f ca="1">IF($L196="PROXY",DCOUNT('literature entries'!$D:$AI,IF($J196=1,"ACTIVE     CED, FARM GATE (MJ/kg)","CED, processor gate (MJ/kg)"),INDIRECT($K196)),GETPIVOTDATA(IF($J196=1,"Count of ACTIVE     CED, FARM GATE (MJ/kg)","Count of CED, processor gate (MJ/kg)"),'Pivot Table_CED'!$A$3,"SUB TYPE",$B196))</f>
        <v>1</v>
      </c>
      <c r="N196" s="135">
        <f ca="1">IF($L196="PROXY",DAVERAGE('literature entries'!$D:$AI,IF($J196=1,"ACTIVE     CED, FARM GATE (MJ/kg)","CED, processor gate (MJ/kg)"),INDIRECT($K196)),GETPIVOTDATA(IF($J196=1,"Average of ACTIVE     CED, FARM GATE (MJ/kg)","Average of CED, processor gate (MJ/kg)"),'Pivot Table_CED'!$A$3,"SUB TYPE",$B196))</f>
        <v>5.8</v>
      </c>
      <c r="O196" s="135">
        <f ca="1">IF($L196="PROXY",DSTDEV('literature entries'!D:AI,IF($J196=1,"ACTIVE     CED, FARM GATE (MJ/kg)","CED, processor gate (MJ/kg)"),INDIRECT($K196)),GETPIVOTDATA(IF($J196=1,"StdDev of ACTIVE     CED, FARM GATE (MJ/kg)","StdDev of CED, processor gate (MJ/kg)"),'Pivot Table_CED'!$A$3,"SUB TYPE",$B196))</f>
        <v>0</v>
      </c>
      <c r="P196" s="152" t="str">
        <f>IF(ISERROR(GETPIVOTDATA(IF($J196=1,"Count of ACTIVE     GHGE, FARM GATE (kg CO2e/kg)","Count of GHGE, processor gate (kg CO2e/kg)"),'Pivot Table_GHG'!$A$3,"SUB TYPE",$B196)),"PROXY",IF(GETPIVOTDATA(IF($J196=1,"Count of ACTIVE     GHGE, FARM GATE (kg CO2e/kg)","Count of GHGE, processor gate (kg CO2e/kg)"),'Pivot Table_GHG'!$A$3,"SUB TYPE",$B196)=0,"PROXY","DB value"))</f>
        <v>DB value</v>
      </c>
      <c r="Q196" s="141">
        <f ca="1">IF($P196="PROXY",DCOUNT('literature entries'!$D:$AI,IF($J196=1,"ACTIVE     GHGE, FARM GATE (kg CO2e/kg)","GHGE, processor gate (kg CO2e/kg)"),INDIRECT($K196)),GETPIVOTDATA(IF($J196=1,"ACTIVE     GHGE, FARM GATE (kg CO2e/kg)","Count of GHGE, processor gate (kg CO2e/kg)"),'Pivot Table_GHG'!$A$3,"SUB TYPE",$B196))</f>
        <v>1</v>
      </c>
      <c r="R196" s="221">
        <f ca="1">IF($P196="PROXY",DAVERAGE('literature entries'!$D:$AI,IF($J196=1,"ACTIVE     GHGE, FARM GATE (kg CO2e/kg)","GHGE, processor gate (kg CO2e/kg)"),INDIRECT($K196)),GETPIVOTDATA(IF($J196=1,"Average of ACTIVE     GHGE, FARM GATE (kg CO2e/kg)","Average of GHGE, processor gate (kg CO2e/kg)"),'Pivot Table_GHG'!$A$3,"SUB TYPE",$B196))</f>
        <v>0.55000000000000004</v>
      </c>
      <c r="S196" s="221" t="e">
        <f ca="1">IF($P196="PROXY",DSTDEV('literature entries'!$D:$AI,IF($J196=1,"ACTIVE     GHGE, FARM GATE (kg CO2e/kg)","GHGE, processor gate (kg CO2e/kg)"),INDIRECT($K196)),GETPIVOTDATA(IF($J196=1,"StdDev of ACTIVE     GHGE, FARM GATE (kg CO2e/kg)","StdDev of GHGE, processor gate (kg CO2e/kg)"),'Pivot Table_GHG'!$A$3,"SUB TYPE",$B196))</f>
        <v>#DIV/0!</v>
      </c>
      <c r="T196" s="101"/>
      <c r="U196" s="102"/>
      <c r="W196" s="248" t="s">
        <v>3358</v>
      </c>
      <c r="X196" s="246">
        <f ca="1">IF($W196="DIRECT",M196,DCOUNT('literature entries'!$D:$AI,IF($J196=1,"ACTIVE     CED, FARM GATE (MJ/kg)","CED, processor gate (MJ/kg)"),INDIRECT($W196)))</f>
        <v>9</v>
      </c>
      <c r="Y196" s="246">
        <f ca="1">IF($W196="DIRECT","",DAVERAGE('literature entries'!$D:$AI,IF($J196=1,"ACTIVE     CED, FARM GATE (MJ/kg)","CED, processor gate (MJ/kg)"),INDIRECT($W196)))</f>
        <v>3.7933851999999999</v>
      </c>
      <c r="Z196" s="246">
        <f ca="1">IF($W196="DIRECT",$O196,DSTDEV('literature entries'!$D:$AI,IF($J196=1,"ACTIVE     CED, FARM GATE (MJ/kg)","CED, processor gate (MJ/kg)"),INDIRECT($W196)))</f>
        <v>1.2312612173276687</v>
      </c>
      <c r="AA196" s="246">
        <f t="shared" ca="1" si="26"/>
        <v>1.8825704967954424</v>
      </c>
      <c r="AB196" s="254" t="s">
        <v>3358</v>
      </c>
      <c r="AC196" s="247">
        <f ca="1">IF($AB196="DIRECT",Q196,DCOUNT('literature entries'!$D:$AI,IF($J196=1,"ACTIVE     GHGE, FARM GATE (kg CO2e/kg)","GHGE, processor gate (kg CO2e/kg)"),INDIRECT($AB196)))</f>
        <v>9</v>
      </c>
      <c r="AD196" s="247">
        <f ca="1">IF($AB196="DIRECT","",DAVERAGE('literature entries'!$D:$AI,IF($J196=1,"ACTIVE     GHGE, FARM GATE (kg CO2e/kg)","GHGE, processor gate (kg CO2e/kg)"),INDIRECT($AB196)))</f>
        <v>0.43042331</v>
      </c>
      <c r="AE196" s="247">
        <f ca="1">IF($AB196="DIRECT",$S196,DSTDEV('literature entries'!$D:$AI,IF($J196=1,"ACTIVE     GHGE, FARM GATE (kg CO2e/kg)","GHGE, processor gate (kg CO2e/kg)"),INDIRECT($AB196)))</f>
        <v>7.2682317360146784E-2</v>
      </c>
      <c r="AF196" s="247">
        <f t="shared" ca="1" si="25"/>
        <v>9.2874325389302764E-2</v>
      </c>
    </row>
    <row r="197" spans="1:32" s="21" customFormat="1" ht="17" thickBot="1" x14ac:dyDescent="0.25">
      <c r="A197" s="129">
        <v>1500121000</v>
      </c>
      <c r="B197" s="130" t="s">
        <v>1936</v>
      </c>
      <c r="C197" s="131" t="s">
        <v>1937</v>
      </c>
      <c r="D197" s="131" t="s">
        <v>1938</v>
      </c>
      <c r="E197" s="131">
        <v>12427</v>
      </c>
      <c r="F197" s="126">
        <f t="shared" ca="1" si="28"/>
        <v>5.8</v>
      </c>
      <c r="G197" s="127">
        <f t="shared" ca="1" si="29"/>
        <v>0.55000000000000004</v>
      </c>
      <c r="H197" s="136">
        <v>1</v>
      </c>
      <c r="I197" s="133" t="s">
        <v>628</v>
      </c>
      <c r="J197" s="91">
        <v>2</v>
      </c>
      <c r="K197" s="90" t="s">
        <v>3289</v>
      </c>
      <c r="L197" s="152" t="str">
        <f>IF(ISERROR(GETPIVOTDATA(IF($J197=1,"Count of ACTIVE     CED, FARM GATE (MJ/kg)","Count of CED, processor gate (MJ/kg)"),'Pivot Table_CED'!$A$3,"SUB TYPE",$B197)),"PROXY",IF(GETPIVOTDATA(IF($J197=1,"Count of ACTIVE     CED, FARM GATE (MJ/kg)","Count of CED, processor gate (MJ/kg)"),'Pivot Table_CED'!$A$3,"SUB TYPE",$B197)=0,"PROXY","DB value"))</f>
        <v>PROXY</v>
      </c>
      <c r="M197" s="134">
        <f ca="1">IF($L197="PROXY",DCOUNT('literature entries'!$D:$AI,IF($J197=1,"ACTIVE     CED, FARM GATE (MJ/kg)","CED, processor gate (MJ/kg)"),INDIRECT($K197)),GETPIVOTDATA(IF($J197=1,"Count of ACTIVE     CED, FARM GATE (MJ/kg)","Count of CED, processor gate (MJ/kg)"),'Pivot Table_CED'!$A$3,"SUB TYPE",$B197))</f>
        <v>1</v>
      </c>
      <c r="N197" s="135">
        <f ca="1">IF($L197="PROXY",DAVERAGE('literature entries'!$D:$AI,IF($J197=1,"ACTIVE     CED, FARM GATE (MJ/kg)","CED, processor gate (MJ/kg)"),INDIRECT($K197)),GETPIVOTDATA(IF($J197=1,"Average of ACTIVE     CED, FARM GATE (MJ/kg)","Average of CED, processor gate (MJ/kg)"),'Pivot Table_CED'!$A$3,"SUB TYPE",$B197))</f>
        <v>5.8</v>
      </c>
      <c r="O197" s="135" t="e">
        <f ca="1">IF($L197="PROXY",DSTDEV('literature entries'!D:AI,IF($J197=1,"ACTIVE     CED, FARM GATE (MJ/kg)","CED, processor gate (MJ/kg)"),INDIRECT($K197)),GETPIVOTDATA(IF($J197=1,"StdDev of ACTIVE     CED, FARM GATE (MJ/kg)","StdDev of CED, processor gate (MJ/kg)"),'Pivot Table_CED'!$A$3,"SUB TYPE",$B197))</f>
        <v>#DIV/0!</v>
      </c>
      <c r="P197" s="152" t="str">
        <f>IF(ISERROR(GETPIVOTDATA(IF($J197=1,"Count of ACTIVE     GHGE, FARM GATE (kg CO2e/kg)","Count of GHGE, processor gate (kg CO2e/kg)"),'Pivot Table_GHG'!$A$3,"SUB TYPE",$B197)),"PROXY",IF(GETPIVOTDATA(IF($J197=1,"Count of ACTIVE     GHGE, FARM GATE (kg CO2e/kg)","Count of GHGE, processor gate (kg CO2e/kg)"),'Pivot Table_GHG'!$A$3,"SUB TYPE",$B197)=0,"PROXY","DB value"))</f>
        <v>PROXY</v>
      </c>
      <c r="Q197" s="141">
        <f ca="1">IF($P197="PROXY",DCOUNT('literature entries'!$D:$AI,IF($J197=1,"ACTIVE     GHGE, FARM GATE (kg CO2e/kg)","GHGE, processor gate (kg CO2e/kg)"),INDIRECT($K197)),GETPIVOTDATA(IF($J197=1,"ACTIVE     GHGE, FARM GATE (kg CO2e/kg)","Count of GHGE, processor gate (kg CO2e/kg)"),'Pivot Table_GHG'!$A$3,"SUB TYPE",$B197))</f>
        <v>1</v>
      </c>
      <c r="R197" s="221">
        <f ca="1">IF($P197="PROXY",DAVERAGE('literature entries'!$D:$AI,IF($J197=1,"ACTIVE     GHGE, FARM GATE (kg CO2e/kg)","GHGE, processor gate (kg CO2e/kg)"),INDIRECT($K197)),GETPIVOTDATA(IF($J197=1,"Average of ACTIVE     GHGE, FARM GATE (kg CO2e/kg)","Average of GHGE, processor gate (kg CO2e/kg)"),'Pivot Table_GHG'!$A$3,"SUB TYPE",$B197))</f>
        <v>0.55000000000000004</v>
      </c>
      <c r="S197" s="221" t="e">
        <f ca="1">IF($P197="PROXY",DSTDEV('literature entries'!$D:$AI,IF($J197=1,"ACTIVE     GHGE, FARM GATE (kg CO2e/kg)","GHGE, processor gate (kg CO2e/kg)"),INDIRECT($K197)),GETPIVOTDATA(IF($J197=1,"StdDev of ACTIVE     GHGE, FARM GATE (kg CO2e/kg)","StdDev of GHGE, processor gate (kg CO2e/kg)"),'Pivot Table_GHG'!$A$3,"SUB TYPE",$B197))</f>
        <v>#DIV/0!</v>
      </c>
      <c r="T197" s="101"/>
      <c r="U197" s="102"/>
      <c r="W197" s="248" t="s">
        <v>3358</v>
      </c>
      <c r="X197" s="246">
        <f ca="1">IF($W197="DIRECT",M197,DCOUNT('literature entries'!$D:$AI,IF($J197=1,"ACTIVE     CED, FARM GATE (MJ/kg)","CED, processor gate (MJ/kg)"),INDIRECT($W197)))</f>
        <v>9</v>
      </c>
      <c r="Y197" s="246">
        <f ca="1">IF($W197="DIRECT","",DAVERAGE('literature entries'!$D:$AI,IF($J197=1,"ACTIVE     CED, FARM GATE (MJ/kg)","CED, processor gate (MJ/kg)"),INDIRECT($W197)))</f>
        <v>3.7933851999999999</v>
      </c>
      <c r="Z197" s="246">
        <f ca="1">IF($W197="DIRECT",$O197,DSTDEV('literature entries'!$D:$AI,IF($J197=1,"ACTIVE     CED, FARM GATE (MJ/kg)","CED, processor gate (MJ/kg)"),INDIRECT($W197)))</f>
        <v>1.2312612173276687</v>
      </c>
      <c r="AA197" s="246">
        <f t="shared" ca="1" si="26"/>
        <v>1.8825704967954424</v>
      </c>
      <c r="AB197" s="254" t="s">
        <v>3358</v>
      </c>
      <c r="AC197" s="247">
        <f ca="1">IF($AB197="DIRECT",Q197,DCOUNT('literature entries'!$D:$AI,IF($J197=1,"ACTIVE     GHGE, FARM GATE (kg CO2e/kg)","GHGE, processor gate (kg CO2e/kg)"),INDIRECT($AB197)))</f>
        <v>9</v>
      </c>
      <c r="AD197" s="247">
        <f ca="1">IF($AB197="DIRECT","",DAVERAGE('literature entries'!$D:$AI,IF($J197=1,"ACTIVE     GHGE, FARM GATE (kg CO2e/kg)","GHGE, processor gate (kg CO2e/kg)"),INDIRECT($AB197)))</f>
        <v>0.43042331</v>
      </c>
      <c r="AE197" s="247">
        <f ca="1">IF($AB197="DIRECT",$S197,DSTDEV('literature entries'!$D:$AI,IF($J197=1,"ACTIVE     GHGE, FARM GATE (kg CO2e/kg)","GHGE, processor gate (kg CO2e/kg)"),INDIRECT($AB197)))</f>
        <v>7.2682317360146784E-2</v>
      </c>
      <c r="AF197" s="247">
        <f t="shared" ca="1" si="25"/>
        <v>9.2874325389302764E-2</v>
      </c>
    </row>
    <row r="198" spans="1:32" s="21" customFormat="1" ht="17" thickBot="1" x14ac:dyDescent="0.25">
      <c r="A198" s="129">
        <v>1500122000</v>
      </c>
      <c r="B198" s="130" t="s">
        <v>1933</v>
      </c>
      <c r="C198" s="131" t="s">
        <v>1774</v>
      </c>
      <c r="D198" s="131"/>
      <c r="E198" s="131">
        <v>555</v>
      </c>
      <c r="F198" s="126">
        <f t="shared" ca="1" si="28"/>
        <v>5.8</v>
      </c>
      <c r="G198" s="127">
        <f t="shared" ca="1" si="29"/>
        <v>0.55000000000000004</v>
      </c>
      <c r="H198" s="132">
        <v>1</v>
      </c>
      <c r="I198" s="133" t="s">
        <v>594</v>
      </c>
      <c r="J198" s="91">
        <v>2</v>
      </c>
      <c r="K198" s="90" t="s">
        <v>3289</v>
      </c>
      <c r="L198" s="152" t="str">
        <f>IF(ISERROR(GETPIVOTDATA(IF($J198=1,"Count of ACTIVE     CED, FARM GATE (MJ/kg)","Count of CED, processor gate (MJ/kg)"),'Pivot Table_CED'!$A$3,"SUB TYPE",$B198)),"PROXY",IF(GETPIVOTDATA(IF($J198=1,"Count of ACTIVE     CED, FARM GATE (MJ/kg)","Count of CED, processor gate (MJ/kg)"),'Pivot Table_CED'!$A$3,"SUB TYPE",$B198)=0,"PROXY","DB value"))</f>
        <v>PROXY</v>
      </c>
      <c r="M198" s="134">
        <f ca="1">IF($L198="PROXY",DCOUNT('literature entries'!$D:$AI,IF($J198=1,"ACTIVE     CED, FARM GATE (MJ/kg)","CED, processor gate (MJ/kg)"),INDIRECT($K198)),GETPIVOTDATA(IF($J198=1,"Count of ACTIVE     CED, FARM GATE (MJ/kg)","Count of CED, processor gate (MJ/kg)"),'Pivot Table_CED'!$A$3,"SUB TYPE",$B198))</f>
        <v>1</v>
      </c>
      <c r="N198" s="135">
        <f ca="1">IF($L198="PROXY",DAVERAGE('literature entries'!$D:$AI,IF($J198=1,"ACTIVE     CED, FARM GATE (MJ/kg)","CED, processor gate (MJ/kg)"),INDIRECT($K198)),GETPIVOTDATA(IF($J198=1,"Average of ACTIVE     CED, FARM GATE (MJ/kg)","Average of CED, processor gate (MJ/kg)"),'Pivot Table_CED'!$A$3,"SUB TYPE",$B198))</f>
        <v>5.8</v>
      </c>
      <c r="O198" s="135" t="e">
        <f ca="1">IF($L198="PROXY",DSTDEV('literature entries'!D:AI,IF($J198=1,"ACTIVE     CED, FARM GATE (MJ/kg)","CED, processor gate (MJ/kg)"),INDIRECT($K198)),GETPIVOTDATA(IF($J198=1,"StdDev of ACTIVE     CED, FARM GATE (MJ/kg)","StdDev of CED, processor gate (MJ/kg)"),'Pivot Table_CED'!$A$3,"SUB TYPE",$B198))</f>
        <v>#DIV/0!</v>
      </c>
      <c r="P198" s="152" t="str">
        <f>IF(ISERROR(GETPIVOTDATA(IF($J198=1,"Count of ACTIVE     GHGE, FARM GATE (kg CO2e/kg)","Count of GHGE, processor gate (kg CO2e/kg)"),'Pivot Table_GHG'!$A$3,"SUB TYPE",$B198)),"PROXY",IF(GETPIVOTDATA(IF($J198=1,"Count of ACTIVE     GHGE, FARM GATE (kg CO2e/kg)","Count of GHGE, processor gate (kg CO2e/kg)"),'Pivot Table_GHG'!$A$3,"SUB TYPE",$B198)=0,"PROXY","DB value"))</f>
        <v>PROXY</v>
      </c>
      <c r="Q198" s="141">
        <f ca="1">IF($P198="PROXY",DCOUNT('literature entries'!$D:$AI,IF($J198=1,"ACTIVE     GHGE, FARM GATE (kg CO2e/kg)","GHGE, processor gate (kg CO2e/kg)"),INDIRECT($K198)),GETPIVOTDATA(IF($J198=1,"ACTIVE     GHGE, FARM GATE (kg CO2e/kg)","Count of GHGE, processor gate (kg CO2e/kg)"),'Pivot Table_GHG'!$A$3,"SUB TYPE",$B198))</f>
        <v>1</v>
      </c>
      <c r="R198" s="221">
        <f ca="1">IF($P198="PROXY",DAVERAGE('literature entries'!$D:$AI,IF($J198=1,"ACTIVE     GHGE, FARM GATE (kg CO2e/kg)","GHGE, processor gate (kg CO2e/kg)"),INDIRECT($K198)),GETPIVOTDATA(IF($J198=1,"Average of ACTIVE     GHGE, FARM GATE (kg CO2e/kg)","Average of GHGE, processor gate (kg CO2e/kg)"),'Pivot Table_GHG'!$A$3,"SUB TYPE",$B198))</f>
        <v>0.55000000000000004</v>
      </c>
      <c r="S198" s="221" t="e">
        <f ca="1">IF($P198="PROXY",DSTDEV('literature entries'!$D:$AI,IF($J198=1,"ACTIVE     GHGE, FARM GATE (kg CO2e/kg)","GHGE, processor gate (kg CO2e/kg)"),INDIRECT($K198)),GETPIVOTDATA(IF($J198=1,"StdDev of ACTIVE     GHGE, FARM GATE (kg CO2e/kg)","StdDev of GHGE, processor gate (kg CO2e/kg)"),'Pivot Table_GHG'!$A$3,"SUB TYPE",$B198))</f>
        <v>#DIV/0!</v>
      </c>
      <c r="T198" s="101"/>
      <c r="U198" s="102"/>
      <c r="W198" s="248" t="s">
        <v>3358</v>
      </c>
      <c r="X198" s="246">
        <f ca="1">IF($W198="DIRECT",M198,DCOUNT('literature entries'!$D:$AI,IF($J198=1,"ACTIVE     CED, FARM GATE (MJ/kg)","CED, processor gate (MJ/kg)"),INDIRECT($W198)))</f>
        <v>9</v>
      </c>
      <c r="Y198" s="246">
        <f ca="1">IF($W198="DIRECT","",DAVERAGE('literature entries'!$D:$AI,IF($J198=1,"ACTIVE     CED, FARM GATE (MJ/kg)","CED, processor gate (MJ/kg)"),INDIRECT($W198)))</f>
        <v>3.7933851999999999</v>
      </c>
      <c r="Z198" s="246">
        <f ca="1">IF($W198="DIRECT",$O198,DSTDEV('literature entries'!$D:$AI,IF($J198=1,"ACTIVE     CED, FARM GATE (MJ/kg)","CED, processor gate (MJ/kg)"),INDIRECT($W198)))</f>
        <v>1.2312612173276687</v>
      </c>
      <c r="AA198" s="246">
        <f t="shared" ca="1" si="26"/>
        <v>1.8825704967954424</v>
      </c>
      <c r="AB198" s="254" t="s">
        <v>3358</v>
      </c>
      <c r="AC198" s="247">
        <f ca="1">IF($AB198="DIRECT",Q198,DCOUNT('literature entries'!$D:$AI,IF($J198=1,"ACTIVE     GHGE, FARM GATE (kg CO2e/kg)","GHGE, processor gate (kg CO2e/kg)"),INDIRECT($AB198)))</f>
        <v>9</v>
      </c>
      <c r="AD198" s="247">
        <f ca="1">IF($AB198="DIRECT","",DAVERAGE('literature entries'!$D:$AI,IF($J198=1,"ACTIVE     GHGE, FARM GATE (kg CO2e/kg)","GHGE, processor gate (kg CO2e/kg)"),INDIRECT($AB198)))</f>
        <v>0.43042331</v>
      </c>
      <c r="AE198" s="247">
        <f ca="1">IF($AB198="DIRECT",$S198,DSTDEV('literature entries'!$D:$AI,IF($J198=1,"ACTIVE     GHGE, FARM GATE (kg CO2e/kg)","GHGE, processor gate (kg CO2e/kg)"),INDIRECT($AB198)))</f>
        <v>7.2682317360146784E-2</v>
      </c>
      <c r="AF198" s="247">
        <f t="shared" ca="1" si="25"/>
        <v>9.2874325389302764E-2</v>
      </c>
    </row>
    <row r="199" spans="1:32" s="21" customFormat="1" ht="17" thickBot="1" x14ac:dyDescent="0.25">
      <c r="A199" s="129">
        <v>1500123000</v>
      </c>
      <c r="B199" s="130" t="s">
        <v>1940</v>
      </c>
      <c r="C199" s="131" t="s">
        <v>1941</v>
      </c>
      <c r="D199" s="131"/>
      <c r="E199" s="131">
        <v>34670</v>
      </c>
      <c r="F199" s="126">
        <f t="shared" ca="1" si="28"/>
        <v>8.8000000000000007</v>
      </c>
      <c r="G199" s="127">
        <f t="shared" ca="1" si="29"/>
        <v>0.76</v>
      </c>
      <c r="H199" s="136">
        <v>1</v>
      </c>
      <c r="I199" s="133" t="s">
        <v>628</v>
      </c>
      <c r="J199" s="91">
        <v>2</v>
      </c>
      <c r="K199" s="90"/>
      <c r="L199" s="152" t="str">
        <f>IF(ISERROR(GETPIVOTDATA(IF($J199=1,"Count of ACTIVE     CED, FARM GATE (MJ/kg)","Count of CED, processor gate (MJ/kg)"),'Pivot Table_CED'!$A$3,"SUB TYPE",$B199)),"PROXY",IF(GETPIVOTDATA(IF($J199=1,"Count of ACTIVE     CED, FARM GATE (MJ/kg)","Count of CED, processor gate (MJ/kg)"),'Pivot Table_CED'!$A$3,"SUB TYPE",$B199)=0,"PROXY","DB value"))</f>
        <v>DB value</v>
      </c>
      <c r="M199" s="134">
        <f ca="1">IF($L199="PROXY",DCOUNT('literature entries'!$D:$AI,IF($J199=1,"ACTIVE     CED, FARM GATE (MJ/kg)","CED, processor gate (MJ/kg)"),INDIRECT($K199)),GETPIVOTDATA(IF($J199=1,"Count of ACTIVE     CED, FARM GATE (MJ/kg)","Count of CED, processor gate (MJ/kg)"),'Pivot Table_CED'!$A$3,"SUB TYPE",$B199))</f>
        <v>1</v>
      </c>
      <c r="N199" s="135">
        <f ca="1">IF($L199="PROXY",DAVERAGE('literature entries'!$D:$AI,IF($J199=1,"ACTIVE     CED, FARM GATE (MJ/kg)","CED, processor gate (MJ/kg)"),INDIRECT($K199)),GETPIVOTDATA(IF($J199=1,"Average of ACTIVE     CED, FARM GATE (MJ/kg)","Average of CED, processor gate (MJ/kg)"),'Pivot Table_CED'!$A$3,"SUB TYPE",$B199))</f>
        <v>8.8000000000000007</v>
      </c>
      <c r="O199" s="135">
        <f ca="1">IF($L199="PROXY",DSTDEV('literature entries'!D:AI,IF($J199=1,"ACTIVE     CED, FARM GATE (MJ/kg)","CED, processor gate (MJ/kg)"),INDIRECT($K199)),GETPIVOTDATA(IF($J199=1,"StdDev of ACTIVE     CED, FARM GATE (MJ/kg)","StdDev of CED, processor gate (MJ/kg)"),'Pivot Table_CED'!$A$3,"SUB TYPE",$B199))</f>
        <v>0</v>
      </c>
      <c r="P199" s="152" t="str">
        <f>IF(ISERROR(GETPIVOTDATA(IF($J199=1,"Count of ACTIVE     GHGE, FARM GATE (kg CO2e/kg)","Count of GHGE, processor gate (kg CO2e/kg)"),'Pivot Table_GHG'!$A$3,"SUB TYPE",$B199)),"PROXY",IF(GETPIVOTDATA(IF($J199=1,"Count of ACTIVE     GHGE, FARM GATE (kg CO2e/kg)","Count of GHGE, processor gate (kg CO2e/kg)"),'Pivot Table_GHG'!$A$3,"SUB TYPE",$B199)=0,"PROXY","DB value"))</f>
        <v>DB value</v>
      </c>
      <c r="Q199" s="141">
        <f ca="1">IF($P199="PROXY",DCOUNT('literature entries'!$D:$AI,IF($J199=1,"ACTIVE     GHGE, FARM GATE (kg CO2e/kg)","GHGE, processor gate (kg CO2e/kg)"),INDIRECT($K199)),GETPIVOTDATA(IF($J199=1,"ACTIVE     GHGE, FARM GATE (kg CO2e/kg)","Count of GHGE, processor gate (kg CO2e/kg)"),'Pivot Table_GHG'!$A$3,"SUB TYPE",$B199))</f>
        <v>1</v>
      </c>
      <c r="R199" s="221">
        <f ca="1">IF($P199="PROXY",DAVERAGE('literature entries'!$D:$AI,IF($J199=1,"ACTIVE     GHGE, FARM GATE (kg CO2e/kg)","GHGE, processor gate (kg CO2e/kg)"),INDIRECT($K199)),GETPIVOTDATA(IF($J199=1,"Average of ACTIVE     GHGE, FARM GATE (kg CO2e/kg)","Average of GHGE, processor gate (kg CO2e/kg)"),'Pivot Table_GHG'!$A$3,"SUB TYPE",$B199))</f>
        <v>0.76</v>
      </c>
      <c r="S199" s="221" t="e">
        <f ca="1">IF($P199="PROXY",DSTDEV('literature entries'!$D:$AI,IF($J199=1,"ACTIVE     GHGE, FARM GATE (kg CO2e/kg)","GHGE, processor gate (kg CO2e/kg)"),INDIRECT($K199)),GETPIVOTDATA(IF($J199=1,"StdDev of ACTIVE     GHGE, FARM GATE (kg CO2e/kg)","StdDev of GHGE, processor gate (kg CO2e/kg)"),'Pivot Table_GHG'!$A$3,"SUB TYPE",$B199))</f>
        <v>#DIV/0!</v>
      </c>
      <c r="T199" s="101"/>
      <c r="U199" s="102"/>
      <c r="W199" s="256" t="s">
        <v>3367</v>
      </c>
      <c r="X199" s="246"/>
      <c r="Y199" s="246"/>
      <c r="Z199" s="246">
        <v>0</v>
      </c>
      <c r="AA199" s="246">
        <v>0</v>
      </c>
      <c r="AB199" s="256" t="s">
        <v>3367</v>
      </c>
      <c r="AC199" s="247"/>
      <c r="AD199" s="247"/>
      <c r="AE199" s="247">
        <v>0</v>
      </c>
      <c r="AF199" s="247">
        <v>0</v>
      </c>
    </row>
    <row r="200" spans="1:32" s="21" customFormat="1" ht="17" thickBot="1" x14ac:dyDescent="0.25">
      <c r="A200" s="129">
        <v>1500124000</v>
      </c>
      <c r="B200" s="130" t="s">
        <v>1942</v>
      </c>
      <c r="C200" s="131" t="s">
        <v>1943</v>
      </c>
      <c r="D200" s="131"/>
      <c r="E200" s="131">
        <v>49699</v>
      </c>
      <c r="F200" s="126">
        <f t="shared" ca="1" si="28"/>
        <v>8.8000000000000007</v>
      </c>
      <c r="G200" s="127">
        <f t="shared" ca="1" si="29"/>
        <v>0.76</v>
      </c>
      <c r="H200" s="136">
        <v>1</v>
      </c>
      <c r="I200" s="133" t="s">
        <v>628</v>
      </c>
      <c r="J200" s="91">
        <v>2</v>
      </c>
      <c r="K200" s="90" t="s">
        <v>3287</v>
      </c>
      <c r="L200" s="152" t="str">
        <f>IF(ISERROR(GETPIVOTDATA(IF($J200=1,"Count of ACTIVE     CED, FARM GATE (MJ/kg)","Count of CED, processor gate (MJ/kg)"),'Pivot Table_CED'!$A$3,"SUB TYPE",$B200)),"PROXY",IF(GETPIVOTDATA(IF($J200=1,"Count of ACTIVE     CED, FARM GATE (MJ/kg)","Count of CED, processor gate (MJ/kg)"),'Pivot Table_CED'!$A$3,"SUB TYPE",$B200)=0,"PROXY","DB value"))</f>
        <v>PROXY</v>
      </c>
      <c r="M200" s="134">
        <f ca="1">IF($L200="PROXY",DCOUNT('literature entries'!$D:$AI,IF($J200=1,"ACTIVE     CED, FARM GATE (MJ/kg)","CED, processor gate (MJ/kg)"),INDIRECT($K200)),GETPIVOTDATA(IF($J200=1,"Count of ACTIVE     CED, FARM GATE (MJ/kg)","Count of CED, processor gate (MJ/kg)"),'Pivot Table_CED'!$A$3,"SUB TYPE",$B200))</f>
        <v>1</v>
      </c>
      <c r="N200" s="135">
        <f ca="1">IF($L200="PROXY",DAVERAGE('literature entries'!$D:$AI,IF($J200=1,"ACTIVE     CED, FARM GATE (MJ/kg)","CED, processor gate (MJ/kg)"),INDIRECT($K200)),GETPIVOTDATA(IF($J200=1,"Average of ACTIVE     CED, FARM GATE (MJ/kg)","Average of CED, processor gate (MJ/kg)"),'Pivot Table_CED'!$A$3,"SUB TYPE",$B200))</f>
        <v>8.8000000000000007</v>
      </c>
      <c r="O200" s="135" t="e">
        <f ca="1">IF($L200="PROXY",DSTDEV('literature entries'!D:AI,IF($J200=1,"ACTIVE     CED, FARM GATE (MJ/kg)","CED, processor gate (MJ/kg)"),INDIRECT($K200)),GETPIVOTDATA(IF($J200=1,"StdDev of ACTIVE     CED, FARM GATE (MJ/kg)","StdDev of CED, processor gate (MJ/kg)"),'Pivot Table_CED'!$A$3,"SUB TYPE",$B200))</f>
        <v>#DIV/0!</v>
      </c>
      <c r="P200" s="152" t="str">
        <f>IF(ISERROR(GETPIVOTDATA(IF($J200=1,"Count of ACTIVE     GHGE, FARM GATE (kg CO2e/kg)","Count of GHGE, processor gate (kg CO2e/kg)"),'Pivot Table_GHG'!$A$3,"SUB TYPE",$B200)),"PROXY",IF(GETPIVOTDATA(IF($J200=1,"Count of ACTIVE     GHGE, FARM GATE (kg CO2e/kg)","Count of GHGE, processor gate (kg CO2e/kg)"),'Pivot Table_GHG'!$A$3,"SUB TYPE",$B200)=0,"PROXY","DB value"))</f>
        <v>PROXY</v>
      </c>
      <c r="Q200" s="141">
        <f ca="1">IF($P200="PROXY",DCOUNT('literature entries'!$D:$AI,IF($J200=1,"ACTIVE     GHGE, FARM GATE (kg CO2e/kg)","GHGE, processor gate (kg CO2e/kg)"),INDIRECT($K200)),GETPIVOTDATA(IF($J200=1,"ACTIVE     GHGE, FARM GATE (kg CO2e/kg)","Count of GHGE, processor gate (kg CO2e/kg)"),'Pivot Table_GHG'!$A$3,"SUB TYPE",$B200))</f>
        <v>1</v>
      </c>
      <c r="R200" s="221">
        <f ca="1">IF($P200="PROXY",DAVERAGE('literature entries'!$D:$AI,IF($J200=1,"ACTIVE     GHGE, FARM GATE (kg CO2e/kg)","GHGE, processor gate (kg CO2e/kg)"),INDIRECT($K200)),GETPIVOTDATA(IF($J200=1,"Average of ACTIVE     GHGE, FARM GATE (kg CO2e/kg)","Average of GHGE, processor gate (kg CO2e/kg)"),'Pivot Table_GHG'!$A$3,"SUB TYPE",$B200))</f>
        <v>0.76</v>
      </c>
      <c r="S200" s="221" t="e">
        <f ca="1">IF($P200="PROXY",DSTDEV('literature entries'!$D:$AI,IF($J200=1,"ACTIVE     GHGE, FARM GATE (kg CO2e/kg)","GHGE, processor gate (kg CO2e/kg)"),INDIRECT($K200)),GETPIVOTDATA(IF($J200=1,"StdDev of ACTIVE     GHGE, FARM GATE (kg CO2e/kg)","StdDev of GHGE, processor gate (kg CO2e/kg)"),'Pivot Table_GHG'!$A$3,"SUB TYPE",$B200))</f>
        <v>#DIV/0!</v>
      </c>
      <c r="T200" s="101"/>
      <c r="U200" s="102"/>
      <c r="W200" s="256" t="s">
        <v>3367</v>
      </c>
      <c r="X200" s="246"/>
      <c r="Y200" s="246"/>
      <c r="Z200" s="246">
        <v>0</v>
      </c>
      <c r="AA200" s="246">
        <v>0</v>
      </c>
      <c r="AB200" s="256" t="s">
        <v>3367</v>
      </c>
      <c r="AC200" s="247"/>
      <c r="AD200" s="247"/>
      <c r="AE200" s="247">
        <v>0</v>
      </c>
      <c r="AF200" s="247">
        <v>0</v>
      </c>
    </row>
    <row r="201" spans="1:32" s="21" customFormat="1" ht="17" thickBot="1" x14ac:dyDescent="0.25">
      <c r="A201" s="129">
        <v>1500125000</v>
      </c>
      <c r="B201" s="130" t="s">
        <v>1939</v>
      </c>
      <c r="C201" s="131" t="s">
        <v>1731</v>
      </c>
      <c r="D201" s="131"/>
      <c r="E201" s="131">
        <v>45585</v>
      </c>
      <c r="F201" s="126">
        <f t="shared" ca="1" si="28"/>
        <v>15.165668500000001</v>
      </c>
      <c r="G201" s="127">
        <f t="shared" ca="1" si="29"/>
        <v>1.1993259000000001</v>
      </c>
      <c r="H201" s="136">
        <v>1</v>
      </c>
      <c r="I201" s="133" t="s">
        <v>628</v>
      </c>
      <c r="J201" s="91">
        <v>2</v>
      </c>
      <c r="K201" s="90"/>
      <c r="L201" s="152" t="str">
        <f>IF(ISERROR(GETPIVOTDATA(IF($J201=1,"Count of ACTIVE     CED, FARM GATE (MJ/kg)","Count of CED, processor gate (MJ/kg)"),'Pivot Table_CED'!$A$3,"SUB TYPE",$B201)),"PROXY",IF(GETPIVOTDATA(IF($J201=1,"Count of ACTIVE     CED, FARM GATE (MJ/kg)","Count of CED, processor gate (MJ/kg)"),'Pivot Table_CED'!$A$3,"SUB TYPE",$B201)=0,"PROXY","DB value"))</f>
        <v>DB value</v>
      </c>
      <c r="M201" s="134">
        <f ca="1">IF($L201="PROXY",DCOUNT('literature entries'!$D:$AI,IF($J201=1,"ACTIVE     CED, FARM GATE (MJ/kg)","CED, processor gate (MJ/kg)"),INDIRECT($K201)),GETPIVOTDATA(IF($J201=1,"Count of ACTIVE     CED, FARM GATE (MJ/kg)","Count of CED, processor gate (MJ/kg)"),'Pivot Table_CED'!$A$3,"SUB TYPE",$B201))</f>
        <v>2</v>
      </c>
      <c r="N201" s="135">
        <f ca="1">IF($L201="PROXY",DAVERAGE('literature entries'!$D:$AI,IF($J201=1,"ACTIVE     CED, FARM GATE (MJ/kg)","CED, processor gate (MJ/kg)"),INDIRECT($K201)),GETPIVOTDATA(IF($J201=1,"Average of ACTIVE     CED, FARM GATE (MJ/kg)","Average of CED, processor gate (MJ/kg)"),'Pivot Table_CED'!$A$3,"SUB TYPE",$B201))</f>
        <v>15.165668500000001</v>
      </c>
      <c r="O201" s="135">
        <f ca="1">IF($L201="PROXY",DSTDEV('literature entries'!D:AI,IF($J201=1,"ACTIVE     CED, FARM GATE (MJ/kg)","CED, processor gate (MJ/kg)"),INDIRECT($K201)),GETPIVOTDATA(IF($J201=1,"StdDev of ACTIVE     CED, FARM GATE (MJ/kg)","StdDev of CED, processor gate (MJ/kg)"),'Pivot Table_CED'!$A$3,"SUB TYPE",$B201))</f>
        <v>0.68476291400781419</v>
      </c>
      <c r="P201" s="152" t="str">
        <f>IF(ISERROR(GETPIVOTDATA(IF($J201=1,"Count of ACTIVE     GHGE, FARM GATE (kg CO2e/kg)","Count of GHGE, processor gate (kg CO2e/kg)"),'Pivot Table_GHG'!$A$3,"SUB TYPE",$B201)),"PROXY",IF(GETPIVOTDATA(IF($J201=1,"Count of ACTIVE     GHGE, FARM GATE (kg CO2e/kg)","Count of GHGE, processor gate (kg CO2e/kg)"),'Pivot Table_GHG'!$A$3,"SUB TYPE",$B201)=0,"PROXY","DB value"))</f>
        <v>DB value</v>
      </c>
      <c r="Q201" s="141">
        <f ca="1">IF($P201="PROXY",DCOUNT('literature entries'!$D:$AI,IF($J201=1,"ACTIVE     GHGE, FARM GATE (kg CO2e/kg)","GHGE, processor gate (kg CO2e/kg)"),INDIRECT($K201)),GETPIVOTDATA(IF($J201=1,"ACTIVE     GHGE, FARM GATE (kg CO2e/kg)","Count of GHGE, processor gate (kg CO2e/kg)"),'Pivot Table_GHG'!$A$3,"SUB TYPE",$B201))</f>
        <v>2</v>
      </c>
      <c r="R201" s="221">
        <f ca="1">IF($P201="PROXY",DAVERAGE('literature entries'!$D:$AI,IF($J201=1,"ACTIVE     GHGE, FARM GATE (kg CO2e/kg)","GHGE, processor gate (kg CO2e/kg)"),INDIRECT($K201)),GETPIVOTDATA(IF($J201=1,"Average of ACTIVE     GHGE, FARM GATE (kg CO2e/kg)","Average of GHGE, processor gate (kg CO2e/kg)"),'Pivot Table_GHG'!$A$3,"SUB TYPE",$B201))</f>
        <v>1.1993259000000001</v>
      </c>
      <c r="S201" s="221">
        <f ca="1">IF($P201="PROXY",DSTDEV('literature entries'!$D:$AI,IF($J201=1,"ACTIVE     GHGE, FARM GATE (kg CO2e/kg)","GHGE, processor gate (kg CO2e/kg)"),INDIRECT($K201)),GETPIVOTDATA(IF($J201=1,"StdDev of ACTIVE     GHGE, FARM GATE (kg CO2e/kg)","StdDev of GHGE, processor gate (kg CO2e/kg)"),'Pivot Table_GHG'!$A$3,"SUB TYPE",$B201))</f>
        <v>6.5269350016069774E-2</v>
      </c>
      <c r="T201" s="101"/>
      <c r="U201" s="102"/>
      <c r="W201" s="248" t="s">
        <v>3354</v>
      </c>
      <c r="X201" s="246">
        <f ca="1">IF($W201="DIRECT",M201,DCOUNT('literature entries'!$D:$AI,IF($J201=1,"ACTIVE     CED, FARM GATE (MJ/kg)","CED, processor gate (MJ/kg)"),INDIRECT($W201)))</f>
        <v>16</v>
      </c>
      <c r="Y201" s="246">
        <f ca="1">IF($W201="DIRECT","",DAVERAGE('literature entries'!$D:$AI,IF($J201=1,"ACTIVE     CED, FARM GATE (MJ/kg)","CED, processor gate (MJ/kg)"),INDIRECT($W201)))</f>
        <v>11.873325197282607</v>
      </c>
      <c r="Z201" s="246">
        <f ca="1">IF($W201="DIRECT",$O201,DSTDEV('literature entries'!$D:$AI,IF($J201=1,"ACTIVE     CED, FARM GATE (MJ/kg)","CED, processor gate (MJ/kg)"),INDIRECT($W201)))</f>
        <v>5.663275464099641</v>
      </c>
      <c r="AA201" s="246">
        <f t="shared" ref="AA201:AA227" ca="1" si="30">IF($W201="DIRECT",$O201,$Z201/$Y201*$N201)</f>
        <v>7.2336398511493183</v>
      </c>
      <c r="AB201" s="254" t="s">
        <v>3354</v>
      </c>
      <c r="AC201" s="247">
        <f ca="1">IF($AB201="DIRECT",Q201,DCOUNT('literature entries'!$D:$AI,IF($J201=1,"ACTIVE     GHGE, FARM GATE (kg CO2e/kg)","GHGE, processor gate (kg CO2e/kg)"),INDIRECT($AB201)))</f>
        <v>19</v>
      </c>
      <c r="AD201" s="247">
        <f ca="1">IF($AB201="DIRECT","",DAVERAGE('literature entries'!$D:$AI,IF($J201=1,"ACTIVE     GHGE, FARM GATE (kg CO2e/kg)","GHGE, processor gate (kg CO2e/kg)"),INDIRECT($AB201)))</f>
        <v>3.6074757576297722</v>
      </c>
      <c r="AE201" s="247">
        <f ca="1">IF($AB201="DIRECT",$S201,DSTDEV('literature entries'!$D:$AI,IF($J201=1,"ACTIVE     GHGE, FARM GATE (kg CO2e/kg)","GHGE, processor gate (kg CO2e/kg)"),INDIRECT($AB201)))</f>
        <v>2.5306182127862726</v>
      </c>
      <c r="AF201" s="247">
        <f t="shared" ref="AF201:AF227" ca="1" si="31">IF($AB201="DIRECT",$S201,$AE201/$AD201*$R201)</f>
        <v>0.8413184646320131</v>
      </c>
    </row>
    <row r="202" spans="1:32" s="21" customFormat="1" ht="17" thickBot="1" x14ac:dyDescent="0.25">
      <c r="A202" s="129">
        <v>1500126000</v>
      </c>
      <c r="B202" s="130" t="s">
        <v>1944</v>
      </c>
      <c r="C202" s="131" t="s">
        <v>1945</v>
      </c>
      <c r="D202" s="131"/>
      <c r="E202" s="131">
        <v>3050</v>
      </c>
      <c r="F202" s="126">
        <f t="shared" ca="1" si="28"/>
        <v>2.5841213096774194</v>
      </c>
      <c r="G202" s="127">
        <f t="shared" ca="1" si="29"/>
        <v>0.39349345733333324</v>
      </c>
      <c r="H202" s="133">
        <v>1</v>
      </c>
      <c r="I202" s="133" t="s">
        <v>2724</v>
      </c>
      <c r="J202" s="91">
        <v>1</v>
      </c>
      <c r="K202" s="90" t="s">
        <v>2702</v>
      </c>
      <c r="L202" s="152" t="str">
        <f>IF(ISERROR(GETPIVOTDATA(IF($J202=1,"Count of ACTIVE     CED, FARM GATE (MJ/kg)","Count of CED, processor gate (MJ/kg)"),'Pivot Table_CED'!$A$3,"SUB TYPE",$B202)),"PROXY",IF(GETPIVOTDATA(IF($J202=1,"Count of ACTIVE     CED, FARM GATE (MJ/kg)","Count of CED, processor gate (MJ/kg)"),'Pivot Table_CED'!$A$3,"SUB TYPE",$B202)=0,"PROXY","DB value"))</f>
        <v>PROXY</v>
      </c>
      <c r="M202" s="134">
        <f ca="1">IF($L202="PROXY",DCOUNT('literature entries'!$D:$AI,IF($J202=1,"ACTIVE     CED, FARM GATE (MJ/kg)","CED, processor gate (MJ/kg)"),INDIRECT($K202)),GETPIVOTDATA(IF($J202=1,"Count of ACTIVE     CED, FARM GATE (MJ/kg)","Count of CED, processor gate (MJ/kg)"),'Pivot Table_CED'!$A$3,"SUB TYPE",$B202))</f>
        <v>31</v>
      </c>
      <c r="N202" s="135">
        <f ca="1">IF($L202="PROXY",DAVERAGE('literature entries'!$D:$AI,IF($J202=1,"ACTIVE     CED, FARM GATE (MJ/kg)","CED, processor gate (MJ/kg)"),INDIRECT($K202)),GETPIVOTDATA(IF($J202=1,"Average of ACTIVE     CED, FARM GATE (MJ/kg)","Average of CED, processor gate (MJ/kg)"),'Pivot Table_CED'!$A$3,"SUB TYPE",$B202))</f>
        <v>2.5841213096774194</v>
      </c>
      <c r="O202" s="135">
        <f ca="1">IF($L202="PROXY",DSTDEV('literature entries'!D:AI,IF($J202=1,"ACTIVE     CED, FARM GATE (MJ/kg)","CED, processor gate (MJ/kg)"),INDIRECT($K202)),GETPIVOTDATA(IF($J202=1,"StdDev of ACTIVE     CED, FARM GATE (MJ/kg)","StdDev of CED, processor gate (MJ/kg)"),'Pivot Table_CED'!$A$3,"SUB TYPE",$B202))</f>
        <v>1.1854190703188778</v>
      </c>
      <c r="P202" s="152" t="str">
        <f>IF(ISERROR(GETPIVOTDATA(IF($J202=1,"Count of ACTIVE     GHGE, FARM GATE (kg CO2e/kg)","Count of GHGE, processor gate (kg CO2e/kg)"),'Pivot Table_GHG'!$A$3,"SUB TYPE",$B202)),"PROXY",IF(GETPIVOTDATA(IF($J202=1,"Count of ACTIVE     GHGE, FARM GATE (kg CO2e/kg)","Count of GHGE, processor gate (kg CO2e/kg)"),'Pivot Table_GHG'!$A$3,"SUB TYPE",$B202)=0,"PROXY","DB value"))</f>
        <v>PROXY</v>
      </c>
      <c r="Q202" s="141">
        <f ca="1">IF($P202="PROXY",DCOUNT('literature entries'!$D:$AI,IF($J202=1,"ACTIVE     GHGE, FARM GATE (kg CO2e/kg)","GHGE, processor gate (kg CO2e/kg)"),INDIRECT($K202)),GETPIVOTDATA(IF($J202=1,"ACTIVE     GHGE, FARM GATE (kg CO2e/kg)","Count of GHGE, processor gate (kg CO2e/kg)"),'Pivot Table_GHG'!$A$3,"SUB TYPE",$B202))</f>
        <v>45</v>
      </c>
      <c r="R202" s="221">
        <f ca="1">IF($P202="PROXY",DAVERAGE('literature entries'!$D:$AI,IF($J202=1,"ACTIVE     GHGE, FARM GATE (kg CO2e/kg)","GHGE, processor gate (kg CO2e/kg)"),INDIRECT($K202)),GETPIVOTDATA(IF($J202=1,"Average of ACTIVE     GHGE, FARM GATE (kg CO2e/kg)","Average of GHGE, processor gate (kg CO2e/kg)"),'Pivot Table_GHG'!$A$3,"SUB TYPE",$B202))</f>
        <v>0.39349345733333324</v>
      </c>
      <c r="S202" s="221">
        <f ca="1">IF($P202="PROXY",DSTDEV('literature entries'!$D:$AI,IF($J202=1,"ACTIVE     GHGE, FARM GATE (kg CO2e/kg)","GHGE, processor gate (kg CO2e/kg)"),INDIRECT($K202)),GETPIVOTDATA(IF($J202=1,"StdDev of ACTIVE     GHGE, FARM GATE (kg CO2e/kg)","StdDev of GHGE, processor gate (kg CO2e/kg)"),'Pivot Table_GHG'!$A$3,"SUB TYPE",$B202))</f>
        <v>0.20361467618492471</v>
      </c>
      <c r="T202" s="101"/>
      <c r="U202" s="102"/>
      <c r="W202" s="248" t="str">
        <f ca="1">IF(L202="PROXY",IF(M202&gt;=5,K202,"need group"),IF(M202&gt;=5,"DIRECT","need group"))</f>
        <v>grains</v>
      </c>
      <c r="X202" s="246">
        <f ca="1">IF($W202="DIRECT",M202,DCOUNT('literature entries'!$D:$AI,IF($J202=1,"ACTIVE     CED, FARM GATE (MJ/kg)","CED, processor gate (MJ/kg)"),INDIRECT($W202)))</f>
        <v>31</v>
      </c>
      <c r="Y202" s="246">
        <f ca="1">IF($W202="DIRECT","",DAVERAGE('literature entries'!$D:$AI,IF($J202=1,"ACTIVE     CED, FARM GATE (MJ/kg)","CED, processor gate (MJ/kg)"),INDIRECT($W202)))</f>
        <v>2.5841213096774194</v>
      </c>
      <c r="Z202" s="246">
        <f ca="1">IF($W202="DIRECT",$O202,DSTDEV('literature entries'!$D:$AI,IF($J202=1,"ACTIVE     CED, FARM GATE (MJ/kg)","CED, processor gate (MJ/kg)"),INDIRECT($W202)))</f>
        <v>1.1854190703188778</v>
      </c>
      <c r="AA202" s="246">
        <f t="shared" ca="1" si="30"/>
        <v>1.1854190703188778</v>
      </c>
      <c r="AB202" s="254" t="str">
        <f ca="1">IF(P202="PROXY",IF(Q202&gt;=5,K202,"need group"),IF(Q202&gt;=5,"DIRECT","need group"))</f>
        <v>grains</v>
      </c>
      <c r="AC202" s="247">
        <f ca="1">IF($AB202="DIRECT",Q202,DCOUNT('literature entries'!$D:$AI,IF($J202=1,"ACTIVE     GHGE, FARM GATE (kg CO2e/kg)","GHGE, processor gate (kg CO2e/kg)"),INDIRECT($AB202)))</f>
        <v>45</v>
      </c>
      <c r="AD202" s="247">
        <f ca="1">IF($AB202="DIRECT","",DAVERAGE('literature entries'!$D:$AI,IF($J202=1,"ACTIVE     GHGE, FARM GATE (kg CO2e/kg)","GHGE, processor gate (kg CO2e/kg)"),INDIRECT($AB202)))</f>
        <v>0.39349345733333324</v>
      </c>
      <c r="AE202" s="247">
        <f ca="1">IF($AB202="DIRECT",$S202,DSTDEV('literature entries'!$D:$AI,IF($J202=1,"ACTIVE     GHGE, FARM GATE (kg CO2e/kg)","GHGE, processor gate (kg CO2e/kg)"),INDIRECT($AB202)))</f>
        <v>0.20361467618492471</v>
      </c>
      <c r="AF202" s="247">
        <f t="shared" ca="1" si="31"/>
        <v>0.20361467618492474</v>
      </c>
    </row>
    <row r="203" spans="1:32" s="21" customFormat="1" thickBot="1" x14ac:dyDescent="0.25">
      <c r="A203" s="129">
        <v>1500127000</v>
      </c>
      <c r="B203" s="130" t="s">
        <v>1946</v>
      </c>
      <c r="C203" s="131" t="s">
        <v>1945</v>
      </c>
      <c r="D203" s="131"/>
      <c r="E203" s="131">
        <v>6356</v>
      </c>
      <c r="F203" s="126">
        <f t="shared" ca="1" si="28"/>
        <v>6.6422391390721502</v>
      </c>
      <c r="G203" s="127">
        <f t="shared" ca="1" si="29"/>
        <v>0.75708261249999997</v>
      </c>
      <c r="H203" s="132">
        <v>2.78</v>
      </c>
      <c r="I203" s="132" t="s">
        <v>2724</v>
      </c>
      <c r="J203" s="91">
        <v>1</v>
      </c>
      <c r="K203" s="90"/>
      <c r="L203" s="152" t="str">
        <f>IF(ISERROR(GETPIVOTDATA(IF($J203=1,"Count of ACTIVE     CED, FARM GATE (MJ/kg)","Count of CED, processor gate (MJ/kg)"),'Pivot Table_CED'!$A$3,"SUB TYPE",$B203)),"PROXY",IF(GETPIVOTDATA(IF($J203=1,"Count of ACTIVE     CED, FARM GATE (MJ/kg)","Count of CED, processor gate (MJ/kg)"),'Pivot Table_CED'!$A$3,"SUB TYPE",$B203)=0,"PROXY","DB value"))</f>
        <v>DB value</v>
      </c>
      <c r="M203" s="134">
        <f ca="1">IF($L203="PROXY",DCOUNT('literature entries'!$D:$AI,IF($J203=1,"ACTIVE     CED, FARM GATE (MJ/kg)","CED, processor gate (MJ/kg)"),INDIRECT($K203)),GETPIVOTDATA(IF($J203=1,"Count of ACTIVE     CED, FARM GATE (MJ/kg)","Count of CED, processor gate (MJ/kg)"),'Pivot Table_CED'!$A$3,"SUB TYPE",$B203))</f>
        <v>4</v>
      </c>
      <c r="N203" s="135">
        <f ca="1">IF($L203="PROXY",DAVERAGE('literature entries'!$D:$AI,IF($J203=1,"ACTIVE     CED, FARM GATE (MJ/kg)","CED, processor gate (MJ/kg)"),INDIRECT($K203)),GETPIVOTDATA(IF($J203=1,"Average of ACTIVE     CED, FARM GATE (MJ/kg)","Average of CED, processor gate (MJ/kg)"),'Pivot Table_CED'!$A$3,"SUB TYPE",$B203))</f>
        <v>2.3892946543425002</v>
      </c>
      <c r="O203" s="135">
        <f ca="1">IF($L203="PROXY",DSTDEV('literature entries'!D:AI,IF($J203=1,"ACTIVE     CED, FARM GATE (MJ/kg)","CED, processor gate (MJ/kg)"),INDIRECT($K203)),GETPIVOTDATA(IF($J203=1,"StdDev of ACTIVE     CED, FARM GATE (MJ/kg)","StdDev of CED, processor gate (MJ/kg)"),'Pivot Table_CED'!$A$3,"SUB TYPE",$B203))</f>
        <v>0.34327258394537385</v>
      </c>
      <c r="P203" s="152" t="str">
        <f>IF(ISERROR(GETPIVOTDATA(IF($J203=1,"Count of ACTIVE     GHGE, FARM GATE (kg CO2e/kg)","Count of GHGE, processor gate (kg CO2e/kg)"),'Pivot Table_GHG'!$A$3,"SUB TYPE",$B203)),"PROXY",IF(GETPIVOTDATA(IF($J203=1,"Count of ACTIVE     GHGE, FARM GATE (kg CO2e/kg)","Count of GHGE, processor gate (kg CO2e/kg)"),'Pivot Table_GHG'!$A$3,"SUB TYPE",$B203)=0,"PROXY","DB value"))</f>
        <v>DB value</v>
      </c>
      <c r="Q203" s="141">
        <f ca="1">IF($P203="PROXY",DCOUNT('literature entries'!$D:$AI,IF($J203=1,"ACTIVE     GHGE, FARM GATE (kg CO2e/kg)","GHGE, processor gate (kg CO2e/kg)"),INDIRECT($K203)),GETPIVOTDATA(IF($J203=1,"ACTIVE     GHGE, FARM GATE (kg CO2e/kg)","Count of GHGE, processor gate (kg CO2e/kg)"),'Pivot Table_GHG'!$A$3,"SUB TYPE",$B203))</f>
        <v>4</v>
      </c>
      <c r="R203" s="221">
        <f ca="1">IF($P203="PROXY",DAVERAGE('literature entries'!$D:$AI,IF($J203=1,"ACTIVE     GHGE, FARM GATE (kg CO2e/kg)","GHGE, processor gate (kg CO2e/kg)"),INDIRECT($K203)),GETPIVOTDATA(IF($J203=1,"Average of ACTIVE     GHGE, FARM GATE (kg CO2e/kg)","Average of GHGE, processor gate (kg CO2e/kg)"),'Pivot Table_GHG'!$A$3,"SUB TYPE",$B203))</f>
        <v>0.272331875</v>
      </c>
      <c r="S203" s="221">
        <f ca="1">IF($P203="PROXY",DSTDEV('literature entries'!$D:$AI,IF($J203=1,"ACTIVE     GHGE, FARM GATE (kg CO2e/kg)","GHGE, processor gate (kg CO2e/kg)"),INDIRECT($K203)),GETPIVOTDATA(IF($J203=1,"StdDev of ACTIVE     GHGE, FARM GATE (kg CO2e/kg)","StdDev of GHGE, processor gate (kg CO2e/kg)"),'Pivot Table_GHG'!$A$3,"SUB TYPE",$B203))</f>
        <v>7.8881189566321147E-2</v>
      </c>
      <c r="T203" s="101"/>
      <c r="U203" s="102"/>
      <c r="W203" s="248" t="s">
        <v>3361</v>
      </c>
      <c r="X203" s="246">
        <f ca="1">IF($W203="DIRECT",M203,DCOUNT('literature entries'!$D:$AI,IF($J203=1,"ACTIVE     CED, FARM GATE (MJ/kg)","CED, processor gate (MJ/kg)"),INDIRECT($W203)))</f>
        <v>60</v>
      </c>
      <c r="Y203" s="246">
        <f ca="1">IF($W203="DIRECT","",DAVERAGE('literature entries'!$D:$AI,IF($J203=1,"ACTIVE     CED, FARM GATE (MJ/kg)","CED, processor gate (MJ/kg)"),INDIRECT($W203)))</f>
        <v>3.4907536756076811</v>
      </c>
      <c r="Z203" s="246">
        <f ca="1">IF($W203="DIRECT",$O203,DSTDEV('literature entries'!$D:$AI,IF($J203=1,"ACTIVE     CED, FARM GATE (MJ/kg)","CED, processor gate (MJ/kg)"),INDIRECT($W203)))</f>
        <v>2.8914615487691551</v>
      </c>
      <c r="AA203" s="246">
        <f t="shared" ca="1" si="30"/>
        <v>1.9791008658061116</v>
      </c>
      <c r="AB203" s="254" t="s">
        <v>3361</v>
      </c>
      <c r="AC203" s="247">
        <f ca="1">IF($AB203="DIRECT",Q203,DCOUNT('literature entries'!$D:$AI,IF($J203=1,"ACTIVE     GHGE, FARM GATE (kg CO2e/kg)","GHGE, processor gate (kg CO2e/kg)"),INDIRECT($AB203)))</f>
        <v>130</v>
      </c>
      <c r="AD203" s="247">
        <f ca="1">IF($AB203="DIRECT","",DAVERAGE('literature entries'!$D:$AI,IF($J203=1,"ACTIVE     GHGE, FARM GATE (kg CO2e/kg)","GHGE, processor gate (kg CO2e/kg)"),INDIRECT($AB203)))</f>
        <v>0.57143231537198591</v>
      </c>
      <c r="AE203" s="247">
        <f ca="1">IF($AB203="DIRECT",$S203,DSTDEV('literature entries'!$D:$AI,IF($J203=1,"ACTIVE     GHGE, FARM GATE (kg CO2e/kg)","GHGE, processor gate (kg CO2e/kg)"),INDIRECT($AB203)))</f>
        <v>0.97567296151555694</v>
      </c>
      <c r="AF203" s="247">
        <f t="shared" ca="1" si="31"/>
        <v>0.46498393571488339</v>
      </c>
    </row>
    <row r="204" spans="1:32" s="21" customFormat="1" ht="17" thickBot="1" x14ac:dyDescent="0.25">
      <c r="A204" s="129">
        <v>1500226000</v>
      </c>
      <c r="B204" s="130" t="s">
        <v>2083</v>
      </c>
      <c r="C204" s="131" t="s">
        <v>2084</v>
      </c>
      <c r="D204" s="131"/>
      <c r="E204" s="131">
        <v>8</v>
      </c>
      <c r="F204" s="126">
        <f t="shared" ca="1" si="28"/>
        <v>2.5841213096774194</v>
      </c>
      <c r="G204" s="127">
        <f t="shared" ca="1" si="29"/>
        <v>0.47</v>
      </c>
      <c r="H204" s="132">
        <v>1</v>
      </c>
      <c r="I204" s="133" t="s">
        <v>594</v>
      </c>
      <c r="J204" s="91">
        <v>1</v>
      </c>
      <c r="K204" s="90" t="s">
        <v>2702</v>
      </c>
      <c r="L204" s="152" t="str">
        <f>IF(ISERROR(GETPIVOTDATA(IF($J204=1,"Count of ACTIVE     CED, FARM GATE (MJ/kg)","Count of CED, processor gate (MJ/kg)"),'Pivot Table_CED'!$A$3,"SUB TYPE",$B204)),"PROXY",IF(GETPIVOTDATA(IF($J204=1,"Count of ACTIVE     CED, FARM GATE (MJ/kg)","Count of CED, processor gate (MJ/kg)"),'Pivot Table_CED'!$A$3,"SUB TYPE",$B204)=0,"PROXY","DB value"))</f>
        <v>PROXY</v>
      </c>
      <c r="M204" s="134">
        <f ca="1">IF($L204="PROXY",DCOUNT('literature entries'!$D:$AI,IF($J204=1,"ACTIVE     CED, FARM GATE (MJ/kg)","CED, processor gate (MJ/kg)"),INDIRECT($K204)),GETPIVOTDATA(IF($J204=1,"Count of ACTIVE     CED, FARM GATE (MJ/kg)","Count of CED, processor gate (MJ/kg)"),'Pivot Table_CED'!$A$3,"SUB TYPE",$B204))</f>
        <v>31</v>
      </c>
      <c r="N204" s="135">
        <f ca="1">IF($L204="PROXY",DAVERAGE('literature entries'!$D:$AI,IF($J204=1,"ACTIVE     CED, FARM GATE (MJ/kg)","CED, processor gate (MJ/kg)"),INDIRECT($K204)),GETPIVOTDATA(IF($J204=1,"Average of ACTIVE     CED, FARM GATE (MJ/kg)","Average of CED, processor gate (MJ/kg)"),'Pivot Table_CED'!$A$3,"SUB TYPE",$B204))</f>
        <v>2.5841213096774194</v>
      </c>
      <c r="O204" s="135">
        <f ca="1">IF($L204="PROXY",DSTDEV('literature entries'!D:AI,IF($J204=1,"ACTIVE     CED, FARM GATE (MJ/kg)","CED, processor gate (MJ/kg)"),INDIRECT($K204)),GETPIVOTDATA(IF($J204=1,"StdDev of ACTIVE     CED, FARM GATE (MJ/kg)","StdDev of CED, processor gate (MJ/kg)"),'Pivot Table_CED'!$A$3,"SUB TYPE",$B204))</f>
        <v>1.1854190703188778</v>
      </c>
      <c r="P204" s="152" t="str">
        <f>IF(ISERROR(GETPIVOTDATA(IF($J204=1,"Count of ACTIVE     GHGE, FARM GATE (kg CO2e/kg)","Count of GHGE, processor gate (kg CO2e/kg)"),'Pivot Table_GHG'!$A$3,"SUB TYPE",$B204)),"PROXY",IF(GETPIVOTDATA(IF($J204=1,"Count of ACTIVE     GHGE, FARM GATE (kg CO2e/kg)","Count of GHGE, processor gate (kg CO2e/kg)"),'Pivot Table_GHG'!$A$3,"SUB TYPE",$B204)=0,"PROXY","DB value"))</f>
        <v>DB value</v>
      </c>
      <c r="Q204" s="141">
        <f ca="1">IF($P204="PROXY",DCOUNT('literature entries'!$D:$AI,IF($J204=1,"ACTIVE     GHGE, FARM GATE (kg CO2e/kg)","GHGE, processor gate (kg CO2e/kg)"),INDIRECT($K204)),GETPIVOTDATA(IF($J204=1,"ACTIVE     GHGE, FARM GATE (kg CO2e/kg)","Count of GHGE, processor gate (kg CO2e/kg)"),'Pivot Table_GHG'!$A$3,"SUB TYPE",$B204))</f>
        <v>1</v>
      </c>
      <c r="R204" s="221">
        <f ca="1">IF($P204="PROXY",DAVERAGE('literature entries'!$D:$AI,IF($J204=1,"ACTIVE     GHGE, FARM GATE (kg CO2e/kg)","GHGE, processor gate (kg CO2e/kg)"),INDIRECT($K204)),GETPIVOTDATA(IF($J204=1,"Average of ACTIVE     GHGE, FARM GATE (kg CO2e/kg)","Average of GHGE, processor gate (kg CO2e/kg)"),'Pivot Table_GHG'!$A$3,"SUB TYPE",$B204))</f>
        <v>0.47</v>
      </c>
      <c r="S204" s="221" t="e">
        <f ca="1">IF($P204="PROXY",DSTDEV('literature entries'!$D:$AI,IF($J204=1,"ACTIVE     GHGE, FARM GATE (kg CO2e/kg)","GHGE, processor gate (kg CO2e/kg)"),INDIRECT($K204)),GETPIVOTDATA(IF($J204=1,"StdDev of ACTIVE     GHGE, FARM GATE (kg CO2e/kg)","StdDev of GHGE, processor gate (kg CO2e/kg)"),'Pivot Table_GHG'!$A$3,"SUB TYPE",$B204))</f>
        <v>#DIV/0!</v>
      </c>
      <c r="T204" s="101"/>
      <c r="U204" s="102"/>
      <c r="W204" s="248" t="str">
        <f ca="1">IF(L204="PROXY",IF(M204&gt;=5,K204,"need group"),IF(M204&gt;=5,"DIRECT","need group"))</f>
        <v>grains</v>
      </c>
      <c r="X204" s="246">
        <f ca="1">IF($W204="DIRECT",M204,DCOUNT('literature entries'!$D:$AI,IF($J204=1,"ACTIVE     CED, FARM GATE (MJ/kg)","CED, processor gate (MJ/kg)"),INDIRECT($W204)))</f>
        <v>31</v>
      </c>
      <c r="Y204" s="246">
        <f ca="1">IF($W204="DIRECT","",DAVERAGE('literature entries'!$D:$AI,IF($J204=1,"ACTIVE     CED, FARM GATE (MJ/kg)","CED, processor gate (MJ/kg)"),INDIRECT($W204)))</f>
        <v>2.5841213096774194</v>
      </c>
      <c r="Z204" s="246">
        <f ca="1">IF($W204="DIRECT",$O204,DSTDEV('literature entries'!$D:$AI,IF($J204=1,"ACTIVE     CED, FARM GATE (MJ/kg)","CED, processor gate (MJ/kg)"),INDIRECT($W204)))</f>
        <v>1.1854190703188778</v>
      </c>
      <c r="AA204" s="246">
        <f t="shared" ca="1" si="30"/>
        <v>1.1854190703188778</v>
      </c>
      <c r="AB204" s="254" t="s">
        <v>2702</v>
      </c>
      <c r="AC204" s="247">
        <f ca="1">IF($AB204="DIRECT",Q204,DCOUNT('literature entries'!$D:$AI,IF($J204=1,"ACTIVE     GHGE, FARM GATE (kg CO2e/kg)","GHGE, processor gate (kg CO2e/kg)"),INDIRECT($AB204)))</f>
        <v>45</v>
      </c>
      <c r="AD204" s="247">
        <f ca="1">IF($AB204="DIRECT","",DAVERAGE('literature entries'!$D:$AI,IF($J204=1,"ACTIVE     GHGE, FARM GATE (kg CO2e/kg)","GHGE, processor gate (kg CO2e/kg)"),INDIRECT($AB204)))</f>
        <v>0.39349345733333324</v>
      </c>
      <c r="AE204" s="247">
        <f ca="1">IF($AB204="DIRECT",$S204,DSTDEV('literature entries'!$D:$AI,IF($J204=1,"ACTIVE     GHGE, FARM GATE (kg CO2e/kg)","GHGE, processor gate (kg CO2e/kg)"),INDIRECT($AB204)))</f>
        <v>0.20361467618492471</v>
      </c>
      <c r="AF204" s="247">
        <f t="shared" ca="1" si="31"/>
        <v>0.24320327574302431</v>
      </c>
    </row>
    <row r="205" spans="1:32" s="21" customFormat="1" ht="17" thickBot="1" x14ac:dyDescent="0.25">
      <c r="A205" s="129">
        <v>1500231000</v>
      </c>
      <c r="B205" s="130" t="s">
        <v>2092</v>
      </c>
      <c r="C205" s="131" t="s">
        <v>1774</v>
      </c>
      <c r="D205" s="131"/>
      <c r="E205" s="131">
        <v>711</v>
      </c>
      <c r="F205" s="126">
        <f t="shared" ca="1" si="28"/>
        <v>4.6857999999999995</v>
      </c>
      <c r="G205" s="127">
        <f t="shared" ca="1" si="29"/>
        <v>0.49838499999999997</v>
      </c>
      <c r="H205" s="132">
        <v>1</v>
      </c>
      <c r="I205" s="133" t="s">
        <v>2724</v>
      </c>
      <c r="J205" s="91">
        <v>2</v>
      </c>
      <c r="K205" s="90" t="s">
        <v>3288</v>
      </c>
      <c r="L205" s="152" t="str">
        <f>IF(ISERROR(GETPIVOTDATA(IF($J205=1,"Count of ACTIVE     CED, FARM GATE (MJ/kg)","Count of CED, processor gate (MJ/kg)"),'Pivot Table_CED'!$A$3,"SUB TYPE",$B205)),"PROXY",IF(GETPIVOTDATA(IF($J205=1,"Count of ACTIVE     CED, FARM GATE (MJ/kg)","Count of CED, processor gate (MJ/kg)"),'Pivot Table_CED'!$A$3,"SUB TYPE",$B205)=0,"PROXY","DB value"))</f>
        <v>PROXY</v>
      </c>
      <c r="M205" s="134">
        <f ca="1">IF($L205="PROXY",DCOUNT('literature entries'!$D:$AI,IF($J205=1,"ACTIVE     CED, FARM GATE (MJ/kg)","CED, processor gate (MJ/kg)"),INDIRECT($K205)),GETPIVOTDATA(IF($J205=1,"Count of ACTIVE     CED, FARM GATE (MJ/kg)","Count of CED, processor gate (MJ/kg)"),'Pivot Table_CED'!$A$3,"SUB TYPE",$B205))</f>
        <v>2</v>
      </c>
      <c r="N205" s="135">
        <f ca="1">IF($L205="PROXY",DAVERAGE('literature entries'!$D:$AI,IF($J205=1,"ACTIVE     CED, FARM GATE (MJ/kg)","CED, processor gate (MJ/kg)"),INDIRECT($K205)),GETPIVOTDATA(IF($J205=1,"Average of ACTIVE     CED, FARM GATE (MJ/kg)","Average of CED, processor gate (MJ/kg)"),'Pivot Table_CED'!$A$3,"SUB TYPE",$B205))</f>
        <v>4.6857999999999995</v>
      </c>
      <c r="O205" s="135">
        <f ca="1">IF($L205="PROXY",DSTDEV('literature entries'!D:AI,IF($J205=1,"ACTIVE     CED, FARM GATE (MJ/kg)","CED, processor gate (MJ/kg)"),INDIRECT($K205)),GETPIVOTDATA(IF($J205=1,"StdDev of ACTIVE     CED, FARM GATE (MJ/kg)","StdDev of CED, processor gate (MJ/kg)"),'Pivot Table_CED'!$A$3,"SUB TYPE",$B205))</f>
        <v>0.231223917448001</v>
      </c>
      <c r="P205" s="152" t="str">
        <f>IF(ISERROR(GETPIVOTDATA(IF($J205=1,"Count of ACTIVE     GHGE, FARM GATE (kg CO2e/kg)","Count of GHGE, processor gate (kg CO2e/kg)"),'Pivot Table_GHG'!$A$3,"SUB TYPE",$B205)),"PROXY",IF(GETPIVOTDATA(IF($J205=1,"Count of ACTIVE     GHGE, FARM GATE (kg CO2e/kg)","Count of GHGE, processor gate (kg CO2e/kg)"),'Pivot Table_GHG'!$A$3,"SUB TYPE",$B205)=0,"PROXY","DB value"))</f>
        <v>PROXY</v>
      </c>
      <c r="Q205" s="141">
        <f ca="1">IF($P205="PROXY",DCOUNT('literature entries'!$D:$AI,IF($J205=1,"ACTIVE     GHGE, FARM GATE (kg CO2e/kg)","GHGE, processor gate (kg CO2e/kg)"),INDIRECT($K205)),GETPIVOTDATA(IF($J205=1,"ACTIVE     GHGE, FARM GATE (kg CO2e/kg)","Count of GHGE, processor gate (kg CO2e/kg)"),'Pivot Table_GHG'!$A$3,"SUB TYPE",$B205))</f>
        <v>2</v>
      </c>
      <c r="R205" s="221">
        <f ca="1">IF($P205="PROXY",DAVERAGE('literature entries'!$D:$AI,IF($J205=1,"ACTIVE     GHGE, FARM GATE (kg CO2e/kg)","GHGE, processor gate (kg CO2e/kg)"),INDIRECT($K205)),GETPIVOTDATA(IF($J205=1,"Average of ACTIVE     GHGE, FARM GATE (kg CO2e/kg)","Average of GHGE, processor gate (kg CO2e/kg)"),'Pivot Table_GHG'!$A$3,"SUB TYPE",$B205))</f>
        <v>0.49838499999999997</v>
      </c>
      <c r="S205" s="221">
        <f ca="1">IF($P205="PROXY",DSTDEV('literature entries'!$D:$AI,IF($J205=1,"ACTIVE     GHGE, FARM GATE (kg CO2e/kg)","GHGE, processor gate (kg CO2e/kg)"),INDIRECT($K205)),GETPIVOTDATA(IF($J205=1,"StdDev of ACTIVE     GHGE, FARM GATE (kg CO2e/kg)","StdDev of GHGE, processor gate (kg CO2e/kg)"),'Pivot Table_GHG'!$A$3,"SUB TYPE",$B205))</f>
        <v>3.5885669145217299E-2</v>
      </c>
      <c r="T205" s="101"/>
      <c r="U205" s="102"/>
      <c r="W205" s="248" t="s">
        <v>3358</v>
      </c>
      <c r="X205" s="246">
        <f ca="1">IF($W205="DIRECT",M205,DCOUNT('literature entries'!$D:$AI,IF($J205=1,"ACTIVE     CED, FARM GATE (MJ/kg)","CED, processor gate (MJ/kg)"),INDIRECT($W205)))</f>
        <v>9</v>
      </c>
      <c r="Y205" s="246">
        <f ca="1">IF($W205="DIRECT","",DAVERAGE('literature entries'!$D:$AI,IF($J205=1,"ACTIVE     CED, FARM GATE (MJ/kg)","CED, processor gate (MJ/kg)"),INDIRECT($W205)))</f>
        <v>3.7933851999999999</v>
      </c>
      <c r="Z205" s="246">
        <f ca="1">IF($W205="DIRECT",$O205,DSTDEV('literature entries'!$D:$AI,IF($J205=1,"ACTIVE     CED, FARM GATE (MJ/kg)","CED, processor gate (MJ/kg)"),INDIRECT($W205)))</f>
        <v>1.2312612173276687</v>
      </c>
      <c r="AA205" s="246">
        <f t="shared" ca="1" si="30"/>
        <v>1.520922212738635</v>
      </c>
      <c r="AB205" s="254" t="s">
        <v>3358</v>
      </c>
      <c r="AC205" s="247">
        <f ca="1">IF($AB205="DIRECT",Q205,DCOUNT('literature entries'!$D:$AI,IF($J205=1,"ACTIVE     GHGE, FARM GATE (kg CO2e/kg)","GHGE, processor gate (kg CO2e/kg)"),INDIRECT($AB205)))</f>
        <v>9</v>
      </c>
      <c r="AD205" s="247">
        <f ca="1">IF($AB205="DIRECT","",DAVERAGE('literature entries'!$D:$AI,IF($J205=1,"ACTIVE     GHGE, FARM GATE (kg CO2e/kg)","GHGE, processor gate (kg CO2e/kg)"),INDIRECT($AB205)))</f>
        <v>0.43042331</v>
      </c>
      <c r="AE205" s="247">
        <f ca="1">IF($AB205="DIRECT",$S205,DSTDEV('literature entries'!$D:$AI,IF($J205=1,"ACTIVE     GHGE, FARM GATE (kg CO2e/kg)","GHGE, processor gate (kg CO2e/kg)"),INDIRECT($AB205)))</f>
        <v>7.2682317360146784E-2</v>
      </c>
      <c r="AF205" s="247">
        <f t="shared" ca="1" si="31"/>
        <v>8.4158492107541186E-2</v>
      </c>
    </row>
    <row r="206" spans="1:32" s="21" customFormat="1" ht="17" thickBot="1" x14ac:dyDescent="0.25">
      <c r="A206" s="143">
        <v>1500232000</v>
      </c>
      <c r="B206" s="130" t="s">
        <v>2093</v>
      </c>
      <c r="C206" s="131" t="s">
        <v>1754</v>
      </c>
      <c r="D206" s="131"/>
      <c r="E206" s="131">
        <v>1147</v>
      </c>
      <c r="F206" s="126">
        <f t="shared" ca="1" si="28"/>
        <v>4.6857999999999995</v>
      </c>
      <c r="G206" s="127">
        <f t="shared" ca="1" si="29"/>
        <v>0.49838499999999997</v>
      </c>
      <c r="H206" s="132">
        <v>1</v>
      </c>
      <c r="I206" s="133" t="s">
        <v>2724</v>
      </c>
      <c r="J206" s="91">
        <v>2</v>
      </c>
      <c r="K206" s="90"/>
      <c r="L206" s="152" t="str">
        <f>IF(ISERROR(GETPIVOTDATA(IF($J206=1,"Count of ACTIVE     CED, FARM GATE (MJ/kg)","Count of CED, processor gate (MJ/kg)"),'Pivot Table_CED'!$A$3,"SUB TYPE",$B206)),"PROXY",IF(GETPIVOTDATA(IF($J206=1,"Count of ACTIVE     CED, FARM GATE (MJ/kg)","Count of CED, processor gate (MJ/kg)"),'Pivot Table_CED'!$A$3,"SUB TYPE",$B206)=0,"PROXY","DB value"))</f>
        <v>DB value</v>
      </c>
      <c r="M206" s="134">
        <f ca="1">IF($L206="PROXY",DCOUNT('literature entries'!$D:$AI,IF($J206=1,"ACTIVE     CED, FARM GATE (MJ/kg)","CED, processor gate (MJ/kg)"),INDIRECT($K206)),GETPIVOTDATA(IF($J206=1,"Count of ACTIVE     CED, FARM GATE (MJ/kg)","Count of CED, processor gate (MJ/kg)"),'Pivot Table_CED'!$A$3,"SUB TYPE",$B206))</f>
        <v>2</v>
      </c>
      <c r="N206" s="135">
        <f ca="1">IF($L206="PROXY",DAVERAGE('literature entries'!$D:$AI,IF($J206=1,"ACTIVE     CED, FARM GATE (MJ/kg)","CED, processor gate (MJ/kg)"),INDIRECT($K206)),GETPIVOTDATA(IF($J206=1,"Average of ACTIVE     CED, FARM GATE (MJ/kg)","Average of CED, processor gate (MJ/kg)"),'Pivot Table_CED'!$A$3,"SUB TYPE",$B206))</f>
        <v>4.6857999999999995</v>
      </c>
      <c r="O206" s="135">
        <f ca="1">IF($L206="PROXY",DSTDEV('literature entries'!D:AI,IF($J206=1,"ACTIVE     CED, FARM GATE (MJ/kg)","CED, processor gate (MJ/kg)"),INDIRECT($K206)),GETPIVOTDATA(IF($J206=1,"StdDev of ACTIVE     CED, FARM GATE (MJ/kg)","StdDev of CED, processor gate (MJ/kg)"),'Pivot Table_CED'!$A$3,"SUB TYPE",$B206))</f>
        <v>0.23122391744800974</v>
      </c>
      <c r="P206" s="152" t="str">
        <f>IF(ISERROR(GETPIVOTDATA(IF($J206=1,"Count of ACTIVE     GHGE, FARM GATE (kg CO2e/kg)","Count of GHGE, processor gate (kg CO2e/kg)"),'Pivot Table_GHG'!$A$3,"SUB TYPE",$B206)),"PROXY",IF(GETPIVOTDATA(IF($J206=1,"Count of ACTIVE     GHGE, FARM GATE (kg CO2e/kg)","Count of GHGE, processor gate (kg CO2e/kg)"),'Pivot Table_GHG'!$A$3,"SUB TYPE",$B206)=0,"PROXY","DB value"))</f>
        <v>DB value</v>
      </c>
      <c r="Q206" s="141">
        <f ca="1">IF($P206="PROXY",DCOUNT('literature entries'!$D:$AI,IF($J206=1,"ACTIVE     GHGE, FARM GATE (kg CO2e/kg)","GHGE, processor gate (kg CO2e/kg)"),INDIRECT($K206)),GETPIVOTDATA(IF($J206=1,"ACTIVE     GHGE, FARM GATE (kg CO2e/kg)","Count of GHGE, processor gate (kg CO2e/kg)"),'Pivot Table_GHG'!$A$3,"SUB TYPE",$B206))</f>
        <v>2</v>
      </c>
      <c r="R206" s="221">
        <f ca="1">IF($P206="PROXY",DAVERAGE('literature entries'!$D:$AI,IF($J206=1,"ACTIVE     GHGE, FARM GATE (kg CO2e/kg)","GHGE, processor gate (kg CO2e/kg)"),INDIRECT($K206)),GETPIVOTDATA(IF($J206=1,"Average of ACTIVE     GHGE, FARM GATE (kg CO2e/kg)","Average of GHGE, processor gate (kg CO2e/kg)"),'Pivot Table_GHG'!$A$3,"SUB TYPE",$B206))</f>
        <v>0.49838499999999997</v>
      </c>
      <c r="S206" s="221">
        <f ca="1">IF($P206="PROXY",DSTDEV('literature entries'!$D:$AI,IF($J206=1,"ACTIVE     GHGE, FARM GATE (kg CO2e/kg)","GHGE, processor gate (kg CO2e/kg)"),INDIRECT($K206)),GETPIVOTDATA(IF($J206=1,"StdDev of ACTIVE     GHGE, FARM GATE (kg CO2e/kg)","StdDev of GHGE, processor gate (kg CO2e/kg)"),'Pivot Table_GHG'!$A$3,"SUB TYPE",$B206))</f>
        <v>3.588566914521818E-2</v>
      </c>
      <c r="T206" s="101"/>
      <c r="U206" s="102"/>
      <c r="W206" s="248" t="s">
        <v>3358</v>
      </c>
      <c r="X206" s="246">
        <f ca="1">IF($W206="DIRECT",M206,DCOUNT('literature entries'!$D:$AI,IF($J206=1,"ACTIVE     CED, FARM GATE (MJ/kg)","CED, processor gate (MJ/kg)"),INDIRECT($W206)))</f>
        <v>9</v>
      </c>
      <c r="Y206" s="246">
        <f ca="1">IF($W206="DIRECT","",DAVERAGE('literature entries'!$D:$AI,IF($J206=1,"ACTIVE     CED, FARM GATE (MJ/kg)","CED, processor gate (MJ/kg)"),INDIRECT($W206)))</f>
        <v>3.7933851999999999</v>
      </c>
      <c r="Z206" s="246">
        <f ca="1">IF($W206="DIRECT",$O206,DSTDEV('literature entries'!$D:$AI,IF($J206=1,"ACTIVE     CED, FARM GATE (MJ/kg)","CED, processor gate (MJ/kg)"),INDIRECT($W206)))</f>
        <v>1.2312612173276687</v>
      </c>
      <c r="AA206" s="246">
        <f t="shared" ca="1" si="30"/>
        <v>1.520922212738635</v>
      </c>
      <c r="AB206" s="254" t="s">
        <v>3358</v>
      </c>
      <c r="AC206" s="247">
        <f ca="1">IF($AB206="DIRECT",Q206,DCOUNT('literature entries'!$D:$AI,IF($J206=1,"ACTIVE     GHGE, FARM GATE (kg CO2e/kg)","GHGE, processor gate (kg CO2e/kg)"),INDIRECT($AB206)))</f>
        <v>9</v>
      </c>
      <c r="AD206" s="247">
        <f ca="1">IF($AB206="DIRECT","",DAVERAGE('literature entries'!$D:$AI,IF($J206=1,"ACTIVE     GHGE, FARM GATE (kg CO2e/kg)","GHGE, processor gate (kg CO2e/kg)"),INDIRECT($AB206)))</f>
        <v>0.43042331</v>
      </c>
      <c r="AE206" s="247">
        <f ca="1">IF($AB206="DIRECT",$S206,DSTDEV('literature entries'!$D:$AI,IF($J206=1,"ACTIVE     GHGE, FARM GATE (kg CO2e/kg)","GHGE, processor gate (kg CO2e/kg)"),INDIRECT($AB206)))</f>
        <v>7.2682317360146784E-2</v>
      </c>
      <c r="AF206" s="247">
        <f t="shared" ca="1" si="31"/>
        <v>8.4158492107541186E-2</v>
      </c>
    </row>
    <row r="207" spans="1:32" s="21" customFormat="1" ht="17" thickBot="1" x14ac:dyDescent="0.25">
      <c r="A207" s="129">
        <v>1500233000</v>
      </c>
      <c r="B207" s="130" t="s">
        <v>2094</v>
      </c>
      <c r="C207" s="131" t="s">
        <v>2095</v>
      </c>
      <c r="D207" s="131"/>
      <c r="E207" s="131">
        <v>13263</v>
      </c>
      <c r="F207" s="126">
        <f t="shared" ca="1" si="28"/>
        <v>2.7705333333333328</v>
      </c>
      <c r="G207" s="127">
        <f t="shared" ca="1" si="29"/>
        <v>0.47382249999999998</v>
      </c>
      <c r="H207" s="132">
        <v>1</v>
      </c>
      <c r="I207" s="133" t="s">
        <v>628</v>
      </c>
      <c r="J207" s="91">
        <v>1</v>
      </c>
      <c r="K207" s="90"/>
      <c r="L207" s="152" t="str">
        <f>IF(ISERROR(GETPIVOTDATA(IF($J207=1,"Count of ACTIVE     CED, FARM GATE (MJ/kg)","Count of CED, processor gate (MJ/kg)"),'Pivot Table_CED'!$A$3,"SUB TYPE",$B207)),"PROXY",IF(GETPIVOTDATA(IF($J207=1,"Count of ACTIVE     CED, FARM GATE (MJ/kg)","Count of CED, processor gate (MJ/kg)"),'Pivot Table_CED'!$A$3,"SUB TYPE",$B207)=0,"PROXY","DB value"))</f>
        <v>DB value</v>
      </c>
      <c r="M207" s="134">
        <f ca="1">IF($L207="PROXY",DCOUNT('literature entries'!$D:$AI,IF($J207=1,"ACTIVE     CED, FARM GATE (MJ/kg)","CED, processor gate (MJ/kg)"),INDIRECT($K207)),GETPIVOTDATA(IF($J207=1,"Count of ACTIVE     CED, FARM GATE (MJ/kg)","Count of CED, processor gate (MJ/kg)"),'Pivot Table_CED'!$A$3,"SUB TYPE",$B207))</f>
        <v>3</v>
      </c>
      <c r="N207" s="135">
        <f ca="1">IF($L207="PROXY",DAVERAGE('literature entries'!$D:$AI,IF($J207=1,"ACTIVE     CED, FARM GATE (MJ/kg)","CED, processor gate (MJ/kg)"),INDIRECT($K207)),GETPIVOTDATA(IF($J207=1,"Average of ACTIVE     CED, FARM GATE (MJ/kg)","Average of CED, processor gate (MJ/kg)"),'Pivot Table_CED'!$A$3,"SUB TYPE",$B207))</f>
        <v>2.7705333333333328</v>
      </c>
      <c r="O207" s="135">
        <f ca="1">IF($L207="PROXY",DSTDEV('literature entries'!D:AI,IF($J207=1,"ACTIVE     CED, FARM GATE (MJ/kg)","CED, processor gate (MJ/kg)"),INDIRECT($K207)),GETPIVOTDATA(IF($J207=1,"StdDev of ACTIVE     CED, FARM GATE (MJ/kg)","StdDev of CED, processor gate (MJ/kg)"),'Pivot Table_CED'!$A$3,"SUB TYPE",$B207))</f>
        <v>0.19825101092638764</v>
      </c>
      <c r="P207" s="152" t="str">
        <f>IF(ISERROR(GETPIVOTDATA(IF($J207=1,"Count of ACTIVE     GHGE, FARM GATE (kg CO2e/kg)","Count of GHGE, processor gate (kg CO2e/kg)"),'Pivot Table_GHG'!$A$3,"SUB TYPE",$B207)),"PROXY",IF(GETPIVOTDATA(IF($J207=1,"Count of ACTIVE     GHGE, FARM GATE (kg CO2e/kg)","Count of GHGE, processor gate (kg CO2e/kg)"),'Pivot Table_GHG'!$A$3,"SUB TYPE",$B207)=0,"PROXY","DB value"))</f>
        <v>DB value</v>
      </c>
      <c r="Q207" s="141">
        <f ca="1">IF($P207="PROXY",DCOUNT('literature entries'!$D:$AI,IF($J207=1,"ACTIVE     GHGE, FARM GATE (kg CO2e/kg)","GHGE, processor gate (kg CO2e/kg)"),INDIRECT($K207)),GETPIVOTDATA(IF($J207=1,"ACTIVE     GHGE, FARM GATE (kg CO2e/kg)","Count of GHGE, processor gate (kg CO2e/kg)"),'Pivot Table_GHG'!$A$3,"SUB TYPE",$B207))</f>
        <v>4</v>
      </c>
      <c r="R207" s="221">
        <f ca="1">IF($P207="PROXY",DAVERAGE('literature entries'!$D:$AI,IF($J207=1,"ACTIVE     GHGE, FARM GATE (kg CO2e/kg)","GHGE, processor gate (kg CO2e/kg)"),INDIRECT($K207)),GETPIVOTDATA(IF($J207=1,"Average of ACTIVE     GHGE, FARM GATE (kg CO2e/kg)","Average of GHGE, processor gate (kg CO2e/kg)"),'Pivot Table_GHG'!$A$3,"SUB TYPE",$B207))</f>
        <v>0.47382249999999998</v>
      </c>
      <c r="S207" s="221">
        <f ca="1">IF($P207="PROXY",DSTDEV('literature entries'!$D:$AI,IF($J207=1,"ACTIVE     GHGE, FARM GATE (kg CO2e/kg)","GHGE, processor gate (kg CO2e/kg)"),INDIRECT($K207)),GETPIVOTDATA(IF($J207=1,"StdDev of ACTIVE     GHGE, FARM GATE (kg CO2e/kg)","StdDev of GHGE, processor gate (kg CO2e/kg)"),'Pivot Table_GHG'!$A$3,"SUB TYPE",$B207))</f>
        <v>0.125787230505856</v>
      </c>
      <c r="T207" s="101"/>
      <c r="U207" s="102"/>
      <c r="W207" s="248" t="s">
        <v>2702</v>
      </c>
      <c r="X207" s="246">
        <f ca="1">IF($W207="DIRECT",M207,DCOUNT('literature entries'!$D:$AI,IF($J207=1,"ACTIVE     CED, FARM GATE (MJ/kg)","CED, processor gate (MJ/kg)"),INDIRECT($W207)))</f>
        <v>31</v>
      </c>
      <c r="Y207" s="246">
        <f ca="1">IF($W207="DIRECT","",DAVERAGE('literature entries'!$D:$AI,IF($J207=1,"ACTIVE     CED, FARM GATE (MJ/kg)","CED, processor gate (MJ/kg)"),INDIRECT($W207)))</f>
        <v>2.5841213096774194</v>
      </c>
      <c r="Z207" s="246">
        <f ca="1">IF($W207="DIRECT",$O207,DSTDEV('literature entries'!$D:$AI,IF($J207=1,"ACTIVE     CED, FARM GATE (MJ/kg)","CED, processor gate (MJ/kg)"),INDIRECT($W207)))</f>
        <v>1.1854190703188778</v>
      </c>
      <c r="AA207" s="246">
        <f t="shared" ca="1" si="30"/>
        <v>1.2709322259710165</v>
      </c>
      <c r="AB207" s="254" t="s">
        <v>2702</v>
      </c>
      <c r="AC207" s="247">
        <f ca="1">IF($AB207="DIRECT",Q207,DCOUNT('literature entries'!$D:$AI,IF($J207=1,"ACTIVE     GHGE, FARM GATE (kg CO2e/kg)","GHGE, processor gate (kg CO2e/kg)"),INDIRECT($AB207)))</f>
        <v>45</v>
      </c>
      <c r="AD207" s="247">
        <f ca="1">IF($AB207="DIRECT","",DAVERAGE('literature entries'!$D:$AI,IF($J207=1,"ACTIVE     GHGE, FARM GATE (kg CO2e/kg)","GHGE, processor gate (kg CO2e/kg)"),INDIRECT($AB207)))</f>
        <v>0.39349345733333324</v>
      </c>
      <c r="AE207" s="247">
        <f ca="1">IF($AB207="DIRECT",$S207,DSTDEV('literature entries'!$D:$AI,IF($J207=1,"ACTIVE     GHGE, FARM GATE (kg CO2e/kg)","GHGE, processor gate (kg CO2e/kg)"),INDIRECT($AB207)))</f>
        <v>0.20361467618492471</v>
      </c>
      <c r="AF207" s="247">
        <f t="shared" ca="1" si="31"/>
        <v>0.24518124281010456</v>
      </c>
    </row>
    <row r="208" spans="1:32" s="21" customFormat="1" ht="17" thickBot="1" x14ac:dyDescent="0.25">
      <c r="A208" s="129">
        <v>1500323000</v>
      </c>
      <c r="B208" s="130" t="s">
        <v>2239</v>
      </c>
      <c r="C208" s="131" t="s">
        <v>2084</v>
      </c>
      <c r="D208" s="131"/>
      <c r="E208" s="131">
        <v>15650</v>
      </c>
      <c r="F208" s="126">
        <f t="shared" ca="1" si="28"/>
        <v>5.8391599999999997</v>
      </c>
      <c r="G208" s="127">
        <f t="shared" ca="1" si="29"/>
        <v>1.540643545130288</v>
      </c>
      <c r="H208" s="132">
        <v>1</v>
      </c>
      <c r="I208" s="133" t="s">
        <v>594</v>
      </c>
      <c r="J208" s="91">
        <v>2</v>
      </c>
      <c r="K208" s="90"/>
      <c r="L208" s="152" t="str">
        <f>IF(ISERROR(GETPIVOTDATA(IF($J208=1,"Count of ACTIVE     CED, FARM GATE (MJ/kg)","Count of CED, processor gate (MJ/kg)"),'Pivot Table_CED'!$A$3,"SUB TYPE",$B208)),"PROXY",IF(GETPIVOTDATA(IF($J208=1,"Count of ACTIVE     CED, FARM GATE (MJ/kg)","Count of CED, processor gate (MJ/kg)"),'Pivot Table_CED'!$A$3,"SUB TYPE",$B208)=0,"PROXY","DB value"))</f>
        <v>DB value</v>
      </c>
      <c r="M208" s="134">
        <f ca="1">IF($L208="PROXY",DCOUNT('literature entries'!$D:$AI,IF($J208=1,"ACTIVE     CED, FARM GATE (MJ/kg)","CED, processor gate (MJ/kg)"),INDIRECT($K208)),GETPIVOTDATA(IF($J208=1,"Count of ACTIVE     CED, FARM GATE (MJ/kg)","Count of CED, processor gate (MJ/kg)"),'Pivot Table_CED'!$A$3,"SUB TYPE",$B208))</f>
        <v>3</v>
      </c>
      <c r="N208" s="135">
        <f ca="1">IF($L208="PROXY",DAVERAGE('literature entries'!$D:$AI,IF($J208=1,"ACTIVE     CED, FARM GATE (MJ/kg)","CED, processor gate (MJ/kg)"),INDIRECT($K208)),GETPIVOTDATA(IF($J208=1,"Average of ACTIVE     CED, FARM GATE (MJ/kg)","Average of CED, processor gate (MJ/kg)"),'Pivot Table_CED'!$A$3,"SUB TYPE",$B208))</f>
        <v>5.8391599999999997</v>
      </c>
      <c r="O208" s="135">
        <f ca="1">IF($L208="PROXY",DSTDEV('literature entries'!D:AI,IF($J208=1,"ACTIVE     CED, FARM GATE (MJ/kg)","CED, processor gate (MJ/kg)"),INDIRECT($K208)),GETPIVOTDATA(IF($J208=1,"StdDev of ACTIVE     CED, FARM GATE (MJ/kg)","StdDev of CED, processor gate (MJ/kg)"),'Pivot Table_CED'!$A$3,"SUB TYPE",$B208))</f>
        <v>3.4472162756055815</v>
      </c>
      <c r="P208" s="152" t="str">
        <f>IF(ISERROR(GETPIVOTDATA(IF($J208=1,"Count of ACTIVE     GHGE, FARM GATE (kg CO2e/kg)","Count of GHGE, processor gate (kg CO2e/kg)"),'Pivot Table_GHG'!$A$3,"SUB TYPE",$B208)),"PROXY",IF(GETPIVOTDATA(IF($J208=1,"Count of ACTIVE     GHGE, FARM GATE (kg CO2e/kg)","Count of GHGE, processor gate (kg CO2e/kg)"),'Pivot Table_GHG'!$A$3,"SUB TYPE",$B208)=0,"PROXY","DB value"))</f>
        <v>DB value</v>
      </c>
      <c r="Q208" s="141">
        <f ca="1">IF($P208="PROXY",DCOUNT('literature entries'!$D:$AI,IF($J208=1,"ACTIVE     GHGE, FARM GATE (kg CO2e/kg)","GHGE, processor gate (kg CO2e/kg)"),INDIRECT($K208)),GETPIVOTDATA(IF($J208=1,"ACTIVE     GHGE, FARM GATE (kg CO2e/kg)","Count of GHGE, processor gate (kg CO2e/kg)"),'Pivot Table_GHG'!$A$3,"SUB TYPE",$B208))</f>
        <v>8</v>
      </c>
      <c r="R208" s="221">
        <f ca="1">IF($P208="PROXY",DAVERAGE('literature entries'!$D:$AI,IF($J208=1,"ACTIVE     GHGE, FARM GATE (kg CO2e/kg)","GHGE, processor gate (kg CO2e/kg)"),INDIRECT($K208)),GETPIVOTDATA(IF($J208=1,"Average of ACTIVE     GHGE, FARM GATE (kg CO2e/kg)","Average of GHGE, processor gate (kg CO2e/kg)"),'Pivot Table_GHG'!$A$3,"SUB TYPE",$B208))</f>
        <v>1.540643545130288</v>
      </c>
      <c r="S208" s="221">
        <f ca="1">IF($P208="PROXY",DSTDEV('literature entries'!$D:$AI,IF($J208=1,"ACTIVE     GHGE, FARM GATE (kg CO2e/kg)","GHGE, processor gate (kg CO2e/kg)"),INDIRECT($K208)),GETPIVOTDATA(IF($J208=1,"StdDev of ACTIVE     GHGE, FARM GATE (kg CO2e/kg)","StdDev of GHGE, processor gate (kg CO2e/kg)"),'Pivot Table_GHG'!$A$3,"SUB TYPE",$B208))</f>
        <v>1.6219269893594999</v>
      </c>
      <c r="T208" s="101"/>
      <c r="U208" s="102"/>
      <c r="W208" s="258" t="s">
        <v>2702</v>
      </c>
      <c r="X208" s="246">
        <f ca="1">IF($W208="DIRECT",M208,DCOUNT('literature entries'!$D:$AI,"ACTIVE     CED, FARM GATE (MJ/kg)",INDIRECT($W208)))</f>
        <v>31</v>
      </c>
      <c r="Y208" s="246">
        <f ca="1">IF($W208="DIRECT","",DAVERAGE('literature entries'!$D:$AI,"ACTIVE     CED, FARM GATE (MJ/kg)",INDIRECT($W208)))</f>
        <v>2.5841213096774194</v>
      </c>
      <c r="Z208" s="246">
        <f ca="1">IF($W208="DIRECT",$O208,DSTDEV('literature entries'!$D:$AI,"ACTIVE     CED, FARM GATE (MJ/kg)",INDIRECT($W208)))</f>
        <v>1.1854190703188778</v>
      </c>
      <c r="AA208" s="246">
        <f t="shared" ca="1" si="30"/>
        <v>2.6786093952792203</v>
      </c>
      <c r="AB208" s="254" t="str">
        <f ca="1">IF(P208="PROXY",IF(Q208&gt;=5,K208,"need group"),IF(Q208&gt;=5,"DIRECT","need group"))</f>
        <v>DIRECT</v>
      </c>
      <c r="AC208" s="247">
        <f ca="1">IF($AB208="DIRECT",Q208,DCOUNT('literature entries'!$D:$AI,IF($J208=1,"ACTIVE     GHGE, FARM GATE (kg CO2e/kg)","GHGE, processor gate (kg CO2e/kg)"),INDIRECT($AB208)))</f>
        <v>8</v>
      </c>
      <c r="AD208" s="247" t="str">
        <f ca="1">IF($AB208="DIRECT","",DAVERAGE('literature entries'!$D:$AI,IF($J208=1,"ACTIVE     GHGE, FARM GATE (kg CO2e/kg)","GHGE, processor gate (kg CO2e/kg)"),INDIRECT($AB208)))</f>
        <v/>
      </c>
      <c r="AE208" s="247">
        <f ca="1">IF($AB208="DIRECT",$S208,DSTDEV('literature entries'!$D:$AI,IF($J208=1,"ACTIVE     GHGE, FARM GATE (kg CO2e/kg)","GHGE, processor gate (kg CO2e/kg)"),INDIRECT($AB208)))</f>
        <v>1.6219269893594999</v>
      </c>
      <c r="AF208" s="247">
        <f t="shared" ca="1" si="31"/>
        <v>1.6219269893594999</v>
      </c>
    </row>
    <row r="209" spans="1:32" s="21" customFormat="1" ht="17" thickBot="1" x14ac:dyDescent="0.25">
      <c r="A209" s="129">
        <v>1500324000</v>
      </c>
      <c r="B209" s="130" t="s">
        <v>2236</v>
      </c>
      <c r="C209" s="131" t="s">
        <v>2237</v>
      </c>
      <c r="D209" s="131"/>
      <c r="E209" s="131">
        <v>1983</v>
      </c>
      <c r="F209" s="126">
        <f t="shared" ca="1" si="28"/>
        <v>6.6866666666666665</v>
      </c>
      <c r="G209" s="127">
        <f t="shared" ca="1" si="29"/>
        <v>2.0609339082246336</v>
      </c>
      <c r="H209" s="132">
        <v>1</v>
      </c>
      <c r="I209" s="133" t="s">
        <v>594</v>
      </c>
      <c r="J209" s="91">
        <v>1</v>
      </c>
      <c r="K209" s="90"/>
      <c r="L209" s="152" t="str">
        <f>IF(ISERROR(GETPIVOTDATA(IF($J209=1,"Count of ACTIVE     CED, FARM GATE (MJ/kg)","Count of CED, processor gate (MJ/kg)"),'Pivot Table_CED'!$A$3,"SUB TYPE",$B209)),"PROXY",IF(GETPIVOTDATA(IF($J209=1,"Count of ACTIVE     CED, FARM GATE (MJ/kg)","Count of CED, processor gate (MJ/kg)"),'Pivot Table_CED'!$A$3,"SUB TYPE",$B209)=0,"PROXY","DB value"))</f>
        <v>DB value</v>
      </c>
      <c r="M209" s="134">
        <f ca="1">IF($L209="PROXY",DCOUNT('literature entries'!$D:$AI,IF($J209=1,"ACTIVE     CED, FARM GATE (MJ/kg)","CED, processor gate (MJ/kg)"),INDIRECT($K209)),GETPIVOTDATA(IF($J209=1,"Count of ACTIVE     CED, FARM GATE (MJ/kg)","Count of CED, processor gate (MJ/kg)"),'Pivot Table_CED'!$A$3,"SUB TYPE",$B209))</f>
        <v>6</v>
      </c>
      <c r="N209" s="135">
        <f ca="1">IF($L209="PROXY",DAVERAGE('literature entries'!$D:$AI,IF($J209=1,"ACTIVE     CED, FARM GATE (MJ/kg)","CED, processor gate (MJ/kg)"),INDIRECT($K209)),GETPIVOTDATA(IF($J209=1,"Average of ACTIVE     CED, FARM GATE (MJ/kg)","Average of CED, processor gate (MJ/kg)"),'Pivot Table_CED'!$A$3,"SUB TYPE",$B209))</f>
        <v>6.6866666666666665</v>
      </c>
      <c r="O209" s="135">
        <f ca="1">IF($L209="PROXY",DSTDEV('literature entries'!D:AI,IF($J209=1,"ACTIVE     CED, FARM GATE (MJ/kg)","CED, processor gate (MJ/kg)"),INDIRECT($K209)),GETPIVOTDATA(IF($J209=1,"StdDev of ACTIVE     CED, FARM GATE (MJ/kg)","StdDev of CED, processor gate (MJ/kg)"),'Pivot Table_CED'!$A$3,"SUB TYPE",$B209))</f>
        <v>1.7820175831530605</v>
      </c>
      <c r="P209" s="152" t="str">
        <f>IF(ISERROR(GETPIVOTDATA(IF($J209=1,"Count of ACTIVE     GHGE, FARM GATE (kg CO2e/kg)","Count of GHGE, processor gate (kg CO2e/kg)"),'Pivot Table_GHG'!$A$3,"SUB TYPE",$B209)),"PROXY",IF(GETPIVOTDATA(IF($J209=1,"Count of ACTIVE     GHGE, FARM GATE (kg CO2e/kg)","Count of GHGE, processor gate (kg CO2e/kg)"),'Pivot Table_GHG'!$A$3,"SUB TYPE",$B209)=0,"PROXY","DB value"))</f>
        <v>DB value</v>
      </c>
      <c r="Q209" s="141">
        <f ca="1">IF($P209="PROXY",DCOUNT('literature entries'!$D:$AI,IF($J209=1,"ACTIVE     GHGE, FARM GATE (kg CO2e/kg)","GHGE, processor gate (kg CO2e/kg)"),INDIRECT($K209)),GETPIVOTDATA(IF($J209=1,"ACTIVE     GHGE, FARM GATE (kg CO2e/kg)","Count of GHGE, processor gate (kg CO2e/kg)"),'Pivot Table_GHG'!$A$3,"SUB TYPE",$B209))</f>
        <v>12</v>
      </c>
      <c r="R209" s="221">
        <f ca="1">IF($P209="PROXY",DAVERAGE('literature entries'!$D:$AI,IF($J209=1,"ACTIVE     GHGE, FARM GATE (kg CO2e/kg)","GHGE, processor gate (kg CO2e/kg)"),INDIRECT($K209)),GETPIVOTDATA(IF($J209=1,"Average of ACTIVE     GHGE, FARM GATE (kg CO2e/kg)","Average of GHGE, processor gate (kg CO2e/kg)"),'Pivot Table_GHG'!$A$3,"SUB TYPE",$B209))</f>
        <v>2.0609339082246336</v>
      </c>
      <c r="S209" s="221">
        <f ca="1">IF($P209="PROXY",DSTDEV('literature entries'!$D:$AI,IF($J209=1,"ACTIVE     GHGE, FARM GATE (kg CO2e/kg)","GHGE, processor gate (kg CO2e/kg)"),INDIRECT($K209)),GETPIVOTDATA(IF($J209=1,"StdDev of ACTIVE     GHGE, FARM GATE (kg CO2e/kg)","StdDev of GHGE, processor gate (kg CO2e/kg)"),'Pivot Table_GHG'!$A$3,"SUB TYPE",$B209))</f>
        <v>1.650151605839224</v>
      </c>
      <c r="T209" s="101"/>
      <c r="U209" s="102"/>
      <c r="W209" s="248" t="str">
        <f ca="1">IF(L209="PROXY",IF(M209&gt;=5,K209,"need group"),IF(M209&gt;=5,"DIRECT","need group"))</f>
        <v>DIRECT</v>
      </c>
      <c r="X209" s="246">
        <f ca="1">IF($W209="DIRECT",M209,DCOUNT('literature entries'!$D:$AI,IF($J209=1,"ACTIVE     CED, FARM GATE (MJ/kg)","CED, processor gate (MJ/kg)"),INDIRECT($W209)))</f>
        <v>6</v>
      </c>
      <c r="Y209" s="246" t="str">
        <f ca="1">IF($W209="DIRECT","",DAVERAGE('literature entries'!$D:$AI,IF($J209=1,"ACTIVE     CED, FARM GATE (MJ/kg)","CED, processor gate (MJ/kg)"),INDIRECT($W209)))</f>
        <v/>
      </c>
      <c r="Z209" s="246">
        <f ca="1">IF($W209="DIRECT",$O209,DSTDEV('literature entries'!$D:$AI,IF($J209=1,"ACTIVE     CED, FARM GATE (MJ/kg)","CED, processor gate (MJ/kg)"),INDIRECT($W209)))</f>
        <v>1.7820175831530605</v>
      </c>
      <c r="AA209" s="246">
        <f t="shared" ca="1" si="30"/>
        <v>1.7820175831530605</v>
      </c>
      <c r="AB209" s="254" t="str">
        <f ca="1">IF(P209="PROXY",IF(Q209&gt;=5,K209,"need group"),IF(Q209&gt;=5,"DIRECT","need group"))</f>
        <v>DIRECT</v>
      </c>
      <c r="AC209" s="247">
        <f ca="1">IF($AB209="DIRECT",Q209,DCOUNT('literature entries'!$D:$AI,IF($J209=1,"ACTIVE     GHGE, FARM GATE (kg CO2e/kg)","GHGE, processor gate (kg CO2e/kg)"),INDIRECT($AB209)))</f>
        <v>12</v>
      </c>
      <c r="AD209" s="247" t="str">
        <f ca="1">IF($AB209="DIRECT","",DAVERAGE('literature entries'!$D:$AI,IF($J209=1,"ACTIVE     GHGE, FARM GATE (kg CO2e/kg)","GHGE, processor gate (kg CO2e/kg)"),INDIRECT($AB209)))</f>
        <v/>
      </c>
      <c r="AE209" s="247">
        <f ca="1">IF($AB209="DIRECT",$S209,DSTDEV('literature entries'!$D:$AI,IF($J209=1,"ACTIVE     GHGE, FARM GATE (kg CO2e/kg)","GHGE, processor gate (kg CO2e/kg)"),INDIRECT($AB209)))</f>
        <v>1.650151605839224</v>
      </c>
      <c r="AF209" s="247">
        <f t="shared" ca="1" si="31"/>
        <v>1.650151605839224</v>
      </c>
    </row>
    <row r="210" spans="1:32" s="21" customFormat="1" ht="17" thickBot="1" x14ac:dyDescent="0.25">
      <c r="A210" s="129">
        <v>1500325000</v>
      </c>
      <c r="B210" s="130" t="s">
        <v>2238</v>
      </c>
      <c r="C210" s="131" t="s">
        <v>1754</v>
      </c>
      <c r="D210" s="131"/>
      <c r="E210" s="131">
        <v>27487</v>
      </c>
      <c r="F210" s="126">
        <f t="shared" ca="1" si="28"/>
        <v>5.3975</v>
      </c>
      <c r="G210" s="127">
        <f t="shared" ca="1" si="29"/>
        <v>1.3567</v>
      </c>
      <c r="H210" s="132">
        <v>1</v>
      </c>
      <c r="I210" s="133" t="s">
        <v>594</v>
      </c>
      <c r="J210" s="91">
        <v>2</v>
      </c>
      <c r="K210" s="90" t="s">
        <v>3282</v>
      </c>
      <c r="L210" s="152" t="str">
        <f>IF(ISERROR(GETPIVOTDATA(IF($J210=1,"Count of ACTIVE     CED, FARM GATE (MJ/kg)","Count of CED, processor gate (MJ/kg)"),'Pivot Table_CED'!$A$3,"SUB TYPE",$B210)),"PROXY",IF(GETPIVOTDATA(IF($J210=1,"Count of ACTIVE     CED, FARM GATE (MJ/kg)","Count of CED, processor gate (MJ/kg)"),'Pivot Table_CED'!$A$3,"SUB TYPE",$B210)=0,"PROXY","DB value"))</f>
        <v>PROXY</v>
      </c>
      <c r="M210" s="134">
        <f ca="1">IF($L210="PROXY",DCOUNT('literature entries'!$D:$AI,IF($J210=1,"ACTIVE     CED, FARM GATE (MJ/kg)","CED, processor gate (MJ/kg)"),INDIRECT($K210)),GETPIVOTDATA(IF($J210=1,"Count of ACTIVE     CED, FARM GATE (MJ/kg)","Count of CED, processor gate (MJ/kg)"),'Pivot Table_CED'!$A$3,"SUB TYPE",$B210))</f>
        <v>1</v>
      </c>
      <c r="N210" s="135">
        <f ca="1">IF($L210="PROXY",DAVERAGE('literature entries'!$D:$AI,IF($J210=1,"ACTIVE     CED, FARM GATE (MJ/kg)","CED, processor gate (MJ/kg)"),INDIRECT($K210)),GETPIVOTDATA(IF($J210=1,"Average of ACTIVE     CED, FARM GATE (MJ/kg)","Average of CED, processor gate (MJ/kg)"),'Pivot Table_CED'!$A$3,"SUB TYPE",$B210))</f>
        <v>5.3975</v>
      </c>
      <c r="O210" s="135" t="e">
        <f ca="1">IF($L210="PROXY",DSTDEV('literature entries'!D:AI,IF($J210=1,"ACTIVE     CED, FARM GATE (MJ/kg)","CED, processor gate (MJ/kg)"),INDIRECT($K210)),GETPIVOTDATA(IF($J210=1,"StdDev of ACTIVE     CED, FARM GATE (MJ/kg)","StdDev of CED, processor gate (MJ/kg)"),'Pivot Table_CED'!$A$3,"SUB TYPE",$B210))</f>
        <v>#DIV/0!</v>
      </c>
      <c r="P210" s="152" t="str">
        <f>IF(ISERROR(GETPIVOTDATA(IF($J210=1,"Count of ACTIVE     GHGE, FARM GATE (kg CO2e/kg)","Count of GHGE, processor gate (kg CO2e/kg)"),'Pivot Table_GHG'!$A$3,"SUB TYPE",$B210)),"PROXY",IF(GETPIVOTDATA(IF($J210=1,"Count of ACTIVE     GHGE, FARM GATE (kg CO2e/kg)","Count of GHGE, processor gate (kg CO2e/kg)"),'Pivot Table_GHG'!$A$3,"SUB TYPE",$B210)=0,"PROXY","DB value"))</f>
        <v>PROXY</v>
      </c>
      <c r="Q210" s="141">
        <f ca="1">IF($P210="PROXY",DCOUNT('literature entries'!$D:$AI,IF($J210=1,"ACTIVE     GHGE, FARM GATE (kg CO2e/kg)","GHGE, processor gate (kg CO2e/kg)"),INDIRECT($K210)),GETPIVOTDATA(IF($J210=1,"ACTIVE     GHGE, FARM GATE (kg CO2e/kg)","Count of GHGE, processor gate (kg CO2e/kg)"),'Pivot Table_GHG'!$A$3,"SUB TYPE",$B210))</f>
        <v>1</v>
      </c>
      <c r="R210" s="221">
        <f ca="1">IF($P210="PROXY",DAVERAGE('literature entries'!$D:$AI,IF($J210=1,"ACTIVE     GHGE, FARM GATE (kg CO2e/kg)","GHGE, processor gate (kg CO2e/kg)"),INDIRECT($K210)),GETPIVOTDATA(IF($J210=1,"Average of ACTIVE     GHGE, FARM GATE (kg CO2e/kg)","Average of GHGE, processor gate (kg CO2e/kg)"),'Pivot Table_GHG'!$A$3,"SUB TYPE",$B210))</f>
        <v>1.3567</v>
      </c>
      <c r="S210" s="221" t="e">
        <f ca="1">IF($P210="PROXY",DSTDEV('literature entries'!$D:$AI,IF($J210=1,"ACTIVE     GHGE, FARM GATE (kg CO2e/kg)","GHGE, processor gate (kg CO2e/kg)"),INDIRECT($K210)),GETPIVOTDATA(IF($J210=1,"StdDev of ACTIVE     GHGE, FARM GATE (kg CO2e/kg)","StdDev of GHGE, processor gate (kg CO2e/kg)"),'Pivot Table_GHG'!$A$3,"SUB TYPE",$B210))</f>
        <v>#DIV/0!</v>
      </c>
      <c r="T210" s="101"/>
      <c r="U210" s="102"/>
      <c r="W210" s="248" t="s">
        <v>3358</v>
      </c>
      <c r="X210" s="246">
        <f ca="1">IF($W210="DIRECT",M210,DCOUNT('literature entries'!$D:$AI,IF($J210=1,"ACTIVE     CED, FARM GATE (MJ/kg)","CED, processor gate (MJ/kg)"),INDIRECT($W210)))</f>
        <v>9</v>
      </c>
      <c r="Y210" s="246">
        <f ca="1">IF($W210="DIRECT","",DAVERAGE('literature entries'!$D:$AI,IF($J210=1,"ACTIVE     CED, FARM GATE (MJ/kg)","CED, processor gate (MJ/kg)"),INDIRECT($W210)))</f>
        <v>3.7933851999999999</v>
      </c>
      <c r="Z210" s="246">
        <f ca="1">IF($W210="DIRECT",$O210,DSTDEV('literature entries'!$D:$AI,IF($J210=1,"ACTIVE     CED, FARM GATE (MJ/kg)","CED, processor gate (MJ/kg)"),INDIRECT($W210)))</f>
        <v>1.2312612173276687</v>
      </c>
      <c r="AA210" s="246">
        <f t="shared" ca="1" si="30"/>
        <v>1.7519265959402415</v>
      </c>
      <c r="AB210" s="254" t="s">
        <v>3358</v>
      </c>
      <c r="AC210" s="247">
        <f ca="1">IF($AB210="DIRECT",Q210,DCOUNT('literature entries'!$D:$AI,IF($J210=1,"ACTIVE     GHGE, FARM GATE (kg CO2e/kg)","GHGE, processor gate (kg CO2e/kg)"),INDIRECT($AB210)))</f>
        <v>9</v>
      </c>
      <c r="AD210" s="247">
        <f ca="1">IF($AB210="DIRECT","",DAVERAGE('literature entries'!$D:$AI,IF($J210=1,"ACTIVE     GHGE, FARM GATE (kg CO2e/kg)","GHGE, processor gate (kg CO2e/kg)"),INDIRECT($AB210)))</f>
        <v>0.43042331</v>
      </c>
      <c r="AE210" s="247">
        <f ca="1">IF($AB210="DIRECT",$S210,DSTDEV('literature entries'!$D:$AI,IF($J210=1,"ACTIVE     GHGE, FARM GATE (kg CO2e/kg)","GHGE, processor gate (kg CO2e/kg)"),INDIRECT($AB210)))</f>
        <v>7.2682317360146784E-2</v>
      </c>
      <c r="AF210" s="247">
        <f t="shared" ca="1" si="31"/>
        <v>0.2290956313739401</v>
      </c>
    </row>
    <row r="211" spans="1:32" s="21" customFormat="1" ht="17" thickBot="1" x14ac:dyDescent="0.25">
      <c r="A211" s="129">
        <v>1500326000</v>
      </c>
      <c r="B211" s="130" t="s">
        <v>2235</v>
      </c>
      <c r="C211" s="131" t="s">
        <v>1774</v>
      </c>
      <c r="D211" s="131"/>
      <c r="E211" s="131">
        <v>50</v>
      </c>
      <c r="F211" s="126">
        <f t="shared" ca="1" si="28"/>
        <v>5.3975</v>
      </c>
      <c r="G211" s="127">
        <f t="shared" ca="1" si="29"/>
        <v>1.3567</v>
      </c>
      <c r="H211" s="132">
        <v>1</v>
      </c>
      <c r="I211" s="133" t="s">
        <v>594</v>
      </c>
      <c r="J211" s="91">
        <v>2</v>
      </c>
      <c r="K211" s="90"/>
      <c r="L211" s="152" t="str">
        <f>IF(ISERROR(GETPIVOTDATA(IF($J211=1,"Count of ACTIVE     CED, FARM GATE (MJ/kg)","Count of CED, processor gate (MJ/kg)"),'Pivot Table_CED'!$A$3,"SUB TYPE",$B211)),"PROXY",IF(GETPIVOTDATA(IF($J211=1,"Count of ACTIVE     CED, FARM GATE (MJ/kg)","Count of CED, processor gate (MJ/kg)"),'Pivot Table_CED'!$A$3,"SUB TYPE",$B211)=0,"PROXY","DB value"))</f>
        <v>DB value</v>
      </c>
      <c r="M211" s="134">
        <f ca="1">IF($L211="PROXY",DCOUNT('literature entries'!$D:$AI,IF($J211=1,"ACTIVE     CED, FARM GATE (MJ/kg)","CED, processor gate (MJ/kg)"),INDIRECT($K211)),GETPIVOTDATA(IF($J211=1,"Count of ACTIVE     CED, FARM GATE (MJ/kg)","Count of CED, processor gate (MJ/kg)"),'Pivot Table_CED'!$A$3,"SUB TYPE",$B211))</f>
        <v>1</v>
      </c>
      <c r="N211" s="135">
        <f ca="1">IF($L211="PROXY",DAVERAGE('literature entries'!$D:$AI,IF($J211=1,"ACTIVE     CED, FARM GATE (MJ/kg)","CED, processor gate (MJ/kg)"),INDIRECT($K211)),GETPIVOTDATA(IF($J211=1,"Average of ACTIVE     CED, FARM GATE (MJ/kg)","Average of CED, processor gate (MJ/kg)"),'Pivot Table_CED'!$A$3,"SUB TYPE",$B211))</f>
        <v>5.3975</v>
      </c>
      <c r="O211" s="135">
        <f ca="1">IF($L211="PROXY",DSTDEV('literature entries'!D:AI,IF($J211=1,"ACTIVE     CED, FARM GATE (MJ/kg)","CED, processor gate (MJ/kg)"),INDIRECT($K211)),GETPIVOTDATA(IF($J211=1,"StdDev of ACTIVE     CED, FARM GATE (MJ/kg)","StdDev of CED, processor gate (MJ/kg)"),'Pivot Table_CED'!$A$3,"SUB TYPE",$B211))</f>
        <v>0</v>
      </c>
      <c r="P211" s="152" t="str">
        <f>IF(ISERROR(GETPIVOTDATA(IF($J211=1,"Count of ACTIVE     GHGE, FARM GATE (kg CO2e/kg)","Count of GHGE, processor gate (kg CO2e/kg)"),'Pivot Table_GHG'!$A$3,"SUB TYPE",$B211)),"PROXY",IF(GETPIVOTDATA(IF($J211=1,"Count of ACTIVE     GHGE, FARM GATE (kg CO2e/kg)","Count of GHGE, processor gate (kg CO2e/kg)"),'Pivot Table_GHG'!$A$3,"SUB TYPE",$B211)=0,"PROXY","DB value"))</f>
        <v>DB value</v>
      </c>
      <c r="Q211" s="141">
        <f ca="1">IF($P211="PROXY",DCOUNT('literature entries'!$D:$AI,IF($J211=1,"ACTIVE     GHGE, FARM GATE (kg CO2e/kg)","GHGE, processor gate (kg CO2e/kg)"),INDIRECT($K211)),GETPIVOTDATA(IF($J211=1,"ACTIVE     GHGE, FARM GATE (kg CO2e/kg)","Count of GHGE, processor gate (kg CO2e/kg)"),'Pivot Table_GHG'!$A$3,"SUB TYPE",$B211))</f>
        <v>1</v>
      </c>
      <c r="R211" s="221">
        <f ca="1">IF($P211="PROXY",DAVERAGE('literature entries'!$D:$AI,IF($J211=1,"ACTIVE     GHGE, FARM GATE (kg CO2e/kg)","GHGE, processor gate (kg CO2e/kg)"),INDIRECT($K211)),GETPIVOTDATA(IF($J211=1,"Average of ACTIVE     GHGE, FARM GATE (kg CO2e/kg)","Average of GHGE, processor gate (kg CO2e/kg)"),'Pivot Table_GHG'!$A$3,"SUB TYPE",$B211))</f>
        <v>1.3567</v>
      </c>
      <c r="S211" s="221" t="e">
        <f ca="1">IF($P211="PROXY",DSTDEV('literature entries'!$D:$AI,IF($J211=1,"ACTIVE     GHGE, FARM GATE (kg CO2e/kg)","GHGE, processor gate (kg CO2e/kg)"),INDIRECT($K211)),GETPIVOTDATA(IF($J211=1,"StdDev of ACTIVE     GHGE, FARM GATE (kg CO2e/kg)","StdDev of GHGE, processor gate (kg CO2e/kg)"),'Pivot Table_GHG'!$A$3,"SUB TYPE",$B211))</f>
        <v>#DIV/0!</v>
      </c>
      <c r="T211" s="101"/>
      <c r="U211" s="102"/>
      <c r="W211" s="248" t="s">
        <v>3358</v>
      </c>
      <c r="X211" s="246">
        <f ca="1">IF($W211="DIRECT",M211,DCOUNT('literature entries'!$D:$AI,IF($J211=1,"ACTIVE     CED, FARM GATE (MJ/kg)","CED, processor gate (MJ/kg)"),INDIRECT($W211)))</f>
        <v>9</v>
      </c>
      <c r="Y211" s="246">
        <f ca="1">IF($W211="DIRECT","",DAVERAGE('literature entries'!$D:$AI,IF($J211=1,"ACTIVE     CED, FARM GATE (MJ/kg)","CED, processor gate (MJ/kg)"),INDIRECT($W211)))</f>
        <v>3.7933851999999999</v>
      </c>
      <c r="Z211" s="246">
        <f ca="1">IF($W211="DIRECT",$O211,DSTDEV('literature entries'!$D:$AI,IF($J211=1,"ACTIVE     CED, FARM GATE (MJ/kg)","CED, processor gate (MJ/kg)"),INDIRECT($W211)))</f>
        <v>1.2312612173276687</v>
      </c>
      <c r="AA211" s="246">
        <f t="shared" ca="1" si="30"/>
        <v>1.7519265959402415</v>
      </c>
      <c r="AB211" s="254" t="s">
        <v>3358</v>
      </c>
      <c r="AC211" s="247">
        <f ca="1">IF($AB211="DIRECT",Q211,DCOUNT('literature entries'!$D:$AI,IF($J211=1,"ACTIVE     GHGE, FARM GATE (kg CO2e/kg)","GHGE, processor gate (kg CO2e/kg)"),INDIRECT($AB211)))</f>
        <v>9</v>
      </c>
      <c r="AD211" s="247">
        <f ca="1">IF($AB211="DIRECT","",DAVERAGE('literature entries'!$D:$AI,IF($J211=1,"ACTIVE     GHGE, FARM GATE (kg CO2e/kg)","GHGE, processor gate (kg CO2e/kg)"),INDIRECT($AB211)))</f>
        <v>0.43042331</v>
      </c>
      <c r="AE211" s="247">
        <f ca="1">IF($AB211="DIRECT",$S211,DSTDEV('literature entries'!$D:$AI,IF($J211=1,"ACTIVE     GHGE, FARM GATE (kg CO2e/kg)","GHGE, processor gate (kg CO2e/kg)"),INDIRECT($AB211)))</f>
        <v>7.2682317360146784E-2</v>
      </c>
      <c r="AF211" s="247">
        <f t="shared" ca="1" si="31"/>
        <v>0.2290956313739401</v>
      </c>
    </row>
    <row r="212" spans="1:32" s="21" customFormat="1" ht="17" thickBot="1" x14ac:dyDescent="0.25">
      <c r="A212" s="129">
        <v>1500328000</v>
      </c>
      <c r="B212" s="130" t="s">
        <v>2243</v>
      </c>
      <c r="C212" s="131" t="s">
        <v>2244</v>
      </c>
      <c r="D212" s="131"/>
      <c r="E212" s="131">
        <v>2057</v>
      </c>
      <c r="F212" s="126">
        <f t="shared" ca="1" si="28"/>
        <v>2.6956580300000001</v>
      </c>
      <c r="G212" s="127">
        <f t="shared" ca="1" si="29"/>
        <v>0.385175779</v>
      </c>
      <c r="H212" s="132">
        <v>1</v>
      </c>
      <c r="I212" s="133" t="s">
        <v>594</v>
      </c>
      <c r="J212" s="91">
        <v>1</v>
      </c>
      <c r="K212" s="90"/>
      <c r="L212" s="152" t="str">
        <f>IF(ISERROR(GETPIVOTDATA(IF($J212=1,"Count of ACTIVE     CED, FARM GATE (MJ/kg)","Count of CED, processor gate (MJ/kg)"),'Pivot Table_CED'!$A$3,"SUB TYPE",$B212)),"PROXY",IF(GETPIVOTDATA(IF($J212=1,"Count of ACTIVE     CED, FARM GATE (MJ/kg)","Count of CED, processor gate (MJ/kg)"),'Pivot Table_CED'!$A$3,"SUB TYPE",$B212)=0,"PROXY","DB value"))</f>
        <v>DB value</v>
      </c>
      <c r="M212" s="134">
        <f ca="1">IF($L212="PROXY",DCOUNT('literature entries'!$D:$AI,IF($J212=1,"ACTIVE     CED, FARM GATE (MJ/kg)","CED, processor gate (MJ/kg)"),INDIRECT($K212)),GETPIVOTDATA(IF($J212=1,"Count of ACTIVE     CED, FARM GATE (MJ/kg)","Count of CED, processor gate (MJ/kg)"),'Pivot Table_CED'!$A$3,"SUB TYPE",$B212))</f>
        <v>20</v>
      </c>
      <c r="N212" s="135">
        <f ca="1">IF($L212="PROXY",DAVERAGE('literature entries'!$D:$AI,IF($J212=1,"ACTIVE     CED, FARM GATE (MJ/kg)","CED, processor gate (MJ/kg)"),INDIRECT($K212)),GETPIVOTDATA(IF($J212=1,"Average of ACTIVE     CED, FARM GATE (MJ/kg)","Average of CED, processor gate (MJ/kg)"),'Pivot Table_CED'!$A$3,"SUB TYPE",$B212))</f>
        <v>2.6956580300000001</v>
      </c>
      <c r="O212" s="135">
        <f ca="1">IF($L212="PROXY",DSTDEV('literature entries'!D:AI,IF($J212=1,"ACTIVE     CED, FARM GATE (MJ/kg)","CED, processor gate (MJ/kg)"),INDIRECT($K212)),GETPIVOTDATA(IF($J212=1,"StdDev of ACTIVE     CED, FARM GATE (MJ/kg)","StdDev of CED, processor gate (MJ/kg)"),'Pivot Table_CED'!$A$3,"SUB TYPE",$B212))</f>
        <v>1.3247895032637358</v>
      </c>
      <c r="P212" s="152" t="str">
        <f>IF(ISERROR(GETPIVOTDATA(IF($J212=1,"Count of ACTIVE     GHGE, FARM GATE (kg CO2e/kg)","Count of GHGE, processor gate (kg CO2e/kg)"),'Pivot Table_GHG'!$A$3,"SUB TYPE",$B212)),"PROXY",IF(GETPIVOTDATA(IF($J212=1,"Count of ACTIVE     GHGE, FARM GATE (kg CO2e/kg)","Count of GHGE, processor gate (kg CO2e/kg)"),'Pivot Table_GHG'!$A$3,"SUB TYPE",$B212)=0,"PROXY","DB value"))</f>
        <v>DB value</v>
      </c>
      <c r="Q212" s="141">
        <f ca="1">IF($P212="PROXY",DCOUNT('literature entries'!$D:$AI,IF($J212=1,"ACTIVE     GHGE, FARM GATE (kg CO2e/kg)","GHGE, processor gate (kg CO2e/kg)"),INDIRECT($K212)),GETPIVOTDATA(IF($J212=1,"ACTIVE     GHGE, FARM GATE (kg CO2e/kg)","Count of GHGE, processor gate (kg CO2e/kg)"),'Pivot Table_GHG'!$A$3,"SUB TYPE",$B212))</f>
        <v>20</v>
      </c>
      <c r="R212" s="221">
        <f ca="1">IF($P212="PROXY",DAVERAGE('literature entries'!$D:$AI,IF($J212=1,"ACTIVE     GHGE, FARM GATE (kg CO2e/kg)","GHGE, processor gate (kg CO2e/kg)"),INDIRECT($K212)),GETPIVOTDATA(IF($J212=1,"Average of ACTIVE     GHGE, FARM GATE (kg CO2e/kg)","Average of GHGE, processor gate (kg CO2e/kg)"),'Pivot Table_GHG'!$A$3,"SUB TYPE",$B212))</f>
        <v>0.385175779</v>
      </c>
      <c r="S212" s="221">
        <f ca="1">IF($P212="PROXY",DSTDEV('literature entries'!$D:$AI,IF($J212=1,"ACTIVE     GHGE, FARM GATE (kg CO2e/kg)","GHGE, processor gate (kg CO2e/kg)"),INDIRECT($K212)),GETPIVOTDATA(IF($J212=1,"StdDev of ACTIVE     GHGE, FARM GATE (kg CO2e/kg)","StdDev of GHGE, processor gate (kg CO2e/kg)"),'Pivot Table_GHG'!$A$3,"SUB TYPE",$B212))</f>
        <v>0.18272507972769947</v>
      </c>
      <c r="T212" s="101"/>
      <c r="U212" s="102"/>
      <c r="W212" s="248" t="str">
        <f ca="1">IF(L212="PROXY",IF(M212&gt;=5,K212,"need group"),IF(M212&gt;=5,"DIRECT","need group"))</f>
        <v>DIRECT</v>
      </c>
      <c r="X212" s="246">
        <f ca="1">IF($W212="DIRECT",M212,DCOUNT('literature entries'!$D:$AI,IF($J212=1,"ACTIVE     CED, FARM GATE (MJ/kg)","CED, processor gate (MJ/kg)"),INDIRECT($W212)))</f>
        <v>20</v>
      </c>
      <c r="Y212" s="246" t="str">
        <f ca="1">IF($W212="DIRECT","",DAVERAGE('literature entries'!$D:$AI,IF($J212=1,"ACTIVE     CED, FARM GATE (MJ/kg)","CED, processor gate (MJ/kg)"),INDIRECT($W212)))</f>
        <v/>
      </c>
      <c r="Z212" s="246">
        <f ca="1">IF($W212="DIRECT",$O212,DSTDEV('literature entries'!$D:$AI,IF($J212=1,"ACTIVE     CED, FARM GATE (MJ/kg)","CED, processor gate (MJ/kg)"),INDIRECT($W212)))</f>
        <v>1.3247895032637358</v>
      </c>
      <c r="AA212" s="246">
        <f t="shared" ca="1" si="30"/>
        <v>1.3247895032637358</v>
      </c>
      <c r="AB212" s="254" t="str">
        <f ca="1">IF(P212="PROXY",IF(Q212&gt;=5,K212,"need group"),IF(Q212&gt;=5,"DIRECT","need group"))</f>
        <v>DIRECT</v>
      </c>
      <c r="AC212" s="247">
        <f ca="1">IF($AB212="DIRECT",Q212,DCOUNT('literature entries'!$D:$AI,IF($J212=1,"ACTIVE     GHGE, FARM GATE (kg CO2e/kg)","GHGE, processor gate (kg CO2e/kg)"),INDIRECT($AB212)))</f>
        <v>20</v>
      </c>
      <c r="AD212" s="247" t="str">
        <f ca="1">IF($AB212="DIRECT","",DAVERAGE('literature entries'!$D:$AI,IF($J212=1,"ACTIVE     GHGE, FARM GATE (kg CO2e/kg)","GHGE, processor gate (kg CO2e/kg)"),INDIRECT($AB212)))</f>
        <v/>
      </c>
      <c r="AE212" s="247">
        <f ca="1">IF($AB212="DIRECT",$S212,DSTDEV('literature entries'!$D:$AI,IF($J212=1,"ACTIVE     GHGE, FARM GATE (kg CO2e/kg)","GHGE, processor gate (kg CO2e/kg)"),INDIRECT($AB212)))</f>
        <v>0.18272507972769947</v>
      </c>
      <c r="AF212" s="247">
        <f t="shared" ca="1" si="31"/>
        <v>0.18272507972769947</v>
      </c>
    </row>
    <row r="213" spans="1:32" s="21" customFormat="1" ht="17" thickBot="1" x14ac:dyDescent="0.25">
      <c r="A213" s="129">
        <v>1500329000</v>
      </c>
      <c r="B213" s="130" t="s">
        <v>2242</v>
      </c>
      <c r="C213" s="131" t="s">
        <v>1754</v>
      </c>
      <c r="D213" s="131"/>
      <c r="E213" s="131">
        <v>5</v>
      </c>
      <c r="F213" s="126">
        <f t="shared" ca="1" si="28"/>
        <v>3.9486279999999998</v>
      </c>
      <c r="G213" s="127">
        <f t="shared" ca="1" si="29"/>
        <v>0.41778048333333334</v>
      </c>
      <c r="H213" s="132">
        <v>1</v>
      </c>
      <c r="I213" s="133" t="s">
        <v>594</v>
      </c>
      <c r="J213" s="91">
        <v>2</v>
      </c>
      <c r="K213" s="90"/>
      <c r="L213" s="152" t="str">
        <f>IF(ISERROR(GETPIVOTDATA(IF($J213=1,"Count of ACTIVE     CED, FARM GATE (MJ/kg)","Count of CED, processor gate (MJ/kg)"),'Pivot Table_CED'!$A$3,"SUB TYPE",$B213)),"PROXY",IF(GETPIVOTDATA(IF($J213=1,"Count of ACTIVE     CED, FARM GATE (MJ/kg)","Count of CED, processor gate (MJ/kg)"),'Pivot Table_CED'!$A$3,"SUB TYPE",$B213)=0,"PROXY","DB value"))</f>
        <v>DB value</v>
      </c>
      <c r="M213" s="134">
        <f ca="1">IF($L213="PROXY",DCOUNT('literature entries'!$D:$AI,IF($J213=1,"ACTIVE     CED, FARM GATE (MJ/kg)","CED, processor gate (MJ/kg)"),INDIRECT($K213)),GETPIVOTDATA(IF($J213=1,"Count of ACTIVE     CED, FARM GATE (MJ/kg)","Count of CED, processor gate (MJ/kg)"),'Pivot Table_CED'!$A$3,"SUB TYPE",$B213))</f>
        <v>3</v>
      </c>
      <c r="N213" s="135">
        <f ca="1">IF($L213="PROXY",DAVERAGE('literature entries'!$D:$AI,IF($J213=1,"ACTIVE     CED, FARM GATE (MJ/kg)","CED, processor gate (MJ/kg)"),INDIRECT($K213)),GETPIVOTDATA(IF($J213=1,"Average of ACTIVE     CED, FARM GATE (MJ/kg)","Average of CED, processor gate (MJ/kg)"),'Pivot Table_CED'!$A$3,"SUB TYPE",$B213))</f>
        <v>3.9486279999999998</v>
      </c>
      <c r="O213" s="135">
        <f ca="1">IF($L213="PROXY",DSTDEV('literature entries'!D:AI,IF($J213=1,"ACTIVE     CED, FARM GATE (MJ/kg)","CED, processor gate (MJ/kg)"),INDIRECT($K213)),GETPIVOTDATA(IF($J213=1,"StdDev of ACTIVE     CED, FARM GATE (MJ/kg)","StdDev of CED, processor gate (MJ/kg)"),'Pivot Table_CED'!$A$3,"SUB TYPE",$B213))</f>
        <v>0.38585443542451386</v>
      </c>
      <c r="P213" s="152" t="str">
        <f>IF(ISERROR(GETPIVOTDATA(IF($J213=1,"Count of ACTIVE     GHGE, FARM GATE (kg CO2e/kg)","Count of GHGE, processor gate (kg CO2e/kg)"),'Pivot Table_GHG'!$A$3,"SUB TYPE",$B213)),"PROXY",IF(GETPIVOTDATA(IF($J213=1,"Count of ACTIVE     GHGE, FARM GATE (kg CO2e/kg)","Count of GHGE, processor gate (kg CO2e/kg)"),'Pivot Table_GHG'!$A$3,"SUB TYPE",$B213)=0,"PROXY","DB value"))</f>
        <v>DB value</v>
      </c>
      <c r="Q213" s="141">
        <f ca="1">IF($P213="PROXY",DCOUNT('literature entries'!$D:$AI,IF($J213=1,"ACTIVE     GHGE, FARM GATE (kg CO2e/kg)","GHGE, processor gate (kg CO2e/kg)"),INDIRECT($K213)),GETPIVOTDATA(IF($J213=1,"ACTIVE     GHGE, FARM GATE (kg CO2e/kg)","Count of GHGE, processor gate (kg CO2e/kg)"),'Pivot Table_GHG'!$A$3,"SUB TYPE",$B213))</f>
        <v>3</v>
      </c>
      <c r="R213" s="221">
        <f ca="1">IF($P213="PROXY",DAVERAGE('literature entries'!$D:$AI,IF($J213=1,"ACTIVE     GHGE, FARM GATE (kg CO2e/kg)","GHGE, processor gate (kg CO2e/kg)"),INDIRECT($K213)),GETPIVOTDATA(IF($J213=1,"Average of ACTIVE     GHGE, FARM GATE (kg CO2e/kg)","Average of GHGE, processor gate (kg CO2e/kg)"),'Pivot Table_GHG'!$A$3,"SUB TYPE",$B213))</f>
        <v>0.41778048333333334</v>
      </c>
      <c r="S213" s="221">
        <f ca="1">IF($P213="PROXY",DSTDEV('literature entries'!$D:$AI,IF($J213=1,"ACTIVE     GHGE, FARM GATE (kg CO2e/kg)","GHGE, processor gate (kg CO2e/kg)"),INDIRECT($K213)),GETPIVOTDATA(IF($J213=1,"StdDev of ACTIVE     GHGE, FARM GATE (kg CO2e/kg)","StdDev of GHGE, processor gate (kg CO2e/kg)"),'Pivot Table_GHG'!$A$3,"SUB TYPE",$B213))</f>
        <v>2.179658538386561E-2</v>
      </c>
      <c r="T213" s="101"/>
      <c r="U213" s="102"/>
      <c r="W213" s="248" t="s">
        <v>3358</v>
      </c>
      <c r="X213" s="246">
        <f ca="1">IF($W213="DIRECT",M213,DCOUNT('literature entries'!$D:$AI,IF($J213=1,"ACTIVE     CED, FARM GATE (MJ/kg)","CED, processor gate (MJ/kg)"),INDIRECT($W213)))</f>
        <v>9</v>
      </c>
      <c r="Y213" s="246">
        <f ca="1">IF($W213="DIRECT","",DAVERAGE('literature entries'!$D:$AI,IF($J213=1,"ACTIVE     CED, FARM GATE (MJ/kg)","CED, processor gate (MJ/kg)"),INDIRECT($W213)))</f>
        <v>3.7933851999999999</v>
      </c>
      <c r="Z213" s="246">
        <f ca="1">IF($W213="DIRECT",$O213,DSTDEV('literature entries'!$D:$AI,IF($J213=1,"ACTIVE     CED, FARM GATE (MJ/kg)","CED, processor gate (MJ/kg)"),INDIRECT($W213)))</f>
        <v>1.2312612173276687</v>
      </c>
      <c r="AA213" s="246">
        <f t="shared" ca="1" si="30"/>
        <v>1.2816500992448954</v>
      </c>
      <c r="AB213" s="254" t="s">
        <v>3358</v>
      </c>
      <c r="AC213" s="247">
        <f ca="1">IF($AB213="DIRECT",Q213,DCOUNT('literature entries'!$D:$AI,IF($J213=1,"ACTIVE     GHGE, FARM GATE (kg CO2e/kg)","GHGE, processor gate (kg CO2e/kg)"),INDIRECT($AB213)))</f>
        <v>9</v>
      </c>
      <c r="AD213" s="247">
        <f ca="1">IF($AB213="DIRECT","",DAVERAGE('literature entries'!$D:$AI,IF($J213=1,"ACTIVE     GHGE, FARM GATE (kg CO2e/kg)","GHGE, processor gate (kg CO2e/kg)"),INDIRECT($AB213)))</f>
        <v>0.43042331</v>
      </c>
      <c r="AE213" s="247">
        <f ca="1">IF($AB213="DIRECT",$S213,DSTDEV('literature entries'!$D:$AI,IF($J213=1,"ACTIVE     GHGE, FARM GATE (kg CO2e/kg)","GHGE, processor gate (kg CO2e/kg)"),INDIRECT($AB213)))</f>
        <v>7.2682317360146784E-2</v>
      </c>
      <c r="AF213" s="247">
        <f t="shared" ca="1" si="31"/>
        <v>7.0547419182545784E-2</v>
      </c>
    </row>
    <row r="214" spans="1:32" s="21" customFormat="1" ht="17" thickBot="1" x14ac:dyDescent="0.25">
      <c r="A214" s="129">
        <v>1500345000</v>
      </c>
      <c r="B214" s="130" t="s">
        <v>2264</v>
      </c>
      <c r="C214" s="131" t="s">
        <v>1943</v>
      </c>
      <c r="D214" s="131"/>
      <c r="E214" s="131">
        <v>1</v>
      </c>
      <c r="F214" s="126">
        <f t="shared" ca="1" si="28"/>
        <v>5.0787000000000004</v>
      </c>
      <c r="G214" s="127">
        <f t="shared" ca="1" si="29"/>
        <v>0.48759999999999998</v>
      </c>
      <c r="H214" s="132">
        <v>1</v>
      </c>
      <c r="I214" s="133" t="s">
        <v>2724</v>
      </c>
      <c r="J214" s="91">
        <v>2</v>
      </c>
      <c r="K214" s="90" t="s">
        <v>3290</v>
      </c>
      <c r="L214" s="152" t="str">
        <f>IF(ISERROR(GETPIVOTDATA(IF($J214=1,"Count of ACTIVE     CED, FARM GATE (MJ/kg)","Count of CED, processor gate (MJ/kg)"),'Pivot Table_CED'!$A$3,"SUB TYPE",$B214)),"PROXY",IF(GETPIVOTDATA(IF($J214=1,"Count of ACTIVE     CED, FARM GATE (MJ/kg)","Count of CED, processor gate (MJ/kg)"),'Pivot Table_CED'!$A$3,"SUB TYPE",$B214)=0,"PROXY","DB value"))</f>
        <v>PROXY</v>
      </c>
      <c r="M214" s="134">
        <f ca="1">IF($L214="PROXY",DCOUNT('literature entries'!$D:$AI,IF($J214=1,"ACTIVE     CED, FARM GATE (MJ/kg)","CED, processor gate (MJ/kg)"),INDIRECT($K214)),GETPIVOTDATA(IF($J214=1,"Count of ACTIVE     CED, FARM GATE (MJ/kg)","Count of CED, processor gate (MJ/kg)"),'Pivot Table_CED'!$A$3,"SUB TYPE",$B214))</f>
        <v>1</v>
      </c>
      <c r="N214" s="135">
        <f ca="1">IF($L214="PROXY",DAVERAGE('literature entries'!$D:$AI,IF($J214=1,"ACTIVE     CED, FARM GATE (MJ/kg)","CED, processor gate (MJ/kg)"),INDIRECT($K214)),GETPIVOTDATA(IF($J214=1,"Average of ACTIVE     CED, FARM GATE (MJ/kg)","Average of CED, processor gate (MJ/kg)"),'Pivot Table_CED'!$A$3,"SUB TYPE",$B214))</f>
        <v>5.0787000000000004</v>
      </c>
      <c r="O214" s="135" t="e">
        <f ca="1">IF($L214="PROXY",DSTDEV('literature entries'!D:AI,IF($J214=1,"ACTIVE     CED, FARM GATE (MJ/kg)","CED, processor gate (MJ/kg)"),INDIRECT($K214)),GETPIVOTDATA(IF($J214=1,"StdDev of ACTIVE     CED, FARM GATE (MJ/kg)","StdDev of CED, processor gate (MJ/kg)"),'Pivot Table_CED'!$A$3,"SUB TYPE",$B214))</f>
        <v>#DIV/0!</v>
      </c>
      <c r="P214" s="152" t="str">
        <f>IF(ISERROR(GETPIVOTDATA(IF($J214=1,"Count of ACTIVE     GHGE, FARM GATE (kg CO2e/kg)","Count of GHGE, processor gate (kg CO2e/kg)"),'Pivot Table_GHG'!$A$3,"SUB TYPE",$B214)),"PROXY",IF(GETPIVOTDATA(IF($J214=1,"Count of ACTIVE     GHGE, FARM GATE (kg CO2e/kg)","Count of GHGE, processor gate (kg CO2e/kg)"),'Pivot Table_GHG'!$A$3,"SUB TYPE",$B214)=0,"PROXY","DB value"))</f>
        <v>PROXY</v>
      </c>
      <c r="Q214" s="141">
        <f ca="1">IF($P214="PROXY",DCOUNT('literature entries'!$D:$AI,IF($J214=1,"ACTIVE     GHGE, FARM GATE (kg CO2e/kg)","GHGE, processor gate (kg CO2e/kg)"),INDIRECT($K214)),GETPIVOTDATA(IF($J214=1,"ACTIVE     GHGE, FARM GATE (kg CO2e/kg)","Count of GHGE, processor gate (kg CO2e/kg)"),'Pivot Table_GHG'!$A$3,"SUB TYPE",$B214))</f>
        <v>1</v>
      </c>
      <c r="R214" s="221">
        <f ca="1">IF($P214="PROXY",DAVERAGE('literature entries'!$D:$AI,IF($J214=1,"ACTIVE     GHGE, FARM GATE (kg CO2e/kg)","GHGE, processor gate (kg CO2e/kg)"),INDIRECT($K214)),GETPIVOTDATA(IF($J214=1,"Average of ACTIVE     GHGE, FARM GATE (kg CO2e/kg)","Average of GHGE, processor gate (kg CO2e/kg)"),'Pivot Table_GHG'!$A$3,"SUB TYPE",$B214))</f>
        <v>0.48759999999999998</v>
      </c>
      <c r="S214" s="221" t="e">
        <f ca="1">IF($P214="PROXY",DSTDEV('literature entries'!$D:$AI,IF($J214=1,"ACTIVE     GHGE, FARM GATE (kg CO2e/kg)","GHGE, processor gate (kg CO2e/kg)"),INDIRECT($K214)),GETPIVOTDATA(IF($J214=1,"StdDev of ACTIVE     GHGE, FARM GATE (kg CO2e/kg)","StdDev of GHGE, processor gate (kg CO2e/kg)"),'Pivot Table_GHG'!$A$3,"SUB TYPE",$B214))</f>
        <v>#DIV/0!</v>
      </c>
      <c r="T214" s="101"/>
      <c r="U214" s="102"/>
      <c r="W214" s="248" t="s">
        <v>3364</v>
      </c>
      <c r="X214" s="246">
        <f ca="1">IF($W214="DIRECT",M214,DCOUNT('literature entries'!$D:$AI,IF($J214=1,"ACTIVE     CED, FARM GATE (MJ/kg)","CED, processor gate (MJ/kg)"),INDIRECT($W214)))</f>
        <v>14</v>
      </c>
      <c r="Y214" s="246">
        <f ca="1">IF($W214="DIRECT","",DAVERAGE('literature entries'!$D:$AI,IF($J214=1,"ACTIVE     CED, FARM GATE (MJ/kg)","CED, processor gate (MJ/kg)"),INDIRECT($W214)))</f>
        <v>8.8453455837076262</v>
      </c>
      <c r="Z214" s="246">
        <f ca="1">IF($W214="DIRECT",$O214,DSTDEV('literature entries'!$D:$AI,IF($J214=1,"ACTIVE     CED, FARM GATE (MJ/kg)","CED, processor gate (MJ/kg)"),INDIRECT($W214)))</f>
        <v>17.468328408482019</v>
      </c>
      <c r="AA214" s="246">
        <f t="shared" ca="1" si="30"/>
        <v>10.029726781005108</v>
      </c>
      <c r="AB214" s="254" t="s">
        <v>3364</v>
      </c>
      <c r="AC214" s="247">
        <f ca="1">IF($AB214="DIRECT",Q214,DCOUNT('literature entries'!$D:$AI,IF($J214=1,"ACTIVE     GHGE, FARM GATE (kg CO2e/kg)","GHGE, processor gate (kg CO2e/kg)"),INDIRECT($AB214)))</f>
        <v>13</v>
      </c>
      <c r="AD214" s="247">
        <f ca="1">IF($AB214="DIRECT","",DAVERAGE('literature entries'!$D:$AI,IF($J214=1,"ACTIVE     GHGE, FARM GATE (kg CO2e/kg)","GHGE, processor gate (kg CO2e/kg)"),INDIRECT($AB214)))</f>
        <v>1.0611859137782504</v>
      </c>
      <c r="AE214" s="247">
        <f ca="1">IF($AB214="DIRECT",$S214,DSTDEV('literature entries'!$D:$AI,IF($J214=1,"ACTIVE     GHGE, FARM GATE (kg CO2e/kg)","GHGE, processor gate (kg CO2e/kg)"),INDIRECT($AB214)))</f>
        <v>1.8055997061726943</v>
      </c>
      <c r="AF214" s="247">
        <f t="shared" ca="1" si="31"/>
        <v>0.8296476661617086</v>
      </c>
    </row>
    <row r="215" spans="1:32" s="21" customFormat="1" ht="17" thickBot="1" x14ac:dyDescent="0.25">
      <c r="A215" s="129">
        <v>1500381000</v>
      </c>
      <c r="B215" s="130" t="s">
        <v>2320</v>
      </c>
      <c r="C215" s="131" t="s">
        <v>1754</v>
      </c>
      <c r="D215" s="131"/>
      <c r="E215" s="131">
        <v>259</v>
      </c>
      <c r="F215" s="126">
        <f t="shared" ca="1" si="28"/>
        <v>2.3743276000000004</v>
      </c>
      <c r="G215" s="127">
        <f t="shared" ca="1" si="29"/>
        <v>0.35789944666666668</v>
      </c>
      <c r="H215" s="132">
        <v>1</v>
      </c>
      <c r="I215" s="133" t="s">
        <v>594</v>
      </c>
      <c r="J215" s="91">
        <v>2</v>
      </c>
      <c r="K215" s="90" t="s">
        <v>3283</v>
      </c>
      <c r="L215" s="152" t="str">
        <f>IF(ISERROR(GETPIVOTDATA(IF($J215=1,"Count of ACTIVE     CED, FARM GATE (MJ/kg)","Count of CED, processor gate (MJ/kg)"),'Pivot Table_CED'!$A$3,"SUB TYPE",$B215)),"PROXY",IF(GETPIVOTDATA(IF($J215=1,"Count of ACTIVE     CED, FARM GATE (MJ/kg)","Count of CED, processor gate (MJ/kg)"),'Pivot Table_CED'!$A$3,"SUB TYPE",$B215)=0,"PROXY","DB value"))</f>
        <v>PROXY</v>
      </c>
      <c r="M215" s="134">
        <f ca="1">IF($L215="PROXY",DCOUNT('literature entries'!$D:$AI,IF($J215=1,"ACTIVE     CED, FARM GATE (MJ/kg)","CED, processor gate (MJ/kg)"),INDIRECT($K215)),GETPIVOTDATA(IF($J215=1,"Count of ACTIVE     CED, FARM GATE (MJ/kg)","Count of CED, processor gate (MJ/kg)"),'Pivot Table_CED'!$A$3,"SUB TYPE",$B215))</f>
        <v>3</v>
      </c>
      <c r="N215" s="135">
        <f ca="1">IF($L215="PROXY",DAVERAGE('literature entries'!$D:$AI,IF($J215=1,"ACTIVE     CED, FARM GATE (MJ/kg)","CED, processor gate (MJ/kg)"),INDIRECT($K215)),GETPIVOTDATA(IF($J215=1,"Average of ACTIVE     CED, FARM GATE (MJ/kg)","Average of CED, processor gate (MJ/kg)"),'Pivot Table_CED'!$A$3,"SUB TYPE",$B215))</f>
        <v>2.3743276000000004</v>
      </c>
      <c r="O215" s="135">
        <f ca="1">IF($L215="PROXY",DSTDEV('literature entries'!D:AI,IF($J215=1,"ACTIVE     CED, FARM GATE (MJ/kg)","CED, processor gate (MJ/kg)"),INDIRECT($K215)),GETPIVOTDATA(IF($J215=1,"StdDev of ACTIVE     CED, FARM GATE (MJ/kg)","StdDev of CED, processor gate (MJ/kg)"),'Pivot Table_CED'!$A$3,"SUB TYPE",$B215))</f>
        <v>0.14835091570708298</v>
      </c>
      <c r="P215" s="152" t="str">
        <f>IF(ISERROR(GETPIVOTDATA(IF($J215=1,"Count of ACTIVE     GHGE, FARM GATE (kg CO2e/kg)","Count of GHGE, processor gate (kg CO2e/kg)"),'Pivot Table_GHG'!$A$3,"SUB TYPE",$B215)),"PROXY",IF(GETPIVOTDATA(IF($J215=1,"Count of ACTIVE     GHGE, FARM GATE (kg CO2e/kg)","Count of GHGE, processor gate (kg CO2e/kg)"),'Pivot Table_GHG'!$A$3,"SUB TYPE",$B215)=0,"PROXY","DB value"))</f>
        <v>PROXY</v>
      </c>
      <c r="Q215" s="141">
        <f ca="1">IF($P215="PROXY",DCOUNT('literature entries'!$D:$AI,IF($J215=1,"ACTIVE     GHGE, FARM GATE (kg CO2e/kg)","GHGE, processor gate (kg CO2e/kg)"),INDIRECT($K215)),GETPIVOTDATA(IF($J215=1,"ACTIVE     GHGE, FARM GATE (kg CO2e/kg)","Count of GHGE, processor gate (kg CO2e/kg)"),'Pivot Table_GHG'!$A$3,"SUB TYPE",$B215))</f>
        <v>3</v>
      </c>
      <c r="R215" s="221">
        <f ca="1">IF($P215="PROXY",DAVERAGE('literature entries'!$D:$AI,IF($J215=1,"ACTIVE     GHGE, FARM GATE (kg CO2e/kg)","GHGE, processor gate (kg CO2e/kg)"),INDIRECT($K215)),GETPIVOTDATA(IF($J215=1,"Average of ACTIVE     GHGE, FARM GATE (kg CO2e/kg)","Average of GHGE, processor gate (kg CO2e/kg)"),'Pivot Table_GHG'!$A$3,"SUB TYPE",$B215))</f>
        <v>0.35789944666666668</v>
      </c>
      <c r="S215" s="221">
        <f ca="1">IF($P215="PROXY",DSTDEV('literature entries'!$D:$AI,IF($J215=1,"ACTIVE     GHGE, FARM GATE (kg CO2e/kg)","GHGE, processor gate (kg CO2e/kg)"),INDIRECT($K215)),GETPIVOTDATA(IF($J215=1,"StdDev of ACTIVE     GHGE, FARM GATE (kg CO2e/kg)","StdDev of GHGE, processor gate (kg CO2e/kg)"),'Pivot Table_GHG'!$A$3,"SUB TYPE",$B215))</f>
        <v>1.0699711970937975E-2</v>
      </c>
      <c r="T215" s="101"/>
      <c r="U215" s="102"/>
      <c r="W215" s="248" t="s">
        <v>3358</v>
      </c>
      <c r="X215" s="246">
        <f ca="1">IF($W215="DIRECT",M215,DCOUNT('literature entries'!$D:$AI,IF($J215=1,"ACTIVE     CED, FARM GATE (MJ/kg)","CED, processor gate (MJ/kg)"),INDIRECT($W215)))</f>
        <v>9</v>
      </c>
      <c r="Y215" s="246">
        <f ca="1">IF($W215="DIRECT","",DAVERAGE('literature entries'!$D:$AI,IF($J215=1,"ACTIVE     CED, FARM GATE (MJ/kg)","CED, processor gate (MJ/kg)"),INDIRECT($W215)))</f>
        <v>3.7933851999999999</v>
      </c>
      <c r="Z215" s="246">
        <f ca="1">IF($W215="DIRECT",$O215,DSTDEV('literature entries'!$D:$AI,IF($J215=1,"ACTIVE     CED, FARM GATE (MJ/kg)","CED, processor gate (MJ/kg)"),INDIRECT($W215)))</f>
        <v>1.2312612173276687</v>
      </c>
      <c r="AA215" s="246">
        <f t="shared" ca="1" si="30"/>
        <v>0.7706619119805399</v>
      </c>
      <c r="AB215" s="254" t="s">
        <v>3358</v>
      </c>
      <c r="AC215" s="247">
        <f ca="1">IF($AB215="DIRECT",Q215,DCOUNT('literature entries'!$D:$AI,IF($J215=1,"ACTIVE     GHGE, FARM GATE (kg CO2e/kg)","GHGE, processor gate (kg CO2e/kg)"),INDIRECT($AB215)))</f>
        <v>9</v>
      </c>
      <c r="AD215" s="247">
        <f ca="1">IF($AB215="DIRECT","",DAVERAGE('literature entries'!$D:$AI,IF($J215=1,"ACTIVE     GHGE, FARM GATE (kg CO2e/kg)","GHGE, processor gate (kg CO2e/kg)"),INDIRECT($AB215)))</f>
        <v>0.43042331</v>
      </c>
      <c r="AE215" s="247">
        <f ca="1">IF($AB215="DIRECT",$S215,DSTDEV('literature entries'!$D:$AI,IF($J215=1,"ACTIVE     GHGE, FARM GATE (kg CO2e/kg)","GHGE, processor gate (kg CO2e/kg)"),INDIRECT($AB215)))</f>
        <v>7.2682317360146784E-2</v>
      </c>
      <c r="AF215" s="247">
        <f t="shared" ca="1" si="31"/>
        <v>6.04357630297662E-2</v>
      </c>
    </row>
    <row r="216" spans="1:32" s="21" customFormat="1" ht="17" thickBot="1" x14ac:dyDescent="0.25">
      <c r="A216" s="129">
        <v>1500401000</v>
      </c>
      <c r="B216" s="130" t="s">
        <v>2351</v>
      </c>
      <c r="C216" s="131" t="s">
        <v>2084</v>
      </c>
      <c r="D216" s="131" t="s">
        <v>2352</v>
      </c>
      <c r="E216" s="131">
        <v>16047</v>
      </c>
      <c r="F216" s="126">
        <f t="shared" ca="1" si="28"/>
        <v>2.2353750000000003</v>
      </c>
      <c r="G216" s="127">
        <f t="shared" ca="1" si="29"/>
        <v>0.3467578947368421</v>
      </c>
      <c r="H216" s="132">
        <v>1</v>
      </c>
      <c r="I216" s="133" t="s">
        <v>2724</v>
      </c>
      <c r="J216" s="91">
        <v>1</v>
      </c>
      <c r="K216" s="90"/>
      <c r="L216" s="152" t="str">
        <f>IF(ISERROR(GETPIVOTDATA(IF($J216=1,"Count of ACTIVE     CED, FARM GATE (MJ/kg)","Count of CED, processor gate (MJ/kg)"),'Pivot Table_CED'!$A$3,"SUB TYPE",$B216)),"PROXY",IF(GETPIVOTDATA(IF($J216=1,"Count of ACTIVE     CED, FARM GATE (MJ/kg)","Count of CED, processor gate (MJ/kg)"),'Pivot Table_CED'!$A$3,"SUB TYPE",$B216)=0,"PROXY","DB value"))</f>
        <v>DB value</v>
      </c>
      <c r="M216" s="134">
        <f ca="1">IF($L216="PROXY",DCOUNT('literature entries'!$D:$AI,IF($J216=1,"ACTIVE     CED, FARM GATE (MJ/kg)","CED, processor gate (MJ/kg)"),INDIRECT($K216)),GETPIVOTDATA(IF($J216=1,"Count of ACTIVE     CED, FARM GATE (MJ/kg)","Count of CED, processor gate (MJ/kg)"),'Pivot Table_CED'!$A$3,"SUB TYPE",$B216))</f>
        <v>8</v>
      </c>
      <c r="N216" s="135">
        <f ca="1">IF($L216="PROXY",DAVERAGE('literature entries'!$D:$AI,IF($J216=1,"ACTIVE     CED, FARM GATE (MJ/kg)","CED, processor gate (MJ/kg)"),INDIRECT($K216)),GETPIVOTDATA(IF($J216=1,"Average of ACTIVE     CED, FARM GATE (MJ/kg)","Average of CED, processor gate (MJ/kg)"),'Pivot Table_CED'!$A$3,"SUB TYPE",$B216))</f>
        <v>2.2353750000000003</v>
      </c>
      <c r="O216" s="135">
        <f ca="1">IF($L216="PROXY",DSTDEV('literature entries'!D:AI,IF($J216=1,"ACTIVE     CED, FARM GATE (MJ/kg)","CED, processor gate (MJ/kg)"),INDIRECT($K216)),GETPIVOTDATA(IF($J216=1,"StdDev of ACTIVE     CED, FARM GATE (MJ/kg)","StdDev of CED, processor gate (MJ/kg)"),'Pivot Table_CED'!$A$3,"SUB TYPE",$B216))</f>
        <v>1.0285647333611454</v>
      </c>
      <c r="P216" s="152" t="str">
        <f>IF(ISERROR(GETPIVOTDATA(IF($J216=1,"Count of ACTIVE     GHGE, FARM GATE (kg CO2e/kg)","Count of GHGE, processor gate (kg CO2e/kg)"),'Pivot Table_GHG'!$A$3,"SUB TYPE",$B216)),"PROXY",IF(GETPIVOTDATA(IF($J216=1,"Count of ACTIVE     GHGE, FARM GATE (kg CO2e/kg)","Count of GHGE, processor gate (kg CO2e/kg)"),'Pivot Table_GHG'!$A$3,"SUB TYPE",$B216)=0,"PROXY","DB value"))</f>
        <v>DB value</v>
      </c>
      <c r="Q216" s="141">
        <f ca="1">IF($P216="PROXY",DCOUNT('literature entries'!$D:$AI,IF($J216=1,"ACTIVE     GHGE, FARM GATE (kg CO2e/kg)","GHGE, processor gate (kg CO2e/kg)"),INDIRECT($K216)),GETPIVOTDATA(IF($J216=1,"ACTIVE     GHGE, FARM GATE (kg CO2e/kg)","Count of GHGE, processor gate (kg CO2e/kg)"),'Pivot Table_GHG'!$A$3,"SUB TYPE",$B216))</f>
        <v>19</v>
      </c>
      <c r="R216" s="221">
        <f ca="1">IF($P216="PROXY",DAVERAGE('literature entries'!$D:$AI,IF($J216=1,"ACTIVE     GHGE, FARM GATE (kg CO2e/kg)","GHGE, processor gate (kg CO2e/kg)"),INDIRECT($K216)),GETPIVOTDATA(IF($J216=1,"Average of ACTIVE     GHGE, FARM GATE (kg CO2e/kg)","Average of GHGE, processor gate (kg CO2e/kg)"),'Pivot Table_GHG'!$A$3,"SUB TYPE",$B216))</f>
        <v>0.3467578947368421</v>
      </c>
      <c r="S216" s="221">
        <f ca="1">IF($P216="PROXY",DSTDEV('literature entries'!$D:$AI,IF($J216=1,"ACTIVE     GHGE, FARM GATE (kg CO2e/kg)","GHGE, processor gate (kg CO2e/kg)"),INDIRECT($K216)),GETPIVOTDATA(IF($J216=1,"StdDev of ACTIVE     GHGE, FARM GATE (kg CO2e/kg)","StdDev of GHGE, processor gate (kg CO2e/kg)"),'Pivot Table_GHG'!$A$3,"SUB TYPE",$B216))</f>
        <v>0.1880892882406576</v>
      </c>
      <c r="T216" s="101"/>
      <c r="U216" s="102"/>
      <c r="W216" s="248" t="str">
        <f ca="1">IF(L216="PROXY",IF(M216&gt;=5,K216,"need group"),IF(M216&gt;=5,"DIRECT","need group"))</f>
        <v>DIRECT</v>
      </c>
      <c r="X216" s="246">
        <f ca="1">IF($W216="DIRECT",M216,DCOUNT('literature entries'!$D:$AI,IF($J216=1,"ACTIVE     CED, FARM GATE (MJ/kg)","CED, processor gate (MJ/kg)"),INDIRECT($W216)))</f>
        <v>8</v>
      </c>
      <c r="Y216" s="246" t="str">
        <f ca="1">IF($W216="DIRECT","",DAVERAGE('literature entries'!$D:$AI,IF($J216=1,"ACTIVE     CED, FARM GATE (MJ/kg)","CED, processor gate (MJ/kg)"),INDIRECT($W216)))</f>
        <v/>
      </c>
      <c r="Z216" s="246">
        <f ca="1">IF($W216="DIRECT",$O216,DSTDEV('literature entries'!$D:$AI,IF($J216=1,"ACTIVE     CED, FARM GATE (MJ/kg)","CED, processor gate (MJ/kg)"),INDIRECT($W216)))</f>
        <v>1.0285647333611454</v>
      </c>
      <c r="AA216" s="246">
        <f t="shared" ca="1" si="30"/>
        <v>1.0285647333611454</v>
      </c>
      <c r="AB216" s="254" t="str">
        <f ca="1">IF(P216="PROXY",IF(Q216&gt;=5,K216,"need group"),IF(Q216&gt;=5,"DIRECT","need group"))</f>
        <v>DIRECT</v>
      </c>
      <c r="AC216" s="247">
        <f ca="1">IF($AB216="DIRECT",Q216,DCOUNT('literature entries'!$D:$AI,IF($J216=1,"ACTIVE     GHGE, FARM GATE (kg CO2e/kg)","GHGE, processor gate (kg CO2e/kg)"),INDIRECT($AB216)))</f>
        <v>19</v>
      </c>
      <c r="AD216" s="247" t="str">
        <f ca="1">IF($AB216="DIRECT","",DAVERAGE('literature entries'!$D:$AI,IF($J216=1,"ACTIVE     GHGE, FARM GATE (kg CO2e/kg)","GHGE, processor gate (kg CO2e/kg)"),INDIRECT($AB216)))</f>
        <v/>
      </c>
      <c r="AE216" s="247">
        <f ca="1">IF($AB216="DIRECT",$S216,DSTDEV('literature entries'!$D:$AI,IF($J216=1,"ACTIVE     GHGE, FARM GATE (kg CO2e/kg)","GHGE, processor gate (kg CO2e/kg)"),INDIRECT($AB216)))</f>
        <v>0.1880892882406576</v>
      </c>
      <c r="AF216" s="247">
        <f t="shared" ca="1" si="31"/>
        <v>0.1880892882406576</v>
      </c>
    </row>
    <row r="217" spans="1:32" s="21" customFormat="1" ht="17" thickBot="1" x14ac:dyDescent="0.25">
      <c r="A217" s="129">
        <v>1500402000</v>
      </c>
      <c r="B217" s="130" t="s">
        <v>2348</v>
      </c>
      <c r="C217" s="131" t="s">
        <v>1754</v>
      </c>
      <c r="D217" s="131"/>
      <c r="E217" s="131">
        <v>49993</v>
      </c>
      <c r="F217" s="126">
        <f t="shared" ca="1" si="28"/>
        <v>2.3743276000000004</v>
      </c>
      <c r="G217" s="127">
        <f t="shared" ca="1" si="29"/>
        <v>0.35789944666666668</v>
      </c>
      <c r="H217" s="132">
        <v>1</v>
      </c>
      <c r="I217" s="133" t="s">
        <v>594</v>
      </c>
      <c r="J217" s="91">
        <v>2</v>
      </c>
      <c r="K217" s="90"/>
      <c r="L217" s="152" t="str">
        <f>IF(ISERROR(GETPIVOTDATA(IF($J217=1,"Count of ACTIVE     CED, FARM GATE (MJ/kg)","Count of CED, processor gate (MJ/kg)"),'Pivot Table_CED'!$A$3,"SUB TYPE",$B217)),"PROXY",IF(GETPIVOTDATA(IF($J217=1,"Count of ACTIVE     CED, FARM GATE (MJ/kg)","Count of CED, processor gate (MJ/kg)"),'Pivot Table_CED'!$A$3,"SUB TYPE",$B217)=0,"PROXY","DB value"))</f>
        <v>DB value</v>
      </c>
      <c r="M217" s="134">
        <f ca="1">IF($L217="PROXY",DCOUNT('literature entries'!$D:$AI,IF($J217=1,"ACTIVE     CED, FARM GATE (MJ/kg)","CED, processor gate (MJ/kg)"),INDIRECT($K217)),GETPIVOTDATA(IF($J217=1,"Count of ACTIVE     CED, FARM GATE (MJ/kg)","Count of CED, processor gate (MJ/kg)"),'Pivot Table_CED'!$A$3,"SUB TYPE",$B217))</f>
        <v>3</v>
      </c>
      <c r="N217" s="135">
        <f ca="1">IF($L217="PROXY",DAVERAGE('literature entries'!$D:$AI,IF($J217=1,"ACTIVE     CED, FARM GATE (MJ/kg)","CED, processor gate (MJ/kg)"),INDIRECT($K217)),GETPIVOTDATA(IF($J217=1,"Average of ACTIVE     CED, FARM GATE (MJ/kg)","Average of CED, processor gate (MJ/kg)"),'Pivot Table_CED'!$A$3,"SUB TYPE",$B217))</f>
        <v>2.3743276000000004</v>
      </c>
      <c r="O217" s="135">
        <f ca="1">IF($L217="PROXY",DSTDEV('literature entries'!D:AI,IF($J217=1,"ACTIVE     CED, FARM GATE (MJ/kg)","CED, processor gate (MJ/kg)"),INDIRECT($K217)),GETPIVOTDATA(IF($J217=1,"StdDev of ACTIVE     CED, FARM GATE (MJ/kg)","StdDev of CED, processor gate (MJ/kg)"),'Pivot Table_CED'!$A$3,"SUB TYPE",$B217))</f>
        <v>0.14835091570707604</v>
      </c>
      <c r="P217" s="152" t="str">
        <f>IF(ISERROR(GETPIVOTDATA(IF($J217=1,"Count of ACTIVE     GHGE, FARM GATE (kg CO2e/kg)","Count of GHGE, processor gate (kg CO2e/kg)"),'Pivot Table_GHG'!$A$3,"SUB TYPE",$B217)),"PROXY",IF(GETPIVOTDATA(IF($J217=1,"Count of ACTIVE     GHGE, FARM GATE (kg CO2e/kg)","Count of GHGE, processor gate (kg CO2e/kg)"),'Pivot Table_GHG'!$A$3,"SUB TYPE",$B217)=0,"PROXY","DB value"))</f>
        <v>DB value</v>
      </c>
      <c r="Q217" s="141">
        <f ca="1">IF($P217="PROXY",DCOUNT('literature entries'!$D:$AI,IF($J217=1,"ACTIVE     GHGE, FARM GATE (kg CO2e/kg)","GHGE, processor gate (kg CO2e/kg)"),INDIRECT($K217)),GETPIVOTDATA(IF($J217=1,"ACTIVE     GHGE, FARM GATE (kg CO2e/kg)","Count of GHGE, processor gate (kg CO2e/kg)"),'Pivot Table_GHG'!$A$3,"SUB TYPE",$B217))</f>
        <v>3</v>
      </c>
      <c r="R217" s="221">
        <f ca="1">IF($P217="PROXY",DAVERAGE('literature entries'!$D:$AI,IF($J217=1,"ACTIVE     GHGE, FARM GATE (kg CO2e/kg)","GHGE, processor gate (kg CO2e/kg)"),INDIRECT($K217)),GETPIVOTDATA(IF($J217=1,"Average of ACTIVE     GHGE, FARM GATE (kg CO2e/kg)","Average of GHGE, processor gate (kg CO2e/kg)"),'Pivot Table_GHG'!$A$3,"SUB TYPE",$B217))</f>
        <v>0.35789944666666668</v>
      </c>
      <c r="S217" s="221">
        <f ca="1">IF($P217="PROXY",DSTDEV('literature entries'!$D:$AI,IF($J217=1,"ACTIVE     GHGE, FARM GATE (kg CO2e/kg)","GHGE, processor gate (kg CO2e/kg)"),INDIRECT($K217)),GETPIVOTDATA(IF($J217=1,"StdDev of ACTIVE     GHGE, FARM GATE (kg CO2e/kg)","StdDev of GHGE, processor gate (kg CO2e/kg)"),'Pivot Table_GHG'!$A$3,"SUB TYPE",$B217))</f>
        <v>1.0699711970936575E-2</v>
      </c>
      <c r="T217" s="101"/>
      <c r="U217" s="102"/>
      <c r="W217" s="248" t="s">
        <v>3358</v>
      </c>
      <c r="X217" s="246">
        <f ca="1">IF($W217="DIRECT",M217,DCOUNT('literature entries'!$D:$AI,IF($J217=1,"ACTIVE     CED, FARM GATE (MJ/kg)","CED, processor gate (MJ/kg)"),INDIRECT($W217)))</f>
        <v>9</v>
      </c>
      <c r="Y217" s="246">
        <f ca="1">IF($W217="DIRECT","",DAVERAGE('literature entries'!$D:$AI,IF($J217=1,"ACTIVE     CED, FARM GATE (MJ/kg)","CED, processor gate (MJ/kg)"),INDIRECT($W217)))</f>
        <v>3.7933851999999999</v>
      </c>
      <c r="Z217" s="246">
        <f ca="1">IF($W217="DIRECT",$O217,DSTDEV('literature entries'!$D:$AI,IF($J217=1,"ACTIVE     CED, FARM GATE (MJ/kg)","CED, processor gate (MJ/kg)"),INDIRECT($W217)))</f>
        <v>1.2312612173276687</v>
      </c>
      <c r="AA217" s="246">
        <f t="shared" ca="1" si="30"/>
        <v>0.7706619119805399</v>
      </c>
      <c r="AB217" s="254" t="s">
        <v>3358</v>
      </c>
      <c r="AC217" s="247">
        <f ca="1">IF($AB217="DIRECT",Q217,DCOUNT('literature entries'!$D:$AI,IF($J217=1,"ACTIVE     GHGE, FARM GATE (kg CO2e/kg)","GHGE, processor gate (kg CO2e/kg)"),INDIRECT($AB217)))</f>
        <v>9</v>
      </c>
      <c r="AD217" s="247">
        <f ca="1">IF($AB217="DIRECT","",DAVERAGE('literature entries'!$D:$AI,IF($J217=1,"ACTIVE     GHGE, FARM GATE (kg CO2e/kg)","GHGE, processor gate (kg CO2e/kg)"),INDIRECT($AB217)))</f>
        <v>0.43042331</v>
      </c>
      <c r="AE217" s="247">
        <f ca="1">IF($AB217="DIRECT",$S217,DSTDEV('literature entries'!$D:$AI,IF($J217=1,"ACTIVE     GHGE, FARM GATE (kg CO2e/kg)","GHGE, processor gate (kg CO2e/kg)"),INDIRECT($AB217)))</f>
        <v>7.2682317360146784E-2</v>
      </c>
      <c r="AF217" s="247">
        <f t="shared" ca="1" si="31"/>
        <v>6.04357630297662E-2</v>
      </c>
    </row>
    <row r="218" spans="1:32" s="21" customFormat="1" ht="17" thickBot="1" x14ac:dyDescent="0.25">
      <c r="A218" s="129">
        <v>1500403000</v>
      </c>
      <c r="B218" s="130" t="s">
        <v>2349</v>
      </c>
      <c r="C218" s="131" t="s">
        <v>2350</v>
      </c>
      <c r="D218" s="131"/>
      <c r="E218" s="131">
        <v>2448</v>
      </c>
      <c r="F218" s="126">
        <f t="shared" ca="1" si="28"/>
        <v>2.3743276000000004</v>
      </c>
      <c r="G218" s="127">
        <f t="shared" ca="1" si="29"/>
        <v>0.35789944666666668</v>
      </c>
      <c r="H218" s="132">
        <v>1</v>
      </c>
      <c r="I218" s="133" t="s">
        <v>2724</v>
      </c>
      <c r="J218" s="91">
        <v>2</v>
      </c>
      <c r="K218" s="90" t="s">
        <v>3283</v>
      </c>
      <c r="L218" s="152" t="str">
        <f>IF(ISERROR(GETPIVOTDATA(IF($J218=1,"Count of ACTIVE     CED, FARM GATE (MJ/kg)","Count of CED, processor gate (MJ/kg)"),'Pivot Table_CED'!$A$3,"SUB TYPE",$B218)),"PROXY",IF(GETPIVOTDATA(IF($J218=1,"Count of ACTIVE     CED, FARM GATE (MJ/kg)","Count of CED, processor gate (MJ/kg)"),'Pivot Table_CED'!$A$3,"SUB TYPE",$B218)=0,"PROXY","DB value"))</f>
        <v>PROXY</v>
      </c>
      <c r="M218" s="134">
        <f ca="1">IF($L218="PROXY",DCOUNT('literature entries'!$D:$AI,IF($J218=1,"ACTIVE     CED, FARM GATE (MJ/kg)","CED, processor gate (MJ/kg)"),INDIRECT($K218)),GETPIVOTDATA(IF($J218=1,"Count of ACTIVE     CED, FARM GATE (MJ/kg)","Count of CED, processor gate (MJ/kg)"),'Pivot Table_CED'!$A$3,"SUB TYPE",$B218))</f>
        <v>3</v>
      </c>
      <c r="N218" s="135">
        <f ca="1">IF($L218="PROXY",DAVERAGE('literature entries'!$D:$AI,IF($J218=1,"ACTIVE     CED, FARM GATE (MJ/kg)","CED, processor gate (MJ/kg)"),INDIRECT($K218)),GETPIVOTDATA(IF($J218=1,"Average of ACTIVE     CED, FARM GATE (MJ/kg)","Average of CED, processor gate (MJ/kg)"),'Pivot Table_CED'!$A$3,"SUB TYPE",$B218))</f>
        <v>2.3743276000000004</v>
      </c>
      <c r="O218" s="135">
        <f ca="1">IF($L218="PROXY",DSTDEV('literature entries'!D:AI,IF($J218=1,"ACTIVE     CED, FARM GATE (MJ/kg)","CED, processor gate (MJ/kg)"),INDIRECT($K218)),GETPIVOTDATA(IF($J218=1,"StdDev of ACTIVE     CED, FARM GATE (MJ/kg)","StdDev of CED, processor gate (MJ/kg)"),'Pivot Table_CED'!$A$3,"SUB TYPE",$B218))</f>
        <v>0.14835091570708298</v>
      </c>
      <c r="P218" s="152" t="str">
        <f>IF(ISERROR(GETPIVOTDATA(IF($J218=1,"Count of ACTIVE     GHGE, FARM GATE (kg CO2e/kg)","Count of GHGE, processor gate (kg CO2e/kg)"),'Pivot Table_GHG'!$A$3,"SUB TYPE",$B218)),"PROXY",IF(GETPIVOTDATA(IF($J218=1,"Count of ACTIVE     GHGE, FARM GATE (kg CO2e/kg)","Count of GHGE, processor gate (kg CO2e/kg)"),'Pivot Table_GHG'!$A$3,"SUB TYPE",$B218)=0,"PROXY","DB value"))</f>
        <v>PROXY</v>
      </c>
      <c r="Q218" s="141">
        <f ca="1">IF($P218="PROXY",DCOUNT('literature entries'!$D:$AI,IF($J218=1,"ACTIVE     GHGE, FARM GATE (kg CO2e/kg)","GHGE, processor gate (kg CO2e/kg)"),INDIRECT($K218)),GETPIVOTDATA(IF($J218=1,"ACTIVE     GHGE, FARM GATE (kg CO2e/kg)","Count of GHGE, processor gate (kg CO2e/kg)"),'Pivot Table_GHG'!$A$3,"SUB TYPE",$B218))</f>
        <v>3</v>
      </c>
      <c r="R218" s="221">
        <f ca="1">IF($P218="PROXY",DAVERAGE('literature entries'!$D:$AI,IF($J218=1,"ACTIVE     GHGE, FARM GATE (kg CO2e/kg)","GHGE, processor gate (kg CO2e/kg)"),INDIRECT($K218)),GETPIVOTDATA(IF($J218=1,"Average of ACTIVE     GHGE, FARM GATE (kg CO2e/kg)","Average of GHGE, processor gate (kg CO2e/kg)"),'Pivot Table_GHG'!$A$3,"SUB TYPE",$B218))</f>
        <v>0.35789944666666668</v>
      </c>
      <c r="S218" s="221">
        <f ca="1">IF($P218="PROXY",DSTDEV('literature entries'!$D:$AI,IF($J218=1,"ACTIVE     GHGE, FARM GATE (kg CO2e/kg)","GHGE, processor gate (kg CO2e/kg)"),INDIRECT($K218)),GETPIVOTDATA(IF($J218=1,"StdDev of ACTIVE     GHGE, FARM GATE (kg CO2e/kg)","StdDev of GHGE, processor gate (kg CO2e/kg)"),'Pivot Table_GHG'!$A$3,"SUB TYPE",$B218))</f>
        <v>1.0699711970937975E-2</v>
      </c>
      <c r="T218" s="101"/>
      <c r="U218" s="102"/>
      <c r="W218" s="248" t="s">
        <v>3358</v>
      </c>
      <c r="X218" s="246">
        <f ca="1">IF($W218="DIRECT",M218,DCOUNT('literature entries'!$D:$AI,IF($J218=1,"ACTIVE     CED, FARM GATE (MJ/kg)","CED, processor gate (MJ/kg)"),INDIRECT($W218)))</f>
        <v>9</v>
      </c>
      <c r="Y218" s="246">
        <f ca="1">IF($W218="DIRECT","",DAVERAGE('literature entries'!$D:$AI,IF($J218=1,"ACTIVE     CED, FARM GATE (MJ/kg)","CED, processor gate (MJ/kg)"),INDIRECT($W218)))</f>
        <v>3.7933851999999999</v>
      </c>
      <c r="Z218" s="246">
        <f ca="1">IF($W218="DIRECT",$O218,DSTDEV('literature entries'!$D:$AI,IF($J218=1,"ACTIVE     CED, FARM GATE (MJ/kg)","CED, processor gate (MJ/kg)"),INDIRECT($W218)))</f>
        <v>1.2312612173276687</v>
      </c>
      <c r="AA218" s="246">
        <f t="shared" ca="1" si="30"/>
        <v>0.7706619119805399</v>
      </c>
      <c r="AB218" s="254" t="s">
        <v>3358</v>
      </c>
      <c r="AC218" s="247">
        <f ca="1">IF($AB218="DIRECT",Q218,DCOUNT('literature entries'!$D:$AI,IF($J218=1,"ACTIVE     GHGE, FARM GATE (kg CO2e/kg)","GHGE, processor gate (kg CO2e/kg)"),INDIRECT($AB218)))</f>
        <v>9</v>
      </c>
      <c r="AD218" s="247">
        <f ca="1">IF($AB218="DIRECT","",DAVERAGE('literature entries'!$D:$AI,IF($J218=1,"ACTIVE     GHGE, FARM GATE (kg CO2e/kg)","GHGE, processor gate (kg CO2e/kg)"),INDIRECT($AB218)))</f>
        <v>0.43042331</v>
      </c>
      <c r="AE218" s="247">
        <f ca="1">IF($AB218="DIRECT",$S218,DSTDEV('literature entries'!$D:$AI,IF($J218=1,"ACTIVE     GHGE, FARM GATE (kg CO2e/kg)","GHGE, processor gate (kg CO2e/kg)"),INDIRECT($AB218)))</f>
        <v>7.2682317360146784E-2</v>
      </c>
      <c r="AF218" s="247">
        <f t="shared" ca="1" si="31"/>
        <v>6.04357630297662E-2</v>
      </c>
    </row>
    <row r="219" spans="1:32" s="21" customFormat="1" ht="17" thickBot="1" x14ac:dyDescent="0.25">
      <c r="A219" s="129">
        <v>1500404000</v>
      </c>
      <c r="B219" s="130" t="s">
        <v>2347</v>
      </c>
      <c r="C219" s="131" t="s">
        <v>1774</v>
      </c>
      <c r="D219" s="131"/>
      <c r="E219" s="131">
        <v>10250</v>
      </c>
      <c r="F219" s="126">
        <f t="shared" ca="1" si="28"/>
        <v>2.3743276000000004</v>
      </c>
      <c r="G219" s="127">
        <f t="shared" ca="1" si="29"/>
        <v>0.35789944666666668</v>
      </c>
      <c r="H219" s="132">
        <v>1</v>
      </c>
      <c r="I219" s="133" t="s">
        <v>2724</v>
      </c>
      <c r="J219" s="91">
        <v>2</v>
      </c>
      <c r="K219" s="90" t="s">
        <v>3283</v>
      </c>
      <c r="L219" s="152" t="str">
        <f>IF(ISERROR(GETPIVOTDATA(IF($J219=1,"Count of ACTIVE     CED, FARM GATE (MJ/kg)","Count of CED, processor gate (MJ/kg)"),'Pivot Table_CED'!$A$3,"SUB TYPE",$B219)),"PROXY",IF(GETPIVOTDATA(IF($J219=1,"Count of ACTIVE     CED, FARM GATE (MJ/kg)","Count of CED, processor gate (MJ/kg)"),'Pivot Table_CED'!$A$3,"SUB TYPE",$B219)=0,"PROXY","DB value"))</f>
        <v>PROXY</v>
      </c>
      <c r="M219" s="134">
        <f ca="1">IF($L219="PROXY",DCOUNT('literature entries'!$D:$AI,IF($J219=1,"ACTIVE     CED, FARM GATE (MJ/kg)","CED, processor gate (MJ/kg)"),INDIRECT($K219)),GETPIVOTDATA(IF($J219=1,"Count of ACTIVE     CED, FARM GATE (MJ/kg)","Count of CED, processor gate (MJ/kg)"),'Pivot Table_CED'!$A$3,"SUB TYPE",$B219))</f>
        <v>3</v>
      </c>
      <c r="N219" s="135">
        <f ca="1">IF($L219="PROXY",DAVERAGE('literature entries'!$D:$AI,IF($J219=1,"ACTIVE     CED, FARM GATE (MJ/kg)","CED, processor gate (MJ/kg)"),INDIRECT($K219)),GETPIVOTDATA(IF($J219=1,"Average of ACTIVE     CED, FARM GATE (MJ/kg)","Average of CED, processor gate (MJ/kg)"),'Pivot Table_CED'!$A$3,"SUB TYPE",$B219))</f>
        <v>2.3743276000000004</v>
      </c>
      <c r="O219" s="135">
        <f ca="1">IF($L219="PROXY",DSTDEV('literature entries'!D:AI,IF($J219=1,"ACTIVE     CED, FARM GATE (MJ/kg)","CED, processor gate (MJ/kg)"),INDIRECT($K219)),GETPIVOTDATA(IF($J219=1,"StdDev of ACTIVE     CED, FARM GATE (MJ/kg)","StdDev of CED, processor gate (MJ/kg)"),'Pivot Table_CED'!$A$3,"SUB TYPE",$B219))</f>
        <v>0.14835091570708298</v>
      </c>
      <c r="P219" s="152" t="str">
        <f>IF(ISERROR(GETPIVOTDATA(IF($J219=1,"Count of ACTIVE     GHGE, FARM GATE (kg CO2e/kg)","Count of GHGE, processor gate (kg CO2e/kg)"),'Pivot Table_GHG'!$A$3,"SUB TYPE",$B219)),"PROXY",IF(GETPIVOTDATA(IF($J219=1,"Count of ACTIVE     GHGE, FARM GATE (kg CO2e/kg)","Count of GHGE, processor gate (kg CO2e/kg)"),'Pivot Table_GHG'!$A$3,"SUB TYPE",$B219)=0,"PROXY","DB value"))</f>
        <v>PROXY</v>
      </c>
      <c r="Q219" s="141">
        <f ca="1">IF($P219="PROXY",DCOUNT('literature entries'!$D:$AI,IF($J219=1,"ACTIVE     GHGE, FARM GATE (kg CO2e/kg)","GHGE, processor gate (kg CO2e/kg)"),INDIRECT($K219)),GETPIVOTDATA(IF($J219=1,"ACTIVE     GHGE, FARM GATE (kg CO2e/kg)","Count of GHGE, processor gate (kg CO2e/kg)"),'Pivot Table_GHG'!$A$3,"SUB TYPE",$B219))</f>
        <v>3</v>
      </c>
      <c r="R219" s="221">
        <f ca="1">IF($P219="PROXY",DAVERAGE('literature entries'!$D:$AI,IF($J219=1,"ACTIVE     GHGE, FARM GATE (kg CO2e/kg)","GHGE, processor gate (kg CO2e/kg)"),INDIRECT($K219)),GETPIVOTDATA(IF($J219=1,"Average of ACTIVE     GHGE, FARM GATE (kg CO2e/kg)","Average of GHGE, processor gate (kg CO2e/kg)"),'Pivot Table_GHG'!$A$3,"SUB TYPE",$B219))</f>
        <v>0.35789944666666668</v>
      </c>
      <c r="S219" s="221">
        <f ca="1">IF($P219="PROXY",DSTDEV('literature entries'!$D:$AI,IF($J219=1,"ACTIVE     GHGE, FARM GATE (kg CO2e/kg)","GHGE, processor gate (kg CO2e/kg)"),INDIRECT($K219)),GETPIVOTDATA(IF($J219=1,"StdDev of ACTIVE     GHGE, FARM GATE (kg CO2e/kg)","StdDev of GHGE, processor gate (kg CO2e/kg)"),'Pivot Table_GHG'!$A$3,"SUB TYPE",$B219))</f>
        <v>1.0699711970937975E-2</v>
      </c>
      <c r="T219" s="101"/>
      <c r="U219" s="102"/>
      <c r="W219" s="248" t="s">
        <v>3358</v>
      </c>
      <c r="X219" s="246">
        <f ca="1">IF($W219="DIRECT",M219,DCOUNT('literature entries'!$D:$AI,IF($J219=1,"ACTIVE     CED, FARM GATE (MJ/kg)","CED, processor gate (MJ/kg)"),INDIRECT($W219)))</f>
        <v>9</v>
      </c>
      <c r="Y219" s="246">
        <f ca="1">IF($W219="DIRECT","",DAVERAGE('literature entries'!$D:$AI,IF($J219=1,"ACTIVE     CED, FARM GATE (MJ/kg)","CED, processor gate (MJ/kg)"),INDIRECT($W219)))</f>
        <v>3.7933851999999999</v>
      </c>
      <c r="Z219" s="246">
        <f ca="1">IF($W219="DIRECT",$O219,DSTDEV('literature entries'!$D:$AI,IF($J219=1,"ACTIVE     CED, FARM GATE (MJ/kg)","CED, processor gate (MJ/kg)"),INDIRECT($W219)))</f>
        <v>1.2312612173276687</v>
      </c>
      <c r="AA219" s="246">
        <f t="shared" ca="1" si="30"/>
        <v>0.7706619119805399</v>
      </c>
      <c r="AB219" s="254" t="s">
        <v>3358</v>
      </c>
      <c r="AC219" s="247">
        <f ca="1">IF($AB219="DIRECT",Q219,DCOUNT('literature entries'!$D:$AI,IF($J219=1,"ACTIVE     GHGE, FARM GATE (kg CO2e/kg)","GHGE, processor gate (kg CO2e/kg)"),INDIRECT($AB219)))</f>
        <v>9</v>
      </c>
      <c r="AD219" s="247">
        <f ca="1">IF($AB219="DIRECT","",DAVERAGE('literature entries'!$D:$AI,IF($J219=1,"ACTIVE     GHGE, FARM GATE (kg CO2e/kg)","GHGE, processor gate (kg CO2e/kg)"),INDIRECT($AB219)))</f>
        <v>0.43042331</v>
      </c>
      <c r="AE219" s="247">
        <f ca="1">IF($AB219="DIRECT",$S219,DSTDEV('literature entries'!$D:$AI,IF($J219=1,"ACTIVE     GHGE, FARM GATE (kg CO2e/kg)","GHGE, processor gate (kg CO2e/kg)"),INDIRECT($AB219)))</f>
        <v>7.2682317360146784E-2</v>
      </c>
      <c r="AF219" s="247">
        <f t="shared" ca="1" si="31"/>
        <v>6.04357630297662E-2</v>
      </c>
    </row>
    <row r="220" spans="1:32" s="21" customFormat="1" ht="17" thickBot="1" x14ac:dyDescent="0.25">
      <c r="A220" s="129">
        <v>1500405000</v>
      </c>
      <c r="B220" s="130" t="s">
        <v>2353</v>
      </c>
      <c r="C220" s="131" t="s">
        <v>2084</v>
      </c>
      <c r="D220" s="131"/>
      <c r="E220" s="131">
        <v>185</v>
      </c>
      <c r="F220" s="126">
        <f t="shared" ca="1" si="28"/>
        <v>6.2229040000000015</v>
      </c>
      <c r="G220" s="127">
        <f t="shared" ca="1" si="29"/>
        <v>1.7710142519944732</v>
      </c>
      <c r="H220" s="132">
        <v>1</v>
      </c>
      <c r="I220" s="133" t="s">
        <v>594</v>
      </c>
      <c r="J220" s="91">
        <v>1</v>
      </c>
      <c r="K220" s="90" t="s">
        <v>3281</v>
      </c>
      <c r="L220" s="152" t="str">
        <f>IF(ISERROR(GETPIVOTDATA(IF($J220=1,"Count of ACTIVE     CED, FARM GATE (MJ/kg)","Count of CED, processor gate (MJ/kg)"),'Pivot Table_CED'!$A$3,"SUB TYPE",$B220)),"PROXY",IF(GETPIVOTDATA(IF($J220=1,"Count of ACTIVE     CED, FARM GATE (MJ/kg)","Count of CED, processor gate (MJ/kg)"),'Pivot Table_CED'!$A$3,"SUB TYPE",$B220)=0,"PROXY","DB value"))</f>
        <v>PROXY</v>
      </c>
      <c r="M220" s="134">
        <f ca="1">IF($L220="PROXY",DCOUNT('literature entries'!$D:$AI,IF($J220=1,"ACTIVE     CED, FARM GATE (MJ/kg)","CED, processor gate (MJ/kg)"),INDIRECT($K220)),GETPIVOTDATA(IF($J220=1,"Count of ACTIVE     CED, FARM GATE (MJ/kg)","Count of CED, processor gate (MJ/kg)"),'Pivot Table_CED'!$A$3,"SUB TYPE",$B220))</f>
        <v>10</v>
      </c>
      <c r="N220" s="135">
        <f ca="1">IF($L220="PROXY",DAVERAGE('literature entries'!$D:$AI,IF($J220=1,"ACTIVE     CED, FARM GATE (MJ/kg)","CED, processor gate (MJ/kg)"),INDIRECT($K220)),GETPIVOTDATA(IF($J220=1,"Average of ACTIVE     CED, FARM GATE (MJ/kg)","Average of CED, processor gate (MJ/kg)"),'Pivot Table_CED'!$A$3,"SUB TYPE",$B220))</f>
        <v>6.2229040000000015</v>
      </c>
      <c r="O220" s="135">
        <f ca="1">IF($L220="PROXY",DSTDEV('literature entries'!D:AI,IF($J220=1,"ACTIVE     CED, FARM GATE (MJ/kg)","CED, processor gate (MJ/kg)"),INDIRECT($K220)),GETPIVOTDATA(IF($J220=1,"StdDev of ACTIVE     CED, FARM GATE (MJ/kg)","StdDev of CED, processor gate (MJ/kg)"),'Pivot Table_CED'!$A$3,"SUB TYPE",$B220))</f>
        <v>2.150052591331967</v>
      </c>
      <c r="P220" s="152" t="str">
        <f>IF(ISERROR(GETPIVOTDATA(IF($J220=1,"Count of ACTIVE     GHGE, FARM GATE (kg CO2e/kg)","Count of GHGE, processor gate (kg CO2e/kg)"),'Pivot Table_GHG'!$A$3,"SUB TYPE",$B220)),"PROXY",IF(GETPIVOTDATA(IF($J220=1,"Count of ACTIVE     GHGE, FARM GATE (kg CO2e/kg)","Count of GHGE, processor gate (kg CO2e/kg)"),'Pivot Table_GHG'!$A$3,"SUB TYPE",$B220)=0,"PROXY","DB value"))</f>
        <v>PROXY</v>
      </c>
      <c r="Q220" s="141">
        <f ca="1">IF($P220="PROXY",DCOUNT('literature entries'!$D:$AI,IF($J220=1,"ACTIVE     GHGE, FARM GATE (kg CO2e/kg)","GHGE, processor gate (kg CO2e/kg)"),INDIRECT($K220)),GETPIVOTDATA(IF($J220=1,"ACTIVE     GHGE, FARM GATE (kg CO2e/kg)","Count of GHGE, processor gate (kg CO2e/kg)"),'Pivot Table_GHG'!$A$3,"SUB TYPE",$B220))</f>
        <v>21</v>
      </c>
      <c r="R220" s="221">
        <f ca="1">IF($P220="PROXY",DAVERAGE('literature entries'!$D:$AI,IF($J220=1,"ACTIVE     GHGE, FARM GATE (kg CO2e/kg)","GHGE, processor gate (kg CO2e/kg)"),INDIRECT($K220)),GETPIVOTDATA(IF($J220=1,"Average of ACTIVE     GHGE, FARM GATE (kg CO2e/kg)","Average of GHGE, processor gate (kg CO2e/kg)"),'Pivot Table_GHG'!$A$3,"SUB TYPE",$B220))</f>
        <v>1.7710142519944732</v>
      </c>
      <c r="S220" s="221">
        <f ca="1">IF($P220="PROXY",DSTDEV('literature entries'!$D:$AI,IF($J220=1,"ACTIVE     GHGE, FARM GATE (kg CO2e/kg)","GHGE, processor gate (kg CO2e/kg)"),INDIRECT($K220)),GETPIVOTDATA(IF($J220=1,"StdDev of ACTIVE     GHGE, FARM GATE (kg CO2e/kg)","StdDev of GHGE, processor gate (kg CO2e/kg)"),'Pivot Table_GHG'!$A$3,"SUB TYPE",$B220))</f>
        <v>1.5854936777487276</v>
      </c>
      <c r="T220" s="101"/>
      <c r="U220" s="102"/>
      <c r="W220" s="248" t="str">
        <f ca="1">IF(L220="PROXY",IF(M220&gt;=5,K220,"need group"),IF(M220&gt;=5,"DIRECT","need group"))</f>
        <v>rice</v>
      </c>
      <c r="X220" s="246">
        <f ca="1">IF($W220="DIRECT",M220,DCOUNT('literature entries'!$D:$AI,IF($J220=1,"ACTIVE     CED, FARM GATE (MJ/kg)","CED, processor gate (MJ/kg)"),INDIRECT($W220)))</f>
        <v>10</v>
      </c>
      <c r="Y220" s="246">
        <f ca="1">IF($W220="DIRECT","",DAVERAGE('literature entries'!$D:$AI,IF($J220=1,"ACTIVE     CED, FARM GATE (MJ/kg)","CED, processor gate (MJ/kg)"),INDIRECT($W220)))</f>
        <v>6.2229040000000015</v>
      </c>
      <c r="Z220" s="246">
        <f ca="1">IF($W220="DIRECT",$O220,DSTDEV('literature entries'!$D:$AI,IF($J220=1,"ACTIVE     CED, FARM GATE (MJ/kg)","CED, processor gate (MJ/kg)"),INDIRECT($W220)))</f>
        <v>2.150052591331967</v>
      </c>
      <c r="AA220" s="246">
        <f t="shared" ca="1" si="30"/>
        <v>2.150052591331967</v>
      </c>
      <c r="AB220" s="254" t="str">
        <f ca="1">IF(P220="PROXY",IF(Q220&gt;=5,K220,"need group"),IF(Q220&gt;=5,"DIRECT","need group"))</f>
        <v>rice</v>
      </c>
      <c r="AC220" s="247">
        <f ca="1">IF($AB220="DIRECT",Q220,DCOUNT('literature entries'!$D:$AI,IF($J220=1,"ACTIVE     GHGE, FARM GATE (kg CO2e/kg)","GHGE, processor gate (kg CO2e/kg)"),INDIRECT($AB220)))</f>
        <v>21</v>
      </c>
      <c r="AD220" s="247">
        <f ca="1">IF($AB220="DIRECT","",DAVERAGE('literature entries'!$D:$AI,IF($J220=1,"ACTIVE     GHGE, FARM GATE (kg CO2e/kg)","GHGE, processor gate (kg CO2e/kg)"),INDIRECT($AB220)))</f>
        <v>1.7710142519944732</v>
      </c>
      <c r="AE220" s="247">
        <f ca="1">IF($AB220="DIRECT",$S220,DSTDEV('literature entries'!$D:$AI,IF($J220=1,"ACTIVE     GHGE, FARM GATE (kg CO2e/kg)","GHGE, processor gate (kg CO2e/kg)"),INDIRECT($AB220)))</f>
        <v>1.5854936777487276</v>
      </c>
      <c r="AF220" s="247">
        <f t="shared" ca="1" si="31"/>
        <v>1.5854936777487276</v>
      </c>
    </row>
    <row r="221" spans="1:32" s="21" customFormat="1" ht="17" thickBot="1" x14ac:dyDescent="0.25">
      <c r="A221" s="129">
        <v>1800002000</v>
      </c>
      <c r="B221" s="130" t="s">
        <v>1725</v>
      </c>
      <c r="C221" s="131" t="s">
        <v>1726</v>
      </c>
      <c r="D221" s="131" t="s">
        <v>1727</v>
      </c>
      <c r="E221" s="131">
        <v>48</v>
      </c>
      <c r="F221" s="126">
        <f t="shared" ca="1" si="28"/>
        <v>8.24</v>
      </c>
      <c r="G221" s="127">
        <f t="shared" ca="1" si="29"/>
        <v>6.25</v>
      </c>
      <c r="H221" s="133">
        <v>1</v>
      </c>
      <c r="I221" s="133" t="s">
        <v>594</v>
      </c>
      <c r="J221" s="91">
        <v>1</v>
      </c>
      <c r="K221" s="90" t="s">
        <v>3280</v>
      </c>
      <c r="L221" s="152" t="str">
        <f>IF(ISERROR(GETPIVOTDATA(IF($J221=1,"Count of ACTIVE     CED, FARM GATE (MJ/kg)","Count of CED, processor gate (MJ/kg)"),'Pivot Table_CED'!$A$3,"SUB TYPE",$B221)),"PROXY",IF(GETPIVOTDATA(IF($J221=1,"Count of ACTIVE     CED, FARM GATE (MJ/kg)","Count of CED, processor gate (MJ/kg)"),'Pivot Table_CED'!$A$3,"SUB TYPE",$B221)=0,"PROXY","DB value"))</f>
        <v>PROXY</v>
      </c>
      <c r="M221" s="134">
        <f ca="1">IF($L221="PROXY",DCOUNT('literature entries'!$D:$AI,IF($J221=1,"ACTIVE     CED, FARM GATE (MJ/kg)","CED, processor gate (MJ/kg)"),INDIRECT($K221)),GETPIVOTDATA(IF($J221=1,"Count of ACTIVE     CED, FARM GATE (MJ/kg)","Count of CED, processor gate (MJ/kg)"),'Pivot Table_CED'!$A$3,"SUB TYPE",$B221))</f>
        <v>1</v>
      </c>
      <c r="N221" s="135">
        <f ca="1">IF($L221="PROXY",DAVERAGE('literature entries'!$D:$AI,IF($J221=1,"ACTIVE     CED, FARM GATE (MJ/kg)","CED, processor gate (MJ/kg)"),INDIRECT($K221)),GETPIVOTDATA(IF($J221=1,"Average of ACTIVE     CED, FARM GATE (MJ/kg)","Average of CED, processor gate (MJ/kg)"),'Pivot Table_CED'!$A$3,"SUB TYPE",$B221))</f>
        <v>8.24</v>
      </c>
      <c r="O221" s="135" t="e">
        <f ca="1">IF($L221="PROXY",DSTDEV('literature entries'!D:AI,IF($J221=1,"ACTIVE     CED, FARM GATE (MJ/kg)","CED, processor gate (MJ/kg)"),INDIRECT($K221)),GETPIVOTDATA(IF($J221=1,"StdDev of ACTIVE     CED, FARM GATE (MJ/kg)","StdDev of CED, processor gate (MJ/kg)"),'Pivot Table_CED'!$A$3,"SUB TYPE",$B221))</f>
        <v>#DIV/0!</v>
      </c>
      <c r="P221" s="152" t="str">
        <f>IF(ISERROR(GETPIVOTDATA(IF($J221=1,"Count of ACTIVE     GHGE, FARM GATE (kg CO2e/kg)","Count of GHGE, processor gate (kg CO2e/kg)"),'Pivot Table_GHG'!$A$3,"SUB TYPE",$B221)),"PROXY",IF(GETPIVOTDATA(IF($J221=1,"Count of ACTIVE     GHGE, FARM GATE (kg CO2e/kg)","Count of GHGE, processor gate (kg CO2e/kg)"),'Pivot Table_GHG'!$A$3,"SUB TYPE",$B221)=0,"PROXY","DB value"))</f>
        <v>PROXY</v>
      </c>
      <c r="Q221" s="141">
        <f ca="1">IF($P221="PROXY",DCOUNT('literature entries'!$D:$AI,IF($J221=1,"ACTIVE     GHGE, FARM GATE (kg CO2e/kg)","GHGE, processor gate (kg CO2e/kg)"),INDIRECT($K221)),GETPIVOTDATA(IF($J221=1,"ACTIVE     GHGE, FARM GATE (kg CO2e/kg)","Count of GHGE, processor gate (kg CO2e/kg)"),'Pivot Table_GHG'!$A$3,"SUB TYPE",$B221))</f>
        <v>1</v>
      </c>
      <c r="R221" s="221">
        <f ca="1">IF($P221="PROXY",DAVERAGE('literature entries'!$D:$AI,IF($J221=1,"ACTIVE     GHGE, FARM GATE (kg CO2e/kg)","GHGE, processor gate (kg CO2e/kg)"),INDIRECT($K221)),GETPIVOTDATA(IF($J221=1,"Average of ACTIVE     GHGE, FARM GATE (kg CO2e/kg)","Average of GHGE, processor gate (kg CO2e/kg)"),'Pivot Table_GHG'!$A$3,"SUB TYPE",$B221))</f>
        <v>6.25</v>
      </c>
      <c r="S221" s="221" t="e">
        <f ca="1">IF($P221="PROXY",DSTDEV('literature entries'!$D:$AI,IF($J221=1,"ACTIVE     GHGE, FARM GATE (kg CO2e/kg)","GHGE, processor gate (kg CO2e/kg)"),INDIRECT($K221)),GETPIVOTDATA(IF($J221=1,"StdDev of ACTIVE     GHGE, FARM GATE (kg CO2e/kg)","StdDev of GHGE, processor gate (kg CO2e/kg)"),'Pivot Table_GHG'!$A$3,"SUB TYPE",$B221))</f>
        <v>#DIV/0!</v>
      </c>
      <c r="T221" s="92"/>
      <c r="U221" s="93"/>
      <c r="W221" s="248" t="s">
        <v>2702</v>
      </c>
      <c r="X221" s="246">
        <f ca="1">IF($W221="DIRECT",M221,DCOUNT('literature entries'!$D:$AI,IF($J221=1,"ACTIVE     CED, FARM GATE (MJ/kg)","CED, processor gate (MJ/kg)"),INDIRECT($W221)))</f>
        <v>31</v>
      </c>
      <c r="Y221" s="246">
        <f ca="1">IF($W221="DIRECT","",DAVERAGE('literature entries'!$D:$AI,IF($J221=1,"ACTIVE     CED, FARM GATE (MJ/kg)","CED, processor gate (MJ/kg)"),INDIRECT($W221)))</f>
        <v>2.5841213096774194</v>
      </c>
      <c r="Z221" s="246">
        <f ca="1">IF($W221="DIRECT",$O221,DSTDEV('literature entries'!$D:$AI,IF($J221=1,"ACTIVE     CED, FARM GATE (MJ/kg)","CED, processor gate (MJ/kg)"),INDIRECT($W221)))</f>
        <v>1.1854190703188778</v>
      </c>
      <c r="AA221" s="246">
        <f t="shared" ca="1" si="30"/>
        <v>3.7799514685504039</v>
      </c>
      <c r="AB221" s="254" t="s">
        <v>2702</v>
      </c>
      <c r="AC221" s="247">
        <f ca="1">IF($AB221="DIRECT",Q221,DCOUNT('literature entries'!$D:$AI,IF($J221=1,"ACTIVE     GHGE, FARM GATE (kg CO2e/kg)","GHGE, processor gate (kg CO2e/kg)"),INDIRECT($AB221)))</f>
        <v>45</v>
      </c>
      <c r="AD221" s="247">
        <f ca="1">IF($AB221="DIRECT","",DAVERAGE('literature entries'!$D:$AI,IF($J221=1,"ACTIVE     GHGE, FARM GATE (kg CO2e/kg)","GHGE, processor gate (kg CO2e/kg)"),INDIRECT($AB221)))</f>
        <v>0.39349345733333324</v>
      </c>
      <c r="AE221" s="247">
        <f ca="1">IF($AB221="DIRECT",$S221,DSTDEV('literature entries'!$D:$AI,IF($J221=1,"ACTIVE     GHGE, FARM GATE (kg CO2e/kg)","GHGE, processor gate (kg CO2e/kg)"),INDIRECT($AB221)))</f>
        <v>0.20361467618492471</v>
      </c>
      <c r="AF221" s="247">
        <f t="shared" ca="1" si="31"/>
        <v>3.2340861136040471</v>
      </c>
    </row>
    <row r="222" spans="1:32" s="21" customFormat="1" ht="17" thickBot="1" x14ac:dyDescent="0.25">
      <c r="A222" s="129">
        <v>1901028000</v>
      </c>
      <c r="B222" s="130" t="s">
        <v>1781</v>
      </c>
      <c r="C222" s="131" t="s">
        <v>1782</v>
      </c>
      <c r="D222" s="131"/>
      <c r="E222" s="131">
        <v>94</v>
      </c>
      <c r="F222" s="126">
        <f t="shared" ca="1" si="28"/>
        <v>1.5507451766666669</v>
      </c>
      <c r="G222" s="127">
        <f t="shared" ca="1" si="29"/>
        <v>0.22093143666666668</v>
      </c>
      <c r="H222" s="133">
        <v>1</v>
      </c>
      <c r="I222" s="133" t="s">
        <v>594</v>
      </c>
      <c r="J222" s="91">
        <v>1</v>
      </c>
      <c r="K222" s="90" t="s">
        <v>893</v>
      </c>
      <c r="L222" s="152" t="str">
        <f>IF(ISERROR(GETPIVOTDATA(IF($J222=1,"Count of ACTIVE     CED, FARM GATE (MJ/kg)","Count of CED, processor gate (MJ/kg)"),'Pivot Table_CED'!$A$3,"SUB TYPE",$B222)),"PROXY",IF(GETPIVOTDATA(IF($J222=1,"Count of ACTIVE     CED, FARM GATE (MJ/kg)","Count of CED, processor gate (MJ/kg)"),'Pivot Table_CED'!$A$3,"SUB TYPE",$B222)=0,"PROXY","DB value"))</f>
        <v>PROXY</v>
      </c>
      <c r="M222" s="134">
        <f ca="1">IF($L222="PROXY",DCOUNT('literature entries'!$D:$AI,IF($J222=1,"ACTIVE     CED, FARM GATE (MJ/kg)","CED, processor gate (MJ/kg)"),INDIRECT($K222)),GETPIVOTDATA(IF($J222=1,"Count of ACTIVE     CED, FARM GATE (MJ/kg)","Count of CED, processor gate (MJ/kg)"),'Pivot Table_CED'!$A$3,"SUB TYPE",$B222))</f>
        <v>3</v>
      </c>
      <c r="N222" s="135">
        <f ca="1">IF($L222="PROXY",DAVERAGE('literature entries'!$D:$AI,IF($J222=1,"ACTIVE     CED, FARM GATE (MJ/kg)","CED, processor gate (MJ/kg)"),INDIRECT($K222)),GETPIVOTDATA(IF($J222=1,"Average of ACTIVE     CED, FARM GATE (MJ/kg)","Average of CED, processor gate (MJ/kg)"),'Pivot Table_CED'!$A$3,"SUB TYPE",$B222))</f>
        <v>1.5507451766666669</v>
      </c>
      <c r="O222" s="135">
        <f ca="1">IF($L222="PROXY",DSTDEV('literature entries'!D:AI,IF($J222=1,"ACTIVE     CED, FARM GATE (MJ/kg)","CED, processor gate (MJ/kg)"),INDIRECT($K222)),GETPIVOTDATA(IF($J222=1,"StdDev of ACTIVE     CED, FARM GATE (MJ/kg)","StdDev of CED, processor gate (MJ/kg)"),'Pivot Table_CED'!$A$3,"SUB TYPE",$B222))</f>
        <v>1.545573713255328</v>
      </c>
      <c r="P222" s="152" t="str">
        <f>IF(ISERROR(GETPIVOTDATA(IF($J222=1,"Count of ACTIVE     GHGE, FARM GATE (kg CO2e/kg)","Count of GHGE, processor gate (kg CO2e/kg)"),'Pivot Table_GHG'!$A$3,"SUB TYPE",$B222)),"PROXY",IF(GETPIVOTDATA(IF($J222=1,"Count of ACTIVE     GHGE, FARM GATE (kg CO2e/kg)","Count of GHGE, processor gate (kg CO2e/kg)"),'Pivot Table_GHG'!$A$3,"SUB TYPE",$B222)=0,"PROXY","DB value"))</f>
        <v>PROXY</v>
      </c>
      <c r="Q222" s="141">
        <f ca="1">IF($P222="PROXY",DCOUNT('literature entries'!$D:$AI,IF($J222=1,"ACTIVE     GHGE, FARM GATE (kg CO2e/kg)","GHGE, processor gate (kg CO2e/kg)"),INDIRECT($K222)),GETPIVOTDATA(IF($J222=1,"ACTIVE     GHGE, FARM GATE (kg CO2e/kg)","Count of GHGE, processor gate (kg CO2e/kg)"),'Pivot Table_GHG'!$A$3,"SUB TYPE",$B222))</f>
        <v>3</v>
      </c>
      <c r="R222" s="221">
        <f ca="1">IF($P222="PROXY",DAVERAGE('literature entries'!$D:$AI,IF($J222=1,"ACTIVE     GHGE, FARM GATE (kg CO2e/kg)","GHGE, processor gate (kg CO2e/kg)"),INDIRECT($K222)),GETPIVOTDATA(IF($J222=1,"Average of ACTIVE     GHGE, FARM GATE (kg CO2e/kg)","Average of GHGE, processor gate (kg CO2e/kg)"),'Pivot Table_GHG'!$A$3,"SUB TYPE",$B222))</f>
        <v>0.22093143666666668</v>
      </c>
      <c r="S222" s="221">
        <f ca="1">IF($P222="PROXY",DSTDEV('literature entries'!$D:$AI,IF($J222=1,"ACTIVE     GHGE, FARM GATE (kg CO2e/kg)","GHGE, processor gate (kg CO2e/kg)"),INDIRECT($K222)),GETPIVOTDATA(IF($J222=1,"StdDev of ACTIVE     GHGE, FARM GATE (kg CO2e/kg)","StdDev of GHGE, processor gate (kg CO2e/kg)"),'Pivot Table_GHG'!$A$3,"SUB TYPE",$B222))</f>
        <v>8.3542949461742316E-2</v>
      </c>
      <c r="T222" s="101"/>
      <c r="U222" s="102"/>
      <c r="W222" s="248" t="s">
        <v>2457</v>
      </c>
      <c r="X222" s="246">
        <f ca="1">IF($W222="DIRECT",M222,DCOUNT('literature entries'!$D:$AI,IF($J222=1,"ACTIVE     CED, FARM GATE (MJ/kg)","CED, processor gate (MJ/kg)"),INDIRECT($W222)))</f>
        <v>10</v>
      </c>
      <c r="Y222" s="246">
        <f ca="1">IF($W222="DIRECT","",DAVERAGE('literature entries'!$D:$AI,IF($J222=1,"ACTIVE     CED, FARM GATE (MJ/kg)","CED, processor gate (MJ/kg)"),INDIRECT($W222)))</f>
        <v>2.5657274700000001</v>
      </c>
      <c r="Z222" s="246">
        <f ca="1">IF($W222="DIRECT",$O222,DSTDEV('literature entries'!$D:$AI,IF($J222=1,"ACTIVE     CED, FARM GATE (MJ/kg)","CED, processor gate (MJ/kg)"),INDIRECT($W222)))</f>
        <v>1.5197673074222315</v>
      </c>
      <c r="AA222" s="246">
        <f t="shared" ca="1" si="30"/>
        <v>0.91855890744339763</v>
      </c>
      <c r="AB222" s="254" t="s">
        <v>2457</v>
      </c>
      <c r="AC222" s="247">
        <f ca="1">IF($AB222="DIRECT",Q222,DCOUNT('literature entries'!$D:$AI,IF($J222=1,"ACTIVE     GHGE, FARM GATE (kg CO2e/kg)","GHGE, processor gate (kg CO2e/kg)"),INDIRECT($AB222)))</f>
        <v>22</v>
      </c>
      <c r="AD222" s="247">
        <f ca="1">IF($AB222="DIRECT","",DAVERAGE('literature entries'!$D:$AI,IF($J222=1,"ACTIVE     GHGE, FARM GATE (kg CO2e/kg)","GHGE, processor gate (kg CO2e/kg)"),INDIRECT($AB222)))</f>
        <v>0.18561974136363635</v>
      </c>
      <c r="AE222" s="247">
        <f ca="1">IF($AB222="DIRECT",$S222,DSTDEV('literature entries'!$D:$AI,IF($J222=1,"ACTIVE     GHGE, FARM GATE (kg CO2e/kg)","GHGE, processor gate (kg CO2e/kg)"),INDIRECT($AB222)))</f>
        <v>9.7833632177637575E-2</v>
      </c>
      <c r="AF222" s="247">
        <f t="shared" ca="1" si="31"/>
        <v>0.11644518386102046</v>
      </c>
    </row>
    <row r="223" spans="1:32" s="21" customFormat="1" ht="17" thickBot="1" x14ac:dyDescent="0.25">
      <c r="A223" s="129">
        <v>1901029000</v>
      </c>
      <c r="B223" s="130" t="s">
        <v>1779</v>
      </c>
      <c r="C223" s="131" t="s">
        <v>1780</v>
      </c>
      <c r="D223" s="131"/>
      <c r="E223" s="131">
        <v>16552</v>
      </c>
      <c r="F223" s="126">
        <f t="shared" ca="1" si="28"/>
        <v>17.509358323446691</v>
      </c>
      <c r="G223" s="127">
        <f t="shared" ca="1" si="29"/>
        <v>2.4945218258396311</v>
      </c>
      <c r="H223" s="136">
        <v>11.290931989924436</v>
      </c>
      <c r="I223" s="133" t="s">
        <v>2737</v>
      </c>
      <c r="J223" s="91">
        <v>1</v>
      </c>
      <c r="K223" s="90" t="s">
        <v>893</v>
      </c>
      <c r="L223" s="152" t="str">
        <f>IF(ISERROR(GETPIVOTDATA(IF($J223=1,"Count of ACTIVE     CED, FARM GATE (MJ/kg)","Count of CED, processor gate (MJ/kg)"),'Pivot Table_CED'!$A$3,"SUB TYPE",$B223)),"PROXY",IF(GETPIVOTDATA(IF($J223=1,"Count of ACTIVE     CED, FARM GATE (MJ/kg)","Count of CED, processor gate (MJ/kg)"),'Pivot Table_CED'!$A$3,"SUB TYPE",$B223)=0,"PROXY","DB value"))</f>
        <v>PROXY</v>
      </c>
      <c r="M223" s="134">
        <f ca="1">IF($L223="PROXY",DCOUNT('literature entries'!$D:$AI,IF($J223=1,"ACTIVE     CED, FARM GATE (MJ/kg)","CED, processor gate (MJ/kg)"),INDIRECT($K223)),GETPIVOTDATA(IF($J223=1,"Count of ACTIVE     CED, FARM GATE (MJ/kg)","Count of CED, processor gate (MJ/kg)"),'Pivot Table_CED'!$A$3,"SUB TYPE",$B223))</f>
        <v>3</v>
      </c>
      <c r="N223" s="135">
        <f ca="1">IF($L223="PROXY",DAVERAGE('literature entries'!$D:$AI,IF($J223=1,"ACTIVE     CED, FARM GATE (MJ/kg)","CED, processor gate (MJ/kg)"),INDIRECT($K223)),GETPIVOTDATA(IF($J223=1,"Average of ACTIVE     CED, FARM GATE (MJ/kg)","Average of CED, processor gate (MJ/kg)"),'Pivot Table_CED'!$A$3,"SUB TYPE",$B223))</f>
        <v>1.5507451766666669</v>
      </c>
      <c r="O223" s="135">
        <f ca="1">IF($L223="PROXY",DSTDEV('literature entries'!D:AI,IF($J223=1,"ACTIVE     CED, FARM GATE (MJ/kg)","CED, processor gate (MJ/kg)"),INDIRECT($K223)),GETPIVOTDATA(IF($J223=1,"StdDev of ACTIVE     CED, FARM GATE (MJ/kg)","StdDev of CED, processor gate (MJ/kg)"),'Pivot Table_CED'!$A$3,"SUB TYPE",$B223))</f>
        <v>1.545573713255328</v>
      </c>
      <c r="P223" s="152" t="str">
        <f>IF(ISERROR(GETPIVOTDATA(IF($J223=1,"Count of ACTIVE     GHGE, FARM GATE (kg CO2e/kg)","Count of GHGE, processor gate (kg CO2e/kg)"),'Pivot Table_GHG'!$A$3,"SUB TYPE",$B223)),"PROXY",IF(GETPIVOTDATA(IF($J223=1,"Count of ACTIVE     GHGE, FARM GATE (kg CO2e/kg)","Count of GHGE, processor gate (kg CO2e/kg)"),'Pivot Table_GHG'!$A$3,"SUB TYPE",$B223)=0,"PROXY","DB value"))</f>
        <v>PROXY</v>
      </c>
      <c r="Q223" s="141">
        <f ca="1">IF($P223="PROXY",DCOUNT('literature entries'!$D:$AI,IF($J223=1,"ACTIVE     GHGE, FARM GATE (kg CO2e/kg)","GHGE, processor gate (kg CO2e/kg)"),INDIRECT($K223)),GETPIVOTDATA(IF($J223=1,"ACTIVE     GHGE, FARM GATE (kg CO2e/kg)","Count of GHGE, processor gate (kg CO2e/kg)"),'Pivot Table_GHG'!$A$3,"SUB TYPE",$B223))</f>
        <v>3</v>
      </c>
      <c r="R223" s="221">
        <f ca="1">IF($P223="PROXY",DAVERAGE('literature entries'!$D:$AI,IF($J223=1,"ACTIVE     GHGE, FARM GATE (kg CO2e/kg)","GHGE, processor gate (kg CO2e/kg)"),INDIRECT($K223)),GETPIVOTDATA(IF($J223=1,"Average of ACTIVE     GHGE, FARM GATE (kg CO2e/kg)","Average of GHGE, processor gate (kg CO2e/kg)"),'Pivot Table_GHG'!$A$3,"SUB TYPE",$B223))</f>
        <v>0.22093143666666668</v>
      </c>
      <c r="S223" s="221">
        <f ca="1">IF($P223="PROXY",DSTDEV('literature entries'!$D:$AI,IF($J223=1,"ACTIVE     GHGE, FARM GATE (kg CO2e/kg)","GHGE, processor gate (kg CO2e/kg)"),INDIRECT($K223)),GETPIVOTDATA(IF($J223=1,"StdDev of ACTIVE     GHGE, FARM GATE (kg CO2e/kg)","StdDev of GHGE, processor gate (kg CO2e/kg)"),'Pivot Table_GHG'!$A$3,"SUB TYPE",$B223))</f>
        <v>8.3542949461742316E-2</v>
      </c>
      <c r="T223" s="101"/>
      <c r="U223" s="102"/>
      <c r="W223" s="248" t="s">
        <v>2457</v>
      </c>
      <c r="X223" s="246">
        <f ca="1">IF($W223="DIRECT",M223,DCOUNT('literature entries'!$D:$AI,IF($J223=1,"ACTIVE     CED, FARM GATE (MJ/kg)","CED, processor gate (MJ/kg)"),INDIRECT($W223)))</f>
        <v>10</v>
      </c>
      <c r="Y223" s="246">
        <f ca="1">IF($W223="DIRECT","",DAVERAGE('literature entries'!$D:$AI,IF($J223=1,"ACTIVE     CED, FARM GATE (MJ/kg)","CED, processor gate (MJ/kg)"),INDIRECT($W223)))</f>
        <v>2.5657274700000001</v>
      </c>
      <c r="Z223" s="246">
        <f ca="1">IF($W223="DIRECT",$O223,DSTDEV('literature entries'!$D:$AI,IF($J223=1,"ACTIVE     CED, FARM GATE (MJ/kg)","CED, processor gate (MJ/kg)"),INDIRECT($W223)))</f>
        <v>1.5197673074222315</v>
      </c>
      <c r="AA223" s="246">
        <f t="shared" ca="1" si="30"/>
        <v>0.91855890744339763</v>
      </c>
      <c r="AB223" s="254" t="s">
        <v>2457</v>
      </c>
      <c r="AC223" s="247">
        <f ca="1">IF($AB223="DIRECT",Q223,DCOUNT('literature entries'!$D:$AI,IF($J223=1,"ACTIVE     GHGE, FARM GATE (kg CO2e/kg)","GHGE, processor gate (kg CO2e/kg)"),INDIRECT($AB223)))</f>
        <v>22</v>
      </c>
      <c r="AD223" s="247">
        <f ca="1">IF($AB223="DIRECT","",DAVERAGE('literature entries'!$D:$AI,IF($J223=1,"ACTIVE     GHGE, FARM GATE (kg CO2e/kg)","GHGE, processor gate (kg CO2e/kg)"),INDIRECT($AB223)))</f>
        <v>0.18561974136363635</v>
      </c>
      <c r="AE223" s="247">
        <f ca="1">IF($AB223="DIRECT",$S223,DSTDEV('literature entries'!$D:$AI,IF($J223=1,"ACTIVE     GHGE, FARM GATE (kg CO2e/kg)","GHGE, processor gate (kg CO2e/kg)"),INDIRECT($AB223)))</f>
        <v>9.7833632177637575E-2</v>
      </c>
      <c r="AF223" s="247">
        <f t="shared" ca="1" si="31"/>
        <v>0.11644518386102046</v>
      </c>
    </row>
    <row r="224" spans="1:32" s="21" customFormat="1" ht="17" thickBot="1" x14ac:dyDescent="0.25">
      <c r="A224" s="129">
        <v>1901184000</v>
      </c>
      <c r="B224" s="130" t="s">
        <v>2031</v>
      </c>
      <c r="C224" s="131" t="s">
        <v>1782</v>
      </c>
      <c r="D224" s="131" t="s">
        <v>2032</v>
      </c>
      <c r="E224" s="131">
        <v>27421</v>
      </c>
      <c r="F224" s="126">
        <f t="shared" ca="1" si="28"/>
        <v>1.5507451766666669</v>
      </c>
      <c r="G224" s="127">
        <f t="shared" ca="1" si="29"/>
        <v>0.22093143666666668</v>
      </c>
      <c r="H224" s="132">
        <v>1</v>
      </c>
      <c r="I224" s="133" t="s">
        <v>594</v>
      </c>
      <c r="J224" s="91">
        <v>1</v>
      </c>
      <c r="K224" s="90" t="s">
        <v>893</v>
      </c>
      <c r="L224" s="152" t="str">
        <f>IF(ISERROR(GETPIVOTDATA(IF($J224=1,"Count of ACTIVE     CED, FARM GATE (MJ/kg)","Count of CED, processor gate (MJ/kg)"),'Pivot Table_CED'!$A$3,"SUB TYPE",$B224)),"PROXY",IF(GETPIVOTDATA(IF($J224=1,"Count of ACTIVE     CED, FARM GATE (MJ/kg)","Count of CED, processor gate (MJ/kg)"),'Pivot Table_CED'!$A$3,"SUB TYPE",$B224)=0,"PROXY","DB value"))</f>
        <v>PROXY</v>
      </c>
      <c r="M224" s="134">
        <f ca="1">IF($L224="PROXY",DCOUNT('literature entries'!$D:$AI,IF($J224=1,"ACTIVE     CED, FARM GATE (MJ/kg)","CED, processor gate (MJ/kg)"),INDIRECT($K224)),GETPIVOTDATA(IF($J224=1,"Count of ACTIVE     CED, FARM GATE (MJ/kg)","Count of CED, processor gate (MJ/kg)"),'Pivot Table_CED'!$A$3,"SUB TYPE",$B224))</f>
        <v>3</v>
      </c>
      <c r="N224" s="135">
        <f ca="1">IF($L224="PROXY",DAVERAGE('literature entries'!$D:$AI,IF($J224=1,"ACTIVE     CED, FARM GATE (MJ/kg)","CED, processor gate (MJ/kg)"),INDIRECT($K224)),GETPIVOTDATA(IF($J224=1,"Average of ACTIVE     CED, FARM GATE (MJ/kg)","Average of CED, processor gate (MJ/kg)"),'Pivot Table_CED'!$A$3,"SUB TYPE",$B224))</f>
        <v>1.5507451766666669</v>
      </c>
      <c r="O224" s="135">
        <f ca="1">IF($L224="PROXY",DSTDEV('literature entries'!D:AI,IF($J224=1,"ACTIVE     CED, FARM GATE (MJ/kg)","CED, processor gate (MJ/kg)"),INDIRECT($K224)),GETPIVOTDATA(IF($J224=1,"StdDev of ACTIVE     CED, FARM GATE (MJ/kg)","StdDev of CED, processor gate (MJ/kg)"),'Pivot Table_CED'!$A$3,"SUB TYPE",$B224))</f>
        <v>1.545573713255328</v>
      </c>
      <c r="P224" s="152" t="str">
        <f>IF(ISERROR(GETPIVOTDATA(IF($J224=1,"Count of ACTIVE     GHGE, FARM GATE (kg CO2e/kg)","Count of GHGE, processor gate (kg CO2e/kg)"),'Pivot Table_GHG'!$A$3,"SUB TYPE",$B224)),"PROXY",IF(GETPIVOTDATA(IF($J224=1,"Count of ACTIVE     GHGE, FARM GATE (kg CO2e/kg)","Count of GHGE, processor gate (kg CO2e/kg)"),'Pivot Table_GHG'!$A$3,"SUB TYPE",$B224)=0,"PROXY","DB value"))</f>
        <v>PROXY</v>
      </c>
      <c r="Q224" s="141">
        <f ca="1">IF($P224="PROXY",DCOUNT('literature entries'!$D:$AI,IF($J224=1,"ACTIVE     GHGE, FARM GATE (kg CO2e/kg)","GHGE, processor gate (kg CO2e/kg)"),INDIRECT($K224)),GETPIVOTDATA(IF($J224=1,"ACTIVE     GHGE, FARM GATE (kg CO2e/kg)","Count of GHGE, processor gate (kg CO2e/kg)"),'Pivot Table_GHG'!$A$3,"SUB TYPE",$B224))</f>
        <v>3</v>
      </c>
      <c r="R224" s="221">
        <f ca="1">IF($P224="PROXY",DAVERAGE('literature entries'!$D:$AI,IF($J224=1,"ACTIVE     GHGE, FARM GATE (kg CO2e/kg)","GHGE, processor gate (kg CO2e/kg)"),INDIRECT($K224)),GETPIVOTDATA(IF($J224=1,"Average of ACTIVE     GHGE, FARM GATE (kg CO2e/kg)","Average of GHGE, processor gate (kg CO2e/kg)"),'Pivot Table_GHG'!$A$3,"SUB TYPE",$B224))</f>
        <v>0.22093143666666668</v>
      </c>
      <c r="S224" s="221">
        <f ca="1">IF($P224="PROXY",DSTDEV('literature entries'!$D:$AI,IF($J224=1,"ACTIVE     GHGE, FARM GATE (kg CO2e/kg)","GHGE, processor gate (kg CO2e/kg)"),INDIRECT($K224)),GETPIVOTDATA(IF($J224=1,"StdDev of ACTIVE     GHGE, FARM GATE (kg CO2e/kg)","StdDev of GHGE, processor gate (kg CO2e/kg)"),'Pivot Table_GHG'!$A$3,"SUB TYPE",$B224))</f>
        <v>8.3542949461742316E-2</v>
      </c>
      <c r="T224" s="101"/>
      <c r="U224" s="102"/>
      <c r="W224" s="248" t="s">
        <v>2457</v>
      </c>
      <c r="X224" s="246">
        <f ca="1">IF($W224="DIRECT",M224,DCOUNT('literature entries'!$D:$AI,IF($J224=1,"ACTIVE     CED, FARM GATE (MJ/kg)","CED, processor gate (MJ/kg)"),INDIRECT($W224)))</f>
        <v>10</v>
      </c>
      <c r="Y224" s="246">
        <f ca="1">IF($W224="DIRECT","",DAVERAGE('literature entries'!$D:$AI,IF($J224=1,"ACTIVE     CED, FARM GATE (MJ/kg)","CED, processor gate (MJ/kg)"),INDIRECT($W224)))</f>
        <v>2.5657274700000001</v>
      </c>
      <c r="Z224" s="246">
        <f ca="1">IF($W224="DIRECT",$O224,DSTDEV('literature entries'!$D:$AI,IF($J224=1,"ACTIVE     CED, FARM GATE (MJ/kg)","CED, processor gate (MJ/kg)"),INDIRECT($W224)))</f>
        <v>1.5197673074222315</v>
      </c>
      <c r="AA224" s="246">
        <f t="shared" ca="1" si="30"/>
        <v>0.91855890744339763</v>
      </c>
      <c r="AB224" s="254" t="s">
        <v>2457</v>
      </c>
      <c r="AC224" s="247">
        <f ca="1">IF($AB224="DIRECT",Q224,DCOUNT('literature entries'!$D:$AI,IF($J224=1,"ACTIVE     GHGE, FARM GATE (kg CO2e/kg)","GHGE, processor gate (kg CO2e/kg)"),INDIRECT($AB224)))</f>
        <v>22</v>
      </c>
      <c r="AD224" s="247">
        <f ca="1">IF($AB224="DIRECT","",DAVERAGE('literature entries'!$D:$AI,IF($J224=1,"ACTIVE     GHGE, FARM GATE (kg CO2e/kg)","GHGE, processor gate (kg CO2e/kg)"),INDIRECT($AB224)))</f>
        <v>0.18561974136363635</v>
      </c>
      <c r="AE224" s="247">
        <f ca="1">IF($AB224="DIRECT",$S224,DSTDEV('literature entries'!$D:$AI,IF($J224=1,"ACTIVE     GHGE, FARM GATE (kg CO2e/kg)","GHGE, processor gate (kg CO2e/kg)"),INDIRECT($AB224)))</f>
        <v>9.7833632177637575E-2</v>
      </c>
      <c r="AF224" s="247">
        <f t="shared" ca="1" si="31"/>
        <v>0.11644518386102046</v>
      </c>
    </row>
    <row r="225" spans="1:32" s="21" customFormat="1" ht="17" thickBot="1" x14ac:dyDescent="0.25">
      <c r="A225" s="129">
        <v>1901220000</v>
      </c>
      <c r="B225" s="130" t="s">
        <v>2071</v>
      </c>
      <c r="C225" s="131" t="s">
        <v>1782</v>
      </c>
      <c r="D225" s="131" t="s">
        <v>2072</v>
      </c>
      <c r="E225" s="131">
        <v>22047</v>
      </c>
      <c r="F225" s="126">
        <f t="shared" ca="1" si="28"/>
        <v>1.5507451766666669</v>
      </c>
      <c r="G225" s="127">
        <f t="shared" ca="1" si="29"/>
        <v>0.22093143666666668</v>
      </c>
      <c r="H225" s="132">
        <v>1</v>
      </c>
      <c r="I225" s="133" t="s">
        <v>594</v>
      </c>
      <c r="J225" s="91">
        <v>1</v>
      </c>
      <c r="K225" s="90" t="s">
        <v>893</v>
      </c>
      <c r="L225" s="152" t="str">
        <f>IF(ISERROR(GETPIVOTDATA(IF($J225=1,"Count of ACTIVE     CED, FARM GATE (MJ/kg)","Count of CED, processor gate (MJ/kg)"),'Pivot Table_CED'!$A$3,"SUB TYPE",$B225)),"PROXY",IF(GETPIVOTDATA(IF($J225=1,"Count of ACTIVE     CED, FARM GATE (MJ/kg)","Count of CED, processor gate (MJ/kg)"),'Pivot Table_CED'!$A$3,"SUB TYPE",$B225)=0,"PROXY","DB value"))</f>
        <v>PROXY</v>
      </c>
      <c r="M225" s="134">
        <f ca="1">IF($L225="PROXY",DCOUNT('literature entries'!$D:$AI,IF($J225=1,"ACTIVE     CED, FARM GATE (MJ/kg)","CED, processor gate (MJ/kg)"),INDIRECT($K225)),GETPIVOTDATA(IF($J225=1,"Count of ACTIVE     CED, FARM GATE (MJ/kg)","Count of CED, processor gate (MJ/kg)"),'Pivot Table_CED'!$A$3,"SUB TYPE",$B225))</f>
        <v>3</v>
      </c>
      <c r="N225" s="135">
        <f ca="1">IF($L225="PROXY",DAVERAGE('literature entries'!$D:$AI,IF($J225=1,"ACTIVE     CED, FARM GATE (MJ/kg)","CED, processor gate (MJ/kg)"),INDIRECT($K225)),GETPIVOTDATA(IF($J225=1,"Average of ACTIVE     CED, FARM GATE (MJ/kg)","Average of CED, processor gate (MJ/kg)"),'Pivot Table_CED'!$A$3,"SUB TYPE",$B225))</f>
        <v>1.5507451766666669</v>
      </c>
      <c r="O225" s="135">
        <f ca="1">IF($L225="PROXY",DSTDEV('literature entries'!D:AI,IF($J225=1,"ACTIVE     CED, FARM GATE (MJ/kg)","CED, processor gate (MJ/kg)"),INDIRECT($K225)),GETPIVOTDATA(IF($J225=1,"StdDev of ACTIVE     CED, FARM GATE (MJ/kg)","StdDev of CED, processor gate (MJ/kg)"),'Pivot Table_CED'!$A$3,"SUB TYPE",$B225))</f>
        <v>1.545573713255328</v>
      </c>
      <c r="P225" s="152" t="str">
        <f>IF(ISERROR(GETPIVOTDATA(IF($J225=1,"Count of ACTIVE     GHGE, FARM GATE (kg CO2e/kg)","Count of GHGE, processor gate (kg CO2e/kg)"),'Pivot Table_GHG'!$A$3,"SUB TYPE",$B225)),"PROXY",IF(GETPIVOTDATA(IF($J225=1,"Count of ACTIVE     GHGE, FARM GATE (kg CO2e/kg)","Count of GHGE, processor gate (kg CO2e/kg)"),'Pivot Table_GHG'!$A$3,"SUB TYPE",$B225)=0,"PROXY","DB value"))</f>
        <v>PROXY</v>
      </c>
      <c r="Q225" s="141">
        <f ca="1">IF($P225="PROXY",DCOUNT('literature entries'!$D:$AI,IF($J225=1,"ACTIVE     GHGE, FARM GATE (kg CO2e/kg)","GHGE, processor gate (kg CO2e/kg)"),INDIRECT($K225)),GETPIVOTDATA(IF($J225=1,"ACTIVE     GHGE, FARM GATE (kg CO2e/kg)","Count of GHGE, processor gate (kg CO2e/kg)"),'Pivot Table_GHG'!$A$3,"SUB TYPE",$B225))</f>
        <v>3</v>
      </c>
      <c r="R225" s="221">
        <f ca="1">IF($P225="PROXY",DAVERAGE('literature entries'!$D:$AI,IF($J225=1,"ACTIVE     GHGE, FARM GATE (kg CO2e/kg)","GHGE, processor gate (kg CO2e/kg)"),INDIRECT($K225)),GETPIVOTDATA(IF($J225=1,"Average of ACTIVE     GHGE, FARM GATE (kg CO2e/kg)","Average of GHGE, processor gate (kg CO2e/kg)"),'Pivot Table_GHG'!$A$3,"SUB TYPE",$B225))</f>
        <v>0.22093143666666668</v>
      </c>
      <c r="S225" s="221">
        <f ca="1">IF($P225="PROXY",DSTDEV('literature entries'!$D:$AI,IF($J225=1,"ACTIVE     GHGE, FARM GATE (kg CO2e/kg)","GHGE, processor gate (kg CO2e/kg)"),INDIRECT($K225)),GETPIVOTDATA(IF($J225=1,"StdDev of ACTIVE     GHGE, FARM GATE (kg CO2e/kg)","StdDev of GHGE, processor gate (kg CO2e/kg)"),'Pivot Table_GHG'!$A$3,"SUB TYPE",$B225))</f>
        <v>8.3542949461742316E-2</v>
      </c>
      <c r="T225" s="101"/>
      <c r="U225" s="102"/>
      <c r="W225" s="248" t="s">
        <v>2457</v>
      </c>
      <c r="X225" s="246">
        <f ca="1">IF($W225="DIRECT",M225,DCOUNT('literature entries'!$D:$AI,IF($J225=1,"ACTIVE     CED, FARM GATE (MJ/kg)","CED, processor gate (MJ/kg)"),INDIRECT($W225)))</f>
        <v>10</v>
      </c>
      <c r="Y225" s="246">
        <f ca="1">IF($W225="DIRECT","",DAVERAGE('literature entries'!$D:$AI,IF($J225=1,"ACTIVE     CED, FARM GATE (MJ/kg)","CED, processor gate (MJ/kg)"),INDIRECT($W225)))</f>
        <v>2.5657274700000001</v>
      </c>
      <c r="Z225" s="246">
        <f ca="1">IF($W225="DIRECT",$O225,DSTDEV('literature entries'!$D:$AI,IF($J225=1,"ACTIVE     CED, FARM GATE (MJ/kg)","CED, processor gate (MJ/kg)"),INDIRECT($W225)))</f>
        <v>1.5197673074222315</v>
      </c>
      <c r="AA225" s="246">
        <f t="shared" ca="1" si="30"/>
        <v>0.91855890744339763</v>
      </c>
      <c r="AB225" s="254" t="s">
        <v>2457</v>
      </c>
      <c r="AC225" s="247">
        <f ca="1">IF($AB225="DIRECT",Q225,DCOUNT('literature entries'!$D:$AI,IF($J225=1,"ACTIVE     GHGE, FARM GATE (kg CO2e/kg)","GHGE, processor gate (kg CO2e/kg)"),INDIRECT($AB225)))</f>
        <v>22</v>
      </c>
      <c r="AD225" s="247">
        <f ca="1">IF($AB225="DIRECT","",DAVERAGE('literature entries'!$D:$AI,IF($J225=1,"ACTIVE     GHGE, FARM GATE (kg CO2e/kg)","GHGE, processor gate (kg CO2e/kg)"),INDIRECT($AB225)))</f>
        <v>0.18561974136363635</v>
      </c>
      <c r="AE225" s="247">
        <f ca="1">IF($AB225="DIRECT",$S225,DSTDEV('literature entries'!$D:$AI,IF($J225=1,"ACTIVE     GHGE, FARM GATE (kg CO2e/kg)","GHGE, processor gate (kg CO2e/kg)"),INDIRECT($AB225)))</f>
        <v>9.7833632177637575E-2</v>
      </c>
      <c r="AF225" s="247">
        <f t="shared" ca="1" si="31"/>
        <v>0.11644518386102046</v>
      </c>
    </row>
    <row r="226" spans="1:32" s="21" customFormat="1" ht="17" thickBot="1" x14ac:dyDescent="0.25">
      <c r="A226" s="129">
        <v>1901249000</v>
      </c>
      <c r="B226" s="130" t="s">
        <v>2119</v>
      </c>
      <c r="C226" s="131" t="s">
        <v>2120</v>
      </c>
      <c r="D226" s="131"/>
      <c r="E226" s="131">
        <v>1460</v>
      </c>
      <c r="F226" s="126">
        <f t="shared" ca="1" si="28"/>
        <v>11.874746019210736</v>
      </c>
      <c r="G226" s="127">
        <f t="shared" ca="1" si="29"/>
        <v>1.6917703421236769</v>
      </c>
      <c r="H226" s="136">
        <v>7.6574450772986129</v>
      </c>
      <c r="I226" s="133" t="s">
        <v>2737</v>
      </c>
      <c r="J226" s="91">
        <v>1</v>
      </c>
      <c r="K226" s="90" t="s">
        <v>893</v>
      </c>
      <c r="L226" s="152" t="str">
        <f>IF(ISERROR(GETPIVOTDATA(IF($J226=1,"Count of ACTIVE     CED, FARM GATE (MJ/kg)","Count of CED, processor gate (MJ/kg)"),'Pivot Table_CED'!$A$3,"SUB TYPE",$B226)),"PROXY",IF(GETPIVOTDATA(IF($J226=1,"Count of ACTIVE     CED, FARM GATE (MJ/kg)","Count of CED, processor gate (MJ/kg)"),'Pivot Table_CED'!$A$3,"SUB TYPE",$B226)=0,"PROXY","DB value"))</f>
        <v>PROXY</v>
      </c>
      <c r="M226" s="134">
        <f ca="1">IF($L226="PROXY",DCOUNT('literature entries'!$D:$AI,IF($J226=1,"ACTIVE     CED, FARM GATE (MJ/kg)","CED, processor gate (MJ/kg)"),INDIRECT($K226)),GETPIVOTDATA(IF($J226=1,"Count of ACTIVE     CED, FARM GATE (MJ/kg)","Count of CED, processor gate (MJ/kg)"),'Pivot Table_CED'!$A$3,"SUB TYPE",$B226))</f>
        <v>3</v>
      </c>
      <c r="N226" s="135">
        <f ca="1">IF($L226="PROXY",DAVERAGE('literature entries'!$D:$AI,IF($J226=1,"ACTIVE     CED, FARM GATE (MJ/kg)","CED, processor gate (MJ/kg)"),INDIRECT($K226)),GETPIVOTDATA(IF($J226=1,"Average of ACTIVE     CED, FARM GATE (MJ/kg)","Average of CED, processor gate (MJ/kg)"),'Pivot Table_CED'!$A$3,"SUB TYPE",$B226))</f>
        <v>1.5507451766666669</v>
      </c>
      <c r="O226" s="135">
        <f ca="1">IF($L226="PROXY",DSTDEV('literature entries'!D:AI,IF($J226=1,"ACTIVE     CED, FARM GATE (MJ/kg)","CED, processor gate (MJ/kg)"),INDIRECT($K226)),GETPIVOTDATA(IF($J226=1,"StdDev of ACTIVE     CED, FARM GATE (MJ/kg)","StdDev of CED, processor gate (MJ/kg)"),'Pivot Table_CED'!$A$3,"SUB TYPE",$B226))</f>
        <v>1.545573713255328</v>
      </c>
      <c r="P226" s="152" t="str">
        <f>IF(ISERROR(GETPIVOTDATA(IF($J226=1,"Count of ACTIVE     GHGE, FARM GATE (kg CO2e/kg)","Count of GHGE, processor gate (kg CO2e/kg)"),'Pivot Table_GHG'!$A$3,"SUB TYPE",$B226)),"PROXY",IF(GETPIVOTDATA(IF($J226=1,"Count of ACTIVE     GHGE, FARM GATE (kg CO2e/kg)","Count of GHGE, processor gate (kg CO2e/kg)"),'Pivot Table_GHG'!$A$3,"SUB TYPE",$B226)=0,"PROXY","DB value"))</f>
        <v>PROXY</v>
      </c>
      <c r="Q226" s="141">
        <f ca="1">IF($P226="PROXY",DCOUNT('literature entries'!$D:$AI,IF($J226=1,"ACTIVE     GHGE, FARM GATE (kg CO2e/kg)","GHGE, processor gate (kg CO2e/kg)"),INDIRECT($K226)),GETPIVOTDATA(IF($J226=1,"ACTIVE     GHGE, FARM GATE (kg CO2e/kg)","Count of GHGE, processor gate (kg CO2e/kg)"),'Pivot Table_GHG'!$A$3,"SUB TYPE",$B226))</f>
        <v>3</v>
      </c>
      <c r="R226" s="221">
        <f ca="1">IF($P226="PROXY",DAVERAGE('literature entries'!$D:$AI,IF($J226=1,"ACTIVE     GHGE, FARM GATE (kg CO2e/kg)","GHGE, processor gate (kg CO2e/kg)"),INDIRECT($K226)),GETPIVOTDATA(IF($J226=1,"Average of ACTIVE     GHGE, FARM GATE (kg CO2e/kg)","Average of GHGE, processor gate (kg CO2e/kg)"),'Pivot Table_GHG'!$A$3,"SUB TYPE",$B226))</f>
        <v>0.22093143666666668</v>
      </c>
      <c r="S226" s="221">
        <f ca="1">IF($P226="PROXY",DSTDEV('literature entries'!$D:$AI,IF($J226=1,"ACTIVE     GHGE, FARM GATE (kg CO2e/kg)","GHGE, processor gate (kg CO2e/kg)"),INDIRECT($K226)),GETPIVOTDATA(IF($J226=1,"StdDev of ACTIVE     GHGE, FARM GATE (kg CO2e/kg)","StdDev of GHGE, processor gate (kg CO2e/kg)"),'Pivot Table_GHG'!$A$3,"SUB TYPE",$B226))</f>
        <v>8.3542949461742316E-2</v>
      </c>
      <c r="T226" s="101"/>
      <c r="U226" s="102"/>
      <c r="W226" s="248" t="s">
        <v>2457</v>
      </c>
      <c r="X226" s="246">
        <f ca="1">IF($W226="DIRECT",M226,DCOUNT('literature entries'!$D:$AI,IF($J226=1,"ACTIVE     CED, FARM GATE (MJ/kg)","CED, processor gate (MJ/kg)"),INDIRECT($W226)))</f>
        <v>10</v>
      </c>
      <c r="Y226" s="246">
        <f ca="1">IF($W226="DIRECT","",DAVERAGE('literature entries'!$D:$AI,IF($J226=1,"ACTIVE     CED, FARM GATE (MJ/kg)","CED, processor gate (MJ/kg)"),INDIRECT($W226)))</f>
        <v>2.5657274700000001</v>
      </c>
      <c r="Z226" s="246">
        <f ca="1">IF($W226="DIRECT",$O226,DSTDEV('literature entries'!$D:$AI,IF($J226=1,"ACTIVE     CED, FARM GATE (MJ/kg)","CED, processor gate (MJ/kg)"),INDIRECT($W226)))</f>
        <v>1.5197673074222315</v>
      </c>
      <c r="AA226" s="246">
        <f t="shared" ca="1" si="30"/>
        <v>0.91855890744339763</v>
      </c>
      <c r="AB226" s="254" t="s">
        <v>2457</v>
      </c>
      <c r="AC226" s="247">
        <f ca="1">IF($AB226="DIRECT",Q226,DCOUNT('literature entries'!$D:$AI,IF($J226=1,"ACTIVE     GHGE, FARM GATE (kg CO2e/kg)","GHGE, processor gate (kg CO2e/kg)"),INDIRECT($AB226)))</f>
        <v>22</v>
      </c>
      <c r="AD226" s="247">
        <f ca="1">IF($AB226="DIRECT","",DAVERAGE('literature entries'!$D:$AI,IF($J226=1,"ACTIVE     GHGE, FARM GATE (kg CO2e/kg)","GHGE, processor gate (kg CO2e/kg)"),INDIRECT($AB226)))</f>
        <v>0.18561974136363635</v>
      </c>
      <c r="AE226" s="247">
        <f ca="1">IF($AB226="DIRECT",$S226,DSTDEV('literature entries'!$D:$AI,IF($J226=1,"ACTIVE     GHGE, FARM GATE (kg CO2e/kg)","GHGE, processor gate (kg CO2e/kg)"),INDIRECT($AB226)))</f>
        <v>9.7833632177637575E-2</v>
      </c>
      <c r="AF226" s="247">
        <f t="shared" ca="1" si="31"/>
        <v>0.11644518386102046</v>
      </c>
    </row>
    <row r="227" spans="1:32" s="21" customFormat="1" ht="17" thickBot="1" x14ac:dyDescent="0.25">
      <c r="A227" s="129">
        <v>1901334000</v>
      </c>
      <c r="B227" s="130" t="s">
        <v>2246</v>
      </c>
      <c r="C227" s="131" t="s">
        <v>2247</v>
      </c>
      <c r="D227" s="131" t="s">
        <v>2248</v>
      </c>
      <c r="E227" s="131">
        <v>15910</v>
      </c>
      <c r="F227" s="126">
        <f t="shared" ca="1" si="28"/>
        <v>1.5507451766666669</v>
      </c>
      <c r="G227" s="127">
        <f t="shared" ca="1" si="29"/>
        <v>0.22093143666666668</v>
      </c>
      <c r="H227" s="132">
        <v>1</v>
      </c>
      <c r="I227" s="133" t="s">
        <v>594</v>
      </c>
      <c r="J227" s="91">
        <v>1</v>
      </c>
      <c r="K227" s="90" t="s">
        <v>893</v>
      </c>
      <c r="L227" s="152" t="str">
        <f>IF(ISERROR(GETPIVOTDATA(IF($J227=1,"Count of ACTIVE     CED, FARM GATE (MJ/kg)","Count of CED, processor gate (MJ/kg)"),'Pivot Table_CED'!$A$3,"SUB TYPE",$B227)),"PROXY",IF(GETPIVOTDATA(IF($J227=1,"Count of ACTIVE     CED, FARM GATE (MJ/kg)","Count of CED, processor gate (MJ/kg)"),'Pivot Table_CED'!$A$3,"SUB TYPE",$B227)=0,"PROXY","DB value"))</f>
        <v>PROXY</v>
      </c>
      <c r="M227" s="134">
        <f ca="1">IF($L227="PROXY",DCOUNT('literature entries'!$D:$AI,IF($J227=1,"ACTIVE     CED, FARM GATE (MJ/kg)","CED, processor gate (MJ/kg)"),INDIRECT($K227)),GETPIVOTDATA(IF($J227=1,"Count of ACTIVE     CED, FARM GATE (MJ/kg)","Count of CED, processor gate (MJ/kg)"),'Pivot Table_CED'!$A$3,"SUB TYPE",$B227))</f>
        <v>3</v>
      </c>
      <c r="N227" s="135">
        <f ca="1">IF($L227="PROXY",DAVERAGE('literature entries'!$D:$AI,IF($J227=1,"ACTIVE     CED, FARM GATE (MJ/kg)","CED, processor gate (MJ/kg)"),INDIRECT($K227)),GETPIVOTDATA(IF($J227=1,"Average of ACTIVE     CED, FARM GATE (MJ/kg)","Average of CED, processor gate (MJ/kg)"),'Pivot Table_CED'!$A$3,"SUB TYPE",$B227))</f>
        <v>1.5507451766666669</v>
      </c>
      <c r="O227" s="135">
        <f ca="1">IF($L227="PROXY",DSTDEV('literature entries'!D:AI,IF($J227=1,"ACTIVE     CED, FARM GATE (MJ/kg)","CED, processor gate (MJ/kg)"),INDIRECT($K227)),GETPIVOTDATA(IF($J227=1,"StdDev of ACTIVE     CED, FARM GATE (MJ/kg)","StdDev of CED, processor gate (MJ/kg)"),'Pivot Table_CED'!$A$3,"SUB TYPE",$B227))</f>
        <v>1.545573713255328</v>
      </c>
      <c r="P227" s="152" t="str">
        <f>IF(ISERROR(GETPIVOTDATA(IF($J227=1,"Count of ACTIVE     GHGE, FARM GATE (kg CO2e/kg)","Count of GHGE, processor gate (kg CO2e/kg)"),'Pivot Table_GHG'!$A$3,"SUB TYPE",$B227)),"PROXY",IF(GETPIVOTDATA(IF($J227=1,"Count of ACTIVE     GHGE, FARM GATE (kg CO2e/kg)","Count of GHGE, processor gate (kg CO2e/kg)"),'Pivot Table_GHG'!$A$3,"SUB TYPE",$B227)=0,"PROXY","DB value"))</f>
        <v>PROXY</v>
      </c>
      <c r="Q227" s="141">
        <f ca="1">IF($P227="PROXY",DCOUNT('literature entries'!$D:$AI,IF($J227=1,"ACTIVE     GHGE, FARM GATE (kg CO2e/kg)","GHGE, processor gate (kg CO2e/kg)"),INDIRECT($K227)),GETPIVOTDATA(IF($J227=1,"ACTIVE     GHGE, FARM GATE (kg CO2e/kg)","Count of GHGE, processor gate (kg CO2e/kg)"),'Pivot Table_GHG'!$A$3,"SUB TYPE",$B227))</f>
        <v>3</v>
      </c>
      <c r="R227" s="221">
        <f ca="1">IF($P227="PROXY",DAVERAGE('literature entries'!$D:$AI,IF($J227=1,"ACTIVE     GHGE, FARM GATE (kg CO2e/kg)","GHGE, processor gate (kg CO2e/kg)"),INDIRECT($K227)),GETPIVOTDATA(IF($J227=1,"Average of ACTIVE     GHGE, FARM GATE (kg CO2e/kg)","Average of GHGE, processor gate (kg CO2e/kg)"),'Pivot Table_GHG'!$A$3,"SUB TYPE",$B227))</f>
        <v>0.22093143666666668</v>
      </c>
      <c r="S227" s="221">
        <f ca="1">IF($P227="PROXY",DSTDEV('literature entries'!$D:$AI,IF($J227=1,"ACTIVE     GHGE, FARM GATE (kg CO2e/kg)","GHGE, processor gate (kg CO2e/kg)"),INDIRECT($K227)),GETPIVOTDATA(IF($J227=1,"StdDev of ACTIVE     GHGE, FARM GATE (kg CO2e/kg)","StdDev of GHGE, processor gate (kg CO2e/kg)"),'Pivot Table_GHG'!$A$3,"SUB TYPE",$B227))</f>
        <v>8.3542949461742316E-2</v>
      </c>
      <c r="T227" s="101"/>
      <c r="U227" s="102"/>
      <c r="W227" s="248" t="s">
        <v>2457</v>
      </c>
      <c r="X227" s="246">
        <f ca="1">IF($W227="DIRECT",M227,DCOUNT('literature entries'!$D:$AI,IF($J227=1,"ACTIVE     CED, FARM GATE (MJ/kg)","CED, processor gate (MJ/kg)"),INDIRECT($W227)))</f>
        <v>10</v>
      </c>
      <c r="Y227" s="246">
        <f ca="1">IF($W227="DIRECT","",DAVERAGE('literature entries'!$D:$AI,IF($J227=1,"ACTIVE     CED, FARM GATE (MJ/kg)","CED, processor gate (MJ/kg)"),INDIRECT($W227)))</f>
        <v>2.5657274700000001</v>
      </c>
      <c r="Z227" s="246">
        <f ca="1">IF($W227="DIRECT",$O227,DSTDEV('literature entries'!$D:$AI,IF($J227=1,"ACTIVE     CED, FARM GATE (MJ/kg)","CED, processor gate (MJ/kg)"),INDIRECT($W227)))</f>
        <v>1.5197673074222315</v>
      </c>
      <c r="AA227" s="246">
        <f t="shared" ca="1" si="30"/>
        <v>0.91855890744339763</v>
      </c>
      <c r="AB227" s="254" t="s">
        <v>2457</v>
      </c>
      <c r="AC227" s="247">
        <f ca="1">IF($AB227="DIRECT",Q227,DCOUNT('literature entries'!$D:$AI,IF($J227=1,"ACTIVE     GHGE, FARM GATE (kg CO2e/kg)","GHGE, processor gate (kg CO2e/kg)"),INDIRECT($AB227)))</f>
        <v>22</v>
      </c>
      <c r="AD227" s="247">
        <f ca="1">IF($AB227="DIRECT","",DAVERAGE('literature entries'!$D:$AI,IF($J227=1,"ACTIVE     GHGE, FARM GATE (kg CO2e/kg)","GHGE, processor gate (kg CO2e/kg)"),INDIRECT($AB227)))</f>
        <v>0.18561974136363635</v>
      </c>
      <c r="AE227" s="247">
        <f ca="1">IF($AB227="DIRECT",$S227,DSTDEV('literature entries'!$D:$AI,IF($J227=1,"ACTIVE     GHGE, FARM GATE (kg CO2e/kg)","GHGE, processor gate (kg CO2e/kg)"),INDIRECT($AB227)))</f>
        <v>9.7833632177637575E-2</v>
      </c>
      <c r="AF227" s="247">
        <f t="shared" ca="1" si="31"/>
        <v>0.11644518386102046</v>
      </c>
    </row>
    <row r="228" spans="1:32" s="21" customFormat="1" ht="17" thickBot="1" x14ac:dyDescent="0.25">
      <c r="A228" s="129">
        <v>1902105000</v>
      </c>
      <c r="B228" s="130" t="s">
        <v>1908</v>
      </c>
      <c r="C228" s="131" t="s">
        <v>1909</v>
      </c>
      <c r="D228" s="131"/>
      <c r="E228" s="131">
        <v>12421</v>
      </c>
      <c r="F228" s="126">
        <f t="shared" ca="1" si="28"/>
        <v>0</v>
      </c>
      <c r="G228" s="127">
        <f t="shared" ca="1" si="29"/>
        <v>0.87</v>
      </c>
      <c r="H228" s="132">
        <v>1</v>
      </c>
      <c r="I228" s="133" t="s">
        <v>594</v>
      </c>
      <c r="J228" s="91">
        <v>1</v>
      </c>
      <c r="K228" s="90" t="s">
        <v>2465</v>
      </c>
      <c r="L228" s="152" t="str">
        <f>IF(ISERROR(GETPIVOTDATA(IF($J228=1,"Count of ACTIVE     CED, FARM GATE (MJ/kg)","Count of CED, processor gate (MJ/kg)"),'Pivot Table_CED'!$A$3,"SUB TYPE",$B228)),"PROXY",IF(GETPIVOTDATA(IF($J228=1,"Count of ACTIVE     CED, FARM GATE (MJ/kg)","Count of CED, processor gate (MJ/kg)"),'Pivot Table_CED'!$A$3,"SUB TYPE",$B228)=0,"PROXY","DB value"))</f>
        <v>DB value</v>
      </c>
      <c r="M228" s="134">
        <f ca="1">IF($L228="PROXY",DCOUNT('literature entries'!$D:$AI,IF($J228=1,"ACTIVE     CED, FARM GATE (MJ/kg)","CED, processor gate (MJ/kg)"),INDIRECT($K228)),GETPIVOTDATA(IF($J228=1,"Count of ACTIVE     CED, FARM GATE (MJ/kg)","Count of CED, processor gate (MJ/kg)"),'Pivot Table_CED'!$A$3,"SUB TYPE",$B228))</f>
        <v>1</v>
      </c>
      <c r="N228" s="135">
        <f ca="1">IF($L228="PROXY",DAVERAGE('literature entries'!$D:$AI,IF($J228=1,"ACTIVE     CED, FARM GATE (MJ/kg)","CED, processor gate (MJ/kg)"),INDIRECT($K228)),GETPIVOTDATA(IF($J228=1,"Average of ACTIVE     CED, FARM GATE (MJ/kg)","Average of CED, processor gate (MJ/kg)"),'Pivot Table_CED'!$A$3,"SUB TYPE",$B228))</f>
        <v>0</v>
      </c>
      <c r="O228" s="135">
        <f ca="1">IF($L228="PROXY",DSTDEV('literature entries'!D:AI,IF($J228=1,"ACTIVE     CED, FARM GATE (MJ/kg)","CED, processor gate (MJ/kg)"),INDIRECT($K228)),GETPIVOTDATA(IF($J228=1,"StdDev of ACTIVE     CED, FARM GATE (MJ/kg)","StdDev of CED, processor gate (MJ/kg)"),'Pivot Table_CED'!$A$3,"SUB TYPE",$B228))</f>
        <v>0</v>
      </c>
      <c r="P228" s="152" t="str">
        <f>IF(ISERROR(GETPIVOTDATA(IF($J228=1,"Count of ACTIVE     GHGE, FARM GATE (kg CO2e/kg)","Count of GHGE, processor gate (kg CO2e/kg)"),'Pivot Table_GHG'!$A$3,"SUB TYPE",$B228)),"PROXY",IF(GETPIVOTDATA(IF($J228=1,"Count of ACTIVE     GHGE, FARM GATE (kg CO2e/kg)","Count of GHGE, processor gate (kg CO2e/kg)"),'Pivot Table_GHG'!$A$3,"SUB TYPE",$B228)=0,"PROXY","DB value"))</f>
        <v>DB value</v>
      </c>
      <c r="Q228" s="141">
        <f ca="1">IF($P228="PROXY",DCOUNT('literature entries'!$D:$AI,IF($J228=1,"ACTIVE     GHGE, FARM GATE (kg CO2e/kg)","GHGE, processor gate (kg CO2e/kg)"),INDIRECT($K228)),GETPIVOTDATA(IF($J228=1,"ACTIVE     GHGE, FARM GATE (kg CO2e/kg)","Count of GHGE, processor gate (kg CO2e/kg)"),'Pivot Table_GHG'!$A$3,"SUB TYPE",$B228))</f>
        <v>1</v>
      </c>
      <c r="R228" s="221">
        <f ca="1">IF($P228="PROXY",DAVERAGE('literature entries'!$D:$AI,IF($J228=1,"ACTIVE     GHGE, FARM GATE (kg CO2e/kg)","GHGE, processor gate (kg CO2e/kg)"),INDIRECT($K228)),GETPIVOTDATA(IF($J228=1,"Average of ACTIVE     GHGE, FARM GATE (kg CO2e/kg)","Average of GHGE, processor gate (kg CO2e/kg)"),'Pivot Table_GHG'!$A$3,"SUB TYPE",$B228))</f>
        <v>0.87</v>
      </c>
      <c r="S228" s="221" t="e">
        <f ca="1">IF($P228="PROXY",DSTDEV('literature entries'!$D:$AI,IF($J228=1,"ACTIVE     GHGE, FARM GATE (kg CO2e/kg)","GHGE, processor gate (kg CO2e/kg)"),INDIRECT($K228)),GETPIVOTDATA(IF($J228=1,"StdDev of ACTIVE     GHGE, FARM GATE (kg CO2e/kg)","StdDev of GHGE, processor gate (kg CO2e/kg)"),'Pivot Table_GHG'!$A$3,"SUB TYPE",$B228))</f>
        <v>#DIV/0!</v>
      </c>
      <c r="T228" s="101"/>
      <c r="U228" s="102"/>
      <c r="W228" s="256" t="s">
        <v>3367</v>
      </c>
      <c r="X228" s="246"/>
      <c r="Y228" s="246"/>
      <c r="Z228" s="246">
        <v>0</v>
      </c>
      <c r="AA228" s="246">
        <v>0</v>
      </c>
      <c r="AB228" s="256" t="s">
        <v>3367</v>
      </c>
      <c r="AC228" s="247"/>
      <c r="AD228" s="247"/>
      <c r="AE228" s="247">
        <v>0</v>
      </c>
      <c r="AF228" s="247">
        <v>0</v>
      </c>
    </row>
    <row r="229" spans="1:32" s="21" customFormat="1" ht="17" thickBot="1" x14ac:dyDescent="0.25">
      <c r="A229" s="129">
        <v>1902119000</v>
      </c>
      <c r="B229" s="130" t="s">
        <v>1930</v>
      </c>
      <c r="C229" s="131" t="s">
        <v>1931</v>
      </c>
      <c r="D229" s="131" t="s">
        <v>1932</v>
      </c>
      <c r="E229" s="131">
        <v>19105</v>
      </c>
      <c r="F229" s="126">
        <f t="shared" ca="1" si="28"/>
        <v>0</v>
      </c>
      <c r="G229" s="127">
        <f t="shared" ca="1" si="29"/>
        <v>0.87</v>
      </c>
      <c r="H229" s="132">
        <v>1</v>
      </c>
      <c r="I229" s="133" t="s">
        <v>594</v>
      </c>
      <c r="J229" s="91">
        <v>1</v>
      </c>
      <c r="K229" s="90" t="s">
        <v>2465</v>
      </c>
      <c r="L229" s="152" t="str">
        <f>IF(ISERROR(GETPIVOTDATA(IF($J229=1,"Count of ACTIVE     CED, FARM GATE (MJ/kg)","Count of CED, processor gate (MJ/kg)"),'Pivot Table_CED'!$A$3,"SUB TYPE",$B229)),"PROXY",IF(GETPIVOTDATA(IF($J229=1,"Count of ACTIVE     CED, FARM GATE (MJ/kg)","Count of CED, processor gate (MJ/kg)"),'Pivot Table_CED'!$A$3,"SUB TYPE",$B229)=0,"PROXY","DB value"))</f>
        <v>PROXY</v>
      </c>
      <c r="M229" s="134">
        <f ca="1">IF($L229="PROXY",DCOUNT('literature entries'!$D:$AI,IF($J229=1,"ACTIVE     CED, FARM GATE (MJ/kg)","CED, processor gate (MJ/kg)"),INDIRECT($K229)),GETPIVOTDATA(IF($J229=1,"Count of ACTIVE     CED, FARM GATE (MJ/kg)","Count of CED, processor gate (MJ/kg)"),'Pivot Table_CED'!$A$3,"SUB TYPE",$B229))</f>
        <v>1</v>
      </c>
      <c r="N229" s="135">
        <f ca="1">IF($L229="PROXY",DAVERAGE('literature entries'!$D:$AI,IF($J229=1,"ACTIVE     CED, FARM GATE (MJ/kg)","CED, processor gate (MJ/kg)"),INDIRECT($K229)),GETPIVOTDATA(IF($J229=1,"Average of ACTIVE     CED, FARM GATE (MJ/kg)","Average of CED, processor gate (MJ/kg)"),'Pivot Table_CED'!$A$3,"SUB TYPE",$B229))</f>
        <v>0</v>
      </c>
      <c r="O229" s="135" t="e">
        <f ca="1">IF($L229="PROXY",DSTDEV('literature entries'!D:AI,IF($J229=1,"ACTIVE     CED, FARM GATE (MJ/kg)","CED, processor gate (MJ/kg)"),INDIRECT($K229)),GETPIVOTDATA(IF($J229=1,"StdDev of ACTIVE     CED, FARM GATE (MJ/kg)","StdDev of CED, processor gate (MJ/kg)"),'Pivot Table_CED'!$A$3,"SUB TYPE",$B229))</f>
        <v>#DIV/0!</v>
      </c>
      <c r="P229" s="152" t="str">
        <f>IF(ISERROR(GETPIVOTDATA(IF($J229=1,"Count of ACTIVE     GHGE, FARM GATE (kg CO2e/kg)","Count of GHGE, processor gate (kg CO2e/kg)"),'Pivot Table_GHG'!$A$3,"SUB TYPE",$B229)),"PROXY",IF(GETPIVOTDATA(IF($J229=1,"Count of ACTIVE     GHGE, FARM GATE (kg CO2e/kg)","Count of GHGE, processor gate (kg CO2e/kg)"),'Pivot Table_GHG'!$A$3,"SUB TYPE",$B229)=0,"PROXY","DB value"))</f>
        <v>PROXY</v>
      </c>
      <c r="Q229" s="141">
        <f ca="1">IF($P229="PROXY",DCOUNT('literature entries'!$D:$AI,IF($J229=1,"ACTIVE     GHGE, FARM GATE (kg CO2e/kg)","GHGE, processor gate (kg CO2e/kg)"),INDIRECT($K229)),GETPIVOTDATA(IF($J229=1,"ACTIVE     GHGE, FARM GATE (kg CO2e/kg)","Count of GHGE, processor gate (kg CO2e/kg)"),'Pivot Table_GHG'!$A$3,"SUB TYPE",$B229))</f>
        <v>2</v>
      </c>
      <c r="R229" s="221">
        <f ca="1">IF($P229="PROXY",DAVERAGE('literature entries'!$D:$AI,IF($J229=1,"ACTIVE     GHGE, FARM GATE (kg CO2e/kg)","GHGE, processor gate (kg CO2e/kg)"),INDIRECT($K229)),GETPIVOTDATA(IF($J229=1,"Average of ACTIVE     GHGE, FARM GATE (kg CO2e/kg)","Average of GHGE, processor gate (kg CO2e/kg)"),'Pivot Table_GHG'!$A$3,"SUB TYPE",$B229))</f>
        <v>0.87</v>
      </c>
      <c r="S229" s="221">
        <f ca="1">IF($P229="PROXY",DSTDEV('literature entries'!$D:$AI,IF($J229=1,"ACTIVE     GHGE, FARM GATE (kg CO2e/kg)","GHGE, processor gate (kg CO2e/kg)"),INDIRECT($K229)),GETPIVOTDATA(IF($J229=1,"StdDev of ACTIVE     GHGE, FARM GATE (kg CO2e/kg)","StdDev of GHGE, processor gate (kg CO2e/kg)"),'Pivot Table_GHG'!$A$3,"SUB TYPE",$B229))</f>
        <v>0</v>
      </c>
      <c r="T229" s="101"/>
      <c r="U229" s="102"/>
      <c r="W229" s="256" t="s">
        <v>3367</v>
      </c>
      <c r="X229" s="246"/>
      <c r="Y229" s="246"/>
      <c r="Z229" s="246">
        <v>0</v>
      </c>
      <c r="AA229" s="246">
        <v>0</v>
      </c>
      <c r="AB229" s="256" t="s">
        <v>3367</v>
      </c>
      <c r="AC229" s="247"/>
      <c r="AD229" s="247"/>
      <c r="AE229" s="247">
        <v>0</v>
      </c>
      <c r="AF229" s="247">
        <v>0</v>
      </c>
    </row>
    <row r="230" spans="1:32" s="21" customFormat="1" ht="17" thickBot="1" x14ac:dyDescent="0.25">
      <c r="A230" s="129">
        <v>1902143000</v>
      </c>
      <c r="B230" s="130" t="s">
        <v>1964</v>
      </c>
      <c r="C230" s="131" t="s">
        <v>1965</v>
      </c>
      <c r="D230" s="131"/>
      <c r="E230" s="131">
        <v>4949</v>
      </c>
      <c r="F230" s="126">
        <f t="shared" ca="1" si="28"/>
        <v>0</v>
      </c>
      <c r="G230" s="127">
        <f t="shared" ca="1" si="29"/>
        <v>0.87</v>
      </c>
      <c r="H230" s="132">
        <v>1</v>
      </c>
      <c r="I230" s="133" t="s">
        <v>594</v>
      </c>
      <c r="J230" s="91">
        <v>1</v>
      </c>
      <c r="K230" s="90" t="s">
        <v>2465</v>
      </c>
      <c r="L230" s="152" t="str">
        <f>IF(ISERROR(GETPIVOTDATA(IF($J230=1,"Count of ACTIVE     CED, FARM GATE (MJ/kg)","Count of CED, processor gate (MJ/kg)"),'Pivot Table_CED'!$A$3,"SUB TYPE",$B230)),"PROXY",IF(GETPIVOTDATA(IF($J230=1,"Count of ACTIVE     CED, FARM GATE (MJ/kg)","Count of CED, processor gate (MJ/kg)"),'Pivot Table_CED'!$A$3,"SUB TYPE",$B230)=0,"PROXY","DB value"))</f>
        <v>PROXY</v>
      </c>
      <c r="M230" s="134">
        <f ca="1">IF($L230="PROXY",DCOUNT('literature entries'!$D:$AI,IF($J230=1,"ACTIVE     CED, FARM GATE (MJ/kg)","CED, processor gate (MJ/kg)"),INDIRECT($K230)),GETPIVOTDATA(IF($J230=1,"Count of ACTIVE     CED, FARM GATE (MJ/kg)","Count of CED, processor gate (MJ/kg)"),'Pivot Table_CED'!$A$3,"SUB TYPE",$B230))</f>
        <v>1</v>
      </c>
      <c r="N230" s="135">
        <f ca="1">IF($L230="PROXY",DAVERAGE('literature entries'!$D:$AI,IF($J230=1,"ACTIVE     CED, FARM GATE (MJ/kg)","CED, processor gate (MJ/kg)"),INDIRECT($K230)),GETPIVOTDATA(IF($J230=1,"Average of ACTIVE     CED, FARM GATE (MJ/kg)","Average of CED, processor gate (MJ/kg)"),'Pivot Table_CED'!$A$3,"SUB TYPE",$B230))</f>
        <v>0</v>
      </c>
      <c r="O230" s="135" t="e">
        <f ca="1">IF($L230="PROXY",DSTDEV('literature entries'!D:AI,IF($J230=1,"ACTIVE     CED, FARM GATE (MJ/kg)","CED, processor gate (MJ/kg)"),INDIRECT($K230)),GETPIVOTDATA(IF($J230=1,"StdDev of ACTIVE     CED, FARM GATE (MJ/kg)","StdDev of CED, processor gate (MJ/kg)"),'Pivot Table_CED'!$A$3,"SUB TYPE",$B230))</f>
        <v>#DIV/0!</v>
      </c>
      <c r="P230" s="152" t="str">
        <f>IF(ISERROR(GETPIVOTDATA(IF($J230=1,"Count of ACTIVE     GHGE, FARM GATE (kg CO2e/kg)","Count of GHGE, processor gate (kg CO2e/kg)"),'Pivot Table_GHG'!$A$3,"SUB TYPE",$B230)),"PROXY",IF(GETPIVOTDATA(IF($J230=1,"Count of ACTIVE     GHGE, FARM GATE (kg CO2e/kg)","Count of GHGE, processor gate (kg CO2e/kg)"),'Pivot Table_GHG'!$A$3,"SUB TYPE",$B230)=0,"PROXY","DB value"))</f>
        <v>PROXY</v>
      </c>
      <c r="Q230" s="141">
        <f ca="1">IF($P230="PROXY",DCOUNT('literature entries'!$D:$AI,IF($J230=1,"ACTIVE     GHGE, FARM GATE (kg CO2e/kg)","GHGE, processor gate (kg CO2e/kg)"),INDIRECT($K230)),GETPIVOTDATA(IF($J230=1,"ACTIVE     GHGE, FARM GATE (kg CO2e/kg)","Count of GHGE, processor gate (kg CO2e/kg)"),'Pivot Table_GHG'!$A$3,"SUB TYPE",$B230))</f>
        <v>2</v>
      </c>
      <c r="R230" s="221">
        <f ca="1">IF($P230="PROXY",DAVERAGE('literature entries'!$D:$AI,IF($J230=1,"ACTIVE     GHGE, FARM GATE (kg CO2e/kg)","GHGE, processor gate (kg CO2e/kg)"),INDIRECT($K230)),GETPIVOTDATA(IF($J230=1,"Average of ACTIVE     GHGE, FARM GATE (kg CO2e/kg)","Average of GHGE, processor gate (kg CO2e/kg)"),'Pivot Table_GHG'!$A$3,"SUB TYPE",$B230))</f>
        <v>0.87</v>
      </c>
      <c r="S230" s="221">
        <f ca="1">IF($P230="PROXY",DSTDEV('literature entries'!$D:$AI,IF($J230=1,"ACTIVE     GHGE, FARM GATE (kg CO2e/kg)","GHGE, processor gate (kg CO2e/kg)"),INDIRECT($K230)),GETPIVOTDATA(IF($J230=1,"StdDev of ACTIVE     GHGE, FARM GATE (kg CO2e/kg)","StdDev of GHGE, processor gate (kg CO2e/kg)"),'Pivot Table_GHG'!$A$3,"SUB TYPE",$B230))</f>
        <v>0</v>
      </c>
      <c r="T230" s="101"/>
      <c r="U230" s="102"/>
      <c r="W230" s="256" t="s">
        <v>3367</v>
      </c>
      <c r="X230" s="246"/>
      <c r="Y230" s="246"/>
      <c r="Z230" s="246">
        <v>0</v>
      </c>
      <c r="AA230" s="246">
        <v>0</v>
      </c>
      <c r="AB230" s="256" t="s">
        <v>3367</v>
      </c>
      <c r="AC230" s="247"/>
      <c r="AD230" s="247"/>
      <c r="AE230" s="247">
        <v>0</v>
      </c>
      <c r="AF230" s="247">
        <v>0</v>
      </c>
    </row>
    <row r="231" spans="1:32" s="21" customFormat="1" ht="17" thickBot="1" x14ac:dyDescent="0.25">
      <c r="A231" s="129">
        <v>1902274000</v>
      </c>
      <c r="B231" s="130" t="s">
        <v>2157</v>
      </c>
      <c r="C231" s="131" t="s">
        <v>2158</v>
      </c>
      <c r="D231" s="131"/>
      <c r="E231" s="131">
        <v>24206</v>
      </c>
      <c r="F231" s="126">
        <f t="shared" ca="1" si="28"/>
        <v>0</v>
      </c>
      <c r="G231" s="127">
        <f t="shared" ca="1" si="29"/>
        <v>0.87</v>
      </c>
      <c r="H231" s="132">
        <v>1</v>
      </c>
      <c r="I231" s="133" t="s">
        <v>594</v>
      </c>
      <c r="J231" s="91">
        <v>1</v>
      </c>
      <c r="K231" s="90" t="s">
        <v>2465</v>
      </c>
      <c r="L231" s="152" t="str">
        <f>IF(ISERROR(GETPIVOTDATA(IF($J231=1,"Count of ACTIVE     CED, FARM GATE (MJ/kg)","Count of CED, processor gate (MJ/kg)"),'Pivot Table_CED'!$A$3,"SUB TYPE",$B231)),"PROXY",IF(GETPIVOTDATA(IF($J231=1,"Count of ACTIVE     CED, FARM GATE (MJ/kg)","Count of CED, processor gate (MJ/kg)"),'Pivot Table_CED'!$A$3,"SUB TYPE",$B231)=0,"PROXY","DB value"))</f>
        <v>PROXY</v>
      </c>
      <c r="M231" s="134">
        <f ca="1">IF($L231="PROXY",DCOUNT('literature entries'!$D:$AI,IF($J231=1,"ACTIVE     CED, FARM GATE (MJ/kg)","CED, processor gate (MJ/kg)"),INDIRECT($K231)),GETPIVOTDATA(IF($J231=1,"Count of ACTIVE     CED, FARM GATE (MJ/kg)","Count of CED, processor gate (MJ/kg)"),'Pivot Table_CED'!$A$3,"SUB TYPE",$B231))</f>
        <v>1</v>
      </c>
      <c r="N231" s="135">
        <f ca="1">IF($L231="PROXY",DAVERAGE('literature entries'!$D:$AI,IF($J231=1,"ACTIVE     CED, FARM GATE (MJ/kg)","CED, processor gate (MJ/kg)"),INDIRECT($K231)),GETPIVOTDATA(IF($J231=1,"Average of ACTIVE     CED, FARM GATE (MJ/kg)","Average of CED, processor gate (MJ/kg)"),'Pivot Table_CED'!$A$3,"SUB TYPE",$B231))</f>
        <v>0</v>
      </c>
      <c r="O231" s="135" t="e">
        <f ca="1">IF($L231="PROXY",DSTDEV('literature entries'!D:AI,IF($J231=1,"ACTIVE     CED, FARM GATE (MJ/kg)","CED, processor gate (MJ/kg)"),INDIRECT($K231)),GETPIVOTDATA(IF($J231=1,"StdDev of ACTIVE     CED, FARM GATE (MJ/kg)","StdDev of CED, processor gate (MJ/kg)"),'Pivot Table_CED'!$A$3,"SUB TYPE",$B231))</f>
        <v>#DIV/0!</v>
      </c>
      <c r="P231" s="152" t="str">
        <f>IF(ISERROR(GETPIVOTDATA(IF($J231=1,"Count of ACTIVE     GHGE, FARM GATE (kg CO2e/kg)","Count of GHGE, processor gate (kg CO2e/kg)"),'Pivot Table_GHG'!$A$3,"SUB TYPE",$B231)),"PROXY",IF(GETPIVOTDATA(IF($J231=1,"Count of ACTIVE     GHGE, FARM GATE (kg CO2e/kg)","Count of GHGE, processor gate (kg CO2e/kg)"),'Pivot Table_GHG'!$A$3,"SUB TYPE",$B231)=0,"PROXY","DB value"))</f>
        <v>DB value</v>
      </c>
      <c r="Q231" s="141">
        <f ca="1">IF($P231="PROXY",DCOUNT('literature entries'!$D:$AI,IF($J231=1,"ACTIVE     GHGE, FARM GATE (kg CO2e/kg)","GHGE, processor gate (kg CO2e/kg)"),INDIRECT($K231)),GETPIVOTDATA(IF($J231=1,"ACTIVE     GHGE, FARM GATE (kg CO2e/kg)","Count of GHGE, processor gate (kg CO2e/kg)"),'Pivot Table_GHG'!$A$3,"SUB TYPE",$B231))</f>
        <v>1</v>
      </c>
      <c r="R231" s="221">
        <f ca="1">IF($P231="PROXY",DAVERAGE('literature entries'!$D:$AI,IF($J231=1,"ACTIVE     GHGE, FARM GATE (kg CO2e/kg)","GHGE, processor gate (kg CO2e/kg)"),INDIRECT($K231)),GETPIVOTDATA(IF($J231=1,"Average of ACTIVE     GHGE, FARM GATE (kg CO2e/kg)","Average of GHGE, processor gate (kg CO2e/kg)"),'Pivot Table_GHG'!$A$3,"SUB TYPE",$B231))</f>
        <v>0.87</v>
      </c>
      <c r="S231" s="221" t="e">
        <f ca="1">IF($P231="PROXY",DSTDEV('literature entries'!$D:$AI,IF($J231=1,"ACTIVE     GHGE, FARM GATE (kg CO2e/kg)","GHGE, processor gate (kg CO2e/kg)"),INDIRECT($K231)),GETPIVOTDATA(IF($J231=1,"StdDev of ACTIVE     GHGE, FARM GATE (kg CO2e/kg)","StdDev of GHGE, processor gate (kg CO2e/kg)"),'Pivot Table_GHG'!$A$3,"SUB TYPE",$B231))</f>
        <v>#DIV/0!</v>
      </c>
      <c r="T231" s="101"/>
      <c r="U231" s="102"/>
      <c r="W231" s="256" t="s">
        <v>3367</v>
      </c>
      <c r="X231" s="246"/>
      <c r="Y231" s="246"/>
      <c r="Z231" s="246">
        <v>0</v>
      </c>
      <c r="AA231" s="246">
        <v>0</v>
      </c>
      <c r="AB231" s="256" t="s">
        <v>3367</v>
      </c>
      <c r="AC231" s="247"/>
      <c r="AD231" s="247"/>
      <c r="AE231" s="247">
        <v>0</v>
      </c>
      <c r="AF231" s="247">
        <v>0</v>
      </c>
    </row>
    <row r="232" spans="1:32" s="21" customFormat="1" ht="17" thickBot="1" x14ac:dyDescent="0.25">
      <c r="A232" s="129">
        <v>1902354000</v>
      </c>
      <c r="B232" s="130" t="s">
        <v>2274</v>
      </c>
      <c r="C232" s="131" t="s">
        <v>2095</v>
      </c>
      <c r="D232" s="131" t="s">
        <v>2275</v>
      </c>
      <c r="E232" s="131">
        <v>37630</v>
      </c>
      <c r="F232" s="126">
        <f t="shared" ca="1" si="28"/>
        <v>0</v>
      </c>
      <c r="G232" s="127">
        <f t="shared" ca="1" si="29"/>
        <v>0.87</v>
      </c>
      <c r="H232" s="132">
        <v>1</v>
      </c>
      <c r="I232" s="133" t="s">
        <v>594</v>
      </c>
      <c r="J232" s="91">
        <v>1</v>
      </c>
      <c r="K232" s="90" t="s">
        <v>2465</v>
      </c>
      <c r="L232" s="152" t="str">
        <f>IF(ISERROR(GETPIVOTDATA(IF($J232=1,"Count of ACTIVE     CED, FARM GATE (MJ/kg)","Count of CED, processor gate (MJ/kg)"),'Pivot Table_CED'!$A$3,"SUB TYPE",$B232)),"PROXY",IF(GETPIVOTDATA(IF($J232=1,"Count of ACTIVE     CED, FARM GATE (MJ/kg)","Count of CED, processor gate (MJ/kg)"),'Pivot Table_CED'!$A$3,"SUB TYPE",$B232)=0,"PROXY","DB value"))</f>
        <v>PROXY</v>
      </c>
      <c r="M232" s="134">
        <f ca="1">IF($L232="PROXY",DCOUNT('literature entries'!$D:$AI,IF($J232=1,"ACTIVE     CED, FARM GATE (MJ/kg)","CED, processor gate (MJ/kg)"),INDIRECT($K232)),GETPIVOTDATA(IF($J232=1,"Count of ACTIVE     CED, FARM GATE (MJ/kg)","Count of CED, processor gate (MJ/kg)"),'Pivot Table_CED'!$A$3,"SUB TYPE",$B232))</f>
        <v>1</v>
      </c>
      <c r="N232" s="135">
        <f ca="1">IF($L232="PROXY",DAVERAGE('literature entries'!$D:$AI,IF($J232=1,"ACTIVE     CED, FARM GATE (MJ/kg)","CED, processor gate (MJ/kg)"),INDIRECT($K232)),GETPIVOTDATA(IF($J232=1,"Average of ACTIVE     CED, FARM GATE (MJ/kg)","Average of CED, processor gate (MJ/kg)"),'Pivot Table_CED'!$A$3,"SUB TYPE",$B232))</f>
        <v>0</v>
      </c>
      <c r="O232" s="135" t="e">
        <f ca="1">IF($L232="PROXY",DSTDEV('literature entries'!D:AI,IF($J232=1,"ACTIVE     CED, FARM GATE (MJ/kg)","CED, processor gate (MJ/kg)"),INDIRECT($K232)),GETPIVOTDATA(IF($J232=1,"StdDev of ACTIVE     CED, FARM GATE (MJ/kg)","StdDev of CED, processor gate (MJ/kg)"),'Pivot Table_CED'!$A$3,"SUB TYPE",$B232))</f>
        <v>#DIV/0!</v>
      </c>
      <c r="P232" s="152" t="str">
        <f>IF(ISERROR(GETPIVOTDATA(IF($J232=1,"Count of ACTIVE     GHGE, FARM GATE (kg CO2e/kg)","Count of GHGE, processor gate (kg CO2e/kg)"),'Pivot Table_GHG'!$A$3,"SUB TYPE",$B232)),"PROXY",IF(GETPIVOTDATA(IF($J232=1,"Count of ACTIVE     GHGE, FARM GATE (kg CO2e/kg)","Count of GHGE, processor gate (kg CO2e/kg)"),'Pivot Table_GHG'!$A$3,"SUB TYPE",$B232)=0,"PROXY","DB value"))</f>
        <v>PROXY</v>
      </c>
      <c r="Q232" s="141">
        <f ca="1">IF($P232="PROXY",DCOUNT('literature entries'!$D:$AI,IF($J232=1,"ACTIVE     GHGE, FARM GATE (kg CO2e/kg)","GHGE, processor gate (kg CO2e/kg)"),INDIRECT($K232)),GETPIVOTDATA(IF($J232=1,"ACTIVE     GHGE, FARM GATE (kg CO2e/kg)","Count of GHGE, processor gate (kg CO2e/kg)"),'Pivot Table_GHG'!$A$3,"SUB TYPE",$B232))</f>
        <v>2</v>
      </c>
      <c r="R232" s="221">
        <f ca="1">IF($P232="PROXY",DAVERAGE('literature entries'!$D:$AI,IF($J232=1,"ACTIVE     GHGE, FARM GATE (kg CO2e/kg)","GHGE, processor gate (kg CO2e/kg)"),INDIRECT($K232)),GETPIVOTDATA(IF($J232=1,"Average of ACTIVE     GHGE, FARM GATE (kg CO2e/kg)","Average of GHGE, processor gate (kg CO2e/kg)"),'Pivot Table_GHG'!$A$3,"SUB TYPE",$B232))</f>
        <v>0.87</v>
      </c>
      <c r="S232" s="221">
        <f ca="1">IF($P232="PROXY",DSTDEV('literature entries'!$D:$AI,IF($J232=1,"ACTIVE     GHGE, FARM GATE (kg CO2e/kg)","GHGE, processor gate (kg CO2e/kg)"),INDIRECT($K232)),GETPIVOTDATA(IF($J232=1,"StdDev of ACTIVE     GHGE, FARM GATE (kg CO2e/kg)","StdDev of GHGE, processor gate (kg CO2e/kg)"),'Pivot Table_GHG'!$A$3,"SUB TYPE",$B232))</f>
        <v>0</v>
      </c>
      <c r="T232" s="101"/>
      <c r="U232" s="102"/>
      <c r="W232" s="256" t="s">
        <v>3367</v>
      </c>
      <c r="X232" s="246"/>
      <c r="Y232" s="246"/>
      <c r="Z232" s="246">
        <v>0</v>
      </c>
      <c r="AA232" s="246">
        <v>0</v>
      </c>
      <c r="AB232" s="256" t="s">
        <v>3367</v>
      </c>
      <c r="AC232" s="247"/>
      <c r="AD232" s="247"/>
      <c r="AE232" s="247">
        <v>0</v>
      </c>
      <c r="AF232" s="247">
        <v>0</v>
      </c>
    </row>
    <row r="233" spans="1:32" s="21" customFormat="1" ht="17" thickBot="1" x14ac:dyDescent="0.25">
      <c r="A233" s="129">
        <v>2001162900</v>
      </c>
      <c r="B233" s="130" t="s">
        <v>1994</v>
      </c>
      <c r="C233" s="131" t="s">
        <v>1808</v>
      </c>
      <c r="D233" s="131" t="s">
        <v>1809</v>
      </c>
      <c r="E233" s="131">
        <v>68</v>
      </c>
      <c r="F233" s="126">
        <f t="shared" ca="1" si="28"/>
        <v>2.5841213096774194</v>
      </c>
      <c r="G233" s="127">
        <f t="shared" ca="1" si="29"/>
        <v>0.39349345733333324</v>
      </c>
      <c r="H233" s="132">
        <v>1</v>
      </c>
      <c r="I233" s="133" t="s">
        <v>594</v>
      </c>
      <c r="J233" s="91">
        <v>1</v>
      </c>
      <c r="K233" s="90" t="s">
        <v>2702</v>
      </c>
      <c r="L233" s="152" t="str">
        <f>IF(ISERROR(GETPIVOTDATA(IF($J233=1,"Count of ACTIVE     CED, FARM GATE (MJ/kg)","Count of CED, processor gate (MJ/kg)"),'Pivot Table_CED'!$A$3,"SUB TYPE",$B233)),"PROXY",IF(GETPIVOTDATA(IF($J233=1,"Count of ACTIVE     CED, FARM GATE (MJ/kg)","Count of CED, processor gate (MJ/kg)"),'Pivot Table_CED'!$A$3,"SUB TYPE",$B233)=0,"PROXY","DB value"))</f>
        <v>PROXY</v>
      </c>
      <c r="M233" s="134">
        <f ca="1">IF($L233="PROXY",DCOUNT('literature entries'!$D:$AI,IF($J233=1,"ACTIVE     CED, FARM GATE (MJ/kg)","CED, processor gate (MJ/kg)"),INDIRECT($K233)),GETPIVOTDATA(IF($J233=1,"Count of ACTIVE     CED, FARM GATE (MJ/kg)","Count of CED, processor gate (MJ/kg)"),'Pivot Table_CED'!$A$3,"SUB TYPE",$B233))</f>
        <v>31</v>
      </c>
      <c r="N233" s="135">
        <f ca="1">IF($L233="PROXY",DAVERAGE('literature entries'!$D:$AI,IF($J233=1,"ACTIVE     CED, FARM GATE (MJ/kg)","CED, processor gate (MJ/kg)"),INDIRECT($K233)),GETPIVOTDATA(IF($J233=1,"Average of ACTIVE     CED, FARM GATE (MJ/kg)","Average of CED, processor gate (MJ/kg)"),'Pivot Table_CED'!$A$3,"SUB TYPE",$B233))</f>
        <v>2.5841213096774194</v>
      </c>
      <c r="O233" s="135">
        <f ca="1">IF($L233="PROXY",DSTDEV('literature entries'!D:AI,IF($J233=1,"ACTIVE     CED, FARM GATE (MJ/kg)","CED, processor gate (MJ/kg)"),INDIRECT($K233)),GETPIVOTDATA(IF($J233=1,"StdDev of ACTIVE     CED, FARM GATE (MJ/kg)","StdDev of CED, processor gate (MJ/kg)"),'Pivot Table_CED'!$A$3,"SUB TYPE",$B233))</f>
        <v>1.1854190703188778</v>
      </c>
      <c r="P233" s="152" t="str">
        <f>IF(ISERROR(GETPIVOTDATA(IF($J233=1,"Count of ACTIVE     GHGE, FARM GATE (kg CO2e/kg)","Count of GHGE, processor gate (kg CO2e/kg)"),'Pivot Table_GHG'!$A$3,"SUB TYPE",$B233)),"PROXY",IF(GETPIVOTDATA(IF($J233=1,"Count of ACTIVE     GHGE, FARM GATE (kg CO2e/kg)","Count of GHGE, processor gate (kg CO2e/kg)"),'Pivot Table_GHG'!$A$3,"SUB TYPE",$B233)=0,"PROXY","DB value"))</f>
        <v>PROXY</v>
      </c>
      <c r="Q233" s="141">
        <f ca="1">IF($P233="PROXY",DCOUNT('literature entries'!$D:$AI,IF($J233=1,"ACTIVE     GHGE, FARM GATE (kg CO2e/kg)","GHGE, processor gate (kg CO2e/kg)"),INDIRECT($K233)),GETPIVOTDATA(IF($J233=1,"ACTIVE     GHGE, FARM GATE (kg CO2e/kg)","Count of GHGE, processor gate (kg CO2e/kg)"),'Pivot Table_GHG'!$A$3,"SUB TYPE",$B233))</f>
        <v>45</v>
      </c>
      <c r="R233" s="221">
        <f ca="1">IF($P233="PROXY",DAVERAGE('literature entries'!$D:$AI,IF($J233=1,"ACTIVE     GHGE, FARM GATE (kg CO2e/kg)","GHGE, processor gate (kg CO2e/kg)"),INDIRECT($K233)),GETPIVOTDATA(IF($J233=1,"Average of ACTIVE     GHGE, FARM GATE (kg CO2e/kg)","Average of GHGE, processor gate (kg CO2e/kg)"),'Pivot Table_GHG'!$A$3,"SUB TYPE",$B233))</f>
        <v>0.39349345733333324</v>
      </c>
      <c r="S233" s="221">
        <f ca="1">IF($P233="PROXY",DSTDEV('literature entries'!$D:$AI,IF($J233=1,"ACTIVE     GHGE, FARM GATE (kg CO2e/kg)","GHGE, processor gate (kg CO2e/kg)"),INDIRECT($K233)),GETPIVOTDATA(IF($J233=1,"StdDev of ACTIVE     GHGE, FARM GATE (kg CO2e/kg)","StdDev of GHGE, processor gate (kg CO2e/kg)"),'Pivot Table_GHG'!$A$3,"SUB TYPE",$B233))</f>
        <v>0.20361467618492471</v>
      </c>
      <c r="T233" s="101"/>
      <c r="U233" s="102"/>
      <c r="W233" s="248" t="str">
        <f ca="1">IF(L233="PROXY",IF(M233&gt;=5,K233,"need group"),IF(M233&gt;=5,"DIRECT","need group"))</f>
        <v>grains</v>
      </c>
      <c r="X233" s="246">
        <f ca="1">IF($W233="DIRECT",M233,DCOUNT('literature entries'!$D:$AI,IF($J233=1,"ACTIVE     CED, FARM GATE (MJ/kg)","CED, processor gate (MJ/kg)"),INDIRECT($W233)))</f>
        <v>31</v>
      </c>
      <c r="Y233" s="246">
        <f ca="1">IF($W233="DIRECT","",DAVERAGE('literature entries'!$D:$AI,IF($J233=1,"ACTIVE     CED, FARM GATE (MJ/kg)","CED, processor gate (MJ/kg)"),INDIRECT($W233)))</f>
        <v>2.5841213096774194</v>
      </c>
      <c r="Z233" s="246">
        <f ca="1">IF($W233="DIRECT",$O233,DSTDEV('literature entries'!$D:$AI,IF($J233=1,"ACTIVE     CED, FARM GATE (MJ/kg)","CED, processor gate (MJ/kg)"),INDIRECT($W233)))</f>
        <v>1.1854190703188778</v>
      </c>
      <c r="AA233" s="246">
        <f t="shared" ref="AA233:AA264" ca="1" si="32">IF($W233="DIRECT",$O233,$Z233/$Y233*$N233)</f>
        <v>1.1854190703188778</v>
      </c>
      <c r="AB233" s="254" t="str">
        <f ca="1">IF(P233="PROXY",IF(Q233&gt;=5,K233,"need group"),IF(Q233&gt;=5,"DIRECT","need group"))</f>
        <v>grains</v>
      </c>
      <c r="AC233" s="247">
        <f ca="1">IF($AB233="DIRECT",Q233,DCOUNT('literature entries'!$D:$AI,IF($J233=1,"ACTIVE     GHGE, FARM GATE (kg CO2e/kg)","GHGE, processor gate (kg CO2e/kg)"),INDIRECT($AB233)))</f>
        <v>45</v>
      </c>
      <c r="AD233" s="247">
        <f ca="1">IF($AB233="DIRECT","",DAVERAGE('literature entries'!$D:$AI,IF($J233=1,"ACTIVE     GHGE, FARM GATE (kg CO2e/kg)","GHGE, processor gate (kg CO2e/kg)"),INDIRECT($AB233)))</f>
        <v>0.39349345733333324</v>
      </c>
      <c r="AE233" s="247">
        <f ca="1">IF($AB233="DIRECT",$S233,DSTDEV('literature entries'!$D:$AI,IF($J233=1,"ACTIVE     GHGE, FARM GATE (kg CO2e/kg)","GHGE, processor gate (kg CO2e/kg)"),INDIRECT($AB233)))</f>
        <v>0.20361467618492471</v>
      </c>
      <c r="AF233" s="247">
        <f t="shared" ref="AF233:AF264" ca="1" si="33">IF($AB233="DIRECT",$S233,$AE233/$AD233*$R233)</f>
        <v>0.20361467618492474</v>
      </c>
    </row>
    <row r="234" spans="1:32" s="21" customFormat="1" ht="17" thickBot="1" x14ac:dyDescent="0.25">
      <c r="A234" s="129">
        <v>2001163000</v>
      </c>
      <c r="B234" s="130" t="s">
        <v>1991</v>
      </c>
      <c r="C234" s="131" t="s">
        <v>1992</v>
      </c>
      <c r="D234" s="131" t="s">
        <v>1993</v>
      </c>
      <c r="E234" s="131">
        <v>176</v>
      </c>
      <c r="F234" s="126">
        <f t="shared" ca="1" si="28"/>
        <v>14.640679666666665</v>
      </c>
      <c r="G234" s="127">
        <f t="shared" ca="1" si="29"/>
        <v>2.3340000000000001</v>
      </c>
      <c r="H234" s="136">
        <v>1</v>
      </c>
      <c r="I234" s="133" t="s">
        <v>628</v>
      </c>
      <c r="J234" s="91">
        <v>2</v>
      </c>
      <c r="K234" s="90" t="s">
        <v>3291</v>
      </c>
      <c r="L234" s="152" t="str">
        <f>IF(ISERROR(GETPIVOTDATA(IF($J234=1,"Count of ACTIVE     CED, FARM GATE (MJ/kg)","Count of CED, processor gate (MJ/kg)"),'Pivot Table_CED'!$A$3,"SUB TYPE",$B234)),"PROXY",IF(GETPIVOTDATA(IF($J234=1,"Count of ACTIVE     CED, FARM GATE (MJ/kg)","Count of CED, processor gate (MJ/kg)"),'Pivot Table_CED'!$A$3,"SUB TYPE",$B234)=0,"PROXY","DB value"))</f>
        <v>PROXY</v>
      </c>
      <c r="M234" s="134">
        <f ca="1">IF($L234="PROXY",DCOUNT('literature entries'!$D:$AI,IF($J234=1,"ACTIVE     CED, FARM GATE (MJ/kg)","CED, processor gate (MJ/kg)"),INDIRECT($K234)),GETPIVOTDATA(IF($J234=1,"Count of ACTIVE     CED, FARM GATE (MJ/kg)","Count of CED, processor gate (MJ/kg)"),'Pivot Table_CED'!$A$3,"SUB TYPE",$B234))</f>
        <v>3</v>
      </c>
      <c r="N234" s="135">
        <f ca="1">IF($L234="PROXY",DAVERAGE('literature entries'!$D:$AI,IF($J234=1,"ACTIVE     CED, FARM GATE (MJ/kg)","CED, processor gate (MJ/kg)"),INDIRECT($K234)),GETPIVOTDATA(IF($J234=1,"Average of ACTIVE     CED, FARM GATE (MJ/kg)","Average of CED, processor gate (MJ/kg)"),'Pivot Table_CED'!$A$3,"SUB TYPE",$B234))</f>
        <v>14.640679666666665</v>
      </c>
      <c r="O234" s="135">
        <f ca="1">IF($L234="PROXY",DSTDEV('literature entries'!D:AI,IF($J234=1,"ACTIVE     CED, FARM GATE (MJ/kg)","CED, processor gate (MJ/kg)"),INDIRECT($K234)),GETPIVOTDATA(IF($J234=1,"StdDev of ACTIVE     CED, FARM GATE (MJ/kg)","StdDev of CED, processor gate (MJ/kg)"),'Pivot Table_CED'!$A$3,"SUB TYPE",$B234))</f>
        <v>9.5707118202326189</v>
      </c>
      <c r="P234" s="152" t="str">
        <f>IF(ISERROR(GETPIVOTDATA(IF($J234=1,"Count of ACTIVE     GHGE, FARM GATE (kg CO2e/kg)","Count of GHGE, processor gate (kg CO2e/kg)"),'Pivot Table_GHG'!$A$3,"SUB TYPE",$B234)),"PROXY",IF(GETPIVOTDATA(IF($J234=1,"Count of ACTIVE     GHGE, FARM GATE (kg CO2e/kg)","Count of GHGE, processor gate (kg CO2e/kg)"),'Pivot Table_GHG'!$A$3,"SUB TYPE",$B234)=0,"PROXY","DB value"))</f>
        <v>PROXY</v>
      </c>
      <c r="Q234" s="141">
        <f ca="1">IF($P234="PROXY",DCOUNT('literature entries'!$D:$AI,IF($J234=1,"ACTIVE     GHGE, FARM GATE (kg CO2e/kg)","GHGE, processor gate (kg CO2e/kg)"),INDIRECT($K234)),GETPIVOTDATA(IF($J234=1,"ACTIVE     GHGE, FARM GATE (kg CO2e/kg)","Count of GHGE, processor gate (kg CO2e/kg)"),'Pivot Table_GHG'!$A$3,"SUB TYPE",$B234))</f>
        <v>4</v>
      </c>
      <c r="R234" s="221">
        <f ca="1">IF($P234="PROXY",DAVERAGE('literature entries'!$D:$AI,IF($J234=1,"ACTIVE     GHGE, FARM GATE (kg CO2e/kg)","GHGE, processor gate (kg CO2e/kg)"),INDIRECT($K234)),GETPIVOTDATA(IF($J234=1,"Average of ACTIVE     GHGE, FARM GATE (kg CO2e/kg)","Average of GHGE, processor gate (kg CO2e/kg)"),'Pivot Table_GHG'!$A$3,"SUB TYPE",$B234))</f>
        <v>2.3340000000000001</v>
      </c>
      <c r="S234" s="221">
        <f ca="1">IF($P234="PROXY",DSTDEV('literature entries'!$D:$AI,IF($J234=1,"ACTIVE     GHGE, FARM GATE (kg CO2e/kg)","GHGE, processor gate (kg CO2e/kg)"),INDIRECT($K234)),GETPIVOTDATA(IF($J234=1,"StdDev of ACTIVE     GHGE, FARM GATE (kg CO2e/kg)","StdDev of GHGE, processor gate (kg CO2e/kg)"),'Pivot Table_GHG'!$A$3,"SUB TYPE",$B234))</f>
        <v>0.36239573213086351</v>
      </c>
      <c r="T234" s="101"/>
      <c r="U234" s="102"/>
      <c r="W234" s="248" t="s">
        <v>3354</v>
      </c>
      <c r="X234" s="246">
        <f ca="1">IF($W234="DIRECT",M234,DCOUNT('literature entries'!$D:$AI,IF($J234=1,"ACTIVE     CED, FARM GATE (MJ/kg)","CED, processor gate (MJ/kg)"),INDIRECT($W234)))</f>
        <v>16</v>
      </c>
      <c r="Y234" s="246">
        <f ca="1">IF($W234="DIRECT","",DAVERAGE('literature entries'!$D:$AI,IF($J234=1,"ACTIVE     CED, FARM GATE (MJ/kg)","CED, processor gate (MJ/kg)"),INDIRECT($W234)))</f>
        <v>11.873325197282607</v>
      </c>
      <c r="Z234" s="246">
        <f ca="1">IF($W234="DIRECT",$O234,DSTDEV('literature entries'!$D:$AI,IF($J234=1,"ACTIVE     CED, FARM GATE (MJ/kg)","CED, processor gate (MJ/kg)"),INDIRECT($W234)))</f>
        <v>5.663275464099641</v>
      </c>
      <c r="AA234" s="246">
        <f t="shared" ca="1" si="32"/>
        <v>6.9832334713574609</v>
      </c>
      <c r="AB234" s="254" t="s">
        <v>3354</v>
      </c>
      <c r="AC234" s="247">
        <f ca="1">IF($AB234="DIRECT",Q234,DCOUNT('literature entries'!$D:$AI,IF($J234=1,"ACTIVE     GHGE, FARM GATE (kg CO2e/kg)","GHGE, processor gate (kg CO2e/kg)"),INDIRECT($AB234)))</f>
        <v>19</v>
      </c>
      <c r="AD234" s="247">
        <f ca="1">IF($AB234="DIRECT","",DAVERAGE('literature entries'!$D:$AI,IF($J234=1,"ACTIVE     GHGE, FARM GATE (kg CO2e/kg)","GHGE, processor gate (kg CO2e/kg)"),INDIRECT($AB234)))</f>
        <v>3.6074757576297722</v>
      </c>
      <c r="AE234" s="247">
        <f ca="1">IF($AB234="DIRECT",$S234,DSTDEV('literature entries'!$D:$AI,IF($J234=1,"ACTIVE     GHGE, FARM GATE (kg CO2e/kg)","GHGE, processor gate (kg CO2e/kg)"),INDIRECT($AB234)))</f>
        <v>2.5306182127862726</v>
      </c>
      <c r="AF234" s="247">
        <f t="shared" ca="1" si="33"/>
        <v>1.6372841580850697</v>
      </c>
    </row>
    <row r="235" spans="1:32" s="21" customFormat="1" ht="17" thickBot="1" x14ac:dyDescent="0.25">
      <c r="A235" s="129">
        <v>2001319000</v>
      </c>
      <c r="B235" s="130" t="s">
        <v>2228</v>
      </c>
      <c r="C235" s="131" t="s">
        <v>1731</v>
      </c>
      <c r="D235" s="131" t="s">
        <v>2229</v>
      </c>
      <c r="E235" s="131">
        <v>47225</v>
      </c>
      <c r="F235" s="126">
        <f t="shared" ca="1" si="28"/>
        <v>13.327939000000001</v>
      </c>
      <c r="G235" s="127">
        <f t="shared" ca="1" si="29"/>
        <v>2.2749999999999999</v>
      </c>
      <c r="H235" s="132">
        <v>1</v>
      </c>
      <c r="I235" s="133" t="s">
        <v>2724</v>
      </c>
      <c r="J235" s="91">
        <v>2</v>
      </c>
      <c r="K235" s="90"/>
      <c r="L235" s="152" t="str">
        <f>IF(ISERROR(GETPIVOTDATA(IF($J235=1,"Count of ACTIVE     CED, FARM GATE (MJ/kg)","Count of CED, processor gate (MJ/kg)"),'Pivot Table_CED'!$A$3,"SUB TYPE",$B235)),"PROXY",IF(GETPIVOTDATA(IF($J235=1,"Count of ACTIVE     CED, FARM GATE (MJ/kg)","Count of CED, processor gate (MJ/kg)"),'Pivot Table_CED'!$A$3,"SUB TYPE",$B235)=0,"PROXY","DB value"))</f>
        <v>DB value</v>
      </c>
      <c r="M235" s="134">
        <f ca="1">IF($L235="PROXY",DCOUNT('literature entries'!$D:$AI,IF($J235=1,"ACTIVE     CED, FARM GATE (MJ/kg)","CED, processor gate (MJ/kg)"),INDIRECT($K235)),GETPIVOTDATA(IF($J235=1,"Count of ACTIVE     CED, FARM GATE (MJ/kg)","Count of CED, processor gate (MJ/kg)"),'Pivot Table_CED'!$A$3,"SUB TYPE",$B235))</f>
        <v>1</v>
      </c>
      <c r="N235" s="135">
        <f ca="1">IF($L235="PROXY",DAVERAGE('literature entries'!$D:$AI,IF($J235=1,"ACTIVE     CED, FARM GATE (MJ/kg)","CED, processor gate (MJ/kg)"),INDIRECT($K235)),GETPIVOTDATA(IF($J235=1,"Average of ACTIVE     CED, FARM GATE (MJ/kg)","Average of CED, processor gate (MJ/kg)"),'Pivot Table_CED'!$A$3,"SUB TYPE",$B235))</f>
        <v>13.327939000000001</v>
      </c>
      <c r="O235" s="135">
        <f ca="1">IF($L235="PROXY",DSTDEV('literature entries'!D:AI,IF($J235=1,"ACTIVE     CED, FARM GATE (MJ/kg)","CED, processor gate (MJ/kg)"),INDIRECT($K235)),GETPIVOTDATA(IF($J235=1,"StdDev of ACTIVE     CED, FARM GATE (MJ/kg)","StdDev of CED, processor gate (MJ/kg)"),'Pivot Table_CED'!$A$3,"SUB TYPE",$B235))</f>
        <v>0</v>
      </c>
      <c r="P235" s="152" t="str">
        <f>IF(ISERROR(GETPIVOTDATA(IF($J235=1,"Count of ACTIVE     GHGE, FARM GATE (kg CO2e/kg)","Count of GHGE, processor gate (kg CO2e/kg)"),'Pivot Table_GHG'!$A$3,"SUB TYPE",$B235)),"PROXY",IF(GETPIVOTDATA(IF($J235=1,"Count of ACTIVE     GHGE, FARM GATE (kg CO2e/kg)","Count of GHGE, processor gate (kg CO2e/kg)"),'Pivot Table_GHG'!$A$3,"SUB TYPE",$B235)=0,"PROXY","DB value"))</f>
        <v>DB value</v>
      </c>
      <c r="Q235" s="141">
        <f ca="1">IF($P235="PROXY",DCOUNT('literature entries'!$D:$AI,IF($J235=1,"ACTIVE     GHGE, FARM GATE (kg CO2e/kg)","GHGE, processor gate (kg CO2e/kg)"),INDIRECT($K235)),GETPIVOTDATA(IF($J235=1,"ACTIVE     GHGE, FARM GATE (kg CO2e/kg)","Count of GHGE, processor gate (kg CO2e/kg)"),'Pivot Table_GHG'!$A$3,"SUB TYPE",$B235))</f>
        <v>2</v>
      </c>
      <c r="R235" s="221">
        <f ca="1">IF($P235="PROXY",DAVERAGE('literature entries'!$D:$AI,IF($J235=1,"ACTIVE     GHGE, FARM GATE (kg CO2e/kg)","GHGE, processor gate (kg CO2e/kg)"),INDIRECT($K235)),GETPIVOTDATA(IF($J235=1,"Average of ACTIVE     GHGE, FARM GATE (kg CO2e/kg)","Average of GHGE, processor gate (kg CO2e/kg)"),'Pivot Table_GHG'!$A$3,"SUB TYPE",$B235))</f>
        <v>2.2749999999999999</v>
      </c>
      <c r="S235" s="221">
        <f ca="1">IF($P235="PROXY",DSTDEV('literature entries'!$D:$AI,IF($J235=1,"ACTIVE     GHGE, FARM GATE (kg CO2e/kg)","GHGE, processor gate (kg CO2e/kg)"),INDIRECT($K235)),GETPIVOTDATA(IF($J235=1,"StdDev of ACTIVE     GHGE, FARM GATE (kg CO2e/kg)","StdDev of GHGE, processor gate (kg CO2e/kg)"),'Pivot Table_GHG'!$A$3,"SUB TYPE",$B235))</f>
        <v>0.50204581464244924</v>
      </c>
      <c r="T235" s="101"/>
      <c r="U235" s="102"/>
      <c r="W235" s="248" t="s">
        <v>3354</v>
      </c>
      <c r="X235" s="246">
        <f ca="1">IF($W235="DIRECT",M235,DCOUNT('literature entries'!$D:$AI,IF($J235=1,"ACTIVE     CED, FARM GATE (MJ/kg)","CED, processor gate (MJ/kg)"),INDIRECT($W235)))</f>
        <v>16</v>
      </c>
      <c r="Y235" s="246">
        <f ca="1">IF($W235="DIRECT","",DAVERAGE('literature entries'!$D:$AI,IF($J235=1,"ACTIVE     CED, FARM GATE (MJ/kg)","CED, processor gate (MJ/kg)"),INDIRECT($W235)))</f>
        <v>11.873325197282607</v>
      </c>
      <c r="Z235" s="246">
        <f ca="1">IF($W235="DIRECT",$O235,DSTDEV('literature entries'!$D:$AI,IF($J235=1,"ACTIVE     CED, FARM GATE (MJ/kg)","CED, processor gate (MJ/kg)"),INDIRECT($W235)))</f>
        <v>5.663275464099641</v>
      </c>
      <c r="AA235" s="246">
        <f t="shared" ca="1" si="32"/>
        <v>6.3570894144288586</v>
      </c>
      <c r="AB235" s="254" t="s">
        <v>3354</v>
      </c>
      <c r="AC235" s="247">
        <f ca="1">IF($AB235="DIRECT",Q235,DCOUNT('literature entries'!$D:$AI,IF($J235=1,"ACTIVE     GHGE, FARM GATE (kg CO2e/kg)","GHGE, processor gate (kg CO2e/kg)"),INDIRECT($AB235)))</f>
        <v>19</v>
      </c>
      <c r="AD235" s="247">
        <f ca="1">IF($AB235="DIRECT","",DAVERAGE('literature entries'!$D:$AI,IF($J235=1,"ACTIVE     GHGE, FARM GATE (kg CO2e/kg)","GHGE, processor gate (kg CO2e/kg)"),INDIRECT($AB235)))</f>
        <v>3.6074757576297722</v>
      </c>
      <c r="AE235" s="247">
        <f ca="1">IF($AB235="DIRECT",$S235,DSTDEV('literature entries'!$D:$AI,IF($J235=1,"ACTIVE     GHGE, FARM GATE (kg CO2e/kg)","GHGE, processor gate (kg CO2e/kg)"),INDIRECT($AB235)))</f>
        <v>2.5306182127862726</v>
      </c>
      <c r="AF235" s="247">
        <f t="shared" ca="1" si="33"/>
        <v>1.595896083823279</v>
      </c>
    </row>
    <row r="236" spans="1:32" s="21" customFormat="1" ht="17" thickBot="1" x14ac:dyDescent="0.25">
      <c r="A236" s="129">
        <v>2001336000</v>
      </c>
      <c r="B236" s="130" t="s">
        <v>2253</v>
      </c>
      <c r="C236" s="131" t="s">
        <v>1965</v>
      </c>
      <c r="D236" s="131"/>
      <c r="E236" s="131">
        <v>2855</v>
      </c>
      <c r="F236" s="126">
        <f t="shared" ca="1" si="28"/>
        <v>2.5841213096774194</v>
      </c>
      <c r="G236" s="127">
        <f t="shared" ca="1" si="29"/>
        <v>1.05</v>
      </c>
      <c r="H236" s="132">
        <v>1</v>
      </c>
      <c r="I236" s="133" t="s">
        <v>594</v>
      </c>
      <c r="J236" s="91">
        <v>1</v>
      </c>
      <c r="K236" s="90" t="s">
        <v>2702</v>
      </c>
      <c r="L236" s="152" t="str">
        <f>IF(ISERROR(GETPIVOTDATA(IF($J236=1,"Count of ACTIVE     CED, FARM GATE (MJ/kg)","Count of CED, processor gate (MJ/kg)"),'Pivot Table_CED'!$A$3,"SUB TYPE",$B236)),"PROXY",IF(GETPIVOTDATA(IF($J236=1,"Count of ACTIVE     CED, FARM GATE (MJ/kg)","Count of CED, processor gate (MJ/kg)"),'Pivot Table_CED'!$A$3,"SUB TYPE",$B236)=0,"PROXY","DB value"))</f>
        <v>PROXY</v>
      </c>
      <c r="M236" s="134">
        <f ca="1">IF($L236="PROXY",DCOUNT('literature entries'!$D:$AI,IF($J236=1,"ACTIVE     CED, FARM GATE (MJ/kg)","CED, processor gate (MJ/kg)"),INDIRECT($K236)),GETPIVOTDATA(IF($J236=1,"Count of ACTIVE     CED, FARM GATE (MJ/kg)","Count of CED, processor gate (MJ/kg)"),'Pivot Table_CED'!$A$3,"SUB TYPE",$B236))</f>
        <v>31</v>
      </c>
      <c r="N236" s="135">
        <f ca="1">IF($L236="PROXY",DAVERAGE('literature entries'!$D:$AI,IF($J236=1,"ACTIVE     CED, FARM GATE (MJ/kg)","CED, processor gate (MJ/kg)"),INDIRECT($K236)),GETPIVOTDATA(IF($J236=1,"Average of ACTIVE     CED, FARM GATE (MJ/kg)","Average of CED, processor gate (MJ/kg)"),'Pivot Table_CED'!$A$3,"SUB TYPE",$B236))</f>
        <v>2.5841213096774194</v>
      </c>
      <c r="O236" s="135">
        <f ca="1">IF($L236="PROXY",DSTDEV('literature entries'!D:AI,IF($J236=1,"ACTIVE     CED, FARM GATE (MJ/kg)","CED, processor gate (MJ/kg)"),INDIRECT($K236)),GETPIVOTDATA(IF($J236=1,"StdDev of ACTIVE     CED, FARM GATE (MJ/kg)","StdDev of CED, processor gate (MJ/kg)"),'Pivot Table_CED'!$A$3,"SUB TYPE",$B236))</f>
        <v>1.1854190703188778</v>
      </c>
      <c r="P236" s="152" t="str">
        <f>IF(ISERROR(GETPIVOTDATA(IF($J236=1,"Count of ACTIVE     GHGE, FARM GATE (kg CO2e/kg)","Count of GHGE, processor gate (kg CO2e/kg)"),'Pivot Table_GHG'!$A$3,"SUB TYPE",$B236)),"PROXY",IF(GETPIVOTDATA(IF($J236=1,"Count of ACTIVE     GHGE, FARM GATE (kg CO2e/kg)","Count of GHGE, processor gate (kg CO2e/kg)"),'Pivot Table_GHG'!$A$3,"SUB TYPE",$B236)=0,"PROXY","DB value"))</f>
        <v>DB value</v>
      </c>
      <c r="Q236" s="141">
        <f ca="1">IF($P236="PROXY",DCOUNT('literature entries'!$D:$AI,IF($J236=1,"ACTIVE     GHGE, FARM GATE (kg CO2e/kg)","GHGE, processor gate (kg CO2e/kg)"),INDIRECT($K236)),GETPIVOTDATA(IF($J236=1,"ACTIVE     GHGE, FARM GATE (kg CO2e/kg)","Count of GHGE, processor gate (kg CO2e/kg)"),'Pivot Table_GHG'!$A$3,"SUB TYPE",$B236))</f>
        <v>1</v>
      </c>
      <c r="R236" s="221">
        <f ca="1">IF($P236="PROXY",DAVERAGE('literature entries'!$D:$AI,IF($J236=1,"ACTIVE     GHGE, FARM GATE (kg CO2e/kg)","GHGE, processor gate (kg CO2e/kg)"),INDIRECT($K236)),GETPIVOTDATA(IF($J236=1,"Average of ACTIVE     GHGE, FARM GATE (kg CO2e/kg)","Average of GHGE, processor gate (kg CO2e/kg)"),'Pivot Table_GHG'!$A$3,"SUB TYPE",$B236))</f>
        <v>1.05</v>
      </c>
      <c r="S236" s="221" t="e">
        <f ca="1">IF($P236="PROXY",DSTDEV('literature entries'!$D:$AI,IF($J236=1,"ACTIVE     GHGE, FARM GATE (kg CO2e/kg)","GHGE, processor gate (kg CO2e/kg)"),INDIRECT($K236)),GETPIVOTDATA(IF($J236=1,"StdDev of ACTIVE     GHGE, FARM GATE (kg CO2e/kg)","StdDev of GHGE, processor gate (kg CO2e/kg)"),'Pivot Table_GHG'!$A$3,"SUB TYPE",$B236))</f>
        <v>#DIV/0!</v>
      </c>
      <c r="T236" s="101"/>
      <c r="U236" s="102"/>
      <c r="W236" s="248" t="str">
        <f ca="1">IF(L236="PROXY",IF(M236&gt;=5,K236,"need group"),IF(M236&gt;=5,"DIRECT","need group"))</f>
        <v>grains</v>
      </c>
      <c r="X236" s="246">
        <f ca="1">IF($W236="DIRECT",M236,DCOUNT('literature entries'!$D:$AI,IF($J236=1,"ACTIVE     CED, FARM GATE (MJ/kg)","CED, processor gate (MJ/kg)"),INDIRECT($W236)))</f>
        <v>31</v>
      </c>
      <c r="Y236" s="246">
        <f ca="1">IF($W236="DIRECT","",DAVERAGE('literature entries'!$D:$AI,IF($J236=1,"ACTIVE     CED, FARM GATE (MJ/kg)","CED, processor gate (MJ/kg)"),INDIRECT($W236)))</f>
        <v>2.5841213096774194</v>
      </c>
      <c r="Z236" s="246">
        <f ca="1">IF($W236="DIRECT",$O236,DSTDEV('literature entries'!$D:$AI,IF($J236=1,"ACTIVE     CED, FARM GATE (MJ/kg)","CED, processor gate (MJ/kg)"),INDIRECT($W236)))</f>
        <v>1.1854190703188778</v>
      </c>
      <c r="AA236" s="246">
        <f t="shared" ca="1" si="32"/>
        <v>1.1854190703188778</v>
      </c>
      <c r="AB236" s="254" t="s">
        <v>2702</v>
      </c>
      <c r="AC236" s="247">
        <f ca="1">IF($AB236="DIRECT",Q236,DCOUNT('literature entries'!$D:$AI,IF($J236=1,"ACTIVE     GHGE, FARM GATE (kg CO2e/kg)","GHGE, processor gate (kg CO2e/kg)"),INDIRECT($AB236)))</f>
        <v>45</v>
      </c>
      <c r="AD236" s="247">
        <f ca="1">IF($AB236="DIRECT","",DAVERAGE('literature entries'!$D:$AI,IF($J236=1,"ACTIVE     GHGE, FARM GATE (kg CO2e/kg)","GHGE, processor gate (kg CO2e/kg)"),INDIRECT($AB236)))</f>
        <v>0.39349345733333324</v>
      </c>
      <c r="AE236" s="247">
        <f ca="1">IF($AB236="DIRECT",$S236,DSTDEV('literature entries'!$D:$AI,IF($J236=1,"ACTIVE     GHGE, FARM GATE (kg CO2e/kg)","GHGE, processor gate (kg CO2e/kg)"),INDIRECT($AB236)))</f>
        <v>0.20361467618492471</v>
      </c>
      <c r="AF236" s="247">
        <f t="shared" ca="1" si="33"/>
        <v>0.54332646708547994</v>
      </c>
    </row>
    <row r="237" spans="1:32" s="21" customFormat="1" ht="17" thickBot="1" x14ac:dyDescent="0.25">
      <c r="A237" s="129">
        <v>2001337000</v>
      </c>
      <c r="B237" s="130" t="s">
        <v>2252</v>
      </c>
      <c r="C237" s="131" t="s">
        <v>1731</v>
      </c>
      <c r="D237" s="131"/>
      <c r="E237" s="131">
        <v>21745</v>
      </c>
      <c r="F237" s="126">
        <f t="shared" ca="1" si="28"/>
        <v>14.640679666666665</v>
      </c>
      <c r="G237" s="127">
        <f t="shared" ca="1" si="29"/>
        <v>2.3340000000000001</v>
      </c>
      <c r="H237" s="132">
        <v>1</v>
      </c>
      <c r="I237" s="133" t="s">
        <v>2724</v>
      </c>
      <c r="J237" s="91">
        <v>2</v>
      </c>
      <c r="K237" s="90" t="s">
        <v>3291</v>
      </c>
      <c r="L237" s="152" t="str">
        <f>IF(ISERROR(GETPIVOTDATA(IF($J237=1,"Count of ACTIVE     CED, FARM GATE (MJ/kg)","Count of CED, processor gate (MJ/kg)"),'Pivot Table_CED'!$A$3,"SUB TYPE",$B237)),"PROXY",IF(GETPIVOTDATA(IF($J237=1,"Count of ACTIVE     CED, FARM GATE (MJ/kg)","Count of CED, processor gate (MJ/kg)"),'Pivot Table_CED'!$A$3,"SUB TYPE",$B237)=0,"PROXY","DB value"))</f>
        <v>PROXY</v>
      </c>
      <c r="M237" s="134">
        <f ca="1">IF($L237="PROXY",DCOUNT('literature entries'!$D:$AI,IF($J237=1,"ACTIVE     CED, FARM GATE (MJ/kg)","CED, processor gate (MJ/kg)"),INDIRECT($K237)),GETPIVOTDATA(IF($J237=1,"Count of ACTIVE     CED, FARM GATE (MJ/kg)","Count of CED, processor gate (MJ/kg)"),'Pivot Table_CED'!$A$3,"SUB TYPE",$B237))</f>
        <v>3</v>
      </c>
      <c r="N237" s="135">
        <f ca="1">IF($L237="PROXY",DAVERAGE('literature entries'!$D:$AI,IF($J237=1,"ACTIVE     CED, FARM GATE (MJ/kg)","CED, processor gate (MJ/kg)"),INDIRECT($K237)),GETPIVOTDATA(IF($J237=1,"Average of ACTIVE     CED, FARM GATE (MJ/kg)","Average of CED, processor gate (MJ/kg)"),'Pivot Table_CED'!$A$3,"SUB TYPE",$B237))</f>
        <v>14.640679666666665</v>
      </c>
      <c r="O237" s="135">
        <f ca="1">IF($L237="PROXY",DSTDEV('literature entries'!D:AI,IF($J237=1,"ACTIVE     CED, FARM GATE (MJ/kg)","CED, processor gate (MJ/kg)"),INDIRECT($K237)),GETPIVOTDATA(IF($J237=1,"StdDev of ACTIVE     CED, FARM GATE (MJ/kg)","StdDev of CED, processor gate (MJ/kg)"),'Pivot Table_CED'!$A$3,"SUB TYPE",$B237))</f>
        <v>9.5707118202326189</v>
      </c>
      <c r="P237" s="152" t="str">
        <f>IF(ISERROR(GETPIVOTDATA(IF($J237=1,"Count of ACTIVE     GHGE, FARM GATE (kg CO2e/kg)","Count of GHGE, processor gate (kg CO2e/kg)"),'Pivot Table_GHG'!$A$3,"SUB TYPE",$B237)),"PROXY",IF(GETPIVOTDATA(IF($J237=1,"Count of ACTIVE     GHGE, FARM GATE (kg CO2e/kg)","Count of GHGE, processor gate (kg CO2e/kg)"),'Pivot Table_GHG'!$A$3,"SUB TYPE",$B237)=0,"PROXY","DB value"))</f>
        <v>PROXY</v>
      </c>
      <c r="Q237" s="141">
        <f ca="1">IF($P237="PROXY",DCOUNT('literature entries'!$D:$AI,IF($J237=1,"ACTIVE     GHGE, FARM GATE (kg CO2e/kg)","GHGE, processor gate (kg CO2e/kg)"),INDIRECT($K237)),GETPIVOTDATA(IF($J237=1,"ACTIVE     GHGE, FARM GATE (kg CO2e/kg)","Count of GHGE, processor gate (kg CO2e/kg)"),'Pivot Table_GHG'!$A$3,"SUB TYPE",$B237))</f>
        <v>4</v>
      </c>
      <c r="R237" s="221">
        <f ca="1">IF($P237="PROXY",DAVERAGE('literature entries'!$D:$AI,IF($J237=1,"ACTIVE     GHGE, FARM GATE (kg CO2e/kg)","GHGE, processor gate (kg CO2e/kg)"),INDIRECT($K237)),GETPIVOTDATA(IF($J237=1,"Average of ACTIVE     GHGE, FARM GATE (kg CO2e/kg)","Average of GHGE, processor gate (kg CO2e/kg)"),'Pivot Table_GHG'!$A$3,"SUB TYPE",$B237))</f>
        <v>2.3340000000000001</v>
      </c>
      <c r="S237" s="221">
        <f ca="1">IF($P237="PROXY",DSTDEV('literature entries'!$D:$AI,IF($J237=1,"ACTIVE     GHGE, FARM GATE (kg CO2e/kg)","GHGE, processor gate (kg CO2e/kg)"),INDIRECT($K237)),GETPIVOTDATA(IF($J237=1,"StdDev of ACTIVE     GHGE, FARM GATE (kg CO2e/kg)","StdDev of GHGE, processor gate (kg CO2e/kg)"),'Pivot Table_GHG'!$A$3,"SUB TYPE",$B237))</f>
        <v>0.36239573213086351</v>
      </c>
      <c r="T237" s="101"/>
      <c r="U237" s="102"/>
      <c r="W237" s="248" t="s">
        <v>3354</v>
      </c>
      <c r="X237" s="246">
        <f ca="1">IF($W237="DIRECT",M237,DCOUNT('literature entries'!$D:$AI,IF($J237=1,"ACTIVE     CED, FARM GATE (MJ/kg)","CED, processor gate (MJ/kg)"),INDIRECT($W237)))</f>
        <v>16</v>
      </c>
      <c r="Y237" s="246">
        <f ca="1">IF($W237="DIRECT","",DAVERAGE('literature entries'!$D:$AI,IF($J237=1,"ACTIVE     CED, FARM GATE (MJ/kg)","CED, processor gate (MJ/kg)"),INDIRECT($W237)))</f>
        <v>11.873325197282607</v>
      </c>
      <c r="Z237" s="246">
        <f ca="1">IF($W237="DIRECT",$O237,DSTDEV('literature entries'!$D:$AI,IF($J237=1,"ACTIVE     CED, FARM GATE (MJ/kg)","CED, processor gate (MJ/kg)"),INDIRECT($W237)))</f>
        <v>5.663275464099641</v>
      </c>
      <c r="AA237" s="246">
        <f t="shared" ca="1" si="32"/>
        <v>6.9832334713574609</v>
      </c>
      <c r="AB237" s="254" t="s">
        <v>3354</v>
      </c>
      <c r="AC237" s="247">
        <f ca="1">IF($AB237="DIRECT",Q237,DCOUNT('literature entries'!$D:$AI,IF($J237=1,"ACTIVE     GHGE, FARM GATE (kg CO2e/kg)","GHGE, processor gate (kg CO2e/kg)"),INDIRECT($AB237)))</f>
        <v>19</v>
      </c>
      <c r="AD237" s="247">
        <f ca="1">IF($AB237="DIRECT","",DAVERAGE('literature entries'!$D:$AI,IF($J237=1,"ACTIVE     GHGE, FARM GATE (kg CO2e/kg)","GHGE, processor gate (kg CO2e/kg)"),INDIRECT($AB237)))</f>
        <v>3.6074757576297722</v>
      </c>
      <c r="AE237" s="247">
        <f ca="1">IF($AB237="DIRECT",$S237,DSTDEV('literature entries'!$D:$AI,IF($J237=1,"ACTIVE     GHGE, FARM GATE (kg CO2e/kg)","GHGE, processor gate (kg CO2e/kg)"),INDIRECT($AB237)))</f>
        <v>2.5306182127862726</v>
      </c>
      <c r="AF237" s="247">
        <f t="shared" ca="1" si="33"/>
        <v>1.6372841580850697</v>
      </c>
    </row>
    <row r="238" spans="1:32" s="21" customFormat="1" ht="17" thickBot="1" x14ac:dyDescent="0.25">
      <c r="A238" s="129">
        <v>2002330000</v>
      </c>
      <c r="B238" s="130" t="s">
        <v>2245</v>
      </c>
      <c r="C238" s="131" t="s">
        <v>1731</v>
      </c>
      <c r="D238" s="131"/>
      <c r="E238" s="131">
        <v>45465</v>
      </c>
      <c r="F238" s="126">
        <f t="shared" ca="1" si="28"/>
        <v>14.640679666666665</v>
      </c>
      <c r="G238" s="127">
        <f t="shared" ca="1" si="29"/>
        <v>2.3340000000000001</v>
      </c>
      <c r="H238" s="132">
        <v>1</v>
      </c>
      <c r="I238" s="133" t="s">
        <v>2724</v>
      </c>
      <c r="J238" s="91">
        <v>2</v>
      </c>
      <c r="K238" s="90" t="s">
        <v>3291</v>
      </c>
      <c r="L238" s="152" t="str">
        <f>IF(ISERROR(GETPIVOTDATA(IF($J238=1,"Count of ACTIVE     CED, FARM GATE (MJ/kg)","Count of CED, processor gate (MJ/kg)"),'Pivot Table_CED'!$A$3,"SUB TYPE",$B238)),"PROXY",IF(GETPIVOTDATA(IF($J238=1,"Count of ACTIVE     CED, FARM GATE (MJ/kg)","Count of CED, processor gate (MJ/kg)"),'Pivot Table_CED'!$A$3,"SUB TYPE",$B238)=0,"PROXY","DB value"))</f>
        <v>PROXY</v>
      </c>
      <c r="M238" s="134">
        <f ca="1">IF($L238="PROXY",DCOUNT('literature entries'!$D:$AI,IF($J238=1,"ACTIVE     CED, FARM GATE (MJ/kg)","CED, processor gate (MJ/kg)"),INDIRECT($K238)),GETPIVOTDATA(IF($J238=1,"Count of ACTIVE     CED, FARM GATE (MJ/kg)","Count of CED, processor gate (MJ/kg)"),'Pivot Table_CED'!$A$3,"SUB TYPE",$B238))</f>
        <v>3</v>
      </c>
      <c r="N238" s="135">
        <f ca="1">IF($L238="PROXY",DAVERAGE('literature entries'!$D:$AI,IF($J238=1,"ACTIVE     CED, FARM GATE (MJ/kg)","CED, processor gate (MJ/kg)"),INDIRECT($K238)),GETPIVOTDATA(IF($J238=1,"Average of ACTIVE     CED, FARM GATE (MJ/kg)","Average of CED, processor gate (MJ/kg)"),'Pivot Table_CED'!$A$3,"SUB TYPE",$B238))</f>
        <v>14.640679666666665</v>
      </c>
      <c r="O238" s="135">
        <f ca="1">IF($L238="PROXY",DSTDEV('literature entries'!D:AI,IF($J238=1,"ACTIVE     CED, FARM GATE (MJ/kg)","CED, processor gate (MJ/kg)"),INDIRECT($K238)),GETPIVOTDATA(IF($J238=1,"StdDev of ACTIVE     CED, FARM GATE (MJ/kg)","StdDev of CED, processor gate (MJ/kg)"),'Pivot Table_CED'!$A$3,"SUB TYPE",$B238))</f>
        <v>9.5707118202326189</v>
      </c>
      <c r="P238" s="152" t="str">
        <f>IF(ISERROR(GETPIVOTDATA(IF($J238=1,"Count of ACTIVE     GHGE, FARM GATE (kg CO2e/kg)","Count of GHGE, processor gate (kg CO2e/kg)"),'Pivot Table_GHG'!$A$3,"SUB TYPE",$B238)),"PROXY",IF(GETPIVOTDATA(IF($J238=1,"Count of ACTIVE     GHGE, FARM GATE (kg CO2e/kg)","Count of GHGE, processor gate (kg CO2e/kg)"),'Pivot Table_GHG'!$A$3,"SUB TYPE",$B238)=0,"PROXY","DB value"))</f>
        <v>PROXY</v>
      </c>
      <c r="Q238" s="141">
        <f ca="1">IF($P238="PROXY",DCOUNT('literature entries'!$D:$AI,IF($J238=1,"ACTIVE     GHGE, FARM GATE (kg CO2e/kg)","GHGE, processor gate (kg CO2e/kg)"),INDIRECT($K238)),GETPIVOTDATA(IF($J238=1,"ACTIVE     GHGE, FARM GATE (kg CO2e/kg)","Count of GHGE, processor gate (kg CO2e/kg)"),'Pivot Table_GHG'!$A$3,"SUB TYPE",$B238))</f>
        <v>4</v>
      </c>
      <c r="R238" s="221">
        <f ca="1">IF($P238="PROXY",DAVERAGE('literature entries'!$D:$AI,IF($J238=1,"ACTIVE     GHGE, FARM GATE (kg CO2e/kg)","GHGE, processor gate (kg CO2e/kg)"),INDIRECT($K238)),GETPIVOTDATA(IF($J238=1,"Average of ACTIVE     GHGE, FARM GATE (kg CO2e/kg)","Average of GHGE, processor gate (kg CO2e/kg)"),'Pivot Table_GHG'!$A$3,"SUB TYPE",$B238))</f>
        <v>2.3340000000000001</v>
      </c>
      <c r="S238" s="221">
        <f ca="1">IF($P238="PROXY",DSTDEV('literature entries'!$D:$AI,IF($J238=1,"ACTIVE     GHGE, FARM GATE (kg CO2e/kg)","GHGE, processor gate (kg CO2e/kg)"),INDIRECT($K238)),GETPIVOTDATA(IF($J238=1,"StdDev of ACTIVE     GHGE, FARM GATE (kg CO2e/kg)","StdDev of GHGE, processor gate (kg CO2e/kg)"),'Pivot Table_GHG'!$A$3,"SUB TYPE",$B238))</f>
        <v>0.36239573213086351</v>
      </c>
      <c r="T238" s="101"/>
      <c r="U238" s="102"/>
      <c r="W238" s="248" t="s">
        <v>3354</v>
      </c>
      <c r="X238" s="246">
        <f ca="1">IF($W238="DIRECT",M238,DCOUNT('literature entries'!$D:$AI,IF($J238=1,"ACTIVE     CED, FARM GATE (MJ/kg)","CED, processor gate (MJ/kg)"),INDIRECT($W238)))</f>
        <v>16</v>
      </c>
      <c r="Y238" s="246">
        <f ca="1">IF($W238="DIRECT","",DAVERAGE('literature entries'!$D:$AI,IF($J238=1,"ACTIVE     CED, FARM GATE (MJ/kg)","CED, processor gate (MJ/kg)"),INDIRECT($W238)))</f>
        <v>11.873325197282607</v>
      </c>
      <c r="Z238" s="246">
        <f ca="1">IF($W238="DIRECT",$O238,DSTDEV('literature entries'!$D:$AI,IF($J238=1,"ACTIVE     CED, FARM GATE (MJ/kg)","CED, processor gate (MJ/kg)"),INDIRECT($W238)))</f>
        <v>5.663275464099641</v>
      </c>
      <c r="AA238" s="246">
        <f t="shared" ca="1" si="32"/>
        <v>6.9832334713574609</v>
      </c>
      <c r="AB238" s="254" t="s">
        <v>3354</v>
      </c>
      <c r="AC238" s="247">
        <f ca="1">IF($AB238="DIRECT",Q238,DCOUNT('literature entries'!$D:$AI,IF($J238=1,"ACTIVE     GHGE, FARM GATE (kg CO2e/kg)","GHGE, processor gate (kg CO2e/kg)"),INDIRECT($AB238)))</f>
        <v>19</v>
      </c>
      <c r="AD238" s="247">
        <f ca="1">IF($AB238="DIRECT","",DAVERAGE('literature entries'!$D:$AI,IF($J238=1,"ACTIVE     GHGE, FARM GATE (kg CO2e/kg)","GHGE, processor gate (kg CO2e/kg)"),INDIRECT($AB238)))</f>
        <v>3.6074757576297722</v>
      </c>
      <c r="AE238" s="247">
        <f ca="1">IF($AB238="DIRECT",$S238,DSTDEV('literature entries'!$D:$AI,IF($J238=1,"ACTIVE     GHGE, FARM GATE (kg CO2e/kg)","GHGE, processor gate (kg CO2e/kg)"),INDIRECT($AB238)))</f>
        <v>2.5306182127862726</v>
      </c>
      <c r="AF238" s="247">
        <f t="shared" ca="1" si="33"/>
        <v>1.6372841580850697</v>
      </c>
    </row>
    <row r="239" spans="1:32" s="21" customFormat="1" ht="17" thickBot="1" x14ac:dyDescent="0.25">
      <c r="A239" s="129">
        <v>2002364000</v>
      </c>
      <c r="B239" s="130" t="s">
        <v>2290</v>
      </c>
      <c r="C239" s="131" t="s">
        <v>2291</v>
      </c>
      <c r="D239" s="131"/>
      <c r="E239" s="131">
        <v>997</v>
      </c>
      <c r="F239" s="126">
        <f t="shared" ca="1" si="28"/>
        <v>6.3822858909090918</v>
      </c>
      <c r="G239" s="127">
        <f t="shared" ca="1" si="29"/>
        <v>0.84844163909090919</v>
      </c>
      <c r="H239" s="132">
        <v>1</v>
      </c>
      <c r="I239" s="133" t="s">
        <v>594</v>
      </c>
      <c r="J239" s="91">
        <v>1</v>
      </c>
      <c r="K239" s="90"/>
      <c r="L239" s="152" t="str">
        <f>IF(ISERROR(GETPIVOTDATA(IF($J239=1,"Count of ACTIVE     CED, FARM GATE (MJ/kg)","Count of CED, processor gate (MJ/kg)"),'Pivot Table_CED'!$A$3,"SUB TYPE",$B239)),"PROXY",IF(GETPIVOTDATA(IF($J239=1,"Count of ACTIVE     CED, FARM GATE (MJ/kg)","Count of CED, processor gate (MJ/kg)"),'Pivot Table_CED'!$A$3,"SUB TYPE",$B239)=0,"PROXY","DB value"))</f>
        <v>DB value</v>
      </c>
      <c r="M239" s="134">
        <f ca="1">IF($L239="PROXY",DCOUNT('literature entries'!$D:$AI,IF($J239=1,"ACTIVE     CED, FARM GATE (MJ/kg)","CED, processor gate (MJ/kg)"),INDIRECT($K239)),GETPIVOTDATA(IF($J239=1,"Count of ACTIVE     CED, FARM GATE (MJ/kg)","Count of CED, processor gate (MJ/kg)"),'Pivot Table_CED'!$A$3,"SUB TYPE",$B239))</f>
        <v>11</v>
      </c>
      <c r="N239" s="135">
        <f ca="1">IF($L239="PROXY",DAVERAGE('literature entries'!$D:$AI,IF($J239=1,"ACTIVE     CED, FARM GATE (MJ/kg)","CED, processor gate (MJ/kg)"),INDIRECT($K239)),GETPIVOTDATA(IF($J239=1,"Average of ACTIVE     CED, FARM GATE (MJ/kg)","Average of CED, processor gate (MJ/kg)"),'Pivot Table_CED'!$A$3,"SUB TYPE",$B239))</f>
        <v>6.3822858909090918</v>
      </c>
      <c r="O239" s="135">
        <f ca="1">IF($L239="PROXY",DSTDEV('literature entries'!D:AI,IF($J239=1,"ACTIVE     CED, FARM GATE (MJ/kg)","CED, processor gate (MJ/kg)"),INDIRECT($K239)),GETPIVOTDATA(IF($J239=1,"StdDev of ACTIVE     CED, FARM GATE (MJ/kg)","StdDev of CED, processor gate (MJ/kg)"),'Pivot Table_CED'!$A$3,"SUB TYPE",$B239))</f>
        <v>1.3784473590983684</v>
      </c>
      <c r="P239" s="152" t="str">
        <f>IF(ISERROR(GETPIVOTDATA(IF($J239=1,"Count of ACTIVE     GHGE, FARM GATE (kg CO2e/kg)","Count of GHGE, processor gate (kg CO2e/kg)"),'Pivot Table_GHG'!$A$3,"SUB TYPE",$B239)),"PROXY",IF(GETPIVOTDATA(IF($J239=1,"Count of ACTIVE     GHGE, FARM GATE (kg CO2e/kg)","Count of GHGE, processor gate (kg CO2e/kg)"),'Pivot Table_GHG'!$A$3,"SUB TYPE",$B239)=0,"PROXY","DB value"))</f>
        <v>DB value</v>
      </c>
      <c r="Q239" s="141">
        <f ca="1">IF($P239="PROXY",DCOUNT('literature entries'!$D:$AI,IF($J239=1,"ACTIVE     GHGE, FARM GATE (kg CO2e/kg)","GHGE, processor gate (kg CO2e/kg)"),INDIRECT($K239)),GETPIVOTDATA(IF($J239=1,"ACTIVE     GHGE, FARM GATE (kg CO2e/kg)","Count of GHGE, processor gate (kg CO2e/kg)"),'Pivot Table_GHG'!$A$3,"SUB TYPE",$B239))</f>
        <v>11</v>
      </c>
      <c r="R239" s="221">
        <f ca="1">IF($P239="PROXY",DAVERAGE('literature entries'!$D:$AI,IF($J239=1,"ACTIVE     GHGE, FARM GATE (kg CO2e/kg)","GHGE, processor gate (kg CO2e/kg)"),INDIRECT($K239)),GETPIVOTDATA(IF($J239=1,"Average of ACTIVE     GHGE, FARM GATE (kg CO2e/kg)","Average of GHGE, processor gate (kg CO2e/kg)"),'Pivot Table_GHG'!$A$3,"SUB TYPE",$B239))</f>
        <v>0.84844163909090919</v>
      </c>
      <c r="S239" s="221">
        <f ca="1">IF($P239="PROXY",DSTDEV('literature entries'!$D:$AI,IF($J239=1,"ACTIVE     GHGE, FARM GATE (kg CO2e/kg)","GHGE, processor gate (kg CO2e/kg)"),INDIRECT($K239)),GETPIVOTDATA(IF($J239=1,"StdDev of ACTIVE     GHGE, FARM GATE (kg CO2e/kg)","StdDev of GHGE, processor gate (kg CO2e/kg)"),'Pivot Table_GHG'!$A$3,"SUB TYPE",$B239))</f>
        <v>0.21658594508979795</v>
      </c>
      <c r="T239" s="101"/>
      <c r="U239" s="102"/>
      <c r="W239" s="248" t="str">
        <f ca="1">IF(L239="PROXY",IF(M239&gt;=5,K239,"need group"),IF(M239&gt;=5,"DIRECT","need group"))</f>
        <v>DIRECT</v>
      </c>
      <c r="X239" s="246">
        <f ca="1">IF($W239="DIRECT",M239,DCOUNT('literature entries'!$D:$AI,IF($J239=1,"ACTIVE     CED, FARM GATE (MJ/kg)","CED, processor gate (MJ/kg)"),INDIRECT($W239)))</f>
        <v>11</v>
      </c>
      <c r="Y239" s="246" t="str">
        <f ca="1">IF($W239="DIRECT","",DAVERAGE('literature entries'!$D:$AI,IF($J239=1,"ACTIVE     CED, FARM GATE (MJ/kg)","CED, processor gate (MJ/kg)"),INDIRECT($W239)))</f>
        <v/>
      </c>
      <c r="Z239" s="246">
        <f ca="1">IF($W239="DIRECT",$O239,DSTDEV('literature entries'!$D:$AI,IF($J239=1,"ACTIVE     CED, FARM GATE (MJ/kg)","CED, processor gate (MJ/kg)"),INDIRECT($W239)))</f>
        <v>1.3784473590983684</v>
      </c>
      <c r="AA239" s="246">
        <f t="shared" ca="1" si="32"/>
        <v>1.3784473590983684</v>
      </c>
      <c r="AB239" s="254" t="str">
        <f ca="1">IF(P239="PROXY",IF(Q239&gt;=5,K239,"need group"),IF(Q239&gt;=5,"DIRECT","need group"))</f>
        <v>DIRECT</v>
      </c>
      <c r="AC239" s="247">
        <f ca="1">IF($AB239="DIRECT",Q239,DCOUNT('literature entries'!$D:$AI,IF($J239=1,"ACTIVE     GHGE, FARM GATE (kg CO2e/kg)","GHGE, processor gate (kg CO2e/kg)"),INDIRECT($AB239)))</f>
        <v>11</v>
      </c>
      <c r="AD239" s="247" t="str">
        <f ca="1">IF($AB239="DIRECT","",DAVERAGE('literature entries'!$D:$AI,IF($J239=1,"ACTIVE     GHGE, FARM GATE (kg CO2e/kg)","GHGE, processor gate (kg CO2e/kg)"),INDIRECT($AB239)))</f>
        <v/>
      </c>
      <c r="AE239" s="247">
        <f ca="1">IF($AB239="DIRECT",$S239,DSTDEV('literature entries'!$D:$AI,IF($J239=1,"ACTIVE     GHGE, FARM GATE (kg CO2e/kg)","GHGE, processor gate (kg CO2e/kg)"),INDIRECT($AB239)))</f>
        <v>0.21658594508979795</v>
      </c>
      <c r="AF239" s="247">
        <f t="shared" ca="1" si="33"/>
        <v>0.21658594508979795</v>
      </c>
    </row>
    <row r="240" spans="1:32" s="21" customFormat="1" ht="17" thickBot="1" x14ac:dyDescent="0.25">
      <c r="A240" s="129">
        <v>2002365000</v>
      </c>
      <c r="B240" s="130" t="s">
        <v>2289</v>
      </c>
      <c r="C240" s="131" t="s">
        <v>1731</v>
      </c>
      <c r="D240" s="131"/>
      <c r="E240" s="131">
        <v>45494</v>
      </c>
      <c r="F240" s="126">
        <f t="shared" ca="1" si="28"/>
        <v>5.7941000000000003</v>
      </c>
      <c r="G240" s="127">
        <f t="shared" ca="1" si="29"/>
        <v>2.6459999999999999</v>
      </c>
      <c r="H240" s="136">
        <v>1</v>
      </c>
      <c r="I240" s="133" t="s">
        <v>628</v>
      </c>
      <c r="J240" s="91">
        <v>2</v>
      </c>
      <c r="K240" s="90" t="s">
        <v>3291</v>
      </c>
      <c r="L240" s="152" t="str">
        <f>IF(ISERROR(GETPIVOTDATA(IF($J240=1,"Count of ACTIVE     CED, FARM GATE (MJ/kg)","Count of CED, processor gate (MJ/kg)"),'Pivot Table_CED'!$A$3,"SUB TYPE",$B240)),"PROXY",IF(GETPIVOTDATA(IF($J240=1,"Count of ACTIVE     CED, FARM GATE (MJ/kg)","Count of CED, processor gate (MJ/kg)"),'Pivot Table_CED'!$A$3,"SUB TYPE",$B240)=0,"PROXY","DB value"))</f>
        <v>DB value</v>
      </c>
      <c r="M240" s="134">
        <f ca="1">IF($L240="PROXY",DCOUNT('literature entries'!$D:$AI,IF($J240=1,"ACTIVE     CED, FARM GATE (MJ/kg)","CED, processor gate (MJ/kg)"),INDIRECT($K240)),GETPIVOTDATA(IF($J240=1,"Count of ACTIVE     CED, FARM GATE (MJ/kg)","Count of CED, processor gate (MJ/kg)"),'Pivot Table_CED'!$A$3,"SUB TYPE",$B240))</f>
        <v>1</v>
      </c>
      <c r="N240" s="135">
        <f ca="1">IF($L240="PROXY",DAVERAGE('literature entries'!$D:$AI,IF($J240=1,"ACTIVE     CED, FARM GATE (MJ/kg)","CED, processor gate (MJ/kg)"),INDIRECT($K240)),GETPIVOTDATA(IF($J240=1,"Average of ACTIVE     CED, FARM GATE (MJ/kg)","Average of CED, processor gate (MJ/kg)"),'Pivot Table_CED'!$A$3,"SUB TYPE",$B240))</f>
        <v>5.7941000000000003</v>
      </c>
      <c r="O240" s="135">
        <f ca="1">IF($L240="PROXY",DSTDEV('literature entries'!D:AI,IF($J240=1,"ACTIVE     CED, FARM GATE (MJ/kg)","CED, processor gate (MJ/kg)"),INDIRECT($K240)),GETPIVOTDATA(IF($J240=1,"StdDev of ACTIVE     CED, FARM GATE (MJ/kg)","StdDev of CED, processor gate (MJ/kg)"),'Pivot Table_CED'!$A$3,"SUB TYPE",$B240))</f>
        <v>0</v>
      </c>
      <c r="P240" s="152" t="str">
        <f>IF(ISERROR(GETPIVOTDATA(IF($J240=1,"Count of ACTIVE     GHGE, FARM GATE (kg CO2e/kg)","Count of GHGE, processor gate (kg CO2e/kg)"),'Pivot Table_GHG'!$A$3,"SUB TYPE",$B240)),"PROXY",IF(GETPIVOTDATA(IF($J240=1,"Count of ACTIVE     GHGE, FARM GATE (kg CO2e/kg)","Count of GHGE, processor gate (kg CO2e/kg)"),'Pivot Table_GHG'!$A$3,"SUB TYPE",$B240)=0,"PROXY","DB value"))</f>
        <v>DB value</v>
      </c>
      <c r="Q240" s="141">
        <f ca="1">IF($P240="PROXY",DCOUNT('literature entries'!$D:$AI,IF($J240=1,"ACTIVE     GHGE, FARM GATE (kg CO2e/kg)","GHGE, processor gate (kg CO2e/kg)"),INDIRECT($K240)),GETPIVOTDATA(IF($J240=1,"ACTIVE     GHGE, FARM GATE (kg CO2e/kg)","Count of GHGE, processor gate (kg CO2e/kg)"),'Pivot Table_GHG'!$A$3,"SUB TYPE",$B240))</f>
        <v>1</v>
      </c>
      <c r="R240" s="221">
        <f ca="1">IF($P240="PROXY",DAVERAGE('literature entries'!$D:$AI,IF($J240=1,"ACTIVE     GHGE, FARM GATE (kg CO2e/kg)","GHGE, processor gate (kg CO2e/kg)"),INDIRECT($K240)),GETPIVOTDATA(IF($J240=1,"Average of ACTIVE     GHGE, FARM GATE (kg CO2e/kg)","Average of GHGE, processor gate (kg CO2e/kg)"),'Pivot Table_GHG'!$A$3,"SUB TYPE",$B240))</f>
        <v>2.6459999999999999</v>
      </c>
      <c r="S240" s="221" t="e">
        <f ca="1">IF($P240="PROXY",DSTDEV('literature entries'!$D:$AI,IF($J240=1,"ACTIVE     GHGE, FARM GATE (kg CO2e/kg)","GHGE, processor gate (kg CO2e/kg)"),INDIRECT($K240)),GETPIVOTDATA(IF($J240=1,"StdDev of ACTIVE     GHGE, FARM GATE (kg CO2e/kg)","StdDev of GHGE, processor gate (kg CO2e/kg)"),'Pivot Table_GHG'!$A$3,"SUB TYPE",$B240))</f>
        <v>#DIV/0!</v>
      </c>
      <c r="T240" s="101"/>
      <c r="U240" s="102"/>
      <c r="W240" s="248" t="s">
        <v>3354</v>
      </c>
      <c r="X240" s="246">
        <f ca="1">IF($W240="DIRECT",M240,DCOUNT('literature entries'!$D:$AI,IF($J240=1,"ACTIVE     CED, FARM GATE (MJ/kg)","CED, processor gate (MJ/kg)"),INDIRECT($W240)))</f>
        <v>16</v>
      </c>
      <c r="Y240" s="246">
        <f ca="1">IF($W240="DIRECT","",DAVERAGE('literature entries'!$D:$AI,IF($J240=1,"ACTIVE     CED, FARM GATE (MJ/kg)","CED, processor gate (MJ/kg)"),INDIRECT($W240)))</f>
        <v>11.873325197282607</v>
      </c>
      <c r="Z240" s="246">
        <f ca="1">IF($W240="DIRECT",$O240,DSTDEV('literature entries'!$D:$AI,IF($J240=1,"ACTIVE     CED, FARM GATE (MJ/kg)","CED, processor gate (MJ/kg)"),INDIRECT($W240)))</f>
        <v>5.663275464099641</v>
      </c>
      <c r="AA240" s="246">
        <f t="shared" ca="1" si="32"/>
        <v>2.7636389824519942</v>
      </c>
      <c r="AB240" s="254" t="s">
        <v>3354</v>
      </c>
      <c r="AC240" s="247">
        <f ca="1">IF($AB240="DIRECT",Q240,DCOUNT('literature entries'!$D:$AI,IF($J240=1,"ACTIVE     GHGE, FARM GATE (kg CO2e/kg)","GHGE, processor gate (kg CO2e/kg)"),INDIRECT($AB240)))</f>
        <v>19</v>
      </c>
      <c r="AD240" s="247">
        <f ca="1">IF($AB240="DIRECT","",DAVERAGE('literature entries'!$D:$AI,IF($J240=1,"ACTIVE     GHGE, FARM GATE (kg CO2e/kg)","GHGE, processor gate (kg CO2e/kg)"),INDIRECT($AB240)))</f>
        <v>3.6074757576297722</v>
      </c>
      <c r="AE240" s="247">
        <f ca="1">IF($AB240="DIRECT",$S240,DSTDEV('literature entries'!$D:$AI,IF($J240=1,"ACTIVE     GHGE, FARM GATE (kg CO2e/kg)","GHGE, processor gate (kg CO2e/kg)"),INDIRECT($AB240)))</f>
        <v>2.5306182127862726</v>
      </c>
      <c r="AF240" s="247">
        <f t="shared" ca="1" si="33"/>
        <v>1.8561499067236906</v>
      </c>
    </row>
    <row r="241" spans="1:32" s="21" customFormat="1" ht="17" thickBot="1" x14ac:dyDescent="0.25">
      <c r="A241" s="129">
        <v>2003128000</v>
      </c>
      <c r="B241" s="130" t="s">
        <v>1947</v>
      </c>
      <c r="C241" s="131" t="s">
        <v>1731</v>
      </c>
      <c r="D241" s="131"/>
      <c r="E241" s="131">
        <v>50194</v>
      </c>
      <c r="F241" s="126">
        <f t="shared" ca="1" si="28"/>
        <v>24.8</v>
      </c>
      <c r="G241" s="127">
        <f t="shared" ca="1" si="29"/>
        <v>2.14</v>
      </c>
      <c r="H241" s="132">
        <v>1</v>
      </c>
      <c r="I241" s="133" t="s">
        <v>2724</v>
      </c>
      <c r="J241" s="91">
        <v>2</v>
      </c>
      <c r="K241" s="90" t="s">
        <v>3291</v>
      </c>
      <c r="L241" s="152" t="str">
        <f>IF(ISERROR(GETPIVOTDATA(IF($J241=1,"Count of ACTIVE     CED, FARM GATE (MJ/kg)","Count of CED, processor gate (MJ/kg)"),'Pivot Table_CED'!$A$3,"SUB TYPE",$B241)),"PROXY",IF(GETPIVOTDATA(IF($J241=1,"Count of ACTIVE     CED, FARM GATE (MJ/kg)","Count of CED, processor gate (MJ/kg)"),'Pivot Table_CED'!$A$3,"SUB TYPE",$B241)=0,"PROXY","DB value"))</f>
        <v>DB value</v>
      </c>
      <c r="M241" s="134">
        <f ca="1">IF($L241="PROXY",DCOUNT('literature entries'!$D:$AI,IF($J241=1,"ACTIVE     CED, FARM GATE (MJ/kg)","CED, processor gate (MJ/kg)"),INDIRECT($K241)),GETPIVOTDATA(IF($J241=1,"Count of ACTIVE     CED, FARM GATE (MJ/kg)","Count of CED, processor gate (MJ/kg)"),'Pivot Table_CED'!$A$3,"SUB TYPE",$B241))</f>
        <v>1</v>
      </c>
      <c r="N241" s="135">
        <f ca="1">IF($L241="PROXY",DAVERAGE('literature entries'!$D:$AI,IF($J241=1,"ACTIVE     CED, FARM GATE (MJ/kg)","CED, processor gate (MJ/kg)"),INDIRECT($K241)),GETPIVOTDATA(IF($J241=1,"Average of ACTIVE     CED, FARM GATE (MJ/kg)","Average of CED, processor gate (MJ/kg)"),'Pivot Table_CED'!$A$3,"SUB TYPE",$B241))</f>
        <v>24.8</v>
      </c>
      <c r="O241" s="135">
        <f ca="1">IF($L241="PROXY",DSTDEV('literature entries'!D:AI,IF($J241=1,"ACTIVE     CED, FARM GATE (MJ/kg)","CED, processor gate (MJ/kg)"),INDIRECT($K241)),GETPIVOTDATA(IF($J241=1,"StdDev of ACTIVE     CED, FARM GATE (MJ/kg)","StdDev of CED, processor gate (MJ/kg)"),'Pivot Table_CED'!$A$3,"SUB TYPE",$B241))</f>
        <v>0</v>
      </c>
      <c r="P241" s="152" t="str">
        <f>IF(ISERROR(GETPIVOTDATA(IF($J241=1,"Count of ACTIVE     GHGE, FARM GATE (kg CO2e/kg)","Count of GHGE, processor gate (kg CO2e/kg)"),'Pivot Table_GHG'!$A$3,"SUB TYPE",$B241)),"PROXY",IF(GETPIVOTDATA(IF($J241=1,"Count of ACTIVE     GHGE, FARM GATE (kg CO2e/kg)","Count of GHGE, processor gate (kg CO2e/kg)"),'Pivot Table_GHG'!$A$3,"SUB TYPE",$B241)=0,"PROXY","DB value"))</f>
        <v>DB value</v>
      </c>
      <c r="Q241" s="141">
        <f ca="1">IF($P241="PROXY",DCOUNT('literature entries'!$D:$AI,IF($J241=1,"ACTIVE     GHGE, FARM GATE (kg CO2e/kg)","GHGE, processor gate (kg CO2e/kg)"),INDIRECT($K241)),GETPIVOTDATA(IF($J241=1,"ACTIVE     GHGE, FARM GATE (kg CO2e/kg)","Count of GHGE, processor gate (kg CO2e/kg)"),'Pivot Table_GHG'!$A$3,"SUB TYPE",$B241))</f>
        <v>1</v>
      </c>
      <c r="R241" s="221">
        <f ca="1">IF($P241="PROXY",DAVERAGE('literature entries'!$D:$AI,IF($J241=1,"ACTIVE     GHGE, FARM GATE (kg CO2e/kg)","GHGE, processor gate (kg CO2e/kg)"),INDIRECT($K241)),GETPIVOTDATA(IF($J241=1,"Average of ACTIVE     GHGE, FARM GATE (kg CO2e/kg)","Average of GHGE, processor gate (kg CO2e/kg)"),'Pivot Table_GHG'!$A$3,"SUB TYPE",$B241))</f>
        <v>2.14</v>
      </c>
      <c r="S241" s="221" t="e">
        <f ca="1">IF($P241="PROXY",DSTDEV('literature entries'!$D:$AI,IF($J241=1,"ACTIVE     GHGE, FARM GATE (kg CO2e/kg)","GHGE, processor gate (kg CO2e/kg)"),INDIRECT($K241)),GETPIVOTDATA(IF($J241=1,"StdDev of ACTIVE     GHGE, FARM GATE (kg CO2e/kg)","StdDev of GHGE, processor gate (kg CO2e/kg)"),'Pivot Table_GHG'!$A$3,"SUB TYPE",$B241))</f>
        <v>#DIV/0!</v>
      </c>
      <c r="T241" s="101"/>
      <c r="U241" s="102"/>
      <c r="W241" s="248" t="s">
        <v>3354</v>
      </c>
      <c r="X241" s="246">
        <f ca="1">IF($W241="DIRECT",M241,DCOUNT('literature entries'!$D:$AI,IF($J241=1,"ACTIVE     CED, FARM GATE (MJ/kg)","CED, processor gate (MJ/kg)"),INDIRECT($W241)))</f>
        <v>16</v>
      </c>
      <c r="Y241" s="246">
        <f ca="1">IF($W241="DIRECT","",DAVERAGE('literature entries'!$D:$AI,IF($J241=1,"ACTIVE     CED, FARM GATE (MJ/kg)","CED, processor gate (MJ/kg)"),INDIRECT($W241)))</f>
        <v>11.873325197282607</v>
      </c>
      <c r="Z241" s="246">
        <f ca="1">IF($W241="DIRECT",$O241,DSTDEV('literature entries'!$D:$AI,IF($J241=1,"ACTIVE     CED, FARM GATE (MJ/kg)","CED, processor gate (MJ/kg)"),INDIRECT($W241)))</f>
        <v>5.663275464099641</v>
      </c>
      <c r="AA241" s="246">
        <f t="shared" ca="1" si="32"/>
        <v>11.828972017191532</v>
      </c>
      <c r="AB241" s="254" t="s">
        <v>3354</v>
      </c>
      <c r="AC241" s="247">
        <f ca="1">IF($AB241="DIRECT",Q241,DCOUNT('literature entries'!$D:$AI,IF($J241=1,"ACTIVE     GHGE, FARM GATE (kg CO2e/kg)","GHGE, processor gate (kg CO2e/kg)"),INDIRECT($AB241)))</f>
        <v>19</v>
      </c>
      <c r="AD241" s="247">
        <f ca="1">IF($AB241="DIRECT","",DAVERAGE('literature entries'!$D:$AI,IF($J241=1,"ACTIVE     GHGE, FARM GATE (kg CO2e/kg)","GHGE, processor gate (kg CO2e/kg)"),INDIRECT($AB241)))</f>
        <v>3.6074757576297722</v>
      </c>
      <c r="AE241" s="247">
        <f ca="1">IF($AB241="DIRECT",$S241,DSTDEV('literature entries'!$D:$AI,IF($J241=1,"ACTIVE     GHGE, FARM GATE (kg CO2e/kg)","GHGE, processor gate (kg CO2e/kg)"),INDIRECT($AB241)))</f>
        <v>2.5306182127862726</v>
      </c>
      <c r="AF241" s="247">
        <f t="shared" ca="1" si="33"/>
        <v>1.5011945579700297</v>
      </c>
    </row>
    <row r="242" spans="1:32" s="21" customFormat="1" thickBot="1" x14ac:dyDescent="0.25">
      <c r="A242" s="129">
        <v>2100228000</v>
      </c>
      <c r="B242" s="130" t="s">
        <v>736</v>
      </c>
      <c r="C242" s="131" t="s">
        <v>2087</v>
      </c>
      <c r="D242" s="131" t="s">
        <v>2088</v>
      </c>
      <c r="E242" s="131">
        <v>4128</v>
      </c>
      <c r="F242" s="126">
        <f t="shared" ca="1" si="28"/>
        <v>4.9865801999999997</v>
      </c>
      <c r="G242" s="127">
        <f t="shared" ca="1" si="29"/>
        <v>3.0926330217584099</v>
      </c>
      <c r="H242" s="132">
        <v>1.03</v>
      </c>
      <c r="I242" s="132" t="s">
        <v>2724</v>
      </c>
      <c r="J242" s="91">
        <v>1</v>
      </c>
      <c r="K242" s="90"/>
      <c r="L242" s="152" t="str">
        <f>IF(ISERROR(GETPIVOTDATA(IF($J242=1,"Count of ACTIVE     CED, FARM GATE (MJ/kg)","Count of CED, processor gate (MJ/kg)"),'Pivot Table_CED'!$A$3,"SUB TYPE",$B242)),"PROXY",IF(GETPIVOTDATA(IF($J242=1,"Count of ACTIVE     CED, FARM GATE (MJ/kg)","Count of CED, processor gate (MJ/kg)"),'Pivot Table_CED'!$A$3,"SUB TYPE",$B242)=0,"PROXY","DB value"))</f>
        <v>DB value</v>
      </c>
      <c r="M242" s="134">
        <f ca="1">IF($L242="PROXY",DCOUNT('literature entries'!$D:$AI,IF($J242=1,"ACTIVE     CED, FARM GATE (MJ/kg)","CED, processor gate (MJ/kg)"),INDIRECT($K242)),GETPIVOTDATA(IF($J242=1,"Count of ACTIVE     CED, FARM GATE (MJ/kg)","Count of CED, processor gate (MJ/kg)"),'Pivot Table_CED'!$A$3,"SUB TYPE",$B242))</f>
        <v>3</v>
      </c>
      <c r="N242" s="135">
        <f ca="1">IF($L242="PROXY",DAVERAGE('literature entries'!$D:$AI,IF($J242=1,"ACTIVE     CED, FARM GATE (MJ/kg)","CED, processor gate (MJ/kg)"),INDIRECT($K242)),GETPIVOTDATA(IF($J242=1,"Average of ACTIVE     CED, FARM GATE (MJ/kg)","Average of CED, processor gate (MJ/kg)"),'Pivot Table_CED'!$A$3,"SUB TYPE",$B242))</f>
        <v>4.8413399999999998</v>
      </c>
      <c r="O242" s="135">
        <f ca="1">IF($L242="PROXY",DSTDEV('literature entries'!D:AI,IF($J242=1,"ACTIVE     CED, FARM GATE (MJ/kg)","CED, processor gate (MJ/kg)"),INDIRECT($K242)),GETPIVOTDATA(IF($J242=1,"StdDev of ACTIVE     CED, FARM GATE (MJ/kg)","StdDev of CED, processor gate (MJ/kg)"),'Pivot Table_CED'!$A$3,"SUB TYPE",$B242))</f>
        <v>0.46859261091484966</v>
      </c>
      <c r="P242" s="152" t="str">
        <f>IF(ISERROR(GETPIVOTDATA(IF($J242=1,"Count of ACTIVE     GHGE, FARM GATE (kg CO2e/kg)","Count of GHGE, processor gate (kg CO2e/kg)"),'Pivot Table_GHG'!$A$3,"SUB TYPE",$B242)),"PROXY",IF(GETPIVOTDATA(IF($J242=1,"Count of ACTIVE     GHGE, FARM GATE (kg CO2e/kg)","Count of GHGE, processor gate (kg CO2e/kg)"),'Pivot Table_GHG'!$A$3,"SUB TYPE",$B242)=0,"PROXY","DB value"))</f>
        <v>DB value</v>
      </c>
      <c r="Q242" s="141">
        <f ca="1">IF($P242="PROXY",DCOUNT('literature entries'!$D:$AI,IF($J242=1,"ACTIVE     GHGE, FARM GATE (kg CO2e/kg)","GHGE, processor gate (kg CO2e/kg)"),INDIRECT($K242)),GETPIVOTDATA(IF($J242=1,"ACTIVE     GHGE, FARM GATE (kg CO2e/kg)","Count of GHGE, processor gate (kg CO2e/kg)"),'Pivot Table_GHG'!$A$3,"SUB TYPE",$B242))</f>
        <v>6</v>
      </c>
      <c r="R242" s="221">
        <f ca="1">IF($P242="PROXY",DAVERAGE('literature entries'!$D:$AI,IF($J242=1,"ACTIVE     GHGE, FARM GATE (kg CO2e/kg)","GHGE, processor gate (kg CO2e/kg)"),INDIRECT($K242)),GETPIVOTDATA(IF($J242=1,"Average of ACTIVE     GHGE, FARM GATE (kg CO2e/kg)","Average of GHGE, processor gate (kg CO2e/kg)"),'Pivot Table_GHG'!$A$3,"SUB TYPE",$B242))</f>
        <v>3.0025563318042816</v>
      </c>
      <c r="S242" s="221">
        <f ca="1">IF($P242="PROXY",DSTDEV('literature entries'!$D:$AI,IF($J242=1,"ACTIVE     GHGE, FARM GATE (kg CO2e/kg)","GHGE, processor gate (kg CO2e/kg)"),INDIRECT($K242)),GETPIVOTDATA(IF($J242=1,"StdDev of ACTIVE     GHGE, FARM GATE (kg CO2e/kg)","StdDev of GHGE, processor gate (kg CO2e/kg)"),'Pivot Table_GHG'!$A$3,"SUB TYPE",$B242))</f>
        <v>1.7628178625103332</v>
      </c>
      <c r="T242" s="101"/>
      <c r="U242" s="102"/>
      <c r="W242" s="248" t="s">
        <v>3361</v>
      </c>
      <c r="X242" s="246">
        <f ca="1">IF($W242="DIRECT",M242,DCOUNT('literature entries'!$D:$AI,IF($J242=1,"ACTIVE     CED, FARM GATE (MJ/kg)","CED, processor gate (MJ/kg)"),INDIRECT($W242)))</f>
        <v>60</v>
      </c>
      <c r="Y242" s="246">
        <f ca="1">IF($W242="DIRECT","",DAVERAGE('literature entries'!$D:$AI,IF($J242=1,"ACTIVE     CED, FARM GATE (MJ/kg)","CED, processor gate (MJ/kg)"),INDIRECT($W242)))</f>
        <v>3.4907536756076811</v>
      </c>
      <c r="Z242" s="246">
        <f ca="1">IF($W242="DIRECT",$O242,DSTDEV('literature entries'!$D:$AI,IF($J242=1,"ACTIVE     CED, FARM GATE (MJ/kg)","CED, processor gate (MJ/kg)"),INDIRECT($W242)))</f>
        <v>2.8914615487691551</v>
      </c>
      <c r="AA242" s="246">
        <f t="shared" ca="1" si="32"/>
        <v>4.0101793925866591</v>
      </c>
      <c r="AB242" s="254" t="str">
        <f ca="1">IF(P242="PROXY",IF(Q242&gt;=5,K242,"need group"),IF(Q242&gt;=5,"DIRECT","need group"))</f>
        <v>DIRECT</v>
      </c>
      <c r="AC242" s="247">
        <f ca="1">IF($AB242="DIRECT",Q242,DCOUNT('literature entries'!$D:$AI,IF($J242=1,"ACTIVE     GHGE, FARM GATE (kg CO2e/kg)","GHGE, processor gate (kg CO2e/kg)"),INDIRECT($AB242)))</f>
        <v>6</v>
      </c>
      <c r="AD242" s="247" t="str">
        <f ca="1">IF($AB242="DIRECT","",DAVERAGE('literature entries'!$D:$AI,IF($J242=1,"ACTIVE     GHGE, FARM GATE (kg CO2e/kg)","GHGE, processor gate (kg CO2e/kg)"),INDIRECT($AB242)))</f>
        <v/>
      </c>
      <c r="AE242" s="247">
        <f ca="1">IF($AB242="DIRECT",$S242,DSTDEV('literature entries'!$D:$AI,IF($J242=1,"ACTIVE     GHGE, FARM GATE (kg CO2e/kg)","GHGE, processor gate (kg CO2e/kg)"),INDIRECT($AB242)))</f>
        <v>1.7628178625103332</v>
      </c>
      <c r="AF242" s="247">
        <f t="shared" ca="1" si="33"/>
        <v>1.7628178625103332</v>
      </c>
    </row>
    <row r="243" spans="1:32" s="21" customFormat="1" thickBot="1" x14ac:dyDescent="0.25">
      <c r="A243" s="129">
        <v>2201019000</v>
      </c>
      <c r="B243" s="130" t="s">
        <v>827</v>
      </c>
      <c r="C243" s="131" t="s">
        <v>1761</v>
      </c>
      <c r="D243" s="131"/>
      <c r="E243" s="131">
        <v>392</v>
      </c>
      <c r="F243" s="126">
        <f t="shared" ca="1" si="28"/>
        <v>20.180860418249999</v>
      </c>
      <c r="G243" s="127">
        <f t="shared" ca="1" si="29"/>
        <v>2.1714399000000006</v>
      </c>
      <c r="H243" s="132">
        <v>1.89</v>
      </c>
      <c r="I243" s="132" t="s">
        <v>2724</v>
      </c>
      <c r="J243" s="91">
        <v>1</v>
      </c>
      <c r="K243" s="90"/>
      <c r="L243" s="152" t="str">
        <f>IF(ISERROR(GETPIVOTDATA(IF($J243=1,"Count of ACTIVE     CED, FARM GATE (MJ/kg)","Count of CED, processor gate (MJ/kg)"),'Pivot Table_CED'!$A$3,"SUB TYPE",$B243)),"PROXY",IF(GETPIVOTDATA(IF($J243=1,"Count of ACTIVE     CED, FARM GATE (MJ/kg)","Count of CED, processor gate (MJ/kg)"),'Pivot Table_CED'!$A$3,"SUB TYPE",$B243)=0,"PROXY","DB value"))</f>
        <v>DB value</v>
      </c>
      <c r="M243" s="134">
        <f ca="1">IF($L243="PROXY",DCOUNT('literature entries'!$D:$AI,IF($J243=1,"ACTIVE     CED, FARM GATE (MJ/kg)","CED, processor gate (MJ/kg)"),INDIRECT($K243)),GETPIVOTDATA(IF($J243=1,"Count of ACTIVE     CED, FARM GATE (MJ/kg)","Count of CED, processor gate (MJ/kg)"),'Pivot Table_CED'!$A$3,"SUB TYPE",$B243))</f>
        <v>4</v>
      </c>
      <c r="N243" s="135">
        <f ca="1">IF($L243="PROXY",DAVERAGE('literature entries'!$D:$AI,IF($J243=1,"ACTIVE     CED, FARM GATE (MJ/kg)","CED, processor gate (MJ/kg)"),INDIRECT($K243)),GETPIVOTDATA(IF($J243=1,"Average of ACTIVE     CED, FARM GATE (MJ/kg)","Average of CED, processor gate (MJ/kg)"),'Pivot Table_CED'!$A$3,"SUB TYPE",$B243))</f>
        <v>10.677703924999999</v>
      </c>
      <c r="O243" s="135">
        <f ca="1">IF($L243="PROXY",DSTDEV('literature entries'!D:AI,IF($J243=1,"ACTIVE     CED, FARM GATE (MJ/kg)","CED, processor gate (MJ/kg)"),INDIRECT($K243)),GETPIVOTDATA(IF($J243=1,"StdDev of ACTIVE     CED, FARM GATE (MJ/kg)","StdDev of CED, processor gate (MJ/kg)"),'Pivot Table_CED'!$A$3,"SUB TYPE",$B243))</f>
        <v>4.8554523094787436</v>
      </c>
      <c r="P243" s="152" t="str">
        <f>IF(ISERROR(GETPIVOTDATA(IF($J243=1,"Count of ACTIVE     GHGE, FARM GATE (kg CO2e/kg)","Count of GHGE, processor gate (kg CO2e/kg)"),'Pivot Table_GHG'!$A$3,"SUB TYPE",$B243)),"PROXY",IF(GETPIVOTDATA(IF($J243=1,"Count of ACTIVE     GHGE, FARM GATE (kg CO2e/kg)","Count of GHGE, processor gate (kg CO2e/kg)"),'Pivot Table_GHG'!$A$3,"SUB TYPE",$B243)=0,"PROXY","DB value"))</f>
        <v>DB value</v>
      </c>
      <c r="Q243" s="141">
        <f ca="1">IF($P243="PROXY",DCOUNT('literature entries'!$D:$AI,IF($J243=1,"ACTIVE     GHGE, FARM GATE (kg CO2e/kg)","GHGE, processor gate (kg CO2e/kg)"),INDIRECT($K243)),GETPIVOTDATA(IF($J243=1,"ACTIVE     GHGE, FARM GATE (kg CO2e/kg)","Count of GHGE, processor gate (kg CO2e/kg)"),'Pivot Table_GHG'!$A$3,"SUB TYPE",$B243))</f>
        <v>7</v>
      </c>
      <c r="R243" s="221">
        <f ca="1">IF($P243="PROXY",DAVERAGE('literature entries'!$D:$AI,IF($J243=1,"ACTIVE     GHGE, FARM GATE (kg CO2e/kg)","GHGE, processor gate (kg CO2e/kg)"),INDIRECT($K243)),GETPIVOTDATA(IF($J243=1,"Average of ACTIVE     GHGE, FARM GATE (kg CO2e/kg)","Average of GHGE, processor gate (kg CO2e/kg)"),'Pivot Table_GHG'!$A$3,"SUB TYPE",$B243))</f>
        <v>1.1489100000000003</v>
      </c>
      <c r="S243" s="221">
        <f ca="1">IF($P243="PROXY",DSTDEV('literature entries'!$D:$AI,IF($J243=1,"ACTIVE     GHGE, FARM GATE (kg CO2e/kg)","GHGE, processor gate (kg CO2e/kg)"),INDIRECT($K243)),GETPIVOTDATA(IF($J243=1,"StdDev of ACTIVE     GHGE, FARM GATE (kg CO2e/kg)","StdDev of GHGE, processor gate (kg CO2e/kg)"),'Pivot Table_GHG'!$A$3,"SUB TYPE",$B243))</f>
        <v>0.79065739811880531</v>
      </c>
      <c r="T243" s="101"/>
      <c r="U243" s="102"/>
      <c r="W243" s="248" t="s">
        <v>3361</v>
      </c>
      <c r="X243" s="246">
        <f ca="1">IF($W243="DIRECT",M243,DCOUNT('literature entries'!$D:$AI,IF($J243=1,"ACTIVE     CED, FARM GATE (MJ/kg)","CED, processor gate (MJ/kg)"),INDIRECT($W243)))</f>
        <v>60</v>
      </c>
      <c r="Y243" s="246">
        <f ca="1">IF($W243="DIRECT","",DAVERAGE('literature entries'!$D:$AI,IF($J243=1,"ACTIVE     CED, FARM GATE (MJ/kg)","CED, processor gate (MJ/kg)"),INDIRECT($W243)))</f>
        <v>3.4907536756076811</v>
      </c>
      <c r="Z243" s="246">
        <f ca="1">IF($W243="DIRECT",$O243,DSTDEV('literature entries'!$D:$AI,IF($J243=1,"ACTIVE     CED, FARM GATE (MJ/kg)","CED, processor gate (MJ/kg)"),INDIRECT($W243)))</f>
        <v>2.8914615487691551</v>
      </c>
      <c r="AA243" s="246">
        <f t="shared" ca="1" si="32"/>
        <v>8.8445571350445729</v>
      </c>
      <c r="AB243" s="254" t="str">
        <f ca="1">IF(P243="PROXY",IF(Q243&gt;=5,K243,"need group"),IF(Q243&gt;=5,"DIRECT","need group"))</f>
        <v>DIRECT</v>
      </c>
      <c r="AC243" s="247">
        <f ca="1">IF($AB243="DIRECT",Q243,DCOUNT('literature entries'!$D:$AI,IF($J243=1,"ACTIVE     GHGE, FARM GATE (kg CO2e/kg)","GHGE, processor gate (kg CO2e/kg)"),INDIRECT($AB243)))</f>
        <v>7</v>
      </c>
      <c r="AD243" s="247" t="str">
        <f ca="1">IF($AB243="DIRECT","",DAVERAGE('literature entries'!$D:$AI,IF($J243=1,"ACTIVE     GHGE, FARM GATE (kg CO2e/kg)","GHGE, processor gate (kg CO2e/kg)"),INDIRECT($AB243)))</f>
        <v/>
      </c>
      <c r="AE243" s="247">
        <f ca="1">IF($AB243="DIRECT",$S243,DSTDEV('literature entries'!$D:$AI,IF($J243=1,"ACTIVE     GHGE, FARM GATE (kg CO2e/kg)","GHGE, processor gate (kg CO2e/kg)"),INDIRECT($AB243)))</f>
        <v>0.79065739811880531</v>
      </c>
      <c r="AF243" s="247">
        <f t="shared" ca="1" si="33"/>
        <v>0.79065739811880531</v>
      </c>
    </row>
    <row r="244" spans="1:32" s="21" customFormat="1" ht="17" thickBot="1" x14ac:dyDescent="0.25">
      <c r="A244" s="129">
        <v>2201022000</v>
      </c>
      <c r="B244" s="130" t="s">
        <v>1766</v>
      </c>
      <c r="C244" s="131" t="s">
        <v>1767</v>
      </c>
      <c r="D244" s="131" t="s">
        <v>1768</v>
      </c>
      <c r="E244" s="131">
        <v>569</v>
      </c>
      <c r="F244" s="126">
        <f t="shared" ca="1" si="28"/>
        <v>10.677703924999999</v>
      </c>
      <c r="G244" s="127">
        <f t="shared" ca="1" si="29"/>
        <v>1.1489100000000003</v>
      </c>
      <c r="H244" s="133">
        <v>1</v>
      </c>
      <c r="I244" s="133" t="s">
        <v>594</v>
      </c>
      <c r="J244" s="91">
        <v>1</v>
      </c>
      <c r="K244" s="90" t="s">
        <v>828</v>
      </c>
      <c r="L244" s="152" t="str">
        <f>IF(ISERROR(GETPIVOTDATA(IF($J244=1,"Count of ACTIVE     CED, FARM GATE (MJ/kg)","Count of CED, processor gate (MJ/kg)"),'Pivot Table_CED'!$A$3,"SUB TYPE",$B244)),"PROXY",IF(GETPIVOTDATA(IF($J244=1,"Count of ACTIVE     CED, FARM GATE (MJ/kg)","Count of CED, processor gate (MJ/kg)"),'Pivot Table_CED'!$A$3,"SUB TYPE",$B244)=0,"PROXY","DB value"))</f>
        <v>PROXY</v>
      </c>
      <c r="M244" s="134">
        <f ca="1">IF($L244="PROXY",DCOUNT('literature entries'!$D:$AI,IF($J244=1,"ACTIVE     CED, FARM GATE (MJ/kg)","CED, processor gate (MJ/kg)"),INDIRECT($K244)),GETPIVOTDATA(IF($J244=1,"Count of ACTIVE     CED, FARM GATE (MJ/kg)","Count of CED, processor gate (MJ/kg)"),'Pivot Table_CED'!$A$3,"SUB TYPE",$B244))</f>
        <v>4</v>
      </c>
      <c r="N244" s="135">
        <f ca="1">IF($L244="PROXY",DAVERAGE('literature entries'!$D:$AI,IF($J244=1,"ACTIVE     CED, FARM GATE (MJ/kg)","CED, processor gate (MJ/kg)"),INDIRECT($K244)),GETPIVOTDATA(IF($J244=1,"Average of ACTIVE     CED, FARM GATE (MJ/kg)","Average of CED, processor gate (MJ/kg)"),'Pivot Table_CED'!$A$3,"SUB TYPE",$B244))</f>
        <v>10.677703924999999</v>
      </c>
      <c r="O244" s="135">
        <f ca="1">IF($L244="PROXY",DSTDEV('literature entries'!D:AI,IF($J244=1,"ACTIVE     CED, FARM GATE (MJ/kg)","CED, processor gate (MJ/kg)"),INDIRECT($K244)),GETPIVOTDATA(IF($J244=1,"StdDev of ACTIVE     CED, FARM GATE (MJ/kg)","StdDev of CED, processor gate (MJ/kg)"),'Pivot Table_CED'!$A$3,"SUB TYPE",$B244))</f>
        <v>4.8554523094787436</v>
      </c>
      <c r="P244" s="152" t="str">
        <f>IF(ISERROR(GETPIVOTDATA(IF($J244=1,"Count of ACTIVE     GHGE, FARM GATE (kg CO2e/kg)","Count of GHGE, processor gate (kg CO2e/kg)"),'Pivot Table_GHG'!$A$3,"SUB TYPE",$B244)),"PROXY",IF(GETPIVOTDATA(IF($J244=1,"Count of ACTIVE     GHGE, FARM GATE (kg CO2e/kg)","Count of GHGE, processor gate (kg CO2e/kg)"),'Pivot Table_GHG'!$A$3,"SUB TYPE",$B244)=0,"PROXY","DB value"))</f>
        <v>PROXY</v>
      </c>
      <c r="Q244" s="141">
        <f ca="1">IF($P244="PROXY",DCOUNT('literature entries'!$D:$AI,IF($J244=1,"ACTIVE     GHGE, FARM GATE (kg CO2e/kg)","GHGE, processor gate (kg CO2e/kg)"),INDIRECT($K244)),GETPIVOTDATA(IF($J244=1,"ACTIVE     GHGE, FARM GATE (kg CO2e/kg)","Count of GHGE, processor gate (kg CO2e/kg)"),'Pivot Table_GHG'!$A$3,"SUB TYPE",$B244))</f>
        <v>7</v>
      </c>
      <c r="R244" s="221">
        <f ca="1">IF($P244="PROXY",DAVERAGE('literature entries'!$D:$AI,IF($J244=1,"ACTIVE     GHGE, FARM GATE (kg CO2e/kg)","GHGE, processor gate (kg CO2e/kg)"),INDIRECT($K244)),GETPIVOTDATA(IF($J244=1,"Average of ACTIVE     GHGE, FARM GATE (kg CO2e/kg)","Average of GHGE, processor gate (kg CO2e/kg)"),'Pivot Table_GHG'!$A$3,"SUB TYPE",$B244))</f>
        <v>1.1489100000000003</v>
      </c>
      <c r="S244" s="221">
        <f ca="1">IF($P244="PROXY",DSTDEV('literature entries'!$D:$AI,IF($J244=1,"ACTIVE     GHGE, FARM GATE (kg CO2e/kg)","GHGE, processor gate (kg CO2e/kg)"),INDIRECT($K244)),GETPIVOTDATA(IF($J244=1,"StdDev of ACTIVE     GHGE, FARM GATE (kg CO2e/kg)","StdDev of GHGE, processor gate (kg CO2e/kg)"),'Pivot Table_GHG'!$A$3,"SUB TYPE",$B244))</f>
        <v>0.79065739811880531</v>
      </c>
      <c r="T244" s="101"/>
      <c r="U244" s="102"/>
      <c r="W244" s="248" t="s">
        <v>3361</v>
      </c>
      <c r="X244" s="246">
        <f ca="1">IF($W244="DIRECT",M244,DCOUNT('literature entries'!$D:$AI,IF($J244=1,"ACTIVE     CED, FARM GATE (MJ/kg)","CED, processor gate (MJ/kg)"),INDIRECT($W244)))</f>
        <v>60</v>
      </c>
      <c r="Y244" s="246">
        <f ca="1">IF($W244="DIRECT","",DAVERAGE('literature entries'!$D:$AI,IF($J244=1,"ACTIVE     CED, FARM GATE (MJ/kg)","CED, processor gate (MJ/kg)"),INDIRECT($W244)))</f>
        <v>3.4907536756076811</v>
      </c>
      <c r="Z244" s="246">
        <f ca="1">IF($W244="DIRECT",$O244,DSTDEV('literature entries'!$D:$AI,IF($J244=1,"ACTIVE     CED, FARM GATE (MJ/kg)","CED, processor gate (MJ/kg)"),INDIRECT($W244)))</f>
        <v>2.8914615487691551</v>
      </c>
      <c r="AA244" s="246">
        <f t="shared" ca="1" si="32"/>
        <v>8.8445571350445729</v>
      </c>
      <c r="AB244" s="254" t="str">
        <f ca="1">IF(P244="PROXY",IF(Q244&gt;=5,K244,"need group"),IF(Q244&gt;=5,"DIRECT","need group"))</f>
        <v>asparagus</v>
      </c>
      <c r="AC244" s="247">
        <f ca="1">IF($AB244="DIRECT",Q244,DCOUNT('literature entries'!$D:$AI,IF($J244=1,"ACTIVE     GHGE, FARM GATE (kg CO2e/kg)","GHGE, processor gate (kg CO2e/kg)"),INDIRECT($AB244)))</f>
        <v>7</v>
      </c>
      <c r="AD244" s="247">
        <f ca="1">IF($AB244="DIRECT","",DAVERAGE('literature entries'!$D:$AI,IF($J244=1,"ACTIVE     GHGE, FARM GATE (kg CO2e/kg)","GHGE, processor gate (kg CO2e/kg)"),INDIRECT($AB244)))</f>
        <v>1.1489100000000003</v>
      </c>
      <c r="AE244" s="247">
        <f ca="1">IF($AB244="DIRECT",$S244,DSTDEV('literature entries'!$D:$AI,IF($J244=1,"ACTIVE     GHGE, FARM GATE (kg CO2e/kg)","GHGE, processor gate (kg CO2e/kg)"),INDIRECT($AB244)))</f>
        <v>0.79065739811880531</v>
      </c>
      <c r="AF244" s="247">
        <f t="shared" ca="1" si="33"/>
        <v>0.79065739811880531</v>
      </c>
    </row>
    <row r="245" spans="1:32" s="21" customFormat="1" thickBot="1" x14ac:dyDescent="0.25">
      <c r="A245" s="129">
        <v>2201073000</v>
      </c>
      <c r="B245" s="130" t="s">
        <v>1857</v>
      </c>
      <c r="C245" s="131" t="s">
        <v>1770</v>
      </c>
      <c r="D245" s="131" t="s">
        <v>1858</v>
      </c>
      <c r="E245" s="131">
        <v>195</v>
      </c>
      <c r="F245" s="126">
        <f t="shared" ca="1" si="28"/>
        <v>0.87360000000000004</v>
      </c>
      <c r="G245" s="127">
        <f t="shared" ca="1" si="29"/>
        <v>0.41324139999999998</v>
      </c>
      <c r="H245" s="132">
        <v>1.04</v>
      </c>
      <c r="I245" s="132" t="s">
        <v>2724</v>
      </c>
      <c r="J245" s="91">
        <v>1</v>
      </c>
      <c r="K245" s="90" t="s">
        <v>846</v>
      </c>
      <c r="L245" s="152" t="str">
        <f>IF(ISERROR(GETPIVOTDATA(IF($J245=1,"Count of ACTIVE     CED, FARM GATE (MJ/kg)","Count of CED, processor gate (MJ/kg)"),'Pivot Table_CED'!$A$3,"SUB TYPE",$B245)),"PROXY",IF(GETPIVOTDATA(IF($J245=1,"Count of ACTIVE     CED, FARM GATE (MJ/kg)","Count of CED, processor gate (MJ/kg)"),'Pivot Table_CED'!$A$3,"SUB TYPE",$B245)=0,"PROXY","DB value"))</f>
        <v>PROXY</v>
      </c>
      <c r="M245" s="134">
        <f ca="1">IF($L245="PROXY",DCOUNT('literature entries'!$D:$AI,IF($J245=1,"ACTIVE     CED, FARM GATE (MJ/kg)","CED, processor gate (MJ/kg)"),INDIRECT($K245)),GETPIVOTDATA(IF($J245=1,"Count of ACTIVE     CED, FARM GATE (MJ/kg)","Count of CED, processor gate (MJ/kg)"),'Pivot Table_CED'!$A$3,"SUB TYPE",$B245))</f>
        <v>1</v>
      </c>
      <c r="N245" s="135">
        <f ca="1">IF($L245="PROXY",DAVERAGE('literature entries'!$D:$AI,IF($J245=1,"ACTIVE     CED, FARM GATE (MJ/kg)","CED, processor gate (MJ/kg)"),INDIRECT($K245)),GETPIVOTDATA(IF($J245=1,"Average of ACTIVE     CED, FARM GATE (MJ/kg)","Average of CED, processor gate (MJ/kg)"),'Pivot Table_CED'!$A$3,"SUB TYPE",$B245))</f>
        <v>0.84</v>
      </c>
      <c r="O245" s="135" t="e">
        <f ca="1">IF($L245="PROXY",DSTDEV('literature entries'!D:AI,IF($J245=1,"ACTIVE     CED, FARM GATE (MJ/kg)","CED, processor gate (MJ/kg)"),INDIRECT($K245)),GETPIVOTDATA(IF($J245=1,"StdDev of ACTIVE     CED, FARM GATE (MJ/kg)","StdDev of CED, processor gate (MJ/kg)"),'Pivot Table_CED'!$A$3,"SUB TYPE",$B245))</f>
        <v>#DIV/0!</v>
      </c>
      <c r="P245" s="152" t="str">
        <f>IF(ISERROR(GETPIVOTDATA(IF($J245=1,"Count of ACTIVE     GHGE, FARM GATE (kg CO2e/kg)","Count of GHGE, processor gate (kg CO2e/kg)"),'Pivot Table_GHG'!$A$3,"SUB TYPE",$B245)),"PROXY",IF(GETPIVOTDATA(IF($J245=1,"Count of ACTIVE     GHGE, FARM GATE (kg CO2e/kg)","Count of GHGE, processor gate (kg CO2e/kg)"),'Pivot Table_GHG'!$A$3,"SUB TYPE",$B245)=0,"PROXY","DB value"))</f>
        <v>PROXY</v>
      </c>
      <c r="Q245" s="141">
        <f ca="1">IF($P245="PROXY",DCOUNT('literature entries'!$D:$AI,IF($J245=1,"ACTIVE     GHGE, FARM GATE (kg CO2e/kg)","GHGE, processor gate (kg CO2e/kg)"),INDIRECT($K245)),GETPIVOTDATA(IF($J245=1,"ACTIVE     GHGE, FARM GATE (kg CO2e/kg)","Count of GHGE, processor gate (kg CO2e/kg)"),'Pivot Table_GHG'!$A$3,"SUB TYPE",$B245))</f>
        <v>4</v>
      </c>
      <c r="R245" s="221">
        <f ca="1">IF($P245="PROXY",DAVERAGE('literature entries'!$D:$AI,IF($J245=1,"ACTIVE     GHGE, FARM GATE (kg CO2e/kg)","GHGE, processor gate (kg CO2e/kg)"),INDIRECT($K245)),GETPIVOTDATA(IF($J245=1,"Average of ACTIVE     GHGE, FARM GATE (kg CO2e/kg)","Average of GHGE, processor gate (kg CO2e/kg)"),'Pivot Table_GHG'!$A$3,"SUB TYPE",$B245))</f>
        <v>0.39734749999999996</v>
      </c>
      <c r="S245" s="221">
        <f ca="1">IF($P245="PROXY",DSTDEV('literature entries'!$D:$AI,IF($J245=1,"ACTIVE     GHGE, FARM GATE (kg CO2e/kg)","GHGE, processor gate (kg CO2e/kg)"),INDIRECT($K245)),GETPIVOTDATA(IF($J245=1,"StdDev of ACTIVE     GHGE, FARM GATE (kg CO2e/kg)","StdDev of GHGE, processor gate (kg CO2e/kg)"),'Pivot Table_GHG'!$A$3,"SUB TYPE",$B245))</f>
        <v>0.56891757723915215</v>
      </c>
      <c r="T245" s="101"/>
      <c r="U245" s="102"/>
      <c r="W245" s="248" t="s">
        <v>3361</v>
      </c>
      <c r="X245" s="246">
        <f ca="1">IF($W245="DIRECT",M245,DCOUNT('literature entries'!$D:$AI,IF($J245=1,"ACTIVE     CED, FARM GATE (MJ/kg)","CED, processor gate (MJ/kg)"),INDIRECT($W245)))</f>
        <v>60</v>
      </c>
      <c r="Y245" s="246">
        <f ca="1">IF($W245="DIRECT","",DAVERAGE('literature entries'!$D:$AI,IF($J245=1,"ACTIVE     CED, FARM GATE (MJ/kg)","CED, processor gate (MJ/kg)"),INDIRECT($W245)))</f>
        <v>3.4907536756076811</v>
      </c>
      <c r="Z245" s="246">
        <f ca="1">IF($W245="DIRECT",$O245,DSTDEV('literature entries'!$D:$AI,IF($J245=1,"ACTIVE     CED, FARM GATE (MJ/kg)","CED, processor gate (MJ/kg)"),INDIRECT($W245)))</f>
        <v>2.8914615487691551</v>
      </c>
      <c r="AA245" s="246">
        <f t="shared" ca="1" si="32"/>
        <v>0.69578891170064361</v>
      </c>
      <c r="AB245" s="254" t="s">
        <v>3361</v>
      </c>
      <c r="AC245" s="247">
        <f ca="1">IF($AB245="DIRECT",Q245,DCOUNT('literature entries'!$D:$AI,IF($J245=1,"ACTIVE     GHGE, FARM GATE (kg CO2e/kg)","GHGE, processor gate (kg CO2e/kg)"),INDIRECT($AB245)))</f>
        <v>130</v>
      </c>
      <c r="AD245" s="247">
        <f ca="1">IF($AB245="DIRECT","",DAVERAGE('literature entries'!$D:$AI,IF($J245=1,"ACTIVE     GHGE, FARM GATE (kg CO2e/kg)","GHGE, processor gate (kg CO2e/kg)"),INDIRECT($AB245)))</f>
        <v>0.57143231537198591</v>
      </c>
      <c r="AE245" s="247">
        <f ca="1">IF($AB245="DIRECT",$S245,DSTDEV('literature entries'!$D:$AI,IF($J245=1,"ACTIVE     GHGE, FARM GATE (kg CO2e/kg)","GHGE, processor gate (kg CO2e/kg)"),INDIRECT($AB245)))</f>
        <v>0.97567296151555694</v>
      </c>
      <c r="AF245" s="247">
        <f t="shared" ca="1" si="33"/>
        <v>0.67843767607618322</v>
      </c>
    </row>
    <row r="246" spans="1:32" s="21" customFormat="1" thickBot="1" x14ac:dyDescent="0.25">
      <c r="A246" s="129">
        <v>2201152000</v>
      </c>
      <c r="B246" s="130" t="s">
        <v>1976</v>
      </c>
      <c r="C246" s="131" t="s">
        <v>1760</v>
      </c>
      <c r="D246" s="131" t="s">
        <v>1977</v>
      </c>
      <c r="E246" s="131">
        <v>2</v>
      </c>
      <c r="F246" s="126">
        <f t="shared" ca="1" si="28"/>
        <v>5.8812345759999998</v>
      </c>
      <c r="G246" s="127">
        <f t="shared" ca="1" si="29"/>
        <v>0.33104400000000006</v>
      </c>
      <c r="H246" s="132">
        <v>1.1200000000000001</v>
      </c>
      <c r="I246" s="132" t="s">
        <v>2724</v>
      </c>
      <c r="J246" s="103">
        <v>1</v>
      </c>
      <c r="K246" s="90" t="s">
        <v>2748</v>
      </c>
      <c r="L246" s="152" t="str">
        <f>IF(ISERROR(GETPIVOTDATA(IF($J246=1,"Count of ACTIVE     CED, FARM GATE (MJ/kg)","Count of CED, processor gate (MJ/kg)"),'Pivot Table_CED'!$A$3,"SUB TYPE",$B246)),"PROXY",IF(GETPIVOTDATA(IF($J246=1,"Count of ACTIVE     CED, FARM GATE (MJ/kg)","Count of CED, processor gate (MJ/kg)"),'Pivot Table_CED'!$A$3,"SUB TYPE",$B246)=0,"PROXY","DB value"))</f>
        <v>PROXY</v>
      </c>
      <c r="M246" s="134">
        <f ca="1">IF($L246="PROXY",DCOUNT('literature entries'!$D:$AI,IF($J246=1,"ACTIVE     CED, FARM GATE (MJ/kg)","CED, processor gate (MJ/kg)"),INDIRECT($K246)),GETPIVOTDATA(IF($J246=1,"Count of ACTIVE     CED, FARM GATE (MJ/kg)","Count of CED, processor gate (MJ/kg)"),'Pivot Table_CED'!$A$3,"SUB TYPE",$B246))</f>
        <v>1</v>
      </c>
      <c r="N246" s="135">
        <f ca="1">IF($L246="PROXY",DAVERAGE('literature entries'!$D:$AI,IF($J246=1,"ACTIVE     CED, FARM GATE (MJ/kg)","CED, processor gate (MJ/kg)"),INDIRECT($K246)),GETPIVOTDATA(IF($J246=1,"Average of ACTIVE     CED, FARM GATE (MJ/kg)","Average of CED, processor gate (MJ/kg)"),'Pivot Table_CED'!$A$3,"SUB TYPE",$B246))</f>
        <v>5.2511022999999994</v>
      </c>
      <c r="O246" s="135" t="e">
        <f ca="1">IF($L246="PROXY",DSTDEV('literature entries'!D:AI,IF($J246=1,"ACTIVE     CED, FARM GATE (MJ/kg)","CED, processor gate (MJ/kg)"),INDIRECT($K246)),GETPIVOTDATA(IF($J246=1,"StdDev of ACTIVE     CED, FARM GATE (MJ/kg)","StdDev of CED, processor gate (MJ/kg)"),'Pivot Table_CED'!$A$3,"SUB TYPE",$B246))</f>
        <v>#DIV/0!</v>
      </c>
      <c r="P246" s="152" t="str">
        <f>IF(ISERROR(GETPIVOTDATA(IF($J246=1,"Count of ACTIVE     GHGE, FARM GATE (kg CO2e/kg)","Count of GHGE, processor gate (kg CO2e/kg)"),'Pivot Table_GHG'!$A$3,"SUB TYPE",$B246)),"PROXY",IF(GETPIVOTDATA(IF($J246=1,"Count of ACTIVE     GHGE, FARM GATE (kg CO2e/kg)","Count of GHGE, processor gate (kg CO2e/kg)"),'Pivot Table_GHG'!$A$3,"SUB TYPE",$B246)=0,"PROXY","DB value"))</f>
        <v>PROXY</v>
      </c>
      <c r="Q246" s="141">
        <f ca="1">IF($P246="PROXY",DCOUNT('literature entries'!$D:$AI,IF($J246=1,"ACTIVE     GHGE, FARM GATE (kg CO2e/kg)","GHGE, processor gate (kg CO2e/kg)"),INDIRECT($K246)),GETPIVOTDATA(IF($J246=1,"ACTIVE     GHGE, FARM GATE (kg CO2e/kg)","Count of GHGE, processor gate (kg CO2e/kg)"),'Pivot Table_GHG'!$A$3,"SUB TYPE",$B246))</f>
        <v>2</v>
      </c>
      <c r="R246" s="221">
        <f ca="1">IF($P246="PROXY",DAVERAGE('literature entries'!$D:$AI,IF($J246=1,"ACTIVE     GHGE, FARM GATE (kg CO2e/kg)","GHGE, processor gate (kg CO2e/kg)"),INDIRECT($K246)),GETPIVOTDATA(IF($J246=1,"Average of ACTIVE     GHGE, FARM GATE (kg CO2e/kg)","Average of GHGE, processor gate (kg CO2e/kg)"),'Pivot Table_GHG'!$A$3,"SUB TYPE",$B246))</f>
        <v>0.29557500000000003</v>
      </c>
      <c r="S246" s="221">
        <f ca="1">IF($P246="PROXY",DSTDEV('literature entries'!$D:$AI,IF($J246=1,"ACTIVE     GHGE, FARM GATE (kg CO2e/kg)","GHGE, processor gate (kg CO2e/kg)"),INDIRECT($K246)),GETPIVOTDATA(IF($J246=1,"StdDev of ACTIVE     GHGE, FARM GATE (kg CO2e/kg)","StdDev of GHGE, processor gate (kg CO2e/kg)"),'Pivot Table_GHG'!$A$3,"SUB TYPE",$B246))</f>
        <v>0.16344773247127031</v>
      </c>
      <c r="T246" s="101"/>
      <c r="U246" s="102"/>
      <c r="W246" s="248" t="s">
        <v>3361</v>
      </c>
      <c r="X246" s="246">
        <f ca="1">IF($W246="DIRECT",M246,DCOUNT('literature entries'!$D:$AI,IF($J246=1,"ACTIVE     CED, FARM GATE (MJ/kg)","CED, processor gate (MJ/kg)"),INDIRECT($W246)))</f>
        <v>60</v>
      </c>
      <c r="Y246" s="246">
        <f ca="1">IF($W246="DIRECT","",DAVERAGE('literature entries'!$D:$AI,IF($J246=1,"ACTIVE     CED, FARM GATE (MJ/kg)","CED, processor gate (MJ/kg)"),INDIRECT($W246)))</f>
        <v>3.4907536756076811</v>
      </c>
      <c r="Z246" s="246">
        <f ca="1">IF($W246="DIRECT",$O246,DSTDEV('literature entries'!$D:$AI,IF($J246=1,"ACTIVE     CED, FARM GATE (MJ/kg)","CED, processor gate (MJ/kg)"),INDIRECT($W246)))</f>
        <v>2.8914615487691551</v>
      </c>
      <c r="AA246" s="246">
        <f t="shared" ca="1" si="32"/>
        <v>4.3495937554116031</v>
      </c>
      <c r="AB246" s="254" t="s">
        <v>3361</v>
      </c>
      <c r="AC246" s="247">
        <f ca="1">IF($AB246="DIRECT",Q246,DCOUNT('literature entries'!$D:$AI,IF($J246=1,"ACTIVE     GHGE, FARM GATE (kg CO2e/kg)","GHGE, processor gate (kg CO2e/kg)"),INDIRECT($AB246)))</f>
        <v>130</v>
      </c>
      <c r="AD246" s="247">
        <f ca="1">IF($AB246="DIRECT","",DAVERAGE('literature entries'!$D:$AI,IF($J246=1,"ACTIVE     GHGE, FARM GATE (kg CO2e/kg)","GHGE, processor gate (kg CO2e/kg)"),INDIRECT($AB246)))</f>
        <v>0.57143231537198591</v>
      </c>
      <c r="AE246" s="247">
        <f ca="1">IF($AB246="DIRECT",$S246,DSTDEV('literature entries'!$D:$AI,IF($J246=1,"ACTIVE     GHGE, FARM GATE (kg CO2e/kg)","GHGE, processor gate (kg CO2e/kg)"),INDIRECT($AB246)))</f>
        <v>0.97567296151555694</v>
      </c>
      <c r="AF246" s="247">
        <f t="shared" ca="1" si="33"/>
        <v>0.50466963075448545</v>
      </c>
    </row>
    <row r="247" spans="1:32" s="21" customFormat="1" thickBot="1" x14ac:dyDescent="0.25">
      <c r="A247" s="129">
        <v>2201196000</v>
      </c>
      <c r="B247" s="130" t="s">
        <v>2044</v>
      </c>
      <c r="C247" s="131" t="s">
        <v>1782</v>
      </c>
      <c r="D247" s="131"/>
      <c r="E247" s="131">
        <v>3</v>
      </c>
      <c r="F247" s="126">
        <f t="shared" ca="1" si="28"/>
        <v>8.1807879207329552</v>
      </c>
      <c r="G247" s="127">
        <f t="shared" ca="1" si="29"/>
        <v>0.95763537445661162</v>
      </c>
      <c r="H247" s="132">
        <v>2.17</v>
      </c>
      <c r="I247" s="132" t="s">
        <v>2724</v>
      </c>
      <c r="J247" s="91">
        <v>1</v>
      </c>
      <c r="K247" s="90" t="s">
        <v>2464</v>
      </c>
      <c r="L247" s="152" t="str">
        <f>IF(ISERROR(GETPIVOTDATA(IF($J247=1,"Count of ACTIVE     CED, FARM GATE (MJ/kg)","Count of CED, processor gate (MJ/kg)"),'Pivot Table_CED'!$A$3,"SUB TYPE",$B247)),"PROXY",IF(GETPIVOTDATA(IF($J247=1,"Count of ACTIVE     CED, FARM GATE (MJ/kg)","Count of CED, processor gate (MJ/kg)"),'Pivot Table_CED'!$A$3,"SUB TYPE",$B247)=0,"PROXY","DB value"))</f>
        <v>PROXY</v>
      </c>
      <c r="M247" s="134">
        <f ca="1">IF($L247="PROXY",DCOUNT('literature entries'!$D:$AI,IF($J247=1,"ACTIVE     CED, FARM GATE (MJ/kg)","CED, processor gate (MJ/kg)"),INDIRECT($K247)),GETPIVOTDATA(IF($J247=1,"Count of ACTIVE     CED, FARM GATE (MJ/kg)","Count of CED, processor gate (MJ/kg)"),'Pivot Table_CED'!$A$3,"SUB TYPE",$B247))</f>
        <v>16</v>
      </c>
      <c r="N247" s="135">
        <f ca="1">IF($L247="PROXY",DAVERAGE('literature entries'!$D:$AI,IF($J247=1,"ACTIVE     CED, FARM GATE (MJ/kg)","CED, processor gate (MJ/kg)"),INDIRECT($K247)),GETPIVOTDATA(IF($J247=1,"Average of ACTIVE     CED, FARM GATE (MJ/kg)","Average of CED, processor gate (MJ/kg)"),'Pivot Table_CED'!$A$3,"SUB TYPE",$B247))</f>
        <v>3.7699483505681823</v>
      </c>
      <c r="O247" s="135">
        <f ca="1">IF($L247="PROXY",DSTDEV('literature entries'!D:AI,IF($J247=1,"ACTIVE     CED, FARM GATE (MJ/kg)","CED, processor gate (MJ/kg)"),INDIRECT($K247)),GETPIVOTDATA(IF($J247=1,"StdDev of ACTIVE     CED, FARM GATE (MJ/kg)","StdDev of CED, processor gate (MJ/kg)"),'Pivot Table_CED'!$A$3,"SUB TYPE",$B247))</f>
        <v>2.015180177657335</v>
      </c>
      <c r="P247" s="152" t="str">
        <f>IF(ISERROR(GETPIVOTDATA(IF($J247=1,"Count of ACTIVE     GHGE, FARM GATE (kg CO2e/kg)","Count of GHGE, processor gate (kg CO2e/kg)"),'Pivot Table_GHG'!$A$3,"SUB TYPE",$B247)),"PROXY",IF(GETPIVOTDATA(IF($J247=1,"Count of ACTIVE     GHGE, FARM GATE (kg CO2e/kg)","Count of GHGE, processor gate (kg CO2e/kg)"),'Pivot Table_GHG'!$A$3,"SUB TYPE",$B247)=0,"PROXY","DB value"))</f>
        <v>PROXY</v>
      </c>
      <c r="Q247" s="141">
        <f ca="1">IF($P247="PROXY",DCOUNT('literature entries'!$D:$AI,IF($J247=1,"ACTIVE     GHGE, FARM GATE (kg CO2e/kg)","GHGE, processor gate (kg CO2e/kg)"),INDIRECT($K247)),GETPIVOTDATA(IF($J247=1,"ACTIVE     GHGE, FARM GATE (kg CO2e/kg)","Count of GHGE, processor gate (kg CO2e/kg)"),'Pivot Table_GHG'!$A$3,"SUB TYPE",$B247))</f>
        <v>22</v>
      </c>
      <c r="R247" s="221">
        <f ca="1">IF($P247="PROXY",DAVERAGE('literature entries'!$D:$AI,IF($J247=1,"ACTIVE     GHGE, FARM GATE (kg CO2e/kg)","GHGE, processor gate (kg CO2e/kg)"),INDIRECT($K247)),GETPIVOTDATA(IF($J247=1,"Average of ACTIVE     GHGE, FARM GATE (kg CO2e/kg)","Average of GHGE, processor gate (kg CO2e/kg)"),'Pivot Table_GHG'!$A$3,"SUB TYPE",$B247))</f>
        <v>0.44130662417355376</v>
      </c>
      <c r="S247" s="221">
        <f ca="1">IF($P247="PROXY",DSTDEV('literature entries'!$D:$AI,IF($J247=1,"ACTIVE     GHGE, FARM GATE (kg CO2e/kg)","GHGE, processor gate (kg CO2e/kg)"),INDIRECT($K247)),GETPIVOTDATA(IF($J247=1,"StdDev of ACTIVE     GHGE, FARM GATE (kg CO2e/kg)","StdDev of GHGE, processor gate (kg CO2e/kg)"),'Pivot Table_GHG'!$A$3,"SUB TYPE",$B247))</f>
        <v>0.32291425498521459</v>
      </c>
      <c r="T247" s="101"/>
      <c r="U247" s="102"/>
      <c r="W247" s="248" t="str">
        <f ca="1">IF(L247="PROXY",IF(M247&gt;=5,K247,"need group"),IF(M247&gt;=5,"DIRECT","need group"))</f>
        <v>brassica</v>
      </c>
      <c r="X247" s="246">
        <f ca="1">IF($W247="DIRECT",M247,DCOUNT('literature entries'!$D:$AI,IF($J247=1,"ACTIVE     CED, FARM GATE (MJ/kg)","CED, processor gate (MJ/kg)"),INDIRECT($W247)))</f>
        <v>16</v>
      </c>
      <c r="Y247" s="246">
        <f ca="1">IF($W247="DIRECT","",DAVERAGE('literature entries'!$D:$AI,IF($J247=1,"ACTIVE     CED, FARM GATE (MJ/kg)","CED, processor gate (MJ/kg)"),INDIRECT($W247)))</f>
        <v>3.7699483505681823</v>
      </c>
      <c r="Z247" s="246">
        <f ca="1">IF($W247="DIRECT",$O247,DSTDEV('literature entries'!$D:$AI,IF($J247=1,"ACTIVE     CED, FARM GATE (MJ/kg)","CED, processor gate (MJ/kg)"),INDIRECT($W247)))</f>
        <v>2.015180177657335</v>
      </c>
      <c r="AA247" s="246">
        <f t="shared" ca="1" si="32"/>
        <v>2.015180177657335</v>
      </c>
      <c r="AB247" s="254" t="str">
        <f ca="1">IF(P247="PROXY",IF(Q247&gt;=5,K247,"need group"),IF(Q247&gt;=5,"DIRECT","need group"))</f>
        <v>brassica</v>
      </c>
      <c r="AC247" s="247">
        <f ca="1">IF($AB247="DIRECT",Q247,DCOUNT('literature entries'!$D:$AI,IF($J247=1,"ACTIVE     GHGE, FARM GATE (kg CO2e/kg)","GHGE, processor gate (kg CO2e/kg)"),INDIRECT($AB247)))</f>
        <v>22</v>
      </c>
      <c r="AD247" s="247">
        <f ca="1">IF($AB247="DIRECT","",DAVERAGE('literature entries'!$D:$AI,IF($J247=1,"ACTIVE     GHGE, FARM GATE (kg CO2e/kg)","GHGE, processor gate (kg CO2e/kg)"),INDIRECT($AB247)))</f>
        <v>0.44130662417355376</v>
      </c>
      <c r="AE247" s="247">
        <f ca="1">IF($AB247="DIRECT",$S247,DSTDEV('literature entries'!$D:$AI,IF($J247=1,"ACTIVE     GHGE, FARM GATE (kg CO2e/kg)","GHGE, processor gate (kg CO2e/kg)"),INDIRECT($AB247)))</f>
        <v>0.32291425498521459</v>
      </c>
      <c r="AF247" s="247">
        <f t="shared" ca="1" si="33"/>
        <v>0.32291425498521459</v>
      </c>
    </row>
    <row r="248" spans="1:32" s="21" customFormat="1" ht="17" thickBot="1" x14ac:dyDescent="0.25">
      <c r="A248" s="129">
        <v>2201243000</v>
      </c>
      <c r="B248" s="130" t="s">
        <v>2112</v>
      </c>
      <c r="C248" s="131" t="s">
        <v>2113</v>
      </c>
      <c r="D248" s="131"/>
      <c r="E248" s="131">
        <v>3</v>
      </c>
      <c r="F248" s="126">
        <f t="shared" ca="1" si="28"/>
        <v>3.3954128262185184</v>
      </c>
      <c r="G248" s="127">
        <f t="shared" ca="1" si="29"/>
        <v>0.53448943577564734</v>
      </c>
      <c r="H248" s="132">
        <v>1</v>
      </c>
      <c r="I248" s="133" t="s">
        <v>2724</v>
      </c>
      <c r="J248" s="91">
        <v>1</v>
      </c>
      <c r="K248" s="90" t="s">
        <v>3269</v>
      </c>
      <c r="L248" s="152" t="str">
        <f>IF(ISERROR(GETPIVOTDATA(IF($J248=1,"Count of ACTIVE     CED, FARM GATE (MJ/kg)","Count of CED, processor gate (MJ/kg)"),'Pivot Table_CED'!$A$3,"SUB TYPE",$B248)),"PROXY",IF(GETPIVOTDATA(IF($J248=1,"Count of ACTIVE     CED, FARM GATE (MJ/kg)","Count of CED, processor gate (MJ/kg)"),'Pivot Table_CED'!$A$3,"SUB TYPE",$B248)=0,"PROXY","DB value"))</f>
        <v>PROXY</v>
      </c>
      <c r="M248" s="134">
        <f ca="1">IF($L248="PROXY",DCOUNT('literature entries'!$D:$AI,IF($J248=1,"ACTIVE     CED, FARM GATE (MJ/kg)","CED, processor gate (MJ/kg)"),INDIRECT($K248)),GETPIVOTDATA(IF($J248=1,"Count of ACTIVE     CED, FARM GATE (MJ/kg)","Count of CED, processor gate (MJ/kg)"),'Pivot Table_CED'!$A$3,"SUB TYPE",$B248))</f>
        <v>9</v>
      </c>
      <c r="N248" s="135">
        <f ca="1">IF($L248="PROXY",DAVERAGE('literature entries'!$D:$AI,IF($J248=1,"ACTIVE     CED, FARM GATE (MJ/kg)","CED, processor gate (MJ/kg)"),INDIRECT($K248)),GETPIVOTDATA(IF($J248=1,"Average of ACTIVE     CED, FARM GATE (MJ/kg)","Average of CED, processor gate (MJ/kg)"),'Pivot Table_CED'!$A$3,"SUB TYPE",$B248))</f>
        <v>3.3954128262185184</v>
      </c>
      <c r="O248" s="135">
        <f ca="1">IF($L248="PROXY",DSTDEV('literature entries'!D:AI,IF($J248=1,"ACTIVE     CED, FARM GATE (MJ/kg)","CED, processor gate (MJ/kg)"),INDIRECT($K248)),GETPIVOTDATA(IF($J248=1,"StdDev of ACTIVE     CED, FARM GATE (MJ/kg)","StdDev of CED, processor gate (MJ/kg)"),'Pivot Table_CED'!$A$3,"SUB TYPE",$B248))</f>
        <v>2.1698076963305595</v>
      </c>
      <c r="P248" s="152" t="str">
        <f>IF(ISERROR(GETPIVOTDATA(IF($J248=1,"Count of ACTIVE     GHGE, FARM GATE (kg CO2e/kg)","Count of GHGE, processor gate (kg CO2e/kg)"),'Pivot Table_GHG'!$A$3,"SUB TYPE",$B248)),"PROXY",IF(GETPIVOTDATA(IF($J248=1,"Count of ACTIVE     GHGE, FARM GATE (kg CO2e/kg)","Count of GHGE, processor gate (kg CO2e/kg)"),'Pivot Table_GHG'!$A$3,"SUB TYPE",$B248)=0,"PROXY","DB value"))</f>
        <v>PROXY</v>
      </c>
      <c r="Q248" s="141">
        <f ca="1">IF($P248="PROXY",DCOUNT('literature entries'!$D:$AI,IF($J248=1,"ACTIVE     GHGE, FARM GATE (kg CO2e/kg)","GHGE, processor gate (kg CO2e/kg)"),INDIRECT($K248)),GETPIVOTDATA(IF($J248=1,"ACTIVE     GHGE, FARM GATE (kg CO2e/kg)","Count of GHGE, processor gate (kg CO2e/kg)"),'Pivot Table_GHG'!$A$3,"SUB TYPE",$B248))</f>
        <v>30</v>
      </c>
      <c r="R248" s="221">
        <f ca="1">IF($P248="PROXY",DAVERAGE('literature entries'!$D:$AI,IF($J248=1,"ACTIVE     GHGE, FARM GATE (kg CO2e/kg)","GHGE, processor gate (kg CO2e/kg)"),INDIRECT($K248)),GETPIVOTDATA(IF($J248=1,"Average of ACTIVE     GHGE, FARM GATE (kg CO2e/kg)","Average of GHGE, processor gate (kg CO2e/kg)"),'Pivot Table_GHG'!$A$3,"SUB TYPE",$B248))</f>
        <v>0.53448943577564734</v>
      </c>
      <c r="S248" s="221">
        <f ca="1">IF($P248="PROXY",DSTDEV('literature entries'!$D:$AI,IF($J248=1,"ACTIVE     GHGE, FARM GATE (kg CO2e/kg)","GHGE, processor gate (kg CO2e/kg)"),INDIRECT($K248)),GETPIVOTDATA(IF($J248=1,"StdDev of ACTIVE     GHGE, FARM GATE (kg CO2e/kg)","StdDev of GHGE, processor gate (kg CO2e/kg)"),'Pivot Table_GHG'!$A$3,"SUB TYPE",$B248))</f>
        <v>0.86200931416440196</v>
      </c>
      <c r="T248" s="101"/>
      <c r="U248" s="102"/>
      <c r="W248" s="248" t="str">
        <f ca="1">IF(L248="PROXY",IF(M248&gt;=5,K248,"need group"),IF(M248&gt;=5,"DIRECT","need group"))</f>
        <v>tropical_fruit</v>
      </c>
      <c r="X248" s="246">
        <f ca="1">IF($W248="DIRECT",M248,DCOUNT('literature entries'!$D:$AI,IF($J248=1,"ACTIVE     CED, FARM GATE (MJ/kg)","CED, processor gate (MJ/kg)"),INDIRECT($W248)))</f>
        <v>9</v>
      </c>
      <c r="Y248" s="246">
        <f ca="1">IF($W248="DIRECT","",DAVERAGE('literature entries'!$D:$AI,IF($J248=1,"ACTIVE     CED, FARM GATE (MJ/kg)","CED, processor gate (MJ/kg)"),INDIRECT($W248)))</f>
        <v>3.3954128262185184</v>
      </c>
      <c r="Z248" s="246">
        <f ca="1">IF($W248="DIRECT",$O248,DSTDEV('literature entries'!$D:$AI,IF($J248=1,"ACTIVE     CED, FARM GATE (MJ/kg)","CED, processor gate (MJ/kg)"),INDIRECT($W248)))</f>
        <v>2.1698076963305595</v>
      </c>
      <c r="AA248" s="246">
        <f t="shared" ca="1" si="32"/>
        <v>2.1698076963305595</v>
      </c>
      <c r="AB248" s="254" t="str">
        <f ca="1">IF(P248="PROXY",IF(Q248&gt;=5,K248,"need group"),IF(Q248&gt;=5,"DIRECT","need group"))</f>
        <v>tropical_fruit</v>
      </c>
      <c r="AC248" s="247">
        <f ca="1">IF($AB248="DIRECT",Q248,DCOUNT('literature entries'!$D:$AI,IF($J248=1,"ACTIVE     GHGE, FARM GATE (kg CO2e/kg)","GHGE, processor gate (kg CO2e/kg)"),INDIRECT($AB248)))</f>
        <v>30</v>
      </c>
      <c r="AD248" s="247">
        <f ca="1">IF($AB248="DIRECT","",DAVERAGE('literature entries'!$D:$AI,IF($J248=1,"ACTIVE     GHGE, FARM GATE (kg CO2e/kg)","GHGE, processor gate (kg CO2e/kg)"),INDIRECT($AB248)))</f>
        <v>0.53448943577564734</v>
      </c>
      <c r="AE248" s="247">
        <f ca="1">IF($AB248="DIRECT",$S248,DSTDEV('literature entries'!$D:$AI,IF($J248=1,"ACTIVE     GHGE, FARM GATE (kg CO2e/kg)","GHGE, processor gate (kg CO2e/kg)"),INDIRECT($AB248)))</f>
        <v>0.86200931416440196</v>
      </c>
      <c r="AF248" s="247">
        <f t="shared" ca="1" si="33"/>
        <v>0.86200931416440196</v>
      </c>
    </row>
    <row r="249" spans="1:32" s="21" customFormat="1" thickBot="1" x14ac:dyDescent="0.25">
      <c r="A249" s="129">
        <v>2202085000</v>
      </c>
      <c r="B249" s="130" t="s">
        <v>1872</v>
      </c>
      <c r="C249" s="131" t="s">
        <v>1873</v>
      </c>
      <c r="D249" s="131"/>
      <c r="E249" s="131">
        <v>24602</v>
      </c>
      <c r="F249" s="126">
        <f t="shared" ca="1" si="28"/>
        <v>5.8812345759999998</v>
      </c>
      <c r="G249" s="127">
        <f t="shared" ca="1" si="29"/>
        <v>0.33104400000000006</v>
      </c>
      <c r="H249" s="132">
        <v>1.1200000000000001</v>
      </c>
      <c r="I249" s="132" t="s">
        <v>2724</v>
      </c>
      <c r="J249" s="91">
        <v>1</v>
      </c>
      <c r="K249" s="90"/>
      <c r="L249" s="152" t="str">
        <f>IF(ISERROR(GETPIVOTDATA(IF($J249=1,"Count of ACTIVE     CED, FARM GATE (MJ/kg)","Count of CED, processor gate (MJ/kg)"),'Pivot Table_CED'!$A$3,"SUB TYPE",$B249)),"PROXY",IF(GETPIVOTDATA(IF($J249=1,"Count of ACTIVE     CED, FARM GATE (MJ/kg)","Count of CED, processor gate (MJ/kg)"),'Pivot Table_CED'!$A$3,"SUB TYPE",$B249)=0,"PROXY","DB value"))</f>
        <v>DB value</v>
      </c>
      <c r="M249" s="134">
        <f ca="1">IF($L249="PROXY",DCOUNT('literature entries'!$D:$AI,IF($J249=1,"ACTIVE     CED, FARM GATE (MJ/kg)","CED, processor gate (MJ/kg)"),INDIRECT($K249)),GETPIVOTDATA(IF($J249=1,"Count of ACTIVE     CED, FARM GATE (MJ/kg)","Count of CED, processor gate (MJ/kg)"),'Pivot Table_CED'!$A$3,"SUB TYPE",$B249))</f>
        <v>1</v>
      </c>
      <c r="N249" s="135">
        <f ca="1">IF($L249="PROXY",DAVERAGE('literature entries'!$D:$AI,IF($J249=1,"ACTIVE     CED, FARM GATE (MJ/kg)","CED, processor gate (MJ/kg)"),INDIRECT($K249)),GETPIVOTDATA(IF($J249=1,"Average of ACTIVE     CED, FARM GATE (MJ/kg)","Average of CED, processor gate (MJ/kg)"),'Pivot Table_CED'!$A$3,"SUB TYPE",$B249))</f>
        <v>5.2511022999999994</v>
      </c>
      <c r="O249" s="135">
        <f ca="1">IF($L249="PROXY",DSTDEV('literature entries'!D:AI,IF($J249=1,"ACTIVE     CED, FARM GATE (MJ/kg)","CED, processor gate (MJ/kg)"),INDIRECT($K249)),GETPIVOTDATA(IF($J249=1,"StdDev of ACTIVE     CED, FARM GATE (MJ/kg)","StdDev of CED, processor gate (MJ/kg)"),'Pivot Table_CED'!$A$3,"SUB TYPE",$B249))</f>
        <v>0</v>
      </c>
      <c r="P249" s="152" t="str">
        <f>IF(ISERROR(GETPIVOTDATA(IF($J249=1,"Count of ACTIVE     GHGE, FARM GATE (kg CO2e/kg)","Count of GHGE, processor gate (kg CO2e/kg)"),'Pivot Table_GHG'!$A$3,"SUB TYPE",$B249)),"PROXY",IF(GETPIVOTDATA(IF($J249=1,"Count of ACTIVE     GHGE, FARM GATE (kg CO2e/kg)","Count of GHGE, processor gate (kg CO2e/kg)"),'Pivot Table_GHG'!$A$3,"SUB TYPE",$B249)=0,"PROXY","DB value"))</f>
        <v>DB value</v>
      </c>
      <c r="Q249" s="141">
        <f ca="1">IF($P249="PROXY",DCOUNT('literature entries'!$D:$AI,IF($J249=1,"ACTIVE     GHGE, FARM GATE (kg CO2e/kg)","GHGE, processor gate (kg CO2e/kg)"),INDIRECT($K249)),GETPIVOTDATA(IF($J249=1,"ACTIVE     GHGE, FARM GATE (kg CO2e/kg)","Count of GHGE, processor gate (kg CO2e/kg)"),'Pivot Table_GHG'!$A$3,"SUB TYPE",$B249))</f>
        <v>2</v>
      </c>
      <c r="R249" s="221">
        <f ca="1">IF($P249="PROXY",DAVERAGE('literature entries'!$D:$AI,IF($J249=1,"ACTIVE     GHGE, FARM GATE (kg CO2e/kg)","GHGE, processor gate (kg CO2e/kg)"),INDIRECT($K249)),GETPIVOTDATA(IF($J249=1,"Average of ACTIVE     GHGE, FARM GATE (kg CO2e/kg)","Average of GHGE, processor gate (kg CO2e/kg)"),'Pivot Table_GHG'!$A$3,"SUB TYPE",$B249))</f>
        <v>0.29557500000000003</v>
      </c>
      <c r="S249" s="221">
        <f ca="1">IF($P249="PROXY",DSTDEV('literature entries'!$D:$AI,IF($J249=1,"ACTIVE     GHGE, FARM GATE (kg CO2e/kg)","GHGE, processor gate (kg CO2e/kg)"),INDIRECT($K249)),GETPIVOTDATA(IF($J249=1,"StdDev of ACTIVE     GHGE, FARM GATE (kg CO2e/kg)","StdDev of GHGE, processor gate (kg CO2e/kg)"),'Pivot Table_GHG'!$A$3,"SUB TYPE",$B249))</f>
        <v>0.16344773247127031</v>
      </c>
      <c r="T249" s="101"/>
      <c r="U249" s="102"/>
      <c r="W249" s="248" t="s">
        <v>3361</v>
      </c>
      <c r="X249" s="246">
        <f ca="1">IF($W249="DIRECT",M249,DCOUNT('literature entries'!$D:$AI,IF($J249=1,"ACTIVE     CED, FARM GATE (MJ/kg)","CED, processor gate (MJ/kg)"),INDIRECT($W249)))</f>
        <v>60</v>
      </c>
      <c r="Y249" s="246">
        <f ca="1">IF($W249="DIRECT","",DAVERAGE('literature entries'!$D:$AI,IF($J249=1,"ACTIVE     CED, FARM GATE (MJ/kg)","CED, processor gate (MJ/kg)"),INDIRECT($W249)))</f>
        <v>3.4907536756076811</v>
      </c>
      <c r="Z249" s="246">
        <f ca="1">IF($W249="DIRECT",$O249,DSTDEV('literature entries'!$D:$AI,IF($J249=1,"ACTIVE     CED, FARM GATE (MJ/kg)","CED, processor gate (MJ/kg)"),INDIRECT($W249)))</f>
        <v>2.8914615487691551</v>
      </c>
      <c r="AA249" s="246">
        <f t="shared" ca="1" si="32"/>
        <v>4.3495937554116031</v>
      </c>
      <c r="AB249" s="254" t="s">
        <v>3361</v>
      </c>
      <c r="AC249" s="247">
        <f ca="1">IF($AB249="DIRECT",Q249,DCOUNT('literature entries'!$D:$AI,IF($J249=1,"ACTIVE     GHGE, FARM GATE (kg CO2e/kg)","GHGE, processor gate (kg CO2e/kg)"),INDIRECT($AB249)))</f>
        <v>130</v>
      </c>
      <c r="AD249" s="247">
        <f ca="1">IF($AB249="DIRECT","",DAVERAGE('literature entries'!$D:$AI,IF($J249=1,"ACTIVE     GHGE, FARM GATE (kg CO2e/kg)","GHGE, processor gate (kg CO2e/kg)"),INDIRECT($AB249)))</f>
        <v>0.57143231537198591</v>
      </c>
      <c r="AE249" s="247">
        <f ca="1">IF($AB249="DIRECT",$S249,DSTDEV('literature entries'!$D:$AI,IF($J249=1,"ACTIVE     GHGE, FARM GATE (kg CO2e/kg)","GHGE, processor gate (kg CO2e/kg)"),INDIRECT($AB249)))</f>
        <v>0.97567296151555694</v>
      </c>
      <c r="AF249" s="247">
        <f t="shared" ca="1" si="33"/>
        <v>0.50466963075448545</v>
      </c>
    </row>
    <row r="250" spans="1:32" s="21" customFormat="1" ht="17" thickBot="1" x14ac:dyDescent="0.25">
      <c r="A250" s="129">
        <v>2202086000</v>
      </c>
      <c r="B250" s="130" t="s">
        <v>1874</v>
      </c>
      <c r="C250" s="131" t="s">
        <v>1875</v>
      </c>
      <c r="D250" s="131"/>
      <c r="E250" s="131">
        <v>416</v>
      </c>
      <c r="F250" s="126">
        <f t="shared" ca="1" si="28"/>
        <v>31.537511499999997</v>
      </c>
      <c r="G250" s="127">
        <f t="shared" ca="1" si="29"/>
        <v>2.4569541260799999</v>
      </c>
      <c r="H250" s="132">
        <v>5</v>
      </c>
      <c r="I250" s="133" t="s">
        <v>2724</v>
      </c>
      <c r="J250" s="91">
        <v>1</v>
      </c>
      <c r="K250" s="90" t="s">
        <v>2748</v>
      </c>
      <c r="L250" s="152" t="str">
        <f>IF(ISERROR(GETPIVOTDATA(IF($J250=1,"Count of ACTIVE     CED, FARM GATE (MJ/kg)","Count of CED, processor gate (MJ/kg)"),'Pivot Table_CED'!$A$3,"SUB TYPE",$B250)),"PROXY",IF(GETPIVOTDATA(IF($J250=1,"Count of ACTIVE     CED, FARM GATE (MJ/kg)","Count of CED, processor gate (MJ/kg)"),'Pivot Table_CED'!$A$3,"SUB TYPE",$B250)=0,"PROXY","DB value"))</f>
        <v>PROXY</v>
      </c>
      <c r="M250" s="134">
        <f ca="1">IF($L250="PROXY",DCOUNT('literature entries'!$D:$AI,IF($J250=1,"ACTIVE     CED, FARM GATE (MJ/kg)","CED, processor gate (MJ/kg)"),INDIRECT($K250)),GETPIVOTDATA(IF($J250=1,"Count of ACTIVE     CED, FARM GATE (MJ/kg)","Count of CED, processor gate (MJ/kg)"),'Pivot Table_CED'!$A$3,"SUB TYPE",$B250))</f>
        <v>1</v>
      </c>
      <c r="N250" s="135">
        <f ca="1">IF($L250="PROXY",DAVERAGE('literature entries'!$D:$AI,IF($J250=1,"ACTIVE     CED, FARM GATE (MJ/kg)","CED, processor gate (MJ/kg)"),INDIRECT($K250)),GETPIVOTDATA(IF($J250=1,"Average of ACTIVE     CED, FARM GATE (MJ/kg)","Average of CED, processor gate (MJ/kg)"),'Pivot Table_CED'!$A$3,"SUB TYPE",$B250))</f>
        <v>5.2511022999999994</v>
      </c>
      <c r="O250" s="135" t="e">
        <f ca="1">IF($L250="PROXY",DSTDEV('literature entries'!D:AI,IF($J250=1,"ACTIVE     CED, FARM GATE (MJ/kg)","CED, processor gate (MJ/kg)"),INDIRECT($K250)),GETPIVOTDATA(IF($J250=1,"StdDev of ACTIVE     CED, FARM GATE (MJ/kg)","StdDev of CED, processor gate (MJ/kg)"),'Pivot Table_CED'!$A$3,"SUB TYPE",$B250))</f>
        <v>#DIV/0!</v>
      </c>
      <c r="P250" s="152" t="str">
        <f>IF(ISERROR(GETPIVOTDATA(IF($J250=1,"Count of ACTIVE     GHGE, FARM GATE (kg CO2e/kg)","Count of GHGE, processor gate (kg CO2e/kg)"),'Pivot Table_GHG'!$A$3,"SUB TYPE",$B250)),"PROXY",IF(GETPIVOTDATA(IF($J250=1,"Count of ACTIVE     GHGE, FARM GATE (kg CO2e/kg)","Count of GHGE, processor gate (kg CO2e/kg)"),'Pivot Table_GHG'!$A$3,"SUB TYPE",$B250)=0,"PROXY","DB value"))</f>
        <v>PROXY</v>
      </c>
      <c r="Q250" s="141">
        <f ca="1">IF($P250="PROXY",DCOUNT('literature entries'!$D:$AI,IF($J250=1,"ACTIVE     GHGE, FARM GATE (kg CO2e/kg)","GHGE, processor gate (kg CO2e/kg)"),INDIRECT($K250)),GETPIVOTDATA(IF($J250=1,"ACTIVE     GHGE, FARM GATE (kg CO2e/kg)","Count of GHGE, processor gate (kg CO2e/kg)"),'Pivot Table_GHG'!$A$3,"SUB TYPE",$B250))</f>
        <v>2</v>
      </c>
      <c r="R250" s="221">
        <f ca="1">IF($P250="PROXY",DAVERAGE('literature entries'!$D:$AI,IF($J250=1,"ACTIVE     GHGE, FARM GATE (kg CO2e/kg)","GHGE, processor gate (kg CO2e/kg)"),INDIRECT($K250)),GETPIVOTDATA(IF($J250=1,"Average of ACTIVE     GHGE, FARM GATE (kg CO2e/kg)","Average of GHGE, processor gate (kg CO2e/kg)"),'Pivot Table_GHG'!$A$3,"SUB TYPE",$B250))</f>
        <v>0.29557500000000003</v>
      </c>
      <c r="S250" s="221">
        <f ca="1">IF($P250="PROXY",DSTDEV('literature entries'!$D:$AI,IF($J250=1,"ACTIVE     GHGE, FARM GATE (kg CO2e/kg)","GHGE, processor gate (kg CO2e/kg)"),INDIRECT($K250)),GETPIVOTDATA(IF($J250=1,"StdDev of ACTIVE     GHGE, FARM GATE (kg CO2e/kg)","StdDev of GHGE, processor gate (kg CO2e/kg)"),'Pivot Table_GHG'!$A$3,"SUB TYPE",$B250))</f>
        <v>0.16344773247127031</v>
      </c>
      <c r="T250" s="99">
        <v>5.282</v>
      </c>
      <c r="U250" s="100">
        <v>0.97907912607999992</v>
      </c>
      <c r="W250" s="248" t="s">
        <v>3361</v>
      </c>
      <c r="X250" s="246">
        <f ca="1">IF($W250="DIRECT",M250,DCOUNT('literature entries'!$D:$AI,IF($J250=1,"ACTIVE     CED, FARM GATE (MJ/kg)","CED, processor gate (MJ/kg)"),INDIRECT($W250)))</f>
        <v>60</v>
      </c>
      <c r="Y250" s="246">
        <f ca="1">IF($W250="DIRECT","",DAVERAGE('literature entries'!$D:$AI,IF($J250=1,"ACTIVE     CED, FARM GATE (MJ/kg)","CED, processor gate (MJ/kg)"),INDIRECT($W250)))</f>
        <v>3.4907536756076811</v>
      </c>
      <c r="Z250" s="246">
        <f ca="1">IF($W250="DIRECT",$O250,DSTDEV('literature entries'!$D:$AI,IF($J250=1,"ACTIVE     CED, FARM GATE (MJ/kg)","CED, processor gate (MJ/kg)"),INDIRECT($W250)))</f>
        <v>2.8914615487691551</v>
      </c>
      <c r="AA250" s="246">
        <f t="shared" ca="1" si="32"/>
        <v>4.3495937554116031</v>
      </c>
      <c r="AB250" s="254" t="s">
        <v>3361</v>
      </c>
      <c r="AC250" s="247">
        <f ca="1">IF($AB250="DIRECT",Q250,DCOUNT('literature entries'!$D:$AI,IF($J250=1,"ACTIVE     GHGE, FARM GATE (kg CO2e/kg)","GHGE, processor gate (kg CO2e/kg)"),INDIRECT($AB250)))</f>
        <v>130</v>
      </c>
      <c r="AD250" s="247">
        <f ca="1">IF($AB250="DIRECT","",DAVERAGE('literature entries'!$D:$AI,IF($J250=1,"ACTIVE     GHGE, FARM GATE (kg CO2e/kg)","GHGE, processor gate (kg CO2e/kg)"),INDIRECT($AB250)))</f>
        <v>0.57143231537198591</v>
      </c>
      <c r="AE250" s="247">
        <f ca="1">IF($AB250="DIRECT",$S250,DSTDEV('literature entries'!$D:$AI,IF($J250=1,"ACTIVE     GHGE, FARM GATE (kg CO2e/kg)","GHGE, processor gate (kg CO2e/kg)"),INDIRECT($AB250)))</f>
        <v>0.97567296151555694</v>
      </c>
      <c r="AF250" s="247">
        <f t="shared" ca="1" si="33"/>
        <v>0.50466963075448545</v>
      </c>
    </row>
    <row r="251" spans="1:32" s="21" customFormat="1" ht="17" thickBot="1" x14ac:dyDescent="0.25">
      <c r="A251" s="129">
        <v>2202322000</v>
      </c>
      <c r="B251" s="130" t="s">
        <v>2233</v>
      </c>
      <c r="C251" s="131" t="s">
        <v>2234</v>
      </c>
      <c r="D251" s="131"/>
      <c r="E251" s="131">
        <v>39</v>
      </c>
      <c r="F251" s="126">
        <f t="shared" ca="1" si="28"/>
        <v>14.20134622025</v>
      </c>
      <c r="G251" s="127">
        <f t="shared" ca="1" si="29"/>
        <v>1.5280503000000005</v>
      </c>
      <c r="H251" s="132">
        <v>1.33</v>
      </c>
      <c r="I251" s="133" t="s">
        <v>2724</v>
      </c>
      <c r="J251" s="91">
        <v>1</v>
      </c>
      <c r="K251" s="90" t="s">
        <v>828</v>
      </c>
      <c r="L251" s="152" t="str">
        <f>IF(ISERROR(GETPIVOTDATA(IF($J251=1,"Count of ACTIVE     CED, FARM GATE (MJ/kg)","Count of CED, processor gate (MJ/kg)"),'Pivot Table_CED'!$A$3,"SUB TYPE",$B251)),"PROXY",IF(GETPIVOTDATA(IF($J251=1,"Count of ACTIVE     CED, FARM GATE (MJ/kg)","Count of CED, processor gate (MJ/kg)"),'Pivot Table_CED'!$A$3,"SUB TYPE",$B251)=0,"PROXY","DB value"))</f>
        <v>PROXY</v>
      </c>
      <c r="M251" s="134">
        <f ca="1">IF($L251="PROXY",DCOUNT('literature entries'!$D:$AI,IF($J251=1,"ACTIVE     CED, FARM GATE (MJ/kg)","CED, processor gate (MJ/kg)"),INDIRECT($K251)),GETPIVOTDATA(IF($J251=1,"Count of ACTIVE     CED, FARM GATE (MJ/kg)","Count of CED, processor gate (MJ/kg)"),'Pivot Table_CED'!$A$3,"SUB TYPE",$B251))</f>
        <v>4</v>
      </c>
      <c r="N251" s="135">
        <f ca="1">IF($L251="PROXY",DAVERAGE('literature entries'!$D:$AI,IF($J251=1,"ACTIVE     CED, FARM GATE (MJ/kg)","CED, processor gate (MJ/kg)"),INDIRECT($K251)),GETPIVOTDATA(IF($J251=1,"Average of ACTIVE     CED, FARM GATE (MJ/kg)","Average of CED, processor gate (MJ/kg)"),'Pivot Table_CED'!$A$3,"SUB TYPE",$B251))</f>
        <v>10.677703924999999</v>
      </c>
      <c r="O251" s="135">
        <f ca="1">IF($L251="PROXY",DSTDEV('literature entries'!D:AI,IF($J251=1,"ACTIVE     CED, FARM GATE (MJ/kg)","CED, processor gate (MJ/kg)"),INDIRECT($K251)),GETPIVOTDATA(IF($J251=1,"StdDev of ACTIVE     CED, FARM GATE (MJ/kg)","StdDev of CED, processor gate (MJ/kg)"),'Pivot Table_CED'!$A$3,"SUB TYPE",$B251))</f>
        <v>4.8554523094787436</v>
      </c>
      <c r="P251" s="152" t="str">
        <f>IF(ISERROR(GETPIVOTDATA(IF($J251=1,"Count of ACTIVE     GHGE, FARM GATE (kg CO2e/kg)","Count of GHGE, processor gate (kg CO2e/kg)"),'Pivot Table_GHG'!$A$3,"SUB TYPE",$B251)),"PROXY",IF(GETPIVOTDATA(IF($J251=1,"Count of ACTIVE     GHGE, FARM GATE (kg CO2e/kg)","Count of GHGE, processor gate (kg CO2e/kg)"),'Pivot Table_GHG'!$A$3,"SUB TYPE",$B251)=0,"PROXY","DB value"))</f>
        <v>PROXY</v>
      </c>
      <c r="Q251" s="141">
        <f ca="1">IF($P251="PROXY",DCOUNT('literature entries'!$D:$AI,IF($J251=1,"ACTIVE     GHGE, FARM GATE (kg CO2e/kg)","GHGE, processor gate (kg CO2e/kg)"),INDIRECT($K251)),GETPIVOTDATA(IF($J251=1,"ACTIVE     GHGE, FARM GATE (kg CO2e/kg)","Count of GHGE, processor gate (kg CO2e/kg)"),'Pivot Table_GHG'!$A$3,"SUB TYPE",$B251))</f>
        <v>7</v>
      </c>
      <c r="R251" s="221">
        <f ca="1">IF($P251="PROXY",DAVERAGE('literature entries'!$D:$AI,IF($J251=1,"ACTIVE     GHGE, FARM GATE (kg CO2e/kg)","GHGE, processor gate (kg CO2e/kg)"),INDIRECT($K251)),GETPIVOTDATA(IF($J251=1,"Average of ACTIVE     GHGE, FARM GATE (kg CO2e/kg)","Average of GHGE, processor gate (kg CO2e/kg)"),'Pivot Table_GHG'!$A$3,"SUB TYPE",$B251))</f>
        <v>1.1489100000000003</v>
      </c>
      <c r="S251" s="221">
        <f ca="1">IF($P251="PROXY",DSTDEV('literature entries'!$D:$AI,IF($J251=1,"ACTIVE     GHGE, FARM GATE (kg CO2e/kg)","GHGE, processor gate (kg CO2e/kg)"),INDIRECT($K251)),GETPIVOTDATA(IF($J251=1,"StdDev of ACTIVE     GHGE, FARM GATE (kg CO2e/kg)","StdDev of GHGE, processor gate (kg CO2e/kg)"),'Pivot Table_GHG'!$A$3,"SUB TYPE",$B251))</f>
        <v>0.79065739811880531</v>
      </c>
      <c r="T251" s="101"/>
      <c r="U251" s="102"/>
      <c r="W251" s="248" t="s">
        <v>3361</v>
      </c>
      <c r="X251" s="246">
        <f ca="1">IF($W251="DIRECT",M251,DCOUNT('literature entries'!$D:$AI,IF($J251=1,"ACTIVE     CED, FARM GATE (MJ/kg)","CED, processor gate (MJ/kg)"),INDIRECT($W251)))</f>
        <v>60</v>
      </c>
      <c r="Y251" s="246">
        <f ca="1">IF($W251="DIRECT","",DAVERAGE('literature entries'!$D:$AI,IF($J251=1,"ACTIVE     CED, FARM GATE (MJ/kg)","CED, processor gate (MJ/kg)"),INDIRECT($W251)))</f>
        <v>3.4907536756076811</v>
      </c>
      <c r="Z251" s="246">
        <f ca="1">IF($W251="DIRECT",$O251,DSTDEV('literature entries'!$D:$AI,IF($J251=1,"ACTIVE     CED, FARM GATE (MJ/kg)","CED, processor gate (MJ/kg)"),INDIRECT($W251)))</f>
        <v>2.8914615487691551</v>
      </c>
      <c r="AA251" s="246">
        <f t="shared" ca="1" si="32"/>
        <v>8.8445571350445729</v>
      </c>
      <c r="AB251" s="254" t="str">
        <f ca="1">IF(P251="PROXY",IF(Q251&gt;=5,K251,"need group"),IF(Q251&gt;=5,"DIRECT","need group"))</f>
        <v>asparagus</v>
      </c>
      <c r="AC251" s="247">
        <f ca="1">IF($AB251="DIRECT",Q251,DCOUNT('literature entries'!$D:$AI,IF($J251=1,"ACTIVE     GHGE, FARM GATE (kg CO2e/kg)","GHGE, processor gate (kg CO2e/kg)"),INDIRECT($AB251)))</f>
        <v>7</v>
      </c>
      <c r="AD251" s="247">
        <f ca="1">IF($AB251="DIRECT","",DAVERAGE('literature entries'!$D:$AI,IF($J251=1,"ACTIVE     GHGE, FARM GATE (kg CO2e/kg)","GHGE, processor gate (kg CO2e/kg)"),INDIRECT($AB251)))</f>
        <v>1.1489100000000003</v>
      </c>
      <c r="AE251" s="247">
        <f ca="1">IF($AB251="DIRECT",$S251,DSTDEV('literature entries'!$D:$AI,IF($J251=1,"ACTIVE     GHGE, FARM GATE (kg CO2e/kg)","GHGE, processor gate (kg CO2e/kg)"),INDIRECT($AB251)))</f>
        <v>0.79065739811880531</v>
      </c>
      <c r="AF251" s="247">
        <f t="shared" ca="1" si="33"/>
        <v>0.79065739811880531</v>
      </c>
    </row>
    <row r="252" spans="1:32" s="21" customFormat="1" ht="17" thickBot="1" x14ac:dyDescent="0.25">
      <c r="A252" s="129">
        <v>2301235000</v>
      </c>
      <c r="B252" s="130" t="s">
        <v>2098</v>
      </c>
      <c r="C252" s="131" t="s">
        <v>2099</v>
      </c>
      <c r="D252" s="131"/>
      <c r="E252" s="131">
        <v>2722</v>
      </c>
      <c r="F252" s="126">
        <f t="shared" ca="1" si="28"/>
        <v>6.6366594999999995</v>
      </c>
      <c r="G252" s="127">
        <f t="shared" ca="1" si="29"/>
        <v>0.48193058571428576</v>
      </c>
      <c r="H252" s="132">
        <v>1.163</v>
      </c>
      <c r="I252" s="133" t="s">
        <v>2737</v>
      </c>
      <c r="J252" s="91">
        <v>1</v>
      </c>
      <c r="K252" s="90"/>
      <c r="L252" s="152" t="str">
        <f>IF(ISERROR(GETPIVOTDATA(IF($J252=1,"Count of ACTIVE     CED, FARM GATE (MJ/kg)","Count of CED, processor gate (MJ/kg)"),'Pivot Table_CED'!$A$3,"SUB TYPE",$B252)),"PROXY",IF(GETPIVOTDATA(IF($J252=1,"Count of ACTIVE     CED, FARM GATE (MJ/kg)","Count of CED, processor gate (MJ/kg)"),'Pivot Table_CED'!$A$3,"SUB TYPE",$B252)=0,"PROXY","DB value"))</f>
        <v>DB value</v>
      </c>
      <c r="M252" s="134">
        <f ca="1">IF($L252="PROXY",DCOUNT('literature entries'!$D:$AI,IF($J252=1,"ACTIVE     CED, FARM GATE (MJ/kg)","CED, processor gate (MJ/kg)"),INDIRECT($K252)),GETPIVOTDATA(IF($J252=1,"Count of ACTIVE     CED, FARM GATE (MJ/kg)","Count of CED, processor gate (MJ/kg)"),'Pivot Table_CED'!$A$3,"SUB TYPE",$B252))</f>
        <v>4</v>
      </c>
      <c r="N252" s="135">
        <f ca="1">IF($L252="PROXY",DAVERAGE('literature entries'!$D:$AI,IF($J252=1,"ACTIVE     CED, FARM GATE (MJ/kg)","CED, processor gate (MJ/kg)"),INDIRECT($K252)),GETPIVOTDATA(IF($J252=1,"Average of ACTIVE     CED, FARM GATE (MJ/kg)","Average of CED, processor gate (MJ/kg)"),'Pivot Table_CED'!$A$3,"SUB TYPE",$B252))</f>
        <v>5.7064999999999992</v>
      </c>
      <c r="O252" s="135">
        <f ca="1">IF($L252="PROXY",DSTDEV('literature entries'!D:AI,IF($J252=1,"ACTIVE     CED, FARM GATE (MJ/kg)","CED, processor gate (MJ/kg)"),INDIRECT($K252)),GETPIVOTDATA(IF($J252=1,"StdDev of ACTIVE     CED, FARM GATE (MJ/kg)","StdDev of CED, processor gate (MJ/kg)"),'Pivot Table_CED'!$A$3,"SUB TYPE",$B252))</f>
        <v>2.505057484370369</v>
      </c>
      <c r="P252" s="152" t="str">
        <f>IF(ISERROR(GETPIVOTDATA(IF($J252=1,"Count of ACTIVE     GHGE, FARM GATE (kg CO2e/kg)","Count of GHGE, processor gate (kg CO2e/kg)"),'Pivot Table_GHG'!$A$3,"SUB TYPE",$B252)),"PROXY",IF(GETPIVOTDATA(IF($J252=1,"Count of ACTIVE     GHGE, FARM GATE (kg CO2e/kg)","Count of GHGE, processor gate (kg CO2e/kg)"),'Pivot Table_GHG'!$A$3,"SUB TYPE",$B252)=0,"PROXY","DB value"))</f>
        <v>DB value</v>
      </c>
      <c r="Q252" s="141">
        <f ca="1">IF($P252="PROXY",DCOUNT('literature entries'!$D:$AI,IF($J252=1,"ACTIVE     GHGE, FARM GATE (kg CO2e/kg)","GHGE, processor gate (kg CO2e/kg)"),INDIRECT($K252)),GETPIVOTDATA(IF($J252=1,"ACTIVE     GHGE, FARM GATE (kg CO2e/kg)","Count of GHGE, processor gate (kg CO2e/kg)"),'Pivot Table_GHG'!$A$3,"SUB TYPE",$B252))</f>
        <v>7</v>
      </c>
      <c r="R252" s="221">
        <f ca="1">IF($P252="PROXY",DAVERAGE('literature entries'!$D:$AI,IF($J252=1,"ACTIVE     GHGE, FARM GATE (kg CO2e/kg)","GHGE, processor gate (kg CO2e/kg)"),INDIRECT($K252)),GETPIVOTDATA(IF($J252=1,"Average of ACTIVE     GHGE, FARM GATE (kg CO2e/kg)","Average of GHGE, processor gate (kg CO2e/kg)"),'Pivot Table_GHG'!$A$3,"SUB TYPE",$B252))</f>
        <v>0.4143857142857143</v>
      </c>
      <c r="S252" s="221">
        <f ca="1">IF($P252="PROXY",DSTDEV('literature entries'!$D:$AI,IF($J252=1,"ACTIVE     GHGE, FARM GATE (kg CO2e/kg)","GHGE, processor gate (kg CO2e/kg)"),INDIRECT($K252)),GETPIVOTDATA(IF($J252=1,"StdDev of ACTIVE     GHGE, FARM GATE (kg CO2e/kg)","StdDev of GHGE, processor gate (kg CO2e/kg)"),'Pivot Table_GHG'!$A$3,"SUB TYPE",$B252))</f>
        <v>0.24572273961093788</v>
      </c>
      <c r="T252" s="101"/>
      <c r="U252" s="102"/>
      <c r="W252" s="248" t="s">
        <v>3269</v>
      </c>
      <c r="X252" s="246">
        <f ca="1">IF($W252="DIRECT",M252,DCOUNT('literature entries'!$D:$AI,IF($J252=1,"ACTIVE     CED, FARM GATE (MJ/kg)","CED, processor gate (MJ/kg)"),INDIRECT($W252)))</f>
        <v>9</v>
      </c>
      <c r="Y252" s="246">
        <f ca="1">IF($W252="DIRECT","",DAVERAGE('literature entries'!$D:$AI,IF($J252=1,"ACTIVE     CED, FARM GATE (MJ/kg)","CED, processor gate (MJ/kg)"),INDIRECT($W252)))</f>
        <v>3.3954128262185184</v>
      </c>
      <c r="Z252" s="246">
        <f ca="1">IF($W252="DIRECT",$O252,DSTDEV('literature entries'!$D:$AI,IF($J252=1,"ACTIVE     CED, FARM GATE (MJ/kg)","CED, processor gate (MJ/kg)"),INDIRECT($W252)))</f>
        <v>2.1698076963305595</v>
      </c>
      <c r="AA252" s="246">
        <f t="shared" ca="1" si="32"/>
        <v>3.646686942895311</v>
      </c>
      <c r="AB252" s="254" t="str">
        <f ca="1">IF(P252="PROXY",IF(Q252&gt;=5,K252,"need group"),IF(Q252&gt;=5,"DIRECT","need group"))</f>
        <v>DIRECT</v>
      </c>
      <c r="AC252" s="247">
        <f ca="1">IF($AB252="DIRECT",Q252,DCOUNT('literature entries'!$D:$AI,IF($J252=1,"ACTIVE     GHGE, FARM GATE (kg CO2e/kg)","GHGE, processor gate (kg CO2e/kg)"),INDIRECT($AB252)))</f>
        <v>7</v>
      </c>
      <c r="AD252" s="247" t="str">
        <f ca="1">IF($AB252="DIRECT","",DAVERAGE('literature entries'!$D:$AI,IF($J252=1,"ACTIVE     GHGE, FARM GATE (kg CO2e/kg)","GHGE, processor gate (kg CO2e/kg)"),INDIRECT($AB252)))</f>
        <v/>
      </c>
      <c r="AE252" s="247">
        <f ca="1">IF($AB252="DIRECT",$S252,DSTDEV('literature entries'!$D:$AI,IF($J252=1,"ACTIVE     GHGE, FARM GATE (kg CO2e/kg)","GHGE, processor gate (kg CO2e/kg)"),INDIRECT($AB252)))</f>
        <v>0.24572273961093788</v>
      </c>
      <c r="AF252" s="247">
        <f t="shared" ca="1" si="33"/>
        <v>0.24572273961093788</v>
      </c>
    </row>
    <row r="253" spans="1:32" s="21" customFormat="1" ht="17" thickBot="1" x14ac:dyDescent="0.25">
      <c r="A253" s="129">
        <v>2301236000</v>
      </c>
      <c r="B253" s="130" t="s">
        <v>2100</v>
      </c>
      <c r="C253" s="131" t="s">
        <v>1731</v>
      </c>
      <c r="D253" s="131"/>
      <c r="E253" s="131">
        <v>22315</v>
      </c>
      <c r="F253" s="126">
        <f t="shared" ca="1" si="28"/>
        <v>15.70807847826087</v>
      </c>
      <c r="G253" s="127">
        <f t="shared" ca="1" si="29"/>
        <v>3.206006864988558</v>
      </c>
      <c r="H253" s="132">
        <v>1</v>
      </c>
      <c r="I253" s="133" t="s">
        <v>2724</v>
      </c>
      <c r="J253" s="91">
        <v>2</v>
      </c>
      <c r="K253" s="219"/>
      <c r="L253" s="152" t="str">
        <f>IF(ISERROR(GETPIVOTDATA(IF($J253=1,"Count of ACTIVE     CED, FARM GATE (MJ/kg)","Count of CED, processor gate (MJ/kg)"),'Pivot Table_CED'!$A$3,"SUB TYPE",$B253)),"PROXY",IF(GETPIVOTDATA(IF($J253=1,"Count of ACTIVE     CED, FARM GATE (MJ/kg)","Count of CED, processor gate (MJ/kg)"),'Pivot Table_CED'!$A$3,"SUB TYPE",$B253)=0,"PROXY","DB value"))</f>
        <v>DB value</v>
      </c>
      <c r="M253" s="134">
        <f ca="1">IF($L253="PROXY",DCOUNT('literature entries'!$D:$AI,IF($J253=1,"ACTIVE     CED, FARM GATE (MJ/kg)","CED, processor gate (MJ/kg)"),INDIRECT($K253)),GETPIVOTDATA(IF($J253=1,"Count of ACTIVE     CED, FARM GATE (MJ/kg)","Count of CED, processor gate (MJ/kg)"),'Pivot Table_CED'!$A$3,"SUB TYPE",$B253))</f>
        <v>2</v>
      </c>
      <c r="N253" s="135">
        <f ca="1">IF($L253="PROXY",DAVERAGE('literature entries'!$D:$AI,IF($J253=1,"ACTIVE     CED, FARM GATE (MJ/kg)","CED, processor gate (MJ/kg)"),INDIRECT($K253)),GETPIVOTDATA(IF($J253=1,"Average of ACTIVE     CED, FARM GATE (MJ/kg)","Average of CED, processor gate (MJ/kg)"),'Pivot Table_CED'!$A$3,"SUB TYPE",$B253))</f>
        <v>15.70807847826087</v>
      </c>
      <c r="O253" s="135">
        <f ca="1">IF($L253="PROXY",DSTDEV('literature entries'!D:AI,IF($J253=1,"ACTIVE     CED, FARM GATE (MJ/kg)","CED, processor gate (MJ/kg)"),INDIRECT($K253)),GETPIVOTDATA(IF($J253=1,"StdDev of ACTIVE     CED, FARM GATE (MJ/kg)","StdDev of CED, processor gate (MJ/kg)"),'Pivot Table_CED'!$A$3,"SUB TYPE",$B253))</f>
        <v>9.7693992789448529</v>
      </c>
      <c r="P253" s="152" t="str">
        <f>IF(ISERROR(GETPIVOTDATA(IF($J253=1,"Count of ACTIVE     GHGE, FARM GATE (kg CO2e/kg)","Count of GHGE, processor gate (kg CO2e/kg)"),'Pivot Table_GHG'!$A$3,"SUB TYPE",$B253)),"PROXY",IF(GETPIVOTDATA(IF($J253=1,"Count of ACTIVE     GHGE, FARM GATE (kg CO2e/kg)","Count of GHGE, processor gate (kg CO2e/kg)"),'Pivot Table_GHG'!$A$3,"SUB TYPE",$B253)=0,"PROXY","DB value"))</f>
        <v>DB value</v>
      </c>
      <c r="Q253" s="141">
        <f ca="1">IF($P253="PROXY",DCOUNT('literature entries'!$D:$AI,IF($J253=1,"ACTIVE     GHGE, FARM GATE (kg CO2e/kg)","GHGE, processor gate (kg CO2e/kg)"),INDIRECT($K253)),GETPIVOTDATA(IF($J253=1,"ACTIVE     GHGE, FARM GATE (kg CO2e/kg)","Count of GHGE, processor gate (kg CO2e/kg)"),'Pivot Table_GHG'!$A$3,"SUB TYPE",$B253))</f>
        <v>3</v>
      </c>
      <c r="R253" s="221">
        <f ca="1">IF($P253="PROXY",DAVERAGE('literature entries'!$D:$AI,IF($J253=1,"ACTIVE     GHGE, FARM GATE (kg CO2e/kg)","GHGE, processor gate (kg CO2e/kg)"),INDIRECT($K253)),GETPIVOTDATA(IF($J253=1,"Average of ACTIVE     GHGE, FARM GATE (kg CO2e/kg)","Average of GHGE, processor gate (kg CO2e/kg)"),'Pivot Table_GHG'!$A$3,"SUB TYPE",$B253))</f>
        <v>3.206006864988558</v>
      </c>
      <c r="S253" s="221">
        <f ca="1">IF($P253="PROXY",DSTDEV('literature entries'!$D:$AI,IF($J253=1,"ACTIVE     GHGE, FARM GATE (kg CO2e/kg)","GHGE, processor gate (kg CO2e/kg)"),INDIRECT($K253)),GETPIVOTDATA(IF($J253=1,"StdDev of ACTIVE     GHGE, FARM GATE (kg CO2e/kg)","StdDev of GHGE, processor gate (kg CO2e/kg)"),'Pivot Table_GHG'!$A$3,"SUB TYPE",$B253))</f>
        <v>0.83587751740264049</v>
      </c>
      <c r="T253" s="101"/>
      <c r="U253" s="102"/>
      <c r="W253" s="248" t="s">
        <v>3354</v>
      </c>
      <c r="X253" s="246">
        <f ca="1">IF($W253="DIRECT",M253,DCOUNT('literature entries'!$D:$AI,IF($J253=1,"ACTIVE     CED, FARM GATE (MJ/kg)","CED, processor gate (MJ/kg)"),INDIRECT($W253)))</f>
        <v>16</v>
      </c>
      <c r="Y253" s="246">
        <f ca="1">IF($W253="DIRECT","",DAVERAGE('literature entries'!$D:$AI,IF($J253=1,"ACTIVE     CED, FARM GATE (MJ/kg)","CED, processor gate (MJ/kg)"),INDIRECT($W253)))</f>
        <v>11.873325197282607</v>
      </c>
      <c r="Z253" s="246">
        <f ca="1">IF($W253="DIRECT",$O253,DSTDEV('literature entries'!$D:$AI,IF($J253=1,"ACTIVE     CED, FARM GATE (MJ/kg)","CED, processor gate (MJ/kg)"),INDIRECT($W253)))</f>
        <v>5.663275464099641</v>
      </c>
      <c r="AA253" s="246">
        <f t="shared" ca="1" si="32"/>
        <v>7.4923556759353378</v>
      </c>
      <c r="AB253" s="254" t="s">
        <v>3354</v>
      </c>
      <c r="AC253" s="247">
        <f ca="1">IF($AB253="DIRECT",Q253,DCOUNT('literature entries'!$D:$AI,IF($J253=1,"ACTIVE     GHGE, FARM GATE (kg CO2e/kg)","GHGE, processor gate (kg CO2e/kg)"),INDIRECT($AB253)))</f>
        <v>19</v>
      </c>
      <c r="AD253" s="247">
        <f ca="1">IF($AB253="DIRECT","",DAVERAGE('literature entries'!$D:$AI,IF($J253=1,"ACTIVE     GHGE, FARM GATE (kg CO2e/kg)","GHGE, processor gate (kg CO2e/kg)"),INDIRECT($AB253)))</f>
        <v>3.6074757576297722</v>
      </c>
      <c r="AE253" s="247">
        <f ca="1">IF($AB253="DIRECT",$S253,DSTDEV('literature entries'!$D:$AI,IF($J253=1,"ACTIVE     GHGE, FARM GATE (kg CO2e/kg)","GHGE, processor gate (kg CO2e/kg)"),INDIRECT($AB253)))</f>
        <v>2.5306182127862726</v>
      </c>
      <c r="AF253" s="247">
        <f t="shared" ca="1" si="33"/>
        <v>2.2489906815585883</v>
      </c>
    </row>
    <row r="254" spans="1:32" s="21" customFormat="1" ht="17" thickBot="1" x14ac:dyDescent="0.25">
      <c r="A254" s="129">
        <v>2302077000</v>
      </c>
      <c r="B254" s="130" t="s">
        <v>1862</v>
      </c>
      <c r="C254" s="131" t="s">
        <v>1863</v>
      </c>
      <c r="D254" s="131"/>
      <c r="E254" s="131">
        <v>12</v>
      </c>
      <c r="F254" s="126">
        <f t="shared" ca="1" si="28"/>
        <v>3.3954128262185184</v>
      </c>
      <c r="G254" s="127">
        <f t="shared" ca="1" si="29"/>
        <v>0.53448943577564734</v>
      </c>
      <c r="H254" s="132">
        <v>1</v>
      </c>
      <c r="I254" s="133" t="s">
        <v>2724</v>
      </c>
      <c r="J254" s="91">
        <v>1</v>
      </c>
      <c r="K254" s="90" t="s">
        <v>3269</v>
      </c>
      <c r="L254" s="152" t="str">
        <f>IF(ISERROR(GETPIVOTDATA(IF($J254=1,"Count of ACTIVE     CED, FARM GATE (MJ/kg)","Count of CED, processor gate (MJ/kg)"),'Pivot Table_CED'!$A$3,"SUB TYPE",$B254)),"PROXY",IF(GETPIVOTDATA(IF($J254=1,"Count of ACTIVE     CED, FARM GATE (MJ/kg)","Count of CED, processor gate (MJ/kg)"),'Pivot Table_CED'!$A$3,"SUB TYPE",$B254)=0,"PROXY","DB value"))</f>
        <v>PROXY</v>
      </c>
      <c r="M254" s="134">
        <f ca="1">IF($L254="PROXY",DCOUNT('literature entries'!$D:$AI,IF($J254=1,"ACTIVE     CED, FARM GATE (MJ/kg)","CED, processor gate (MJ/kg)"),INDIRECT($K254)),GETPIVOTDATA(IF($J254=1,"Count of ACTIVE     CED, FARM GATE (MJ/kg)","Count of CED, processor gate (MJ/kg)"),'Pivot Table_CED'!$A$3,"SUB TYPE",$B254))</f>
        <v>9</v>
      </c>
      <c r="N254" s="135">
        <f ca="1">IF($L254="PROXY",DAVERAGE('literature entries'!$D:$AI,IF($J254=1,"ACTIVE     CED, FARM GATE (MJ/kg)","CED, processor gate (MJ/kg)"),INDIRECT($K254)),GETPIVOTDATA(IF($J254=1,"Average of ACTIVE     CED, FARM GATE (MJ/kg)","Average of CED, processor gate (MJ/kg)"),'Pivot Table_CED'!$A$3,"SUB TYPE",$B254))</f>
        <v>3.3954128262185184</v>
      </c>
      <c r="O254" s="135">
        <f ca="1">IF($L254="PROXY",DSTDEV('literature entries'!D:AI,IF($J254=1,"ACTIVE     CED, FARM GATE (MJ/kg)","CED, processor gate (MJ/kg)"),INDIRECT($K254)),GETPIVOTDATA(IF($J254=1,"StdDev of ACTIVE     CED, FARM GATE (MJ/kg)","StdDev of CED, processor gate (MJ/kg)"),'Pivot Table_CED'!$A$3,"SUB TYPE",$B254))</f>
        <v>2.1698076963305595</v>
      </c>
      <c r="P254" s="152" t="str">
        <f>IF(ISERROR(GETPIVOTDATA(IF($J254=1,"Count of ACTIVE     GHGE, FARM GATE (kg CO2e/kg)","Count of GHGE, processor gate (kg CO2e/kg)"),'Pivot Table_GHG'!$A$3,"SUB TYPE",$B254)),"PROXY",IF(GETPIVOTDATA(IF($J254=1,"Count of ACTIVE     GHGE, FARM GATE (kg CO2e/kg)","Count of GHGE, processor gate (kg CO2e/kg)"),'Pivot Table_GHG'!$A$3,"SUB TYPE",$B254)=0,"PROXY","DB value"))</f>
        <v>PROXY</v>
      </c>
      <c r="Q254" s="141">
        <f ca="1">IF($P254="PROXY",DCOUNT('literature entries'!$D:$AI,IF($J254=1,"ACTIVE     GHGE, FARM GATE (kg CO2e/kg)","GHGE, processor gate (kg CO2e/kg)"),INDIRECT($K254)),GETPIVOTDATA(IF($J254=1,"ACTIVE     GHGE, FARM GATE (kg CO2e/kg)","Count of GHGE, processor gate (kg CO2e/kg)"),'Pivot Table_GHG'!$A$3,"SUB TYPE",$B254))</f>
        <v>30</v>
      </c>
      <c r="R254" s="221">
        <f ca="1">IF($P254="PROXY",DAVERAGE('literature entries'!$D:$AI,IF($J254=1,"ACTIVE     GHGE, FARM GATE (kg CO2e/kg)","GHGE, processor gate (kg CO2e/kg)"),INDIRECT($K254)),GETPIVOTDATA(IF($J254=1,"Average of ACTIVE     GHGE, FARM GATE (kg CO2e/kg)","Average of GHGE, processor gate (kg CO2e/kg)"),'Pivot Table_GHG'!$A$3,"SUB TYPE",$B254))</f>
        <v>0.53448943577564734</v>
      </c>
      <c r="S254" s="221">
        <f ca="1">IF($P254="PROXY",DSTDEV('literature entries'!$D:$AI,IF($J254=1,"ACTIVE     GHGE, FARM GATE (kg CO2e/kg)","GHGE, processor gate (kg CO2e/kg)"),INDIRECT($K254)),GETPIVOTDATA(IF($J254=1,"StdDev of ACTIVE     GHGE, FARM GATE (kg CO2e/kg)","StdDev of GHGE, processor gate (kg CO2e/kg)"),'Pivot Table_GHG'!$A$3,"SUB TYPE",$B254))</f>
        <v>0.86200931416440196</v>
      </c>
      <c r="T254" s="101"/>
      <c r="U254" s="102"/>
      <c r="W254" s="248" t="str">
        <f ca="1">IF(L254="PROXY",IF(M254&gt;=5,K254,"need group"),IF(M254&gt;=5,"DIRECT","need group"))</f>
        <v>tropical_fruit</v>
      </c>
      <c r="X254" s="246">
        <f ca="1">IF($W254="DIRECT",M254,DCOUNT('literature entries'!$D:$AI,IF($J254=1,"ACTIVE     CED, FARM GATE (MJ/kg)","CED, processor gate (MJ/kg)"),INDIRECT($W254)))</f>
        <v>9</v>
      </c>
      <c r="Y254" s="246">
        <f ca="1">IF($W254="DIRECT","",DAVERAGE('literature entries'!$D:$AI,IF($J254=1,"ACTIVE     CED, FARM GATE (MJ/kg)","CED, processor gate (MJ/kg)"),INDIRECT($W254)))</f>
        <v>3.3954128262185184</v>
      </c>
      <c r="Z254" s="246">
        <f ca="1">IF($W254="DIRECT",$O254,DSTDEV('literature entries'!$D:$AI,IF($J254=1,"ACTIVE     CED, FARM GATE (MJ/kg)","CED, processor gate (MJ/kg)"),INDIRECT($W254)))</f>
        <v>2.1698076963305595</v>
      </c>
      <c r="AA254" s="246">
        <f t="shared" ca="1" si="32"/>
        <v>2.1698076963305595</v>
      </c>
      <c r="AB254" s="254" t="str">
        <f ca="1">IF(P254="PROXY",IF(Q254&gt;=5,K254,"need group"),IF(Q254&gt;=5,"DIRECT","need group"))</f>
        <v>tropical_fruit</v>
      </c>
      <c r="AC254" s="247">
        <f ca="1">IF($AB254="DIRECT",Q254,DCOUNT('literature entries'!$D:$AI,IF($J254=1,"ACTIVE     GHGE, FARM GATE (kg CO2e/kg)","GHGE, processor gate (kg CO2e/kg)"),INDIRECT($AB254)))</f>
        <v>30</v>
      </c>
      <c r="AD254" s="247">
        <f ca="1">IF($AB254="DIRECT","",DAVERAGE('literature entries'!$D:$AI,IF($J254=1,"ACTIVE     GHGE, FARM GATE (kg CO2e/kg)","GHGE, processor gate (kg CO2e/kg)"),INDIRECT($AB254)))</f>
        <v>0.53448943577564734</v>
      </c>
      <c r="AE254" s="247">
        <f ca="1">IF($AB254="DIRECT",$S254,DSTDEV('literature entries'!$D:$AI,IF($J254=1,"ACTIVE     GHGE, FARM GATE (kg CO2e/kg)","GHGE, processor gate (kg CO2e/kg)"),INDIRECT($AB254)))</f>
        <v>0.86200931416440196</v>
      </c>
      <c r="AF254" s="247">
        <f t="shared" ca="1" si="33"/>
        <v>0.86200931416440196</v>
      </c>
    </row>
    <row r="255" spans="1:32" s="21" customFormat="1" thickBot="1" x14ac:dyDescent="0.25">
      <c r="A255" s="129">
        <v>2302153000</v>
      </c>
      <c r="B255" s="130" t="s">
        <v>1978</v>
      </c>
      <c r="C255" s="131" t="s">
        <v>1877</v>
      </c>
      <c r="D255" s="131"/>
      <c r="E255" s="131">
        <v>13</v>
      </c>
      <c r="F255" s="126">
        <f t="shared" ca="1" si="28"/>
        <v>3.4293669544807037</v>
      </c>
      <c r="G255" s="127">
        <f t="shared" ca="1" si="29"/>
        <v>0.53983433013340376</v>
      </c>
      <c r="H255" s="132">
        <v>1.01</v>
      </c>
      <c r="I255" s="132" t="s">
        <v>2724</v>
      </c>
      <c r="J255" s="91">
        <v>1</v>
      </c>
      <c r="K255" s="90" t="s">
        <v>3269</v>
      </c>
      <c r="L255" s="152" t="str">
        <f>IF(ISERROR(GETPIVOTDATA(IF($J255=1,"Count of ACTIVE     CED, FARM GATE (MJ/kg)","Count of CED, processor gate (MJ/kg)"),'Pivot Table_CED'!$A$3,"SUB TYPE",$B255)),"PROXY",IF(GETPIVOTDATA(IF($J255=1,"Count of ACTIVE     CED, FARM GATE (MJ/kg)","Count of CED, processor gate (MJ/kg)"),'Pivot Table_CED'!$A$3,"SUB TYPE",$B255)=0,"PROXY","DB value"))</f>
        <v>PROXY</v>
      </c>
      <c r="M255" s="134">
        <f ca="1">IF($L255="PROXY",DCOUNT('literature entries'!$D:$AI,IF($J255=1,"ACTIVE     CED, FARM GATE (MJ/kg)","CED, processor gate (MJ/kg)"),INDIRECT($K255)),GETPIVOTDATA(IF($J255=1,"Count of ACTIVE     CED, FARM GATE (MJ/kg)","Count of CED, processor gate (MJ/kg)"),'Pivot Table_CED'!$A$3,"SUB TYPE",$B255))</f>
        <v>9</v>
      </c>
      <c r="N255" s="135">
        <f ca="1">IF($L255="PROXY",DAVERAGE('literature entries'!$D:$AI,IF($J255=1,"ACTIVE     CED, FARM GATE (MJ/kg)","CED, processor gate (MJ/kg)"),INDIRECT($K255)),GETPIVOTDATA(IF($J255=1,"Average of ACTIVE     CED, FARM GATE (MJ/kg)","Average of CED, processor gate (MJ/kg)"),'Pivot Table_CED'!$A$3,"SUB TYPE",$B255))</f>
        <v>3.3954128262185184</v>
      </c>
      <c r="O255" s="135">
        <f ca="1">IF($L255="PROXY",DSTDEV('literature entries'!D:AI,IF($J255=1,"ACTIVE     CED, FARM GATE (MJ/kg)","CED, processor gate (MJ/kg)"),INDIRECT($K255)),GETPIVOTDATA(IF($J255=1,"StdDev of ACTIVE     CED, FARM GATE (MJ/kg)","StdDev of CED, processor gate (MJ/kg)"),'Pivot Table_CED'!$A$3,"SUB TYPE",$B255))</f>
        <v>2.1698076963305595</v>
      </c>
      <c r="P255" s="152" t="str">
        <f>IF(ISERROR(GETPIVOTDATA(IF($J255=1,"Count of ACTIVE     GHGE, FARM GATE (kg CO2e/kg)","Count of GHGE, processor gate (kg CO2e/kg)"),'Pivot Table_GHG'!$A$3,"SUB TYPE",$B255)),"PROXY",IF(GETPIVOTDATA(IF($J255=1,"Count of ACTIVE     GHGE, FARM GATE (kg CO2e/kg)","Count of GHGE, processor gate (kg CO2e/kg)"),'Pivot Table_GHG'!$A$3,"SUB TYPE",$B255)=0,"PROXY","DB value"))</f>
        <v>PROXY</v>
      </c>
      <c r="Q255" s="141">
        <f ca="1">IF($P255="PROXY",DCOUNT('literature entries'!$D:$AI,IF($J255=1,"ACTIVE     GHGE, FARM GATE (kg CO2e/kg)","GHGE, processor gate (kg CO2e/kg)"),INDIRECT($K255)),GETPIVOTDATA(IF($J255=1,"ACTIVE     GHGE, FARM GATE (kg CO2e/kg)","Count of GHGE, processor gate (kg CO2e/kg)"),'Pivot Table_GHG'!$A$3,"SUB TYPE",$B255))</f>
        <v>30</v>
      </c>
      <c r="R255" s="221">
        <f ca="1">IF($P255="PROXY",DAVERAGE('literature entries'!$D:$AI,IF($J255=1,"ACTIVE     GHGE, FARM GATE (kg CO2e/kg)","GHGE, processor gate (kg CO2e/kg)"),INDIRECT($K255)),GETPIVOTDATA(IF($J255=1,"Average of ACTIVE     GHGE, FARM GATE (kg CO2e/kg)","Average of GHGE, processor gate (kg CO2e/kg)"),'Pivot Table_GHG'!$A$3,"SUB TYPE",$B255))</f>
        <v>0.53448943577564734</v>
      </c>
      <c r="S255" s="221">
        <f ca="1">IF($P255="PROXY",DSTDEV('literature entries'!$D:$AI,IF($J255=1,"ACTIVE     GHGE, FARM GATE (kg CO2e/kg)","GHGE, processor gate (kg CO2e/kg)"),INDIRECT($K255)),GETPIVOTDATA(IF($J255=1,"StdDev of ACTIVE     GHGE, FARM GATE (kg CO2e/kg)","StdDev of GHGE, processor gate (kg CO2e/kg)"),'Pivot Table_GHG'!$A$3,"SUB TYPE",$B255))</f>
        <v>0.86200931416440196</v>
      </c>
      <c r="T255" s="101"/>
      <c r="U255" s="102"/>
      <c r="W255" s="248" t="str">
        <f ca="1">IF(L255="PROXY",IF(M255&gt;=5,K255,"need group"),IF(M255&gt;=5,"DIRECT","need group"))</f>
        <v>tropical_fruit</v>
      </c>
      <c r="X255" s="246">
        <f ca="1">IF($W255="DIRECT",M255,DCOUNT('literature entries'!$D:$AI,IF($J255=1,"ACTIVE     CED, FARM GATE (MJ/kg)","CED, processor gate (MJ/kg)"),INDIRECT($W255)))</f>
        <v>9</v>
      </c>
      <c r="Y255" s="246">
        <f ca="1">IF($W255="DIRECT","",DAVERAGE('literature entries'!$D:$AI,IF($J255=1,"ACTIVE     CED, FARM GATE (MJ/kg)","CED, processor gate (MJ/kg)"),INDIRECT($W255)))</f>
        <v>3.3954128262185184</v>
      </c>
      <c r="Z255" s="246">
        <f ca="1">IF($W255="DIRECT",$O255,DSTDEV('literature entries'!$D:$AI,IF($J255=1,"ACTIVE     CED, FARM GATE (MJ/kg)","CED, processor gate (MJ/kg)"),INDIRECT($W255)))</f>
        <v>2.1698076963305595</v>
      </c>
      <c r="AA255" s="246">
        <f t="shared" ca="1" si="32"/>
        <v>2.1698076963305595</v>
      </c>
      <c r="AB255" s="254" t="str">
        <f ca="1">IF(P255="PROXY",IF(Q255&gt;=5,K255,"need group"),IF(Q255&gt;=5,"DIRECT","need group"))</f>
        <v>tropical_fruit</v>
      </c>
      <c r="AC255" s="247">
        <f ca="1">IF($AB255="DIRECT",Q255,DCOUNT('literature entries'!$D:$AI,IF($J255=1,"ACTIVE     GHGE, FARM GATE (kg CO2e/kg)","GHGE, processor gate (kg CO2e/kg)"),INDIRECT($AB255)))</f>
        <v>30</v>
      </c>
      <c r="AD255" s="247">
        <f ca="1">IF($AB255="DIRECT","",DAVERAGE('literature entries'!$D:$AI,IF($J255=1,"ACTIVE     GHGE, FARM GATE (kg CO2e/kg)","GHGE, processor gate (kg CO2e/kg)"),INDIRECT($AB255)))</f>
        <v>0.53448943577564734</v>
      </c>
      <c r="AE255" s="247">
        <f ca="1">IF($AB255="DIRECT",$S255,DSTDEV('literature entries'!$D:$AI,IF($J255=1,"ACTIVE     GHGE, FARM GATE (kg CO2e/kg)","GHGE, processor gate (kg CO2e/kg)"),INDIRECT($AB255)))</f>
        <v>0.86200931416440196</v>
      </c>
      <c r="AF255" s="247">
        <f t="shared" ca="1" si="33"/>
        <v>0.86200931416440196</v>
      </c>
    </row>
    <row r="256" spans="1:32" s="21" customFormat="1" thickBot="1" x14ac:dyDescent="0.25">
      <c r="A256" s="129">
        <v>2302154000</v>
      </c>
      <c r="B256" s="130" t="s">
        <v>1979</v>
      </c>
      <c r="C256" s="131" t="s">
        <v>1980</v>
      </c>
      <c r="D256" s="131"/>
      <c r="E256" s="131">
        <v>280</v>
      </c>
      <c r="F256" s="126">
        <f t="shared" ca="1" si="28"/>
        <v>11.476495352618592</v>
      </c>
      <c r="G256" s="127">
        <f t="shared" ca="1" si="29"/>
        <v>1.8065742929216879</v>
      </c>
      <c r="H256" s="132">
        <v>3.38</v>
      </c>
      <c r="I256" s="132" t="s">
        <v>2724</v>
      </c>
      <c r="J256" s="91">
        <v>1</v>
      </c>
      <c r="K256" s="90" t="s">
        <v>3269</v>
      </c>
      <c r="L256" s="152" t="str">
        <f>IF(ISERROR(GETPIVOTDATA(IF($J256=1,"Count of ACTIVE     CED, FARM GATE (MJ/kg)","Count of CED, processor gate (MJ/kg)"),'Pivot Table_CED'!$A$3,"SUB TYPE",$B256)),"PROXY",IF(GETPIVOTDATA(IF($J256=1,"Count of ACTIVE     CED, FARM GATE (MJ/kg)","Count of CED, processor gate (MJ/kg)"),'Pivot Table_CED'!$A$3,"SUB TYPE",$B256)=0,"PROXY","DB value"))</f>
        <v>PROXY</v>
      </c>
      <c r="M256" s="134">
        <f ca="1">IF($L256="PROXY",DCOUNT('literature entries'!$D:$AI,IF($J256=1,"ACTIVE     CED, FARM GATE (MJ/kg)","CED, processor gate (MJ/kg)"),INDIRECT($K256)),GETPIVOTDATA(IF($J256=1,"Count of ACTIVE     CED, FARM GATE (MJ/kg)","Count of CED, processor gate (MJ/kg)"),'Pivot Table_CED'!$A$3,"SUB TYPE",$B256))</f>
        <v>9</v>
      </c>
      <c r="N256" s="135">
        <f ca="1">IF($L256="PROXY",DAVERAGE('literature entries'!$D:$AI,IF($J256=1,"ACTIVE     CED, FARM GATE (MJ/kg)","CED, processor gate (MJ/kg)"),INDIRECT($K256)),GETPIVOTDATA(IF($J256=1,"Average of ACTIVE     CED, FARM GATE (MJ/kg)","Average of CED, processor gate (MJ/kg)"),'Pivot Table_CED'!$A$3,"SUB TYPE",$B256))</f>
        <v>3.3954128262185184</v>
      </c>
      <c r="O256" s="135">
        <f ca="1">IF($L256="PROXY",DSTDEV('literature entries'!D:AI,IF($J256=1,"ACTIVE     CED, FARM GATE (MJ/kg)","CED, processor gate (MJ/kg)"),INDIRECT($K256)),GETPIVOTDATA(IF($J256=1,"StdDev of ACTIVE     CED, FARM GATE (MJ/kg)","StdDev of CED, processor gate (MJ/kg)"),'Pivot Table_CED'!$A$3,"SUB TYPE",$B256))</f>
        <v>2.1698076963305595</v>
      </c>
      <c r="P256" s="152" t="str">
        <f>IF(ISERROR(GETPIVOTDATA(IF($J256=1,"Count of ACTIVE     GHGE, FARM GATE (kg CO2e/kg)","Count of GHGE, processor gate (kg CO2e/kg)"),'Pivot Table_GHG'!$A$3,"SUB TYPE",$B256)),"PROXY",IF(GETPIVOTDATA(IF($J256=1,"Count of ACTIVE     GHGE, FARM GATE (kg CO2e/kg)","Count of GHGE, processor gate (kg CO2e/kg)"),'Pivot Table_GHG'!$A$3,"SUB TYPE",$B256)=0,"PROXY","DB value"))</f>
        <v>PROXY</v>
      </c>
      <c r="Q256" s="141">
        <f ca="1">IF($P256="PROXY",DCOUNT('literature entries'!$D:$AI,IF($J256=1,"ACTIVE     GHGE, FARM GATE (kg CO2e/kg)","GHGE, processor gate (kg CO2e/kg)"),INDIRECT($K256)),GETPIVOTDATA(IF($J256=1,"ACTIVE     GHGE, FARM GATE (kg CO2e/kg)","Count of GHGE, processor gate (kg CO2e/kg)"),'Pivot Table_GHG'!$A$3,"SUB TYPE",$B256))</f>
        <v>30</v>
      </c>
      <c r="R256" s="221">
        <f ca="1">IF($P256="PROXY",DAVERAGE('literature entries'!$D:$AI,IF($J256=1,"ACTIVE     GHGE, FARM GATE (kg CO2e/kg)","GHGE, processor gate (kg CO2e/kg)"),INDIRECT($K256)),GETPIVOTDATA(IF($J256=1,"Average of ACTIVE     GHGE, FARM GATE (kg CO2e/kg)","Average of GHGE, processor gate (kg CO2e/kg)"),'Pivot Table_GHG'!$A$3,"SUB TYPE",$B256))</f>
        <v>0.53448943577564734</v>
      </c>
      <c r="S256" s="221">
        <f ca="1">IF($P256="PROXY",DSTDEV('literature entries'!$D:$AI,IF($J256=1,"ACTIVE     GHGE, FARM GATE (kg CO2e/kg)","GHGE, processor gate (kg CO2e/kg)"),INDIRECT($K256)),GETPIVOTDATA(IF($J256=1,"StdDev of ACTIVE     GHGE, FARM GATE (kg CO2e/kg)","StdDev of GHGE, processor gate (kg CO2e/kg)"),'Pivot Table_GHG'!$A$3,"SUB TYPE",$B256))</f>
        <v>0.86200931416440196</v>
      </c>
      <c r="T256" s="101"/>
      <c r="U256" s="102"/>
      <c r="W256" s="248" t="str">
        <f ca="1">IF(L256="PROXY",IF(M256&gt;=5,K256,"need group"),IF(M256&gt;=5,"DIRECT","need group"))</f>
        <v>tropical_fruit</v>
      </c>
      <c r="X256" s="246">
        <f ca="1">IF($W256="DIRECT",M256,DCOUNT('literature entries'!$D:$AI,IF($J256=1,"ACTIVE     CED, FARM GATE (MJ/kg)","CED, processor gate (MJ/kg)"),INDIRECT($W256)))</f>
        <v>9</v>
      </c>
      <c r="Y256" s="246">
        <f ca="1">IF($W256="DIRECT","",DAVERAGE('literature entries'!$D:$AI,IF($J256=1,"ACTIVE     CED, FARM GATE (MJ/kg)","CED, processor gate (MJ/kg)"),INDIRECT($W256)))</f>
        <v>3.3954128262185184</v>
      </c>
      <c r="Z256" s="246">
        <f ca="1">IF($W256="DIRECT",$O256,DSTDEV('literature entries'!$D:$AI,IF($J256=1,"ACTIVE     CED, FARM GATE (MJ/kg)","CED, processor gate (MJ/kg)"),INDIRECT($W256)))</f>
        <v>2.1698076963305595</v>
      </c>
      <c r="AA256" s="246">
        <f t="shared" ca="1" si="32"/>
        <v>2.1698076963305595</v>
      </c>
      <c r="AB256" s="254" t="str">
        <f ca="1">IF(P256="PROXY",IF(Q256&gt;=5,K256,"need group"),IF(Q256&gt;=5,"DIRECT","need group"))</f>
        <v>tropical_fruit</v>
      </c>
      <c r="AC256" s="247">
        <f ca="1">IF($AB256="DIRECT",Q256,DCOUNT('literature entries'!$D:$AI,IF($J256=1,"ACTIVE     GHGE, FARM GATE (kg CO2e/kg)","GHGE, processor gate (kg CO2e/kg)"),INDIRECT($AB256)))</f>
        <v>30</v>
      </c>
      <c r="AD256" s="247">
        <f ca="1">IF($AB256="DIRECT","",DAVERAGE('literature entries'!$D:$AI,IF($J256=1,"ACTIVE     GHGE, FARM GATE (kg CO2e/kg)","GHGE, processor gate (kg CO2e/kg)"),INDIRECT($AB256)))</f>
        <v>0.53448943577564734</v>
      </c>
      <c r="AE256" s="247">
        <f ca="1">IF($AB256="DIRECT",$S256,DSTDEV('literature entries'!$D:$AI,IF($J256=1,"ACTIVE     GHGE, FARM GATE (kg CO2e/kg)","GHGE, processor gate (kg CO2e/kg)"),INDIRECT($AB256)))</f>
        <v>0.86200931416440196</v>
      </c>
      <c r="AF256" s="247">
        <f t="shared" ca="1" si="33"/>
        <v>0.86200931416440196</v>
      </c>
    </row>
    <row r="257" spans="1:32" s="21" customFormat="1" thickBot="1" x14ac:dyDescent="0.25">
      <c r="A257" s="129">
        <v>2302183000</v>
      </c>
      <c r="B257" s="130" t="s">
        <v>2028</v>
      </c>
      <c r="C257" s="131" t="s">
        <v>1770</v>
      </c>
      <c r="D257" s="131"/>
      <c r="E257" s="131">
        <v>223</v>
      </c>
      <c r="F257" s="126">
        <f t="shared" ca="1" si="28"/>
        <v>4.3461284175597035</v>
      </c>
      <c r="G257" s="127">
        <f t="shared" ca="1" si="29"/>
        <v>2.2784</v>
      </c>
      <c r="H257" s="132">
        <v>1.28</v>
      </c>
      <c r="I257" s="132" t="s">
        <v>2724</v>
      </c>
      <c r="J257" s="91">
        <v>1</v>
      </c>
      <c r="K257" s="90" t="s">
        <v>3269</v>
      </c>
      <c r="L257" s="152" t="str">
        <f>IF(ISERROR(GETPIVOTDATA(IF($J257=1,"Count of ACTIVE     CED, FARM GATE (MJ/kg)","Count of CED, processor gate (MJ/kg)"),'Pivot Table_CED'!$A$3,"SUB TYPE",$B257)),"PROXY",IF(GETPIVOTDATA(IF($J257=1,"Count of ACTIVE     CED, FARM GATE (MJ/kg)","Count of CED, processor gate (MJ/kg)"),'Pivot Table_CED'!$A$3,"SUB TYPE",$B257)=0,"PROXY","DB value"))</f>
        <v>PROXY</v>
      </c>
      <c r="M257" s="134">
        <f ca="1">IF($L257="PROXY",DCOUNT('literature entries'!$D:$AI,IF($J257=1,"ACTIVE     CED, FARM GATE (MJ/kg)","CED, processor gate (MJ/kg)"),INDIRECT($K257)),GETPIVOTDATA(IF($J257=1,"Count of ACTIVE     CED, FARM GATE (MJ/kg)","Count of CED, processor gate (MJ/kg)"),'Pivot Table_CED'!$A$3,"SUB TYPE",$B257))</f>
        <v>9</v>
      </c>
      <c r="N257" s="135">
        <f ca="1">IF($L257="PROXY",DAVERAGE('literature entries'!$D:$AI,IF($J257=1,"ACTIVE     CED, FARM GATE (MJ/kg)","CED, processor gate (MJ/kg)"),INDIRECT($K257)),GETPIVOTDATA(IF($J257=1,"Average of ACTIVE     CED, FARM GATE (MJ/kg)","Average of CED, processor gate (MJ/kg)"),'Pivot Table_CED'!$A$3,"SUB TYPE",$B257))</f>
        <v>3.3954128262185184</v>
      </c>
      <c r="O257" s="135">
        <f ca="1">IF($L257="PROXY",DSTDEV('literature entries'!D:AI,IF($J257=1,"ACTIVE     CED, FARM GATE (MJ/kg)","CED, processor gate (MJ/kg)"),INDIRECT($K257)),GETPIVOTDATA(IF($J257=1,"StdDev of ACTIVE     CED, FARM GATE (MJ/kg)","StdDev of CED, processor gate (MJ/kg)"),'Pivot Table_CED'!$A$3,"SUB TYPE",$B257))</f>
        <v>2.1698076963305595</v>
      </c>
      <c r="P257" s="152" t="str">
        <f>IF(ISERROR(GETPIVOTDATA(IF($J257=1,"Count of ACTIVE     GHGE, FARM GATE (kg CO2e/kg)","Count of GHGE, processor gate (kg CO2e/kg)"),'Pivot Table_GHG'!$A$3,"SUB TYPE",$B257)),"PROXY",IF(GETPIVOTDATA(IF($J257=1,"Count of ACTIVE     GHGE, FARM GATE (kg CO2e/kg)","Count of GHGE, processor gate (kg CO2e/kg)"),'Pivot Table_GHG'!$A$3,"SUB TYPE",$B257)=0,"PROXY","DB value"))</f>
        <v>DB value</v>
      </c>
      <c r="Q257" s="141">
        <f ca="1">IF($P257="PROXY",DCOUNT('literature entries'!$D:$AI,IF($J257=1,"ACTIVE     GHGE, FARM GATE (kg CO2e/kg)","GHGE, processor gate (kg CO2e/kg)"),INDIRECT($K257)),GETPIVOTDATA(IF($J257=1,"ACTIVE     GHGE, FARM GATE (kg CO2e/kg)","Count of GHGE, processor gate (kg CO2e/kg)"),'Pivot Table_GHG'!$A$3,"SUB TYPE",$B257))</f>
        <v>1</v>
      </c>
      <c r="R257" s="221">
        <f ca="1">IF($P257="PROXY",DAVERAGE('literature entries'!$D:$AI,IF($J257=1,"ACTIVE     GHGE, FARM GATE (kg CO2e/kg)","GHGE, processor gate (kg CO2e/kg)"),INDIRECT($K257)),GETPIVOTDATA(IF($J257=1,"Average of ACTIVE     GHGE, FARM GATE (kg CO2e/kg)","Average of GHGE, processor gate (kg CO2e/kg)"),'Pivot Table_GHG'!$A$3,"SUB TYPE",$B257))</f>
        <v>1.78</v>
      </c>
      <c r="S257" s="221" t="e">
        <f ca="1">IF($P257="PROXY",DSTDEV('literature entries'!$D:$AI,IF($J257=1,"ACTIVE     GHGE, FARM GATE (kg CO2e/kg)","GHGE, processor gate (kg CO2e/kg)"),INDIRECT($K257)),GETPIVOTDATA(IF($J257=1,"StdDev of ACTIVE     GHGE, FARM GATE (kg CO2e/kg)","StdDev of GHGE, processor gate (kg CO2e/kg)"),'Pivot Table_GHG'!$A$3,"SUB TYPE",$B257))</f>
        <v>#DIV/0!</v>
      </c>
      <c r="T257" s="101"/>
      <c r="U257" s="102"/>
      <c r="W257" s="248" t="str">
        <f ca="1">IF(L257="PROXY",IF(M257&gt;=5,K257,"need group"),IF(M257&gt;=5,"DIRECT","need group"))</f>
        <v>tropical_fruit</v>
      </c>
      <c r="X257" s="246">
        <f ca="1">IF($W257="DIRECT",M257,DCOUNT('literature entries'!$D:$AI,IF($J257=1,"ACTIVE     CED, FARM GATE (MJ/kg)","CED, processor gate (MJ/kg)"),INDIRECT($W257)))</f>
        <v>9</v>
      </c>
      <c r="Y257" s="246">
        <f ca="1">IF($W257="DIRECT","",DAVERAGE('literature entries'!$D:$AI,IF($J257=1,"ACTIVE     CED, FARM GATE (MJ/kg)","CED, processor gate (MJ/kg)"),INDIRECT($W257)))</f>
        <v>3.3954128262185184</v>
      </c>
      <c r="Z257" s="246">
        <f ca="1">IF($W257="DIRECT",$O257,DSTDEV('literature entries'!$D:$AI,IF($J257=1,"ACTIVE     CED, FARM GATE (MJ/kg)","CED, processor gate (MJ/kg)"),INDIRECT($W257)))</f>
        <v>2.1698076963305595</v>
      </c>
      <c r="AA257" s="246">
        <f t="shared" ca="1" si="32"/>
        <v>2.1698076963305595</v>
      </c>
      <c r="AB257" s="254" t="s">
        <v>3269</v>
      </c>
      <c r="AC257" s="247">
        <f ca="1">IF($AB257="DIRECT",Q257,DCOUNT('literature entries'!$D:$AI,IF($J257=1,"ACTIVE     GHGE, FARM GATE (kg CO2e/kg)","GHGE, processor gate (kg CO2e/kg)"),INDIRECT($AB257)))</f>
        <v>30</v>
      </c>
      <c r="AD257" s="247">
        <f ca="1">IF($AB257="DIRECT","",DAVERAGE('literature entries'!$D:$AI,IF($J257=1,"ACTIVE     GHGE, FARM GATE (kg CO2e/kg)","GHGE, processor gate (kg CO2e/kg)"),INDIRECT($AB257)))</f>
        <v>0.53448943577564734</v>
      </c>
      <c r="AE257" s="247">
        <f ca="1">IF($AB257="DIRECT",$S257,DSTDEV('literature entries'!$D:$AI,IF($J257=1,"ACTIVE     GHGE, FARM GATE (kg CO2e/kg)","GHGE, processor gate (kg CO2e/kg)"),INDIRECT($AB257)))</f>
        <v>0.86200931416440196</v>
      </c>
      <c r="AF257" s="247">
        <f t="shared" ca="1" si="33"/>
        <v>2.8707332203600227</v>
      </c>
    </row>
    <row r="258" spans="1:32" s="21" customFormat="1" ht="17" thickBot="1" x14ac:dyDescent="0.25">
      <c r="A258" s="129">
        <v>2302368000</v>
      </c>
      <c r="B258" s="130" t="s">
        <v>2296</v>
      </c>
      <c r="C258" s="131" t="s">
        <v>2297</v>
      </c>
      <c r="D258" s="131"/>
      <c r="E258" s="131">
        <v>3116</v>
      </c>
      <c r="F258" s="126">
        <f t="shared" ca="1" si="28"/>
        <v>9.9825137090824434</v>
      </c>
      <c r="G258" s="127">
        <f t="shared" ca="1" si="29"/>
        <v>1.5713989411804032</v>
      </c>
      <c r="H258" s="132">
        <v>2.94</v>
      </c>
      <c r="I258" s="133" t="s">
        <v>2724</v>
      </c>
      <c r="J258" s="91">
        <v>1</v>
      </c>
      <c r="K258" s="90" t="s">
        <v>3269</v>
      </c>
      <c r="L258" s="152" t="str">
        <f>IF(ISERROR(GETPIVOTDATA(IF($J258=1,"Count of ACTIVE     CED, FARM GATE (MJ/kg)","Count of CED, processor gate (MJ/kg)"),'Pivot Table_CED'!$A$3,"SUB TYPE",$B258)),"PROXY",IF(GETPIVOTDATA(IF($J258=1,"Count of ACTIVE     CED, FARM GATE (MJ/kg)","Count of CED, processor gate (MJ/kg)"),'Pivot Table_CED'!$A$3,"SUB TYPE",$B258)=0,"PROXY","DB value"))</f>
        <v>PROXY</v>
      </c>
      <c r="M258" s="134">
        <f ca="1">IF($L258="PROXY",DCOUNT('literature entries'!$D:$AI,IF($J258=1,"ACTIVE     CED, FARM GATE (MJ/kg)","CED, processor gate (MJ/kg)"),INDIRECT($K258)),GETPIVOTDATA(IF($J258=1,"Count of ACTIVE     CED, FARM GATE (MJ/kg)","Count of CED, processor gate (MJ/kg)"),'Pivot Table_CED'!$A$3,"SUB TYPE",$B258))</f>
        <v>9</v>
      </c>
      <c r="N258" s="135">
        <f ca="1">IF($L258="PROXY",DAVERAGE('literature entries'!$D:$AI,IF($J258=1,"ACTIVE     CED, FARM GATE (MJ/kg)","CED, processor gate (MJ/kg)"),INDIRECT($K258)),GETPIVOTDATA(IF($J258=1,"Average of ACTIVE     CED, FARM GATE (MJ/kg)","Average of CED, processor gate (MJ/kg)"),'Pivot Table_CED'!$A$3,"SUB TYPE",$B258))</f>
        <v>3.3954128262185184</v>
      </c>
      <c r="O258" s="135">
        <f ca="1">IF($L258="PROXY",DSTDEV('literature entries'!D:AI,IF($J258=1,"ACTIVE     CED, FARM GATE (MJ/kg)","CED, processor gate (MJ/kg)"),INDIRECT($K258)),GETPIVOTDATA(IF($J258=1,"StdDev of ACTIVE     CED, FARM GATE (MJ/kg)","StdDev of CED, processor gate (MJ/kg)"),'Pivot Table_CED'!$A$3,"SUB TYPE",$B258))</f>
        <v>2.1698076963305595</v>
      </c>
      <c r="P258" s="152" t="str">
        <f>IF(ISERROR(GETPIVOTDATA(IF($J258=1,"Count of ACTIVE     GHGE, FARM GATE (kg CO2e/kg)","Count of GHGE, processor gate (kg CO2e/kg)"),'Pivot Table_GHG'!$A$3,"SUB TYPE",$B258)),"PROXY",IF(GETPIVOTDATA(IF($J258=1,"Count of ACTIVE     GHGE, FARM GATE (kg CO2e/kg)","Count of GHGE, processor gate (kg CO2e/kg)"),'Pivot Table_GHG'!$A$3,"SUB TYPE",$B258)=0,"PROXY","DB value"))</f>
        <v>PROXY</v>
      </c>
      <c r="Q258" s="141">
        <f ca="1">IF($P258="PROXY",DCOUNT('literature entries'!$D:$AI,IF($J258=1,"ACTIVE     GHGE, FARM GATE (kg CO2e/kg)","GHGE, processor gate (kg CO2e/kg)"),INDIRECT($K258)),GETPIVOTDATA(IF($J258=1,"ACTIVE     GHGE, FARM GATE (kg CO2e/kg)","Count of GHGE, processor gate (kg CO2e/kg)"),'Pivot Table_GHG'!$A$3,"SUB TYPE",$B258))</f>
        <v>30</v>
      </c>
      <c r="R258" s="221">
        <f ca="1">IF($P258="PROXY",DAVERAGE('literature entries'!$D:$AI,IF($J258=1,"ACTIVE     GHGE, FARM GATE (kg CO2e/kg)","GHGE, processor gate (kg CO2e/kg)"),INDIRECT($K258)),GETPIVOTDATA(IF($J258=1,"Average of ACTIVE     GHGE, FARM GATE (kg CO2e/kg)","Average of GHGE, processor gate (kg CO2e/kg)"),'Pivot Table_GHG'!$A$3,"SUB TYPE",$B258))</f>
        <v>0.53448943577564734</v>
      </c>
      <c r="S258" s="221">
        <f ca="1">IF($P258="PROXY",DSTDEV('literature entries'!$D:$AI,IF($J258=1,"ACTIVE     GHGE, FARM GATE (kg CO2e/kg)","GHGE, processor gate (kg CO2e/kg)"),INDIRECT($K258)),GETPIVOTDATA(IF($J258=1,"StdDev of ACTIVE     GHGE, FARM GATE (kg CO2e/kg)","StdDev of GHGE, processor gate (kg CO2e/kg)"),'Pivot Table_GHG'!$A$3,"SUB TYPE",$B258))</f>
        <v>0.86200931416440196</v>
      </c>
      <c r="T258" s="101"/>
      <c r="U258" s="102"/>
      <c r="W258" s="248" t="str">
        <f ca="1">IF(L258="PROXY",IF(M258&gt;=5,K258,"need group"),IF(M258&gt;=5,"DIRECT","need group"))</f>
        <v>tropical_fruit</v>
      </c>
      <c r="X258" s="246">
        <f ca="1">IF($W258="DIRECT",M258,DCOUNT('literature entries'!$D:$AI,IF($J258=1,"ACTIVE     CED, FARM GATE (MJ/kg)","CED, processor gate (MJ/kg)"),INDIRECT($W258)))</f>
        <v>9</v>
      </c>
      <c r="Y258" s="246">
        <f ca="1">IF($W258="DIRECT","",DAVERAGE('literature entries'!$D:$AI,IF($J258=1,"ACTIVE     CED, FARM GATE (MJ/kg)","CED, processor gate (MJ/kg)"),INDIRECT($W258)))</f>
        <v>3.3954128262185184</v>
      </c>
      <c r="Z258" s="246">
        <f ca="1">IF($W258="DIRECT",$O258,DSTDEV('literature entries'!$D:$AI,IF($J258=1,"ACTIVE     CED, FARM GATE (MJ/kg)","CED, processor gate (MJ/kg)"),INDIRECT($W258)))</f>
        <v>2.1698076963305595</v>
      </c>
      <c r="AA258" s="246">
        <f t="shared" ca="1" si="32"/>
        <v>2.1698076963305595</v>
      </c>
      <c r="AB258" s="254" t="str">
        <f ca="1">IF(P258="PROXY",IF(Q258&gt;=5,K258,"need group"),IF(Q258&gt;=5,"DIRECT","need group"))</f>
        <v>tropical_fruit</v>
      </c>
      <c r="AC258" s="247">
        <f ca="1">IF($AB258="DIRECT",Q258,DCOUNT('literature entries'!$D:$AI,IF($J258=1,"ACTIVE     GHGE, FARM GATE (kg CO2e/kg)","GHGE, processor gate (kg CO2e/kg)"),INDIRECT($AB258)))</f>
        <v>30</v>
      </c>
      <c r="AD258" s="247">
        <f ca="1">IF($AB258="DIRECT","",DAVERAGE('literature entries'!$D:$AI,IF($J258=1,"ACTIVE     GHGE, FARM GATE (kg CO2e/kg)","GHGE, processor gate (kg CO2e/kg)"),INDIRECT($AB258)))</f>
        <v>0.53448943577564734</v>
      </c>
      <c r="AE258" s="247">
        <f ca="1">IF($AB258="DIRECT",$S258,DSTDEV('literature entries'!$D:$AI,IF($J258=1,"ACTIVE     GHGE, FARM GATE (kg CO2e/kg)","GHGE, processor gate (kg CO2e/kg)"),INDIRECT($AB258)))</f>
        <v>0.86200931416440196</v>
      </c>
      <c r="AF258" s="247">
        <f t="shared" ca="1" si="33"/>
        <v>0.86200931416440196</v>
      </c>
    </row>
    <row r="259" spans="1:32" s="21" customFormat="1" thickBot="1" x14ac:dyDescent="0.25">
      <c r="A259" s="129">
        <v>2303141000</v>
      </c>
      <c r="B259" s="130" t="s">
        <v>1962</v>
      </c>
      <c r="C259" s="131" t="s">
        <v>1963</v>
      </c>
      <c r="D259" s="131"/>
      <c r="E259" s="131">
        <v>266</v>
      </c>
      <c r="F259" s="126">
        <f t="shared" ca="1" si="28"/>
        <v>21.074524934999999</v>
      </c>
      <c r="G259" s="127">
        <f t="shared" ca="1" si="29"/>
        <v>2.0243347500000004</v>
      </c>
      <c r="H259" s="132">
        <v>1.1100000000000001</v>
      </c>
      <c r="I259" s="132" t="s">
        <v>2724</v>
      </c>
      <c r="J259" s="91">
        <v>1</v>
      </c>
      <c r="K259" s="90"/>
      <c r="L259" s="152" t="str">
        <f>IF(ISERROR(GETPIVOTDATA(IF($J259=1,"Count of ACTIVE     CED, FARM GATE (MJ/kg)","Count of CED, processor gate (MJ/kg)"),'Pivot Table_CED'!$A$3,"SUB TYPE",$B259)),"PROXY",IF(GETPIVOTDATA(IF($J259=1,"Count of ACTIVE     CED, FARM GATE (MJ/kg)","Count of CED, processor gate (MJ/kg)"),'Pivot Table_CED'!$A$3,"SUB TYPE",$B259)=0,"PROXY","DB value"))</f>
        <v>DB value</v>
      </c>
      <c r="M259" s="134">
        <f ca="1">IF($L259="PROXY",DCOUNT('literature entries'!$D:$AI,IF($J259=1,"ACTIVE     CED, FARM GATE (MJ/kg)","CED, processor gate (MJ/kg)"),INDIRECT($K259)),GETPIVOTDATA(IF($J259=1,"Count of ACTIVE     CED, FARM GATE (MJ/kg)","Count of CED, processor gate (MJ/kg)"),'Pivot Table_CED'!$A$3,"SUB TYPE",$B259))</f>
        <v>2</v>
      </c>
      <c r="N259" s="135">
        <f ca="1">IF($L259="PROXY",DAVERAGE('literature entries'!$D:$AI,IF($J259=1,"ACTIVE     CED, FARM GATE (MJ/kg)","CED, processor gate (MJ/kg)"),INDIRECT($K259)),GETPIVOTDATA(IF($J259=1,"Average of ACTIVE     CED, FARM GATE (MJ/kg)","Average of CED, processor gate (MJ/kg)"),'Pivot Table_CED'!$A$3,"SUB TYPE",$B259))</f>
        <v>18.986058499999999</v>
      </c>
      <c r="O259" s="135">
        <f ca="1">IF($L259="PROXY",DSTDEV('literature entries'!D:AI,IF($J259=1,"ACTIVE     CED, FARM GATE (MJ/kg)","CED, processor gate (MJ/kg)"),INDIRECT($K259)),GETPIVOTDATA(IF($J259=1,"StdDev of ACTIVE     CED, FARM GATE (MJ/kg)","StdDev of CED, processor gate (MJ/kg)"),'Pivot Table_CED'!$A$3,"SUB TYPE",$B259))</f>
        <v>1.1712396515422097</v>
      </c>
      <c r="P259" s="152" t="str">
        <f>IF(ISERROR(GETPIVOTDATA(IF($J259=1,"Count of ACTIVE     GHGE, FARM GATE (kg CO2e/kg)","Count of GHGE, processor gate (kg CO2e/kg)"),'Pivot Table_GHG'!$A$3,"SUB TYPE",$B259)),"PROXY",IF(GETPIVOTDATA(IF($J259=1,"Count of ACTIVE     GHGE, FARM GATE (kg CO2e/kg)","Count of GHGE, processor gate (kg CO2e/kg)"),'Pivot Table_GHG'!$A$3,"SUB TYPE",$B259)=0,"PROXY","DB value"))</f>
        <v>DB value</v>
      </c>
      <c r="Q259" s="141">
        <f ca="1">IF($P259="PROXY",DCOUNT('literature entries'!$D:$AI,IF($J259=1,"ACTIVE     GHGE, FARM GATE (kg CO2e/kg)","GHGE, processor gate (kg CO2e/kg)"),INDIRECT($K259)),GETPIVOTDATA(IF($J259=1,"ACTIVE     GHGE, FARM GATE (kg CO2e/kg)","Count of GHGE, processor gate (kg CO2e/kg)"),'Pivot Table_GHG'!$A$3,"SUB TYPE",$B259))</f>
        <v>4</v>
      </c>
      <c r="R259" s="221">
        <f ca="1">IF($P259="PROXY",DAVERAGE('literature entries'!$D:$AI,IF($J259=1,"ACTIVE     GHGE, FARM GATE (kg CO2e/kg)","GHGE, processor gate (kg CO2e/kg)"),INDIRECT($K259)),GETPIVOTDATA(IF($J259=1,"Average of ACTIVE     GHGE, FARM GATE (kg CO2e/kg)","Average of GHGE, processor gate (kg CO2e/kg)"),'Pivot Table_GHG'!$A$3,"SUB TYPE",$B259))</f>
        <v>1.823725</v>
      </c>
      <c r="S259" s="221">
        <f ca="1">IF($P259="PROXY",DSTDEV('literature entries'!$D:$AI,IF($J259=1,"ACTIVE     GHGE, FARM GATE (kg CO2e/kg)","GHGE, processor gate (kg CO2e/kg)"),INDIRECT($K259)),GETPIVOTDATA(IF($J259=1,"StdDev of ACTIVE     GHGE, FARM GATE (kg CO2e/kg)","StdDev of GHGE, processor gate (kg CO2e/kg)"),'Pivot Table_GHG'!$A$3,"SUB TYPE",$B259))</f>
        <v>1.494417160356059</v>
      </c>
      <c r="T259" s="101"/>
      <c r="U259" s="102"/>
      <c r="W259" s="248" t="s">
        <v>3269</v>
      </c>
      <c r="X259" s="246">
        <f ca="1">IF($W259="DIRECT",M259,DCOUNT('literature entries'!$D:$AI,IF($J259=1,"ACTIVE     CED, FARM GATE (MJ/kg)","CED, processor gate (MJ/kg)"),INDIRECT($W259)))</f>
        <v>9</v>
      </c>
      <c r="Y259" s="246">
        <f ca="1">IF($W259="DIRECT","",DAVERAGE('literature entries'!$D:$AI,IF($J259=1,"ACTIVE     CED, FARM GATE (MJ/kg)","CED, processor gate (MJ/kg)"),INDIRECT($W259)))</f>
        <v>3.3954128262185184</v>
      </c>
      <c r="Z259" s="246">
        <f ca="1">IF($W259="DIRECT",$O259,DSTDEV('literature entries'!$D:$AI,IF($J259=1,"ACTIVE     CED, FARM GATE (MJ/kg)","CED, processor gate (MJ/kg)"),INDIRECT($W259)))</f>
        <v>2.1698076963305595</v>
      </c>
      <c r="AA259" s="246">
        <f t="shared" ca="1" si="32"/>
        <v>12.132868067816794</v>
      </c>
      <c r="AB259" s="254" t="s">
        <v>3269</v>
      </c>
      <c r="AC259" s="247">
        <f ca="1">IF($AB259="DIRECT",Q259,DCOUNT('literature entries'!$D:$AI,IF($J259=1,"ACTIVE     GHGE, FARM GATE (kg CO2e/kg)","GHGE, processor gate (kg CO2e/kg)"),INDIRECT($AB259)))</f>
        <v>30</v>
      </c>
      <c r="AD259" s="247">
        <f ca="1">IF($AB259="DIRECT","",DAVERAGE('literature entries'!$D:$AI,IF($J259=1,"ACTIVE     GHGE, FARM GATE (kg CO2e/kg)","GHGE, processor gate (kg CO2e/kg)"),INDIRECT($AB259)))</f>
        <v>0.53448943577564734</v>
      </c>
      <c r="AE259" s="247">
        <f ca="1">IF($AB259="DIRECT",$S259,DSTDEV('literature entries'!$D:$AI,IF($J259=1,"ACTIVE     GHGE, FARM GATE (kg CO2e/kg)","GHGE, processor gate (kg CO2e/kg)"),INDIRECT($AB259)))</f>
        <v>0.86200931416440196</v>
      </c>
      <c r="AF259" s="247">
        <f t="shared" ca="1" si="33"/>
        <v>2.9412516529781363</v>
      </c>
    </row>
    <row r="260" spans="1:32" s="21" customFormat="1" thickBot="1" x14ac:dyDescent="0.25">
      <c r="A260" s="129">
        <v>2401211000</v>
      </c>
      <c r="B260" s="130" t="s">
        <v>2063</v>
      </c>
      <c r="C260" s="131" t="s">
        <v>1842</v>
      </c>
      <c r="D260" s="131"/>
      <c r="E260" s="131">
        <v>6</v>
      </c>
      <c r="F260" s="126">
        <f t="shared" ref="F260:F323" ca="1" si="34">N260*H260+T260</f>
        <v>5.6703394197849253</v>
      </c>
      <c r="G260" s="127">
        <f t="shared" ref="G260:G323" ca="1" si="35">R260*H260+U260</f>
        <v>0.892597357745331</v>
      </c>
      <c r="H260" s="132">
        <v>1.67</v>
      </c>
      <c r="I260" s="132" t="s">
        <v>2724</v>
      </c>
      <c r="J260" s="91">
        <v>1</v>
      </c>
      <c r="K260" s="90" t="s">
        <v>3269</v>
      </c>
      <c r="L260" s="152" t="str">
        <f>IF(ISERROR(GETPIVOTDATA(IF($J260=1,"Count of ACTIVE     CED, FARM GATE (MJ/kg)","Count of CED, processor gate (MJ/kg)"),'Pivot Table_CED'!$A$3,"SUB TYPE",$B260)),"PROXY",IF(GETPIVOTDATA(IF($J260=1,"Count of ACTIVE     CED, FARM GATE (MJ/kg)","Count of CED, processor gate (MJ/kg)"),'Pivot Table_CED'!$A$3,"SUB TYPE",$B260)=0,"PROXY","DB value"))</f>
        <v>PROXY</v>
      </c>
      <c r="M260" s="134">
        <f ca="1">IF($L260="PROXY",DCOUNT('literature entries'!$D:$AI,IF($J260=1,"ACTIVE     CED, FARM GATE (MJ/kg)","CED, processor gate (MJ/kg)"),INDIRECT($K260)),GETPIVOTDATA(IF($J260=1,"Count of ACTIVE     CED, FARM GATE (MJ/kg)","Count of CED, processor gate (MJ/kg)"),'Pivot Table_CED'!$A$3,"SUB TYPE",$B260))</f>
        <v>9</v>
      </c>
      <c r="N260" s="135">
        <f ca="1">IF($L260="PROXY",DAVERAGE('literature entries'!$D:$AI,IF($J260=1,"ACTIVE     CED, FARM GATE (MJ/kg)","CED, processor gate (MJ/kg)"),INDIRECT($K260)),GETPIVOTDATA(IF($J260=1,"Average of ACTIVE     CED, FARM GATE (MJ/kg)","Average of CED, processor gate (MJ/kg)"),'Pivot Table_CED'!$A$3,"SUB TYPE",$B260))</f>
        <v>3.3954128262185184</v>
      </c>
      <c r="O260" s="135">
        <f ca="1">IF($L260="PROXY",DSTDEV('literature entries'!D:AI,IF($J260=1,"ACTIVE     CED, FARM GATE (MJ/kg)","CED, processor gate (MJ/kg)"),INDIRECT($K260)),GETPIVOTDATA(IF($J260=1,"StdDev of ACTIVE     CED, FARM GATE (MJ/kg)","StdDev of CED, processor gate (MJ/kg)"),'Pivot Table_CED'!$A$3,"SUB TYPE",$B260))</f>
        <v>2.1698076963305595</v>
      </c>
      <c r="P260" s="152" t="str">
        <f>IF(ISERROR(GETPIVOTDATA(IF($J260=1,"Count of ACTIVE     GHGE, FARM GATE (kg CO2e/kg)","Count of GHGE, processor gate (kg CO2e/kg)"),'Pivot Table_GHG'!$A$3,"SUB TYPE",$B260)),"PROXY",IF(GETPIVOTDATA(IF($J260=1,"Count of ACTIVE     GHGE, FARM GATE (kg CO2e/kg)","Count of GHGE, processor gate (kg CO2e/kg)"),'Pivot Table_GHG'!$A$3,"SUB TYPE",$B260)=0,"PROXY","DB value"))</f>
        <v>PROXY</v>
      </c>
      <c r="Q260" s="141">
        <f ca="1">IF($P260="PROXY",DCOUNT('literature entries'!$D:$AI,IF($J260=1,"ACTIVE     GHGE, FARM GATE (kg CO2e/kg)","GHGE, processor gate (kg CO2e/kg)"),INDIRECT($K260)),GETPIVOTDATA(IF($J260=1,"ACTIVE     GHGE, FARM GATE (kg CO2e/kg)","Count of GHGE, processor gate (kg CO2e/kg)"),'Pivot Table_GHG'!$A$3,"SUB TYPE",$B260))</f>
        <v>30</v>
      </c>
      <c r="R260" s="221">
        <f ca="1">IF($P260="PROXY",DAVERAGE('literature entries'!$D:$AI,IF($J260=1,"ACTIVE     GHGE, FARM GATE (kg CO2e/kg)","GHGE, processor gate (kg CO2e/kg)"),INDIRECT($K260)),GETPIVOTDATA(IF($J260=1,"Average of ACTIVE     GHGE, FARM GATE (kg CO2e/kg)","Average of GHGE, processor gate (kg CO2e/kg)"),'Pivot Table_GHG'!$A$3,"SUB TYPE",$B260))</f>
        <v>0.53448943577564734</v>
      </c>
      <c r="S260" s="221">
        <f ca="1">IF($P260="PROXY",DSTDEV('literature entries'!$D:$AI,IF($J260=1,"ACTIVE     GHGE, FARM GATE (kg CO2e/kg)","GHGE, processor gate (kg CO2e/kg)"),INDIRECT($K260)),GETPIVOTDATA(IF($J260=1,"StdDev of ACTIVE     GHGE, FARM GATE (kg CO2e/kg)","StdDev of GHGE, processor gate (kg CO2e/kg)"),'Pivot Table_GHG'!$A$3,"SUB TYPE",$B260))</f>
        <v>0.86200931416440196</v>
      </c>
      <c r="T260" s="101"/>
      <c r="U260" s="102"/>
      <c r="W260" s="248" t="str">
        <f ca="1">IF(L260="PROXY",IF(M260&gt;=5,K260,"need group"),IF(M260&gt;=5,"DIRECT","need group"))</f>
        <v>tropical_fruit</v>
      </c>
      <c r="X260" s="246">
        <f ca="1">IF($W260="DIRECT",M260,DCOUNT('literature entries'!$D:$AI,IF($J260=1,"ACTIVE     CED, FARM GATE (MJ/kg)","CED, processor gate (MJ/kg)"),INDIRECT($W260)))</f>
        <v>9</v>
      </c>
      <c r="Y260" s="246">
        <f ca="1">IF($W260="DIRECT","",DAVERAGE('literature entries'!$D:$AI,IF($J260=1,"ACTIVE     CED, FARM GATE (MJ/kg)","CED, processor gate (MJ/kg)"),INDIRECT($W260)))</f>
        <v>3.3954128262185184</v>
      </c>
      <c r="Z260" s="246">
        <f ca="1">IF($W260="DIRECT",$O260,DSTDEV('literature entries'!$D:$AI,IF($J260=1,"ACTIVE     CED, FARM GATE (MJ/kg)","CED, processor gate (MJ/kg)"),INDIRECT($W260)))</f>
        <v>2.1698076963305595</v>
      </c>
      <c r="AA260" s="246">
        <f t="shared" ca="1" si="32"/>
        <v>2.1698076963305595</v>
      </c>
      <c r="AB260" s="254" t="str">
        <f ca="1">IF(P260="PROXY",IF(Q260&gt;=5,K260,"need group"),IF(Q260&gt;=5,"DIRECT","need group"))</f>
        <v>tropical_fruit</v>
      </c>
      <c r="AC260" s="247">
        <f ca="1">IF($AB260="DIRECT",Q260,DCOUNT('literature entries'!$D:$AI,IF($J260=1,"ACTIVE     GHGE, FARM GATE (kg CO2e/kg)","GHGE, processor gate (kg CO2e/kg)"),INDIRECT($AB260)))</f>
        <v>30</v>
      </c>
      <c r="AD260" s="247">
        <f ca="1">IF($AB260="DIRECT","",DAVERAGE('literature entries'!$D:$AI,IF($J260=1,"ACTIVE     GHGE, FARM GATE (kg CO2e/kg)","GHGE, processor gate (kg CO2e/kg)"),INDIRECT($AB260)))</f>
        <v>0.53448943577564734</v>
      </c>
      <c r="AE260" s="247">
        <f ca="1">IF($AB260="DIRECT",$S260,DSTDEV('literature entries'!$D:$AI,IF($J260=1,"ACTIVE     GHGE, FARM GATE (kg CO2e/kg)","GHGE, processor gate (kg CO2e/kg)"),INDIRECT($AB260)))</f>
        <v>0.86200931416440196</v>
      </c>
      <c r="AF260" s="247">
        <f t="shared" ca="1" si="33"/>
        <v>0.86200931416440196</v>
      </c>
    </row>
    <row r="261" spans="1:32" s="21" customFormat="1" thickBot="1" x14ac:dyDescent="0.25">
      <c r="A261" s="129">
        <v>2402020000</v>
      </c>
      <c r="B261" s="130" t="s">
        <v>859</v>
      </c>
      <c r="C261" s="131" t="s">
        <v>1762</v>
      </c>
      <c r="D261" s="131"/>
      <c r="E261" s="131">
        <v>1566</v>
      </c>
      <c r="F261" s="126">
        <f t="shared" ca="1" si="34"/>
        <v>9.18675</v>
      </c>
      <c r="G261" s="127">
        <f t="shared" ca="1" si="35"/>
        <v>0.54674999999999996</v>
      </c>
      <c r="H261" s="132">
        <v>1.35</v>
      </c>
      <c r="I261" s="132" t="s">
        <v>2724</v>
      </c>
      <c r="J261" s="91">
        <v>1</v>
      </c>
      <c r="K261" s="90"/>
      <c r="L261" s="152" t="str">
        <f>IF(ISERROR(GETPIVOTDATA(IF($J261=1,"Count of ACTIVE     CED, FARM GATE (MJ/kg)","Count of CED, processor gate (MJ/kg)"),'Pivot Table_CED'!$A$3,"SUB TYPE",$B261)),"PROXY",IF(GETPIVOTDATA(IF($J261=1,"Count of ACTIVE     CED, FARM GATE (MJ/kg)","Count of CED, processor gate (MJ/kg)"),'Pivot Table_CED'!$A$3,"SUB TYPE",$B261)=0,"PROXY","DB value"))</f>
        <v>DB value</v>
      </c>
      <c r="M261" s="134">
        <f ca="1">IF($L261="PROXY",DCOUNT('literature entries'!$D:$AI,IF($J261=1,"ACTIVE     CED, FARM GATE (MJ/kg)","CED, processor gate (MJ/kg)"),INDIRECT($K261)),GETPIVOTDATA(IF($J261=1,"Count of ACTIVE     CED, FARM GATE (MJ/kg)","Count of CED, processor gate (MJ/kg)"),'Pivot Table_CED'!$A$3,"SUB TYPE",$B261))</f>
        <v>2</v>
      </c>
      <c r="N261" s="135">
        <f ca="1">IF($L261="PROXY",DAVERAGE('literature entries'!$D:$AI,IF($J261=1,"ACTIVE     CED, FARM GATE (MJ/kg)","CED, processor gate (MJ/kg)"),INDIRECT($K261)),GETPIVOTDATA(IF($J261=1,"Average of ACTIVE     CED, FARM GATE (MJ/kg)","Average of CED, processor gate (MJ/kg)"),'Pivot Table_CED'!$A$3,"SUB TYPE",$B261))</f>
        <v>6.8049999999999997</v>
      </c>
      <c r="O261" s="135">
        <f ca="1">IF($L261="PROXY",DSTDEV('literature entries'!D:AI,IF($J261=1,"ACTIVE     CED, FARM GATE (MJ/kg)","CED, processor gate (MJ/kg)"),INDIRECT($K261)),GETPIVOTDATA(IF($J261=1,"StdDev of ACTIVE     CED, FARM GATE (MJ/kg)","StdDev of CED, processor gate (MJ/kg)"),'Pivot Table_CED'!$A$3,"SUB TYPE",$B261))</f>
        <v>1.6899852070358559</v>
      </c>
      <c r="P261" s="152" t="str">
        <f>IF(ISERROR(GETPIVOTDATA(IF($J261=1,"Count of ACTIVE     GHGE, FARM GATE (kg CO2e/kg)","Count of GHGE, processor gate (kg CO2e/kg)"),'Pivot Table_GHG'!$A$3,"SUB TYPE",$B261)),"PROXY",IF(GETPIVOTDATA(IF($J261=1,"Count of ACTIVE     GHGE, FARM GATE (kg CO2e/kg)","Count of GHGE, processor gate (kg CO2e/kg)"),'Pivot Table_GHG'!$A$3,"SUB TYPE",$B261)=0,"PROXY","DB value"))</f>
        <v>DB value</v>
      </c>
      <c r="Q261" s="141">
        <f ca="1">IF($P261="PROXY",DCOUNT('literature entries'!$D:$AI,IF($J261=1,"ACTIVE     GHGE, FARM GATE (kg CO2e/kg)","GHGE, processor gate (kg CO2e/kg)"),INDIRECT($K261)),GETPIVOTDATA(IF($J261=1,"ACTIVE     GHGE, FARM GATE (kg CO2e/kg)","Count of GHGE, processor gate (kg CO2e/kg)"),'Pivot Table_GHG'!$A$3,"SUB TYPE",$B261))</f>
        <v>4</v>
      </c>
      <c r="R261" s="221">
        <f ca="1">IF($P261="PROXY",DAVERAGE('literature entries'!$D:$AI,IF($J261=1,"ACTIVE     GHGE, FARM GATE (kg CO2e/kg)","GHGE, processor gate (kg CO2e/kg)"),INDIRECT($K261)),GETPIVOTDATA(IF($J261=1,"Average of ACTIVE     GHGE, FARM GATE (kg CO2e/kg)","Average of GHGE, processor gate (kg CO2e/kg)"),'Pivot Table_GHG'!$A$3,"SUB TYPE",$B261))</f>
        <v>0.40499999999999997</v>
      </c>
      <c r="S261" s="221">
        <f ca="1">IF($P261="PROXY",DSTDEV('literature entries'!$D:$AI,IF($J261=1,"ACTIVE     GHGE, FARM GATE (kg CO2e/kg)","GHGE, processor gate (kg CO2e/kg)"),INDIRECT($K261)),GETPIVOTDATA(IF($J261=1,"StdDev of ACTIVE     GHGE, FARM GATE (kg CO2e/kg)","StdDev of GHGE, processor gate (kg CO2e/kg)"),'Pivot Table_GHG'!$A$3,"SUB TYPE",$B261))</f>
        <v>0.16481504785668108</v>
      </c>
      <c r="T261" s="101"/>
      <c r="U261" s="102"/>
      <c r="W261" s="248" t="s">
        <v>3269</v>
      </c>
      <c r="X261" s="246">
        <f ca="1">IF($W261="DIRECT",M261,DCOUNT('literature entries'!$D:$AI,IF($J261=1,"ACTIVE     CED, FARM GATE (MJ/kg)","CED, processor gate (MJ/kg)"),INDIRECT($W261)))</f>
        <v>9</v>
      </c>
      <c r="Y261" s="246">
        <f ca="1">IF($W261="DIRECT","",DAVERAGE('literature entries'!$D:$AI,IF($J261=1,"ACTIVE     CED, FARM GATE (MJ/kg)","CED, processor gate (MJ/kg)"),INDIRECT($W261)))</f>
        <v>3.3954128262185184</v>
      </c>
      <c r="Z261" s="246">
        <f ca="1">IF($W261="DIRECT",$O261,DSTDEV('literature entries'!$D:$AI,IF($J261=1,"ACTIVE     CED, FARM GATE (MJ/kg)","CED, processor gate (MJ/kg)"),INDIRECT($W261)))</f>
        <v>2.1698076963305595</v>
      </c>
      <c r="AA261" s="246">
        <f t="shared" ca="1" si="32"/>
        <v>4.3486733806015234</v>
      </c>
      <c r="AB261" s="254" t="s">
        <v>3269</v>
      </c>
      <c r="AC261" s="247">
        <f ca="1">IF($AB261="DIRECT",Q261,DCOUNT('literature entries'!$D:$AI,IF($J261=1,"ACTIVE     GHGE, FARM GATE (kg CO2e/kg)","GHGE, processor gate (kg CO2e/kg)"),INDIRECT($AB261)))</f>
        <v>30</v>
      </c>
      <c r="AD261" s="247">
        <f ca="1">IF($AB261="DIRECT","",DAVERAGE('literature entries'!$D:$AI,IF($J261=1,"ACTIVE     GHGE, FARM GATE (kg CO2e/kg)","GHGE, processor gate (kg CO2e/kg)"),INDIRECT($AB261)))</f>
        <v>0.53448943577564734</v>
      </c>
      <c r="AE261" s="247">
        <f ca="1">IF($AB261="DIRECT",$S261,DSTDEV('literature entries'!$D:$AI,IF($J261=1,"ACTIVE     GHGE, FARM GATE (kg CO2e/kg)","GHGE, processor gate (kg CO2e/kg)"),INDIRECT($AB261)))</f>
        <v>0.86200931416440196</v>
      </c>
      <c r="AF261" s="247">
        <f t="shared" ca="1" si="33"/>
        <v>0.65317244620551074</v>
      </c>
    </row>
    <row r="262" spans="1:32" s="21" customFormat="1" thickBot="1" x14ac:dyDescent="0.25">
      <c r="A262" s="129">
        <v>2402023000</v>
      </c>
      <c r="B262" s="130" t="s">
        <v>1769</v>
      </c>
      <c r="C262" s="131" t="s">
        <v>1770</v>
      </c>
      <c r="D262" s="131"/>
      <c r="E262" s="131">
        <v>20670</v>
      </c>
      <c r="F262" s="126">
        <f t="shared" ca="1" si="34"/>
        <v>3.9790103088215996</v>
      </c>
      <c r="G262" s="127">
        <f t="shared" ca="1" si="35"/>
        <v>0.37410691261867585</v>
      </c>
      <c r="H262" s="132">
        <v>1.56</v>
      </c>
      <c r="I262" s="132" t="s">
        <v>2724</v>
      </c>
      <c r="J262" s="96">
        <v>1</v>
      </c>
      <c r="K262" s="90"/>
      <c r="L262" s="152" t="str">
        <f>IF(ISERROR(GETPIVOTDATA(IF($J262=1,"Count of ACTIVE     CED, FARM GATE (MJ/kg)","Count of CED, processor gate (MJ/kg)"),'Pivot Table_CED'!$A$3,"SUB TYPE",$B262)),"PROXY",IF(GETPIVOTDATA(IF($J262=1,"Count of ACTIVE     CED, FARM GATE (MJ/kg)","Count of CED, processor gate (MJ/kg)"),'Pivot Table_CED'!$A$3,"SUB TYPE",$B262)=0,"PROXY","DB value"))</f>
        <v>DB value</v>
      </c>
      <c r="M262" s="134">
        <f ca="1">IF($L262="PROXY",DCOUNT('literature entries'!$D:$AI,IF($J262=1,"ACTIVE     CED, FARM GATE (MJ/kg)","CED, processor gate (MJ/kg)"),INDIRECT($K262)),GETPIVOTDATA(IF($J262=1,"Count of ACTIVE     CED, FARM GATE (MJ/kg)","Count of CED, processor gate (MJ/kg)"),'Pivot Table_CED'!$A$3,"SUB TYPE",$B262))</f>
        <v>5</v>
      </c>
      <c r="N262" s="135">
        <f ca="1">IF($L262="PROXY",DAVERAGE('literature entries'!$D:$AI,IF($J262=1,"ACTIVE     CED, FARM GATE (MJ/kg)","CED, processor gate (MJ/kg)"),INDIRECT($K262)),GETPIVOTDATA(IF($J262=1,"Average of ACTIVE     CED, FARM GATE (MJ/kg)","Average of CED, processor gate (MJ/kg)"),'Pivot Table_CED'!$A$3,"SUB TYPE",$B262))</f>
        <v>2.5506476338599997</v>
      </c>
      <c r="O262" s="135">
        <f ca="1">IF($L262="PROXY",DSTDEV('literature entries'!D:AI,IF($J262=1,"ACTIVE     CED, FARM GATE (MJ/kg)","CED, processor gate (MJ/kg)"),INDIRECT($K262)),GETPIVOTDATA(IF($J262=1,"StdDev of ACTIVE     CED, FARM GATE (MJ/kg)","StdDev of CED, processor gate (MJ/kg)"),'Pivot Table_CED'!$A$3,"SUB TYPE",$B262))</f>
        <v>0.92727365263139316</v>
      </c>
      <c r="P262" s="152" t="str">
        <f>IF(ISERROR(GETPIVOTDATA(IF($J262=1,"Count of ACTIVE     GHGE, FARM GATE (kg CO2e/kg)","Count of GHGE, processor gate (kg CO2e/kg)"),'Pivot Table_GHG'!$A$3,"SUB TYPE",$B262)),"PROXY",IF(GETPIVOTDATA(IF($J262=1,"Count of ACTIVE     GHGE, FARM GATE (kg CO2e/kg)","Count of GHGE, processor gate (kg CO2e/kg)"),'Pivot Table_GHG'!$A$3,"SUB TYPE",$B262)=0,"PROXY","DB value"))</f>
        <v>DB value</v>
      </c>
      <c r="Q262" s="141">
        <f ca="1">IF($P262="PROXY",DCOUNT('literature entries'!$D:$AI,IF($J262=1,"ACTIVE     GHGE, FARM GATE (kg CO2e/kg)","GHGE, processor gate (kg CO2e/kg)"),INDIRECT($K262)),GETPIVOTDATA(IF($J262=1,"ACTIVE     GHGE, FARM GATE (kg CO2e/kg)","Count of GHGE, processor gate (kg CO2e/kg)"),'Pivot Table_GHG'!$A$3,"SUB TYPE",$B262))</f>
        <v>19</v>
      </c>
      <c r="R262" s="221">
        <f ca="1">IF($P262="PROXY",DAVERAGE('literature entries'!$D:$AI,IF($J262=1,"ACTIVE     GHGE, FARM GATE (kg CO2e/kg)","GHGE, processor gate (kg CO2e/kg)"),INDIRECT($K262)),GETPIVOTDATA(IF($J262=1,"Average of ACTIVE     GHGE, FARM GATE (kg CO2e/kg)","Average of GHGE, processor gate (kg CO2e/kg)"),'Pivot Table_GHG'!$A$3,"SUB TYPE",$B262))</f>
        <v>0.23981212347351016</v>
      </c>
      <c r="S262" s="221">
        <f ca="1">IF($P262="PROXY",DSTDEV('literature entries'!$D:$AI,IF($J262=1,"ACTIVE     GHGE, FARM GATE (kg CO2e/kg)","GHGE, processor gate (kg CO2e/kg)"),INDIRECT($K262)),GETPIVOTDATA(IF($J262=1,"StdDev of ACTIVE     GHGE, FARM GATE (kg CO2e/kg)","StdDev of GHGE, processor gate (kg CO2e/kg)"),'Pivot Table_GHG'!$A$3,"SUB TYPE",$B262))</f>
        <v>6.7822688355273247E-2</v>
      </c>
      <c r="T262" s="101"/>
      <c r="U262" s="102"/>
      <c r="W262" s="248" t="str">
        <f ca="1">IF(L262="PROXY",IF(M262&gt;=5,K262,"need group"),IF(M262&gt;=5,"DIRECT","need group"))</f>
        <v>DIRECT</v>
      </c>
      <c r="X262" s="246">
        <f ca="1">IF($W262="DIRECT",M262,DCOUNT('literature entries'!$D:$AI,IF($J262=1,"ACTIVE     CED, FARM GATE (MJ/kg)","CED, processor gate (MJ/kg)"),INDIRECT($W262)))</f>
        <v>5</v>
      </c>
      <c r="Y262" s="246" t="str">
        <f ca="1">IF($W262="DIRECT","",DAVERAGE('literature entries'!$D:$AI,IF($J262=1,"ACTIVE     CED, FARM GATE (MJ/kg)","CED, processor gate (MJ/kg)"),INDIRECT($W262)))</f>
        <v/>
      </c>
      <c r="Z262" s="246">
        <f ca="1">IF($W262="DIRECT",$O262,DSTDEV('literature entries'!$D:$AI,IF($J262=1,"ACTIVE     CED, FARM GATE (MJ/kg)","CED, processor gate (MJ/kg)"),INDIRECT($W262)))</f>
        <v>0.92727365263139316</v>
      </c>
      <c r="AA262" s="246">
        <f t="shared" ca="1" si="32"/>
        <v>0.92727365263139316</v>
      </c>
      <c r="AB262" s="254" t="str">
        <f ca="1">IF(P262="PROXY",IF(Q262&gt;=5,K262,"need group"),IF(Q262&gt;=5,"DIRECT","need group"))</f>
        <v>DIRECT</v>
      </c>
      <c r="AC262" s="247">
        <f ca="1">IF($AB262="DIRECT",Q262,DCOUNT('literature entries'!$D:$AI,IF($J262=1,"ACTIVE     GHGE, FARM GATE (kg CO2e/kg)","GHGE, processor gate (kg CO2e/kg)"),INDIRECT($AB262)))</f>
        <v>19</v>
      </c>
      <c r="AD262" s="247" t="str">
        <f ca="1">IF($AB262="DIRECT","",DAVERAGE('literature entries'!$D:$AI,IF($J262=1,"ACTIVE     GHGE, FARM GATE (kg CO2e/kg)","GHGE, processor gate (kg CO2e/kg)"),INDIRECT($AB262)))</f>
        <v/>
      </c>
      <c r="AE262" s="247">
        <f ca="1">IF($AB262="DIRECT",$S262,DSTDEV('literature entries'!$D:$AI,IF($J262=1,"ACTIVE     GHGE, FARM GATE (kg CO2e/kg)","GHGE, processor gate (kg CO2e/kg)"),INDIRECT($AB262)))</f>
        <v>6.7822688355273247E-2</v>
      </c>
      <c r="AF262" s="247">
        <f t="shared" ca="1" si="33"/>
        <v>6.7822688355273247E-2</v>
      </c>
    </row>
    <row r="263" spans="1:32" s="21" customFormat="1" ht="17" thickBot="1" x14ac:dyDescent="0.25">
      <c r="A263" s="129">
        <v>2402024000</v>
      </c>
      <c r="B263" s="130" t="s">
        <v>1771</v>
      </c>
      <c r="C263" s="131" t="s">
        <v>1772</v>
      </c>
      <c r="D263" s="131"/>
      <c r="E263" s="131">
        <v>565</v>
      </c>
      <c r="F263" s="126">
        <f t="shared" ca="1" si="34"/>
        <v>15.405911708514399</v>
      </c>
      <c r="G263" s="127">
        <f t="shared" ca="1" si="35"/>
        <v>1.4484652257800015</v>
      </c>
      <c r="H263" s="132">
        <v>6.04</v>
      </c>
      <c r="I263" s="133" t="s">
        <v>2724</v>
      </c>
      <c r="J263" s="91">
        <v>1</v>
      </c>
      <c r="K263" s="90" t="s">
        <v>836</v>
      </c>
      <c r="L263" s="152" t="str">
        <f>IF(ISERROR(GETPIVOTDATA(IF($J263=1,"Count of ACTIVE     CED, FARM GATE (MJ/kg)","Count of CED, processor gate (MJ/kg)"),'Pivot Table_CED'!$A$3,"SUB TYPE",$B263)),"PROXY",IF(GETPIVOTDATA(IF($J263=1,"Count of ACTIVE     CED, FARM GATE (MJ/kg)","Count of CED, processor gate (MJ/kg)"),'Pivot Table_CED'!$A$3,"SUB TYPE",$B263)=0,"PROXY","DB value"))</f>
        <v>PROXY</v>
      </c>
      <c r="M263" s="134">
        <f ca="1">IF($L263="PROXY",DCOUNT('literature entries'!$D:$AI,IF($J263=1,"ACTIVE     CED, FARM GATE (MJ/kg)","CED, processor gate (MJ/kg)"),INDIRECT($K263)),GETPIVOTDATA(IF($J263=1,"Count of ACTIVE     CED, FARM GATE (MJ/kg)","Count of CED, processor gate (MJ/kg)"),'Pivot Table_CED'!$A$3,"SUB TYPE",$B263))</f>
        <v>5</v>
      </c>
      <c r="N263" s="135">
        <f ca="1">IF($L263="PROXY",DAVERAGE('literature entries'!$D:$AI,IF($J263=1,"ACTIVE     CED, FARM GATE (MJ/kg)","CED, processor gate (MJ/kg)"),INDIRECT($K263)),GETPIVOTDATA(IF($J263=1,"Average of ACTIVE     CED, FARM GATE (MJ/kg)","Average of CED, processor gate (MJ/kg)"),'Pivot Table_CED'!$A$3,"SUB TYPE",$B263))</f>
        <v>2.5506476338599997</v>
      </c>
      <c r="O263" s="135">
        <f ca="1">IF($L263="PROXY",DSTDEV('literature entries'!D:AI,IF($J263=1,"ACTIVE     CED, FARM GATE (MJ/kg)","CED, processor gate (MJ/kg)"),INDIRECT($K263)),GETPIVOTDATA(IF($J263=1,"StdDev of ACTIVE     CED, FARM GATE (MJ/kg)","StdDev of CED, processor gate (MJ/kg)"),'Pivot Table_CED'!$A$3,"SUB TYPE",$B263))</f>
        <v>0.92727365263139316</v>
      </c>
      <c r="P263" s="152" t="str">
        <f>IF(ISERROR(GETPIVOTDATA(IF($J263=1,"Count of ACTIVE     GHGE, FARM GATE (kg CO2e/kg)","Count of GHGE, processor gate (kg CO2e/kg)"),'Pivot Table_GHG'!$A$3,"SUB TYPE",$B263)),"PROXY",IF(GETPIVOTDATA(IF($J263=1,"Count of ACTIVE     GHGE, FARM GATE (kg CO2e/kg)","Count of GHGE, processor gate (kg CO2e/kg)"),'Pivot Table_GHG'!$A$3,"SUB TYPE",$B263)=0,"PROXY","DB value"))</f>
        <v>PROXY</v>
      </c>
      <c r="Q263" s="141">
        <f ca="1">IF($P263="PROXY",DCOUNT('literature entries'!$D:$AI,IF($J263=1,"ACTIVE     GHGE, FARM GATE (kg CO2e/kg)","GHGE, processor gate (kg CO2e/kg)"),INDIRECT($K263)),GETPIVOTDATA(IF($J263=1,"ACTIVE     GHGE, FARM GATE (kg CO2e/kg)","Count of GHGE, processor gate (kg CO2e/kg)"),'Pivot Table_GHG'!$A$3,"SUB TYPE",$B263))</f>
        <v>19</v>
      </c>
      <c r="R263" s="221">
        <f ca="1">IF($P263="PROXY",DAVERAGE('literature entries'!$D:$AI,IF($J263=1,"ACTIVE     GHGE, FARM GATE (kg CO2e/kg)","GHGE, processor gate (kg CO2e/kg)"),INDIRECT($K263)),GETPIVOTDATA(IF($J263=1,"Average of ACTIVE     GHGE, FARM GATE (kg CO2e/kg)","Average of GHGE, processor gate (kg CO2e/kg)"),'Pivot Table_GHG'!$A$3,"SUB TYPE",$B263))</f>
        <v>0.23981212347351016</v>
      </c>
      <c r="S263" s="221">
        <f ca="1">IF($P263="PROXY",DSTDEV('literature entries'!$D:$AI,IF($J263=1,"ACTIVE     GHGE, FARM GATE (kg CO2e/kg)","GHGE, processor gate (kg CO2e/kg)"),INDIRECT($K263)),GETPIVOTDATA(IF($J263=1,"StdDev of ACTIVE     GHGE, FARM GATE (kg CO2e/kg)","StdDev of GHGE, processor gate (kg CO2e/kg)"),'Pivot Table_GHG'!$A$3,"SUB TYPE",$B263))</f>
        <v>6.7822688355273247E-2</v>
      </c>
      <c r="T263" s="101"/>
      <c r="U263" s="102"/>
      <c r="W263" s="248" t="str">
        <f ca="1">IF(L263="PROXY",IF(M263&gt;=5,K263,"need group"),IF(M263&gt;=5,"DIRECT","need group"))</f>
        <v>banana</v>
      </c>
      <c r="X263" s="246">
        <f ca="1">IF($W263="DIRECT",M263,DCOUNT('literature entries'!$D:$AI,IF($J263=1,"ACTIVE     CED, FARM GATE (MJ/kg)","CED, processor gate (MJ/kg)"),INDIRECT($W263)))</f>
        <v>5</v>
      </c>
      <c r="Y263" s="246">
        <f ca="1">IF($W263="DIRECT","",DAVERAGE('literature entries'!$D:$AI,IF($J263=1,"ACTIVE     CED, FARM GATE (MJ/kg)","CED, processor gate (MJ/kg)"),INDIRECT($W263)))</f>
        <v>2.5506476338599997</v>
      </c>
      <c r="Z263" s="246">
        <f ca="1">IF($W263="DIRECT",$O263,DSTDEV('literature entries'!$D:$AI,IF($J263=1,"ACTIVE     CED, FARM GATE (MJ/kg)","CED, processor gate (MJ/kg)"),INDIRECT($W263)))</f>
        <v>0.92727365263139316</v>
      </c>
      <c r="AA263" s="246">
        <f t="shared" ca="1" si="32"/>
        <v>0.92727365263139316</v>
      </c>
      <c r="AB263" s="254" t="str">
        <f ca="1">IF(P263="PROXY",IF(Q263&gt;=5,K263,"need group"),IF(Q263&gt;=5,"DIRECT","need group"))</f>
        <v>banana</v>
      </c>
      <c r="AC263" s="247">
        <f ca="1">IF($AB263="DIRECT",Q263,DCOUNT('literature entries'!$D:$AI,IF($J263=1,"ACTIVE     GHGE, FARM GATE (kg CO2e/kg)","GHGE, processor gate (kg CO2e/kg)"),INDIRECT($AB263)))</f>
        <v>19</v>
      </c>
      <c r="AD263" s="247">
        <f ca="1">IF($AB263="DIRECT","",DAVERAGE('literature entries'!$D:$AI,IF($J263=1,"ACTIVE     GHGE, FARM GATE (kg CO2e/kg)","GHGE, processor gate (kg CO2e/kg)"),INDIRECT($AB263)))</f>
        <v>0.23981212347351016</v>
      </c>
      <c r="AE263" s="247">
        <f ca="1">IF($AB263="DIRECT",$S263,DSTDEV('literature entries'!$D:$AI,IF($J263=1,"ACTIVE     GHGE, FARM GATE (kg CO2e/kg)","GHGE, processor gate (kg CO2e/kg)"),INDIRECT($AB263)))</f>
        <v>6.7822688355273247E-2</v>
      </c>
      <c r="AF263" s="247">
        <f t="shared" ca="1" si="33"/>
        <v>6.7822688355273247E-2</v>
      </c>
    </row>
    <row r="264" spans="1:32" s="21" customFormat="1" thickBot="1" x14ac:dyDescent="0.25">
      <c r="A264" s="129">
        <v>2402215000</v>
      </c>
      <c r="B264" s="130" t="s">
        <v>1551</v>
      </c>
      <c r="C264" s="131" t="s">
        <v>1842</v>
      </c>
      <c r="D264" s="131"/>
      <c r="E264" s="131">
        <v>448</v>
      </c>
      <c r="F264" s="126">
        <f t="shared" ca="1" si="34"/>
        <v>4.9233485980168519</v>
      </c>
      <c r="G264" s="127">
        <f t="shared" ca="1" si="35"/>
        <v>0.63944999999999996</v>
      </c>
      <c r="H264" s="132">
        <v>1.45</v>
      </c>
      <c r="I264" s="132" t="s">
        <v>2724</v>
      </c>
      <c r="J264" s="91">
        <v>1</v>
      </c>
      <c r="K264" s="90" t="s">
        <v>3269</v>
      </c>
      <c r="L264" s="152" t="str">
        <f>IF(ISERROR(GETPIVOTDATA(IF($J264=1,"Count of ACTIVE     CED, FARM GATE (MJ/kg)","Count of CED, processor gate (MJ/kg)"),'Pivot Table_CED'!$A$3,"SUB TYPE",$B264)),"PROXY",IF(GETPIVOTDATA(IF($J264=1,"Count of ACTIVE     CED, FARM GATE (MJ/kg)","Count of CED, processor gate (MJ/kg)"),'Pivot Table_CED'!$A$3,"SUB TYPE",$B264)=0,"PROXY","DB value"))</f>
        <v>PROXY</v>
      </c>
      <c r="M264" s="134">
        <f ca="1">IF($L264="PROXY",DCOUNT('literature entries'!$D:$AI,IF($J264=1,"ACTIVE     CED, FARM GATE (MJ/kg)","CED, processor gate (MJ/kg)"),INDIRECT($K264)),GETPIVOTDATA(IF($J264=1,"Count of ACTIVE     CED, FARM GATE (MJ/kg)","Count of CED, processor gate (MJ/kg)"),'Pivot Table_CED'!$A$3,"SUB TYPE",$B264))</f>
        <v>9</v>
      </c>
      <c r="N264" s="135">
        <f ca="1">IF($L264="PROXY",DAVERAGE('literature entries'!$D:$AI,IF($J264=1,"ACTIVE     CED, FARM GATE (MJ/kg)","CED, processor gate (MJ/kg)"),INDIRECT($K264)),GETPIVOTDATA(IF($J264=1,"Average of ACTIVE     CED, FARM GATE (MJ/kg)","Average of CED, processor gate (MJ/kg)"),'Pivot Table_CED'!$A$3,"SUB TYPE",$B264))</f>
        <v>3.3954128262185184</v>
      </c>
      <c r="O264" s="135">
        <f ca="1">IF($L264="PROXY",DSTDEV('literature entries'!D:AI,IF($J264=1,"ACTIVE     CED, FARM GATE (MJ/kg)","CED, processor gate (MJ/kg)"),INDIRECT($K264)),GETPIVOTDATA(IF($J264=1,"StdDev of ACTIVE     CED, FARM GATE (MJ/kg)","StdDev of CED, processor gate (MJ/kg)"),'Pivot Table_CED'!$A$3,"SUB TYPE",$B264))</f>
        <v>2.1698076963305595</v>
      </c>
      <c r="P264" s="152" t="str">
        <f>IF(ISERROR(GETPIVOTDATA(IF($J264=1,"Count of ACTIVE     GHGE, FARM GATE (kg CO2e/kg)","Count of GHGE, processor gate (kg CO2e/kg)"),'Pivot Table_GHG'!$A$3,"SUB TYPE",$B264)),"PROXY",IF(GETPIVOTDATA(IF($J264=1,"Count of ACTIVE     GHGE, FARM GATE (kg CO2e/kg)","Count of GHGE, processor gate (kg CO2e/kg)"),'Pivot Table_GHG'!$A$3,"SUB TYPE",$B264)=0,"PROXY","DB value"))</f>
        <v>DB value</v>
      </c>
      <c r="Q264" s="141">
        <f ca="1">IF($P264="PROXY",DCOUNT('literature entries'!$D:$AI,IF($J264=1,"ACTIVE     GHGE, FARM GATE (kg CO2e/kg)","GHGE, processor gate (kg CO2e/kg)"),INDIRECT($K264)),GETPIVOTDATA(IF($J264=1,"ACTIVE     GHGE, FARM GATE (kg CO2e/kg)","Count of GHGE, processor gate (kg CO2e/kg)"),'Pivot Table_GHG'!$A$3,"SUB TYPE",$B264))</f>
        <v>1</v>
      </c>
      <c r="R264" s="221">
        <f ca="1">IF($P264="PROXY",DAVERAGE('literature entries'!$D:$AI,IF($J264=1,"ACTIVE     GHGE, FARM GATE (kg CO2e/kg)","GHGE, processor gate (kg CO2e/kg)"),INDIRECT($K264)),GETPIVOTDATA(IF($J264=1,"Average of ACTIVE     GHGE, FARM GATE (kg CO2e/kg)","Average of GHGE, processor gate (kg CO2e/kg)"),'Pivot Table_GHG'!$A$3,"SUB TYPE",$B264))</f>
        <v>0.441</v>
      </c>
      <c r="S264" s="221" t="e">
        <f ca="1">IF($P264="PROXY",DSTDEV('literature entries'!$D:$AI,IF($J264=1,"ACTIVE     GHGE, FARM GATE (kg CO2e/kg)","GHGE, processor gate (kg CO2e/kg)"),INDIRECT($K264)),GETPIVOTDATA(IF($J264=1,"StdDev of ACTIVE     GHGE, FARM GATE (kg CO2e/kg)","StdDev of GHGE, processor gate (kg CO2e/kg)"),'Pivot Table_GHG'!$A$3,"SUB TYPE",$B264))</f>
        <v>#DIV/0!</v>
      </c>
      <c r="T264" s="101"/>
      <c r="U264" s="102"/>
      <c r="W264" s="248" t="str">
        <f ca="1">IF(L264="PROXY",IF(M264&gt;=5,K264,"need group"),IF(M264&gt;=5,"DIRECT","need group"))</f>
        <v>tropical_fruit</v>
      </c>
      <c r="X264" s="246">
        <f ca="1">IF($W264="DIRECT",M264,DCOUNT('literature entries'!$D:$AI,IF($J264=1,"ACTIVE     CED, FARM GATE (MJ/kg)","CED, processor gate (MJ/kg)"),INDIRECT($W264)))</f>
        <v>9</v>
      </c>
      <c r="Y264" s="246">
        <f ca="1">IF($W264="DIRECT","",DAVERAGE('literature entries'!$D:$AI,IF($J264=1,"ACTIVE     CED, FARM GATE (MJ/kg)","CED, processor gate (MJ/kg)"),INDIRECT($W264)))</f>
        <v>3.3954128262185184</v>
      </c>
      <c r="Z264" s="246">
        <f ca="1">IF($W264="DIRECT",$O264,DSTDEV('literature entries'!$D:$AI,IF($J264=1,"ACTIVE     CED, FARM GATE (MJ/kg)","CED, processor gate (MJ/kg)"),INDIRECT($W264)))</f>
        <v>2.1698076963305595</v>
      </c>
      <c r="AA264" s="246">
        <f t="shared" ca="1" si="32"/>
        <v>2.1698076963305595</v>
      </c>
      <c r="AB264" s="254" t="s">
        <v>3269</v>
      </c>
      <c r="AC264" s="247">
        <f ca="1">IF($AB264="DIRECT",Q264,DCOUNT('literature entries'!$D:$AI,IF($J264=1,"ACTIVE     GHGE, FARM GATE (kg CO2e/kg)","GHGE, processor gate (kg CO2e/kg)"),INDIRECT($AB264)))</f>
        <v>30</v>
      </c>
      <c r="AD264" s="247">
        <f ca="1">IF($AB264="DIRECT","",DAVERAGE('literature entries'!$D:$AI,IF($J264=1,"ACTIVE     GHGE, FARM GATE (kg CO2e/kg)","GHGE, processor gate (kg CO2e/kg)"),INDIRECT($AB264)))</f>
        <v>0.53448943577564734</v>
      </c>
      <c r="AE264" s="247">
        <f ca="1">IF($AB264="DIRECT",$S264,DSTDEV('literature entries'!$D:$AI,IF($J264=1,"ACTIVE     GHGE, FARM GATE (kg CO2e/kg)","GHGE, processor gate (kg CO2e/kg)"),INDIRECT($AB264)))</f>
        <v>0.86200931416440196</v>
      </c>
      <c r="AF264" s="247">
        <f t="shared" ca="1" si="33"/>
        <v>0.71123221920155622</v>
      </c>
    </row>
    <row r="265" spans="1:32" s="21" customFormat="1" ht="17" thickBot="1" x14ac:dyDescent="0.25">
      <c r="A265" s="129">
        <v>2402216000</v>
      </c>
      <c r="B265" s="130" t="s">
        <v>2065</v>
      </c>
      <c r="C265" s="131" t="s">
        <v>2066</v>
      </c>
      <c r="D265" s="131"/>
      <c r="E265" s="131">
        <v>25</v>
      </c>
      <c r="F265" s="126">
        <f t="shared" ca="1" si="34"/>
        <v>17.12076358564839</v>
      </c>
      <c r="G265" s="127">
        <f t="shared" ca="1" si="35"/>
        <v>2.6950676507671689</v>
      </c>
      <c r="H265" s="136">
        <v>5.0423216444981849</v>
      </c>
      <c r="I265" s="133" t="s">
        <v>2737</v>
      </c>
      <c r="J265" s="91">
        <v>1</v>
      </c>
      <c r="K265" s="90" t="s">
        <v>3269</v>
      </c>
      <c r="L265" s="152" t="str">
        <f>IF(ISERROR(GETPIVOTDATA(IF($J265=1,"Count of ACTIVE     CED, FARM GATE (MJ/kg)","Count of CED, processor gate (MJ/kg)"),'Pivot Table_CED'!$A$3,"SUB TYPE",$B265)),"PROXY",IF(GETPIVOTDATA(IF($J265=1,"Count of ACTIVE     CED, FARM GATE (MJ/kg)","Count of CED, processor gate (MJ/kg)"),'Pivot Table_CED'!$A$3,"SUB TYPE",$B265)=0,"PROXY","DB value"))</f>
        <v>PROXY</v>
      </c>
      <c r="M265" s="134">
        <f ca="1">IF($L265="PROXY",DCOUNT('literature entries'!$D:$AI,IF($J265=1,"ACTIVE     CED, FARM GATE (MJ/kg)","CED, processor gate (MJ/kg)"),INDIRECT($K265)),GETPIVOTDATA(IF($J265=1,"Count of ACTIVE     CED, FARM GATE (MJ/kg)","Count of CED, processor gate (MJ/kg)"),'Pivot Table_CED'!$A$3,"SUB TYPE",$B265))</f>
        <v>9</v>
      </c>
      <c r="N265" s="135">
        <f ca="1">IF($L265="PROXY",DAVERAGE('literature entries'!$D:$AI,IF($J265=1,"ACTIVE     CED, FARM GATE (MJ/kg)","CED, processor gate (MJ/kg)"),INDIRECT($K265)),GETPIVOTDATA(IF($J265=1,"Average of ACTIVE     CED, FARM GATE (MJ/kg)","Average of CED, processor gate (MJ/kg)"),'Pivot Table_CED'!$A$3,"SUB TYPE",$B265))</f>
        <v>3.3954128262185184</v>
      </c>
      <c r="O265" s="135">
        <f ca="1">IF($L265="PROXY",DSTDEV('literature entries'!D:AI,IF($J265=1,"ACTIVE     CED, FARM GATE (MJ/kg)","CED, processor gate (MJ/kg)"),INDIRECT($K265)),GETPIVOTDATA(IF($J265=1,"StdDev of ACTIVE     CED, FARM GATE (MJ/kg)","StdDev of CED, processor gate (MJ/kg)"),'Pivot Table_CED'!$A$3,"SUB TYPE",$B265))</f>
        <v>2.1698076963305595</v>
      </c>
      <c r="P265" s="152" t="str">
        <f>IF(ISERROR(GETPIVOTDATA(IF($J265=1,"Count of ACTIVE     GHGE, FARM GATE (kg CO2e/kg)","Count of GHGE, processor gate (kg CO2e/kg)"),'Pivot Table_GHG'!$A$3,"SUB TYPE",$B265)),"PROXY",IF(GETPIVOTDATA(IF($J265=1,"Count of ACTIVE     GHGE, FARM GATE (kg CO2e/kg)","Count of GHGE, processor gate (kg CO2e/kg)"),'Pivot Table_GHG'!$A$3,"SUB TYPE",$B265)=0,"PROXY","DB value"))</f>
        <v>PROXY</v>
      </c>
      <c r="Q265" s="141">
        <f ca="1">IF($P265="PROXY",DCOUNT('literature entries'!$D:$AI,IF($J265=1,"ACTIVE     GHGE, FARM GATE (kg CO2e/kg)","GHGE, processor gate (kg CO2e/kg)"),INDIRECT($K265)),GETPIVOTDATA(IF($J265=1,"ACTIVE     GHGE, FARM GATE (kg CO2e/kg)","Count of GHGE, processor gate (kg CO2e/kg)"),'Pivot Table_GHG'!$A$3,"SUB TYPE",$B265))</f>
        <v>30</v>
      </c>
      <c r="R265" s="221">
        <f ca="1">IF($P265="PROXY",DAVERAGE('literature entries'!$D:$AI,IF($J265=1,"ACTIVE     GHGE, FARM GATE (kg CO2e/kg)","GHGE, processor gate (kg CO2e/kg)"),INDIRECT($K265)),GETPIVOTDATA(IF($J265=1,"Average of ACTIVE     GHGE, FARM GATE (kg CO2e/kg)","Average of GHGE, processor gate (kg CO2e/kg)"),'Pivot Table_GHG'!$A$3,"SUB TYPE",$B265))</f>
        <v>0.53448943577564734</v>
      </c>
      <c r="S265" s="221">
        <f ca="1">IF($P265="PROXY",DSTDEV('literature entries'!$D:$AI,IF($J265=1,"ACTIVE     GHGE, FARM GATE (kg CO2e/kg)","GHGE, processor gate (kg CO2e/kg)"),INDIRECT($K265)),GETPIVOTDATA(IF($J265=1,"StdDev of ACTIVE     GHGE, FARM GATE (kg CO2e/kg)","StdDev of GHGE, processor gate (kg CO2e/kg)"),'Pivot Table_GHG'!$A$3,"SUB TYPE",$B265))</f>
        <v>0.86200931416440196</v>
      </c>
      <c r="T265" s="101"/>
      <c r="U265" s="102"/>
      <c r="W265" s="248" t="str">
        <f ca="1">IF(L265="PROXY",IF(M265&gt;=5,K265,"need group"),IF(M265&gt;=5,"DIRECT","need group"))</f>
        <v>tropical_fruit</v>
      </c>
      <c r="X265" s="246">
        <f ca="1">IF($W265="DIRECT",M265,DCOUNT('literature entries'!$D:$AI,IF($J265=1,"ACTIVE     CED, FARM GATE (MJ/kg)","CED, processor gate (MJ/kg)"),INDIRECT($W265)))</f>
        <v>9</v>
      </c>
      <c r="Y265" s="246">
        <f ca="1">IF($W265="DIRECT","",DAVERAGE('literature entries'!$D:$AI,IF($J265=1,"ACTIVE     CED, FARM GATE (MJ/kg)","CED, processor gate (MJ/kg)"),INDIRECT($W265)))</f>
        <v>3.3954128262185184</v>
      </c>
      <c r="Z265" s="246">
        <f ca="1">IF($W265="DIRECT",$O265,DSTDEV('literature entries'!$D:$AI,IF($J265=1,"ACTIVE     CED, FARM GATE (MJ/kg)","CED, processor gate (MJ/kg)"),INDIRECT($W265)))</f>
        <v>2.1698076963305595</v>
      </c>
      <c r="AA265" s="246">
        <f t="shared" ref="AA265:AA301" ca="1" si="36">IF($W265="DIRECT",$O265,$Z265/$Y265*$N265)</f>
        <v>2.1698076963305595</v>
      </c>
      <c r="AB265" s="254" t="str">
        <f ca="1">IF(P265="PROXY",IF(Q265&gt;=5,K265,"need group"),IF(Q265&gt;=5,"DIRECT","need group"))</f>
        <v>tropical_fruit</v>
      </c>
      <c r="AC265" s="247">
        <f ca="1">IF($AB265="DIRECT",Q265,DCOUNT('literature entries'!$D:$AI,IF($J265=1,"ACTIVE     GHGE, FARM GATE (kg CO2e/kg)","GHGE, processor gate (kg CO2e/kg)"),INDIRECT($AB265)))</f>
        <v>30</v>
      </c>
      <c r="AD265" s="247">
        <f ca="1">IF($AB265="DIRECT","",DAVERAGE('literature entries'!$D:$AI,IF($J265=1,"ACTIVE     GHGE, FARM GATE (kg CO2e/kg)","GHGE, processor gate (kg CO2e/kg)"),INDIRECT($AB265)))</f>
        <v>0.53448943577564734</v>
      </c>
      <c r="AE265" s="247">
        <f ca="1">IF($AB265="DIRECT",$S265,DSTDEV('literature entries'!$D:$AI,IF($J265=1,"ACTIVE     GHGE, FARM GATE (kg CO2e/kg)","GHGE, processor gate (kg CO2e/kg)"),INDIRECT($AB265)))</f>
        <v>0.86200931416440196</v>
      </c>
      <c r="AF265" s="247">
        <f t="shared" ref="AF265:AF301" ca="1" si="37">IF($AB265="DIRECT",$S265,$AE265/$AD265*$R265)</f>
        <v>0.86200931416440196</v>
      </c>
    </row>
    <row r="266" spans="1:32" s="21" customFormat="1" ht="17" thickBot="1" x14ac:dyDescent="0.25">
      <c r="A266" s="129">
        <v>2402217000</v>
      </c>
      <c r="B266" s="130" t="s">
        <v>2067</v>
      </c>
      <c r="C266" s="131" t="s">
        <v>1742</v>
      </c>
      <c r="D266" s="131"/>
      <c r="E266" s="131">
        <v>6269</v>
      </c>
      <c r="F266" s="126">
        <f t="shared" ca="1" si="34"/>
        <v>11.665376113290815</v>
      </c>
      <c r="G266" s="127">
        <f t="shared" ca="1" si="35"/>
        <v>1.9839192653382169</v>
      </c>
      <c r="H266" s="132">
        <v>1.88</v>
      </c>
      <c r="I266" s="133" t="s">
        <v>878</v>
      </c>
      <c r="J266" s="91">
        <v>1</v>
      </c>
      <c r="K266" s="90" t="s">
        <v>3269</v>
      </c>
      <c r="L266" s="152" t="str">
        <f>IF(ISERROR(GETPIVOTDATA(IF($J266=1,"Count of ACTIVE     CED, FARM GATE (MJ/kg)","Count of CED, processor gate (MJ/kg)"),'Pivot Table_CED'!$A$3,"SUB TYPE",$B266)),"PROXY",IF(GETPIVOTDATA(IF($J266=1,"Count of ACTIVE     CED, FARM GATE (MJ/kg)","Count of CED, processor gate (MJ/kg)"),'Pivot Table_CED'!$A$3,"SUB TYPE",$B266)=0,"PROXY","DB value"))</f>
        <v>PROXY</v>
      </c>
      <c r="M266" s="134">
        <f ca="1">IF($L266="PROXY",DCOUNT('literature entries'!$D:$AI,IF($J266=1,"ACTIVE     CED, FARM GATE (MJ/kg)","CED, processor gate (MJ/kg)"),INDIRECT($K266)),GETPIVOTDATA(IF($J266=1,"Count of ACTIVE     CED, FARM GATE (MJ/kg)","Count of CED, processor gate (MJ/kg)"),'Pivot Table_CED'!$A$3,"SUB TYPE",$B266))</f>
        <v>9</v>
      </c>
      <c r="N266" s="135">
        <f ca="1">IF($L266="PROXY",DAVERAGE('literature entries'!$D:$AI,IF($J266=1,"ACTIVE     CED, FARM GATE (MJ/kg)","CED, processor gate (MJ/kg)"),INDIRECT($K266)),GETPIVOTDATA(IF($J266=1,"Average of ACTIVE     CED, FARM GATE (MJ/kg)","Average of CED, processor gate (MJ/kg)"),'Pivot Table_CED'!$A$3,"SUB TYPE",$B266))</f>
        <v>3.3954128262185184</v>
      </c>
      <c r="O266" s="135">
        <f ca="1">IF($L266="PROXY",DSTDEV('literature entries'!D:AI,IF($J266=1,"ACTIVE     CED, FARM GATE (MJ/kg)","CED, processor gate (MJ/kg)"),INDIRECT($K266)),GETPIVOTDATA(IF($J266=1,"StdDev of ACTIVE     CED, FARM GATE (MJ/kg)","StdDev of CED, processor gate (MJ/kg)"),'Pivot Table_CED'!$A$3,"SUB TYPE",$B266))</f>
        <v>2.1698076963305595</v>
      </c>
      <c r="P266" s="152" t="str">
        <f>IF(ISERROR(GETPIVOTDATA(IF($J266=1,"Count of ACTIVE     GHGE, FARM GATE (kg CO2e/kg)","Count of GHGE, processor gate (kg CO2e/kg)"),'Pivot Table_GHG'!$A$3,"SUB TYPE",$B266)),"PROXY",IF(GETPIVOTDATA(IF($J266=1,"Count of ACTIVE     GHGE, FARM GATE (kg CO2e/kg)","Count of GHGE, processor gate (kg CO2e/kg)"),'Pivot Table_GHG'!$A$3,"SUB TYPE",$B266)=0,"PROXY","DB value"))</f>
        <v>PROXY</v>
      </c>
      <c r="Q266" s="141">
        <f ca="1">IF($P266="PROXY",DCOUNT('literature entries'!$D:$AI,IF($J266=1,"ACTIVE     GHGE, FARM GATE (kg CO2e/kg)","GHGE, processor gate (kg CO2e/kg)"),INDIRECT($K266)),GETPIVOTDATA(IF($J266=1,"ACTIVE     GHGE, FARM GATE (kg CO2e/kg)","Count of GHGE, processor gate (kg CO2e/kg)"),'Pivot Table_GHG'!$A$3,"SUB TYPE",$B266))</f>
        <v>30</v>
      </c>
      <c r="R266" s="221">
        <f ca="1">IF($P266="PROXY",DAVERAGE('literature entries'!$D:$AI,IF($J266=1,"ACTIVE     GHGE, FARM GATE (kg CO2e/kg)","GHGE, processor gate (kg CO2e/kg)"),INDIRECT($K266)),GETPIVOTDATA(IF($J266=1,"Average of ACTIVE     GHGE, FARM GATE (kg CO2e/kg)","Average of GHGE, processor gate (kg CO2e/kg)"),'Pivot Table_GHG'!$A$3,"SUB TYPE",$B266))</f>
        <v>0.53448943577564734</v>
      </c>
      <c r="S266" s="221">
        <f ca="1">IF($P266="PROXY",DSTDEV('literature entries'!$D:$AI,IF($J266=1,"ACTIVE     GHGE, FARM GATE (kg CO2e/kg)","GHGE, processor gate (kg CO2e/kg)"),INDIRECT($K266)),GETPIVOTDATA(IF($J266=1,"StdDev of ACTIVE     GHGE, FARM GATE (kg CO2e/kg)","StdDev of GHGE, processor gate (kg CO2e/kg)"),'Pivot Table_GHG'!$A$3,"SUB TYPE",$B266))</f>
        <v>0.86200931416440196</v>
      </c>
      <c r="T266" s="99">
        <v>5.282</v>
      </c>
      <c r="U266" s="100">
        <v>0.97907912607999992</v>
      </c>
      <c r="W266" s="248" t="str">
        <f ca="1">IF(L266="PROXY",IF(M266&gt;=5,K266,"need group"),IF(M266&gt;=5,"DIRECT","need group"))</f>
        <v>tropical_fruit</v>
      </c>
      <c r="X266" s="246">
        <f ca="1">IF($W266="DIRECT",M266,DCOUNT('literature entries'!$D:$AI,IF($J266=1,"ACTIVE     CED, FARM GATE (MJ/kg)","CED, processor gate (MJ/kg)"),INDIRECT($W266)))</f>
        <v>9</v>
      </c>
      <c r="Y266" s="246">
        <f ca="1">IF($W266="DIRECT","",DAVERAGE('literature entries'!$D:$AI,IF($J266=1,"ACTIVE     CED, FARM GATE (MJ/kg)","CED, processor gate (MJ/kg)"),INDIRECT($W266)))</f>
        <v>3.3954128262185184</v>
      </c>
      <c r="Z266" s="246">
        <f ca="1">IF($W266="DIRECT",$O266,DSTDEV('literature entries'!$D:$AI,IF($J266=1,"ACTIVE     CED, FARM GATE (MJ/kg)","CED, processor gate (MJ/kg)"),INDIRECT($W266)))</f>
        <v>2.1698076963305595</v>
      </c>
      <c r="AA266" s="246">
        <f t="shared" ca="1" si="36"/>
        <v>2.1698076963305595</v>
      </c>
      <c r="AB266" s="254" t="str">
        <f ca="1">IF(P266="PROXY",IF(Q266&gt;=5,K266,"need group"),IF(Q266&gt;=5,"DIRECT","need group"))</f>
        <v>tropical_fruit</v>
      </c>
      <c r="AC266" s="247">
        <f ca="1">IF($AB266="DIRECT",Q266,DCOUNT('literature entries'!$D:$AI,IF($J266=1,"ACTIVE     GHGE, FARM GATE (kg CO2e/kg)","GHGE, processor gate (kg CO2e/kg)"),INDIRECT($AB266)))</f>
        <v>30</v>
      </c>
      <c r="AD266" s="247">
        <f ca="1">IF($AB266="DIRECT","",DAVERAGE('literature entries'!$D:$AI,IF($J266=1,"ACTIVE     GHGE, FARM GATE (kg CO2e/kg)","GHGE, processor gate (kg CO2e/kg)"),INDIRECT($AB266)))</f>
        <v>0.53448943577564734</v>
      </c>
      <c r="AE266" s="247">
        <f ca="1">IF($AB266="DIRECT",$S266,DSTDEV('literature entries'!$D:$AI,IF($J266=1,"ACTIVE     GHGE, FARM GATE (kg CO2e/kg)","GHGE, processor gate (kg CO2e/kg)"),INDIRECT($AB266)))</f>
        <v>0.86200931416440196</v>
      </c>
      <c r="AF266" s="247">
        <f t="shared" ca="1" si="37"/>
        <v>0.86200931416440196</v>
      </c>
    </row>
    <row r="267" spans="1:32" s="21" customFormat="1" thickBot="1" x14ac:dyDescent="0.25">
      <c r="A267" s="129">
        <v>2402245000</v>
      </c>
      <c r="B267" s="130" t="s">
        <v>2115</v>
      </c>
      <c r="C267" s="131" t="s">
        <v>2116</v>
      </c>
      <c r="D267" s="131"/>
      <c r="E267" s="131">
        <v>266</v>
      </c>
      <c r="F267" s="126">
        <f t="shared" ca="1" si="34"/>
        <v>1.9799277939999995</v>
      </c>
      <c r="G267" s="127">
        <f t="shared" ca="1" si="35"/>
        <v>0.2160202</v>
      </c>
      <c r="H267" s="132">
        <v>1.49</v>
      </c>
      <c r="I267" s="132" t="s">
        <v>2724</v>
      </c>
      <c r="J267" s="91">
        <v>1</v>
      </c>
      <c r="K267" s="90"/>
      <c r="L267" s="152" t="str">
        <f>IF(ISERROR(GETPIVOTDATA(IF($J267=1,"Count of ACTIVE     CED, FARM GATE (MJ/kg)","Count of CED, processor gate (MJ/kg)"),'Pivot Table_CED'!$A$3,"SUB TYPE",$B267)),"PROXY",IF(GETPIVOTDATA(IF($J267=1,"Count of ACTIVE     CED, FARM GATE (MJ/kg)","Count of CED, processor gate (MJ/kg)"),'Pivot Table_CED'!$A$3,"SUB TYPE",$B267)=0,"PROXY","DB value"))</f>
        <v>DB value</v>
      </c>
      <c r="M267" s="134">
        <f ca="1">IF($L267="PROXY",DCOUNT('literature entries'!$D:$AI,IF($J267=1,"ACTIVE     CED, FARM GATE (MJ/kg)","CED, processor gate (MJ/kg)"),INDIRECT($K267)),GETPIVOTDATA(IF($J267=1,"Count of ACTIVE     CED, FARM GATE (MJ/kg)","Count of CED, processor gate (MJ/kg)"),'Pivot Table_CED'!$A$3,"SUB TYPE",$B267))</f>
        <v>1</v>
      </c>
      <c r="N267" s="135">
        <f ca="1">IF($L267="PROXY",DAVERAGE('literature entries'!$D:$AI,IF($J267=1,"ACTIVE     CED, FARM GATE (MJ/kg)","CED, processor gate (MJ/kg)"),INDIRECT($K267)),GETPIVOTDATA(IF($J267=1,"Average of ACTIVE     CED, FARM GATE (MJ/kg)","Average of CED, processor gate (MJ/kg)"),'Pivot Table_CED'!$A$3,"SUB TYPE",$B267))</f>
        <v>1.3288105999999997</v>
      </c>
      <c r="O267" s="135">
        <f ca="1">IF($L267="PROXY",DSTDEV('literature entries'!D:AI,IF($J267=1,"ACTIVE     CED, FARM GATE (MJ/kg)","CED, processor gate (MJ/kg)"),INDIRECT($K267)),GETPIVOTDATA(IF($J267=1,"StdDev of ACTIVE     CED, FARM GATE (MJ/kg)","StdDev of CED, processor gate (MJ/kg)"),'Pivot Table_CED'!$A$3,"SUB TYPE",$B267))</f>
        <v>0</v>
      </c>
      <c r="P267" s="152" t="str">
        <f>IF(ISERROR(GETPIVOTDATA(IF($J267=1,"Count of ACTIVE     GHGE, FARM GATE (kg CO2e/kg)","Count of GHGE, processor gate (kg CO2e/kg)"),'Pivot Table_GHG'!$A$3,"SUB TYPE",$B267)),"PROXY",IF(GETPIVOTDATA(IF($J267=1,"Count of ACTIVE     GHGE, FARM GATE (kg CO2e/kg)","Count of GHGE, processor gate (kg CO2e/kg)"),'Pivot Table_GHG'!$A$3,"SUB TYPE",$B267)=0,"PROXY","DB value"))</f>
        <v>DB value</v>
      </c>
      <c r="Q267" s="141">
        <f ca="1">IF($P267="PROXY",DCOUNT('literature entries'!$D:$AI,IF($J267=1,"ACTIVE     GHGE, FARM GATE (kg CO2e/kg)","GHGE, processor gate (kg CO2e/kg)"),INDIRECT($K267)),GETPIVOTDATA(IF($J267=1,"ACTIVE     GHGE, FARM GATE (kg CO2e/kg)","Count of GHGE, processor gate (kg CO2e/kg)"),'Pivot Table_GHG'!$A$3,"SUB TYPE",$B267))</f>
        <v>1</v>
      </c>
      <c r="R267" s="221">
        <f ca="1">IF($P267="PROXY",DAVERAGE('literature entries'!$D:$AI,IF($J267=1,"ACTIVE     GHGE, FARM GATE (kg CO2e/kg)","GHGE, processor gate (kg CO2e/kg)"),INDIRECT($K267)),GETPIVOTDATA(IF($J267=1,"Average of ACTIVE     GHGE, FARM GATE (kg CO2e/kg)","Average of GHGE, processor gate (kg CO2e/kg)"),'Pivot Table_GHG'!$A$3,"SUB TYPE",$B267))</f>
        <v>0.14498</v>
      </c>
      <c r="S267" s="221" t="e">
        <f ca="1">IF($P267="PROXY",DSTDEV('literature entries'!$D:$AI,IF($J267=1,"ACTIVE     GHGE, FARM GATE (kg CO2e/kg)","GHGE, processor gate (kg CO2e/kg)"),INDIRECT($K267)),GETPIVOTDATA(IF($J267=1,"StdDev of ACTIVE     GHGE, FARM GATE (kg CO2e/kg)","StdDev of GHGE, processor gate (kg CO2e/kg)"),'Pivot Table_GHG'!$A$3,"SUB TYPE",$B267))</f>
        <v>#DIV/0!</v>
      </c>
      <c r="T267" s="101"/>
      <c r="U267" s="102"/>
      <c r="W267" s="248" t="s">
        <v>3269</v>
      </c>
      <c r="X267" s="246">
        <f ca="1">IF($W267="DIRECT",M267,DCOUNT('literature entries'!$D:$AI,IF($J267=1,"ACTIVE     CED, FARM GATE (MJ/kg)","CED, processor gate (MJ/kg)"),INDIRECT($W267)))</f>
        <v>9</v>
      </c>
      <c r="Y267" s="246">
        <f ca="1">IF($W267="DIRECT","",DAVERAGE('literature entries'!$D:$AI,IF($J267=1,"ACTIVE     CED, FARM GATE (MJ/kg)","CED, processor gate (MJ/kg)"),INDIRECT($W267)))</f>
        <v>3.3954128262185184</v>
      </c>
      <c r="Z267" s="246">
        <f ca="1">IF($W267="DIRECT",$O267,DSTDEV('literature entries'!$D:$AI,IF($J267=1,"ACTIVE     CED, FARM GATE (MJ/kg)","CED, processor gate (MJ/kg)"),INDIRECT($W267)))</f>
        <v>2.1698076963305595</v>
      </c>
      <c r="AA267" s="246">
        <f t="shared" ca="1" si="36"/>
        <v>0.84916433270846992</v>
      </c>
      <c r="AB267" s="254" t="s">
        <v>3269</v>
      </c>
      <c r="AC267" s="247">
        <f ca="1">IF($AB267="DIRECT",Q267,DCOUNT('literature entries'!$D:$AI,IF($J267=1,"ACTIVE     GHGE, FARM GATE (kg CO2e/kg)","GHGE, processor gate (kg CO2e/kg)"),INDIRECT($AB267)))</f>
        <v>30</v>
      </c>
      <c r="AD267" s="247">
        <f ca="1">IF($AB267="DIRECT","",DAVERAGE('literature entries'!$D:$AI,IF($J267=1,"ACTIVE     GHGE, FARM GATE (kg CO2e/kg)","GHGE, processor gate (kg CO2e/kg)"),INDIRECT($AB267)))</f>
        <v>0.53448943577564734</v>
      </c>
      <c r="AE267" s="247">
        <f ca="1">IF($AB267="DIRECT",$S267,DSTDEV('literature entries'!$D:$AI,IF($J267=1,"ACTIVE     GHGE, FARM GATE (kg CO2e/kg)","GHGE, processor gate (kg CO2e/kg)"),INDIRECT($AB267)))</f>
        <v>0.86200931416440196</v>
      </c>
      <c r="AF267" s="247">
        <f t="shared" ca="1" si="37"/>
        <v>0.23381960802685173</v>
      </c>
    </row>
    <row r="268" spans="1:32" s="21" customFormat="1" ht="17" thickBot="1" x14ac:dyDescent="0.25">
      <c r="A268" s="129">
        <v>2402246000</v>
      </c>
      <c r="B268" s="130" t="s">
        <v>2117</v>
      </c>
      <c r="C268" s="131" t="s">
        <v>2066</v>
      </c>
      <c r="D268" s="131"/>
      <c r="E268" s="131">
        <v>121</v>
      </c>
      <c r="F268" s="126">
        <f t="shared" ca="1" si="34"/>
        <v>14.218273419999996</v>
      </c>
      <c r="G268" s="127">
        <f t="shared" ca="1" si="35"/>
        <v>1.5512859999999999</v>
      </c>
      <c r="H268" s="132">
        <v>10.7</v>
      </c>
      <c r="I268" s="133" t="s">
        <v>2724</v>
      </c>
      <c r="J268" s="91">
        <v>1</v>
      </c>
      <c r="K268" s="90" t="s">
        <v>2770</v>
      </c>
      <c r="L268" s="152" t="str">
        <f>IF(ISERROR(GETPIVOTDATA(IF($J268=1,"Count of ACTIVE     CED, FARM GATE (MJ/kg)","Count of CED, processor gate (MJ/kg)"),'Pivot Table_CED'!$A$3,"SUB TYPE",$B268)),"PROXY",IF(GETPIVOTDATA(IF($J268=1,"Count of ACTIVE     CED, FARM GATE (MJ/kg)","Count of CED, processor gate (MJ/kg)"),'Pivot Table_CED'!$A$3,"SUB TYPE",$B268)=0,"PROXY","DB value"))</f>
        <v>PROXY</v>
      </c>
      <c r="M268" s="134">
        <f ca="1">IF($L268="PROXY",DCOUNT('literature entries'!$D:$AI,IF($J268=1,"ACTIVE     CED, FARM GATE (MJ/kg)","CED, processor gate (MJ/kg)"),INDIRECT($K268)),GETPIVOTDATA(IF($J268=1,"Count of ACTIVE     CED, FARM GATE (MJ/kg)","Count of CED, processor gate (MJ/kg)"),'Pivot Table_CED'!$A$3,"SUB TYPE",$B268))</f>
        <v>1</v>
      </c>
      <c r="N268" s="135">
        <f ca="1">IF($L268="PROXY",DAVERAGE('literature entries'!$D:$AI,IF($J268=1,"ACTIVE     CED, FARM GATE (MJ/kg)","CED, processor gate (MJ/kg)"),INDIRECT($K268)),GETPIVOTDATA(IF($J268=1,"Average of ACTIVE     CED, FARM GATE (MJ/kg)","Average of CED, processor gate (MJ/kg)"),'Pivot Table_CED'!$A$3,"SUB TYPE",$B268))</f>
        <v>1.3288105999999997</v>
      </c>
      <c r="O268" s="135" t="e">
        <f ca="1">IF($L268="PROXY",DSTDEV('literature entries'!D:AI,IF($J268=1,"ACTIVE     CED, FARM GATE (MJ/kg)","CED, processor gate (MJ/kg)"),INDIRECT($K268)),GETPIVOTDATA(IF($J268=1,"StdDev of ACTIVE     CED, FARM GATE (MJ/kg)","StdDev of CED, processor gate (MJ/kg)"),'Pivot Table_CED'!$A$3,"SUB TYPE",$B268))</f>
        <v>#DIV/0!</v>
      </c>
      <c r="P268" s="152" t="str">
        <f>IF(ISERROR(GETPIVOTDATA(IF($J268=1,"Count of ACTIVE     GHGE, FARM GATE (kg CO2e/kg)","Count of GHGE, processor gate (kg CO2e/kg)"),'Pivot Table_GHG'!$A$3,"SUB TYPE",$B268)),"PROXY",IF(GETPIVOTDATA(IF($J268=1,"Count of ACTIVE     GHGE, FARM GATE (kg CO2e/kg)","Count of GHGE, processor gate (kg CO2e/kg)"),'Pivot Table_GHG'!$A$3,"SUB TYPE",$B268)=0,"PROXY","DB value"))</f>
        <v>PROXY</v>
      </c>
      <c r="Q268" s="141">
        <f ca="1">IF($P268="PROXY",DCOUNT('literature entries'!$D:$AI,IF($J268=1,"ACTIVE     GHGE, FARM GATE (kg CO2e/kg)","GHGE, processor gate (kg CO2e/kg)"),INDIRECT($K268)),GETPIVOTDATA(IF($J268=1,"ACTIVE     GHGE, FARM GATE (kg CO2e/kg)","Count of GHGE, processor gate (kg CO2e/kg)"),'Pivot Table_GHG'!$A$3,"SUB TYPE",$B268))</f>
        <v>1</v>
      </c>
      <c r="R268" s="221">
        <f ca="1">IF($P268="PROXY",DAVERAGE('literature entries'!$D:$AI,IF($J268=1,"ACTIVE     GHGE, FARM GATE (kg CO2e/kg)","GHGE, processor gate (kg CO2e/kg)"),INDIRECT($K268)),GETPIVOTDATA(IF($J268=1,"Average of ACTIVE     GHGE, FARM GATE (kg CO2e/kg)","Average of GHGE, processor gate (kg CO2e/kg)"),'Pivot Table_GHG'!$A$3,"SUB TYPE",$B268))</f>
        <v>0.14498</v>
      </c>
      <c r="S268" s="221" t="e">
        <f ca="1">IF($P268="PROXY",DSTDEV('literature entries'!$D:$AI,IF($J268=1,"ACTIVE     GHGE, FARM GATE (kg CO2e/kg)","GHGE, processor gate (kg CO2e/kg)"),INDIRECT($K268)),GETPIVOTDATA(IF($J268=1,"StdDev of ACTIVE     GHGE, FARM GATE (kg CO2e/kg)","StdDev of GHGE, processor gate (kg CO2e/kg)"),'Pivot Table_GHG'!$A$3,"SUB TYPE",$B268))</f>
        <v>#DIV/0!</v>
      </c>
      <c r="T268" s="101"/>
      <c r="U268" s="102"/>
      <c r="W268" s="248" t="s">
        <v>3269</v>
      </c>
      <c r="X268" s="246">
        <f ca="1">IF($W268="DIRECT",M268,DCOUNT('literature entries'!$D:$AI,IF($J268=1,"ACTIVE     CED, FARM GATE (MJ/kg)","CED, processor gate (MJ/kg)"),INDIRECT($W268)))</f>
        <v>9</v>
      </c>
      <c r="Y268" s="246">
        <f ca="1">IF($W268="DIRECT","",DAVERAGE('literature entries'!$D:$AI,IF($J268=1,"ACTIVE     CED, FARM GATE (MJ/kg)","CED, processor gate (MJ/kg)"),INDIRECT($W268)))</f>
        <v>3.3954128262185184</v>
      </c>
      <c r="Z268" s="246">
        <f ca="1">IF($W268="DIRECT",$O268,DSTDEV('literature entries'!$D:$AI,IF($J268=1,"ACTIVE     CED, FARM GATE (MJ/kg)","CED, processor gate (MJ/kg)"),INDIRECT($W268)))</f>
        <v>2.1698076963305595</v>
      </c>
      <c r="AA268" s="246">
        <f t="shared" ca="1" si="36"/>
        <v>0.84916433270846992</v>
      </c>
      <c r="AB268" s="254" t="s">
        <v>3269</v>
      </c>
      <c r="AC268" s="247">
        <f ca="1">IF($AB268="DIRECT",Q268,DCOUNT('literature entries'!$D:$AI,IF($J268=1,"ACTIVE     GHGE, FARM GATE (kg CO2e/kg)","GHGE, processor gate (kg CO2e/kg)"),INDIRECT($AB268)))</f>
        <v>30</v>
      </c>
      <c r="AD268" s="247">
        <f ca="1">IF($AB268="DIRECT","",DAVERAGE('literature entries'!$D:$AI,IF($J268=1,"ACTIVE     GHGE, FARM GATE (kg CO2e/kg)","GHGE, processor gate (kg CO2e/kg)"),INDIRECT($AB268)))</f>
        <v>0.53448943577564734</v>
      </c>
      <c r="AE268" s="247">
        <f ca="1">IF($AB268="DIRECT",$S268,DSTDEV('literature entries'!$D:$AI,IF($J268=1,"ACTIVE     GHGE, FARM GATE (kg CO2e/kg)","GHGE, processor gate (kg CO2e/kg)"),INDIRECT($AB268)))</f>
        <v>0.86200931416440196</v>
      </c>
      <c r="AF268" s="247">
        <f t="shared" ca="1" si="37"/>
        <v>0.23381960802685173</v>
      </c>
    </row>
    <row r="269" spans="1:32" s="21" customFormat="1" ht="17" thickBot="1" x14ac:dyDescent="0.25">
      <c r="A269" s="129">
        <v>2402247000</v>
      </c>
      <c r="B269" s="130" t="s">
        <v>2118</v>
      </c>
      <c r="C269" s="131" t="s">
        <v>1742</v>
      </c>
      <c r="D269" s="131"/>
      <c r="E269" s="131">
        <v>38</v>
      </c>
      <c r="F269" s="126">
        <f t="shared" ca="1" si="34"/>
        <v>7.261927794</v>
      </c>
      <c r="G269" s="127">
        <f t="shared" ca="1" si="35"/>
        <v>1.19509932608</v>
      </c>
      <c r="H269" s="132">
        <v>1.49</v>
      </c>
      <c r="I269" s="133" t="s">
        <v>2724</v>
      </c>
      <c r="J269" s="91">
        <v>1</v>
      </c>
      <c r="K269" s="90" t="s">
        <v>2770</v>
      </c>
      <c r="L269" s="152" t="str">
        <f>IF(ISERROR(GETPIVOTDATA(IF($J269=1,"Count of ACTIVE     CED, FARM GATE (MJ/kg)","Count of CED, processor gate (MJ/kg)"),'Pivot Table_CED'!$A$3,"SUB TYPE",$B269)),"PROXY",IF(GETPIVOTDATA(IF($J269=1,"Count of ACTIVE     CED, FARM GATE (MJ/kg)","Count of CED, processor gate (MJ/kg)"),'Pivot Table_CED'!$A$3,"SUB TYPE",$B269)=0,"PROXY","DB value"))</f>
        <v>PROXY</v>
      </c>
      <c r="M269" s="134">
        <f ca="1">IF($L269="PROXY",DCOUNT('literature entries'!$D:$AI,IF($J269=1,"ACTIVE     CED, FARM GATE (MJ/kg)","CED, processor gate (MJ/kg)"),INDIRECT($K269)),GETPIVOTDATA(IF($J269=1,"Count of ACTIVE     CED, FARM GATE (MJ/kg)","Count of CED, processor gate (MJ/kg)"),'Pivot Table_CED'!$A$3,"SUB TYPE",$B269))</f>
        <v>1</v>
      </c>
      <c r="N269" s="135">
        <f ca="1">IF($L269="PROXY",DAVERAGE('literature entries'!$D:$AI,IF($J269=1,"ACTIVE     CED, FARM GATE (MJ/kg)","CED, processor gate (MJ/kg)"),INDIRECT($K269)),GETPIVOTDATA(IF($J269=1,"Average of ACTIVE     CED, FARM GATE (MJ/kg)","Average of CED, processor gate (MJ/kg)"),'Pivot Table_CED'!$A$3,"SUB TYPE",$B269))</f>
        <v>1.3288105999999997</v>
      </c>
      <c r="O269" s="135" t="e">
        <f ca="1">IF($L269="PROXY",DSTDEV('literature entries'!D:AI,IF($J269=1,"ACTIVE     CED, FARM GATE (MJ/kg)","CED, processor gate (MJ/kg)"),INDIRECT($K269)),GETPIVOTDATA(IF($J269=1,"StdDev of ACTIVE     CED, FARM GATE (MJ/kg)","StdDev of CED, processor gate (MJ/kg)"),'Pivot Table_CED'!$A$3,"SUB TYPE",$B269))</f>
        <v>#DIV/0!</v>
      </c>
      <c r="P269" s="152" t="str">
        <f>IF(ISERROR(GETPIVOTDATA(IF($J269=1,"Count of ACTIVE     GHGE, FARM GATE (kg CO2e/kg)","Count of GHGE, processor gate (kg CO2e/kg)"),'Pivot Table_GHG'!$A$3,"SUB TYPE",$B269)),"PROXY",IF(GETPIVOTDATA(IF($J269=1,"Count of ACTIVE     GHGE, FARM GATE (kg CO2e/kg)","Count of GHGE, processor gate (kg CO2e/kg)"),'Pivot Table_GHG'!$A$3,"SUB TYPE",$B269)=0,"PROXY","DB value"))</f>
        <v>PROXY</v>
      </c>
      <c r="Q269" s="141">
        <f ca="1">IF($P269="PROXY",DCOUNT('literature entries'!$D:$AI,IF($J269=1,"ACTIVE     GHGE, FARM GATE (kg CO2e/kg)","GHGE, processor gate (kg CO2e/kg)"),INDIRECT($K269)),GETPIVOTDATA(IF($J269=1,"ACTIVE     GHGE, FARM GATE (kg CO2e/kg)","Count of GHGE, processor gate (kg CO2e/kg)"),'Pivot Table_GHG'!$A$3,"SUB TYPE",$B269))</f>
        <v>1</v>
      </c>
      <c r="R269" s="221">
        <f ca="1">IF($P269="PROXY",DAVERAGE('literature entries'!$D:$AI,IF($J269=1,"ACTIVE     GHGE, FARM GATE (kg CO2e/kg)","GHGE, processor gate (kg CO2e/kg)"),INDIRECT($K269)),GETPIVOTDATA(IF($J269=1,"Average of ACTIVE     GHGE, FARM GATE (kg CO2e/kg)","Average of GHGE, processor gate (kg CO2e/kg)"),'Pivot Table_GHG'!$A$3,"SUB TYPE",$B269))</f>
        <v>0.14498</v>
      </c>
      <c r="S269" s="221" t="e">
        <f ca="1">IF($P269="PROXY",DSTDEV('literature entries'!$D:$AI,IF($J269=1,"ACTIVE     GHGE, FARM GATE (kg CO2e/kg)","GHGE, processor gate (kg CO2e/kg)"),INDIRECT($K269)),GETPIVOTDATA(IF($J269=1,"StdDev of ACTIVE     GHGE, FARM GATE (kg CO2e/kg)","StdDev of GHGE, processor gate (kg CO2e/kg)"),'Pivot Table_GHG'!$A$3,"SUB TYPE",$B269))</f>
        <v>#DIV/0!</v>
      </c>
      <c r="T269" s="99">
        <v>5.282</v>
      </c>
      <c r="U269" s="100">
        <v>0.97907912608000003</v>
      </c>
      <c r="W269" s="248" t="s">
        <v>3269</v>
      </c>
      <c r="X269" s="246">
        <f ca="1">IF($W269="DIRECT",M269,DCOUNT('literature entries'!$D:$AI,IF($J269=1,"ACTIVE     CED, FARM GATE (MJ/kg)","CED, processor gate (MJ/kg)"),INDIRECT($W269)))</f>
        <v>9</v>
      </c>
      <c r="Y269" s="246">
        <f ca="1">IF($W269="DIRECT","",DAVERAGE('literature entries'!$D:$AI,IF($J269=1,"ACTIVE     CED, FARM GATE (MJ/kg)","CED, processor gate (MJ/kg)"),INDIRECT($W269)))</f>
        <v>3.3954128262185184</v>
      </c>
      <c r="Z269" s="246">
        <f ca="1">IF($W269="DIRECT",$O269,DSTDEV('literature entries'!$D:$AI,IF($J269=1,"ACTIVE     CED, FARM GATE (MJ/kg)","CED, processor gate (MJ/kg)"),INDIRECT($W269)))</f>
        <v>2.1698076963305595</v>
      </c>
      <c r="AA269" s="246">
        <f t="shared" ca="1" si="36"/>
        <v>0.84916433270846992</v>
      </c>
      <c r="AB269" s="254" t="s">
        <v>3269</v>
      </c>
      <c r="AC269" s="247">
        <f ca="1">IF($AB269="DIRECT",Q269,DCOUNT('literature entries'!$D:$AI,IF($J269=1,"ACTIVE     GHGE, FARM GATE (kg CO2e/kg)","GHGE, processor gate (kg CO2e/kg)"),INDIRECT($AB269)))</f>
        <v>30</v>
      </c>
      <c r="AD269" s="247">
        <f ca="1">IF($AB269="DIRECT","",DAVERAGE('literature entries'!$D:$AI,IF($J269=1,"ACTIVE     GHGE, FARM GATE (kg CO2e/kg)","GHGE, processor gate (kg CO2e/kg)"),INDIRECT($AB269)))</f>
        <v>0.53448943577564734</v>
      </c>
      <c r="AE269" s="247">
        <f ca="1">IF($AB269="DIRECT",$S269,DSTDEV('literature entries'!$D:$AI,IF($J269=1,"ACTIVE     GHGE, FARM GATE (kg CO2e/kg)","GHGE, processor gate (kg CO2e/kg)"),INDIRECT($AB269)))</f>
        <v>0.86200931416440196</v>
      </c>
      <c r="AF269" s="247">
        <f t="shared" ca="1" si="37"/>
        <v>0.23381960802685173</v>
      </c>
    </row>
    <row r="270" spans="1:32" s="21" customFormat="1" thickBot="1" x14ac:dyDescent="0.25">
      <c r="A270" s="129">
        <v>2402277000</v>
      </c>
      <c r="B270" s="130" t="s">
        <v>2166</v>
      </c>
      <c r="C270" s="131" t="s">
        <v>2167</v>
      </c>
      <c r="D270" s="131"/>
      <c r="E270" s="131">
        <v>48</v>
      </c>
      <c r="F270" s="126">
        <f t="shared" ca="1" si="34"/>
        <v>2.4180403333333333</v>
      </c>
      <c r="G270" s="127">
        <f t="shared" ca="1" si="35"/>
        <v>0.30692945487198525</v>
      </c>
      <c r="H270" s="132">
        <v>1.19</v>
      </c>
      <c r="I270" s="132" t="s">
        <v>2724</v>
      </c>
      <c r="J270" s="91">
        <v>1</v>
      </c>
      <c r="K270" s="90" t="s">
        <v>3268</v>
      </c>
      <c r="L270" s="152" t="str">
        <f>IF(ISERROR(GETPIVOTDATA(IF($J270=1,"Count of ACTIVE     CED, FARM GATE (MJ/kg)","Count of CED, processor gate (MJ/kg)"),'Pivot Table_CED'!$A$3,"SUB TYPE",$B270)),"PROXY",IF(GETPIVOTDATA(IF($J270=1,"Count of ACTIVE     CED, FARM GATE (MJ/kg)","Count of CED, processor gate (MJ/kg)"),'Pivot Table_CED'!$A$3,"SUB TYPE",$B270)=0,"PROXY","DB value"))</f>
        <v>PROXY</v>
      </c>
      <c r="M270" s="134">
        <f ca="1">IF($L270="PROXY",DCOUNT('literature entries'!$D:$AI,IF($J270=1,"ACTIVE     CED, FARM GATE (MJ/kg)","CED, processor gate (MJ/kg)"),INDIRECT($K270)),GETPIVOTDATA(IF($J270=1,"Count of ACTIVE     CED, FARM GATE (MJ/kg)","Count of CED, processor gate (MJ/kg)"),'Pivot Table_CED'!$A$3,"SUB TYPE",$B270))</f>
        <v>30</v>
      </c>
      <c r="N270" s="135">
        <f ca="1">IF($L270="PROXY",DAVERAGE('literature entries'!$D:$AI,IF($J270=1,"ACTIVE     CED, FARM GATE (MJ/kg)","CED, processor gate (MJ/kg)"),INDIRECT($K270)),GETPIVOTDATA(IF($J270=1,"Average of ACTIVE     CED, FARM GATE (MJ/kg)","Average of CED, processor gate (MJ/kg)"),'Pivot Table_CED'!$A$3,"SUB TYPE",$B270))</f>
        <v>2.0319666666666669</v>
      </c>
      <c r="O270" s="135">
        <f ca="1">IF($L270="PROXY",DSTDEV('literature entries'!D:AI,IF($J270=1,"ACTIVE     CED, FARM GATE (MJ/kg)","CED, processor gate (MJ/kg)"),INDIRECT($K270)),GETPIVOTDATA(IF($J270=1,"StdDev of ACTIVE     CED, FARM GATE (MJ/kg)","StdDev of CED, processor gate (MJ/kg)"),'Pivot Table_CED'!$A$3,"SUB TYPE",$B270))</f>
        <v>1.7780728376790285</v>
      </c>
      <c r="P270" s="152" t="str">
        <f>IF(ISERROR(GETPIVOTDATA(IF($J270=1,"Count of ACTIVE     GHGE, FARM GATE (kg CO2e/kg)","Count of GHGE, processor gate (kg CO2e/kg)"),'Pivot Table_GHG'!$A$3,"SUB TYPE",$B270)),"PROXY",IF(GETPIVOTDATA(IF($J270=1,"Count of ACTIVE     GHGE, FARM GATE (kg CO2e/kg)","Count of GHGE, processor gate (kg CO2e/kg)"),'Pivot Table_GHG'!$A$3,"SUB TYPE",$B270)=0,"PROXY","DB value"))</f>
        <v>PROXY</v>
      </c>
      <c r="Q270" s="141">
        <f ca="1">IF($P270="PROXY",DCOUNT('literature entries'!$D:$AI,IF($J270=1,"ACTIVE     GHGE, FARM GATE (kg CO2e/kg)","GHGE, processor gate (kg CO2e/kg)"),INDIRECT($K270)),GETPIVOTDATA(IF($J270=1,"ACTIVE     GHGE, FARM GATE (kg CO2e/kg)","Count of GHGE, processor gate (kg CO2e/kg)"),'Pivot Table_GHG'!$A$3,"SUB TYPE",$B270))</f>
        <v>59</v>
      </c>
      <c r="R270" s="221">
        <f ca="1">IF($P270="PROXY",DAVERAGE('literature entries'!$D:$AI,IF($J270=1,"ACTIVE     GHGE, FARM GATE (kg CO2e/kg)","GHGE, processor gate (kg CO2e/kg)"),INDIRECT($K270)),GETPIVOTDATA(IF($J270=1,"Average of ACTIVE     GHGE, FARM GATE (kg CO2e/kg)","Average of GHGE, processor gate (kg CO2e/kg)"),'Pivot Table_GHG'!$A$3,"SUB TYPE",$B270))</f>
        <v>0.25792391165713047</v>
      </c>
      <c r="S270" s="221">
        <f ca="1">IF($P270="PROXY",DSTDEV('literature entries'!$D:$AI,IF($J270=1,"ACTIVE     GHGE, FARM GATE (kg CO2e/kg)","GHGE, processor gate (kg CO2e/kg)"),INDIRECT($K270)),GETPIVOTDATA(IF($J270=1,"StdDev of ACTIVE     GHGE, FARM GATE (kg CO2e/kg)","StdDev of GHGE, processor gate (kg CO2e/kg)"),'Pivot Table_GHG'!$A$3,"SUB TYPE",$B270))</f>
        <v>0.22451998550634089</v>
      </c>
      <c r="T270" s="101"/>
      <c r="U270" s="102"/>
      <c r="W270" s="248" t="str">
        <f t="shared" ref="W270:W275" ca="1" si="38">IF(L270="PROXY",IF(M270&gt;=5,K270,"need group"),IF(M270&gt;=5,"DIRECT","need group"))</f>
        <v>tree_fruit</v>
      </c>
      <c r="X270" s="246">
        <f ca="1">IF($W270="DIRECT",M270,DCOUNT('literature entries'!$D:$AI,IF($J270=1,"ACTIVE     CED, FARM GATE (MJ/kg)","CED, processor gate (MJ/kg)"),INDIRECT($W270)))</f>
        <v>30</v>
      </c>
      <c r="Y270" s="246">
        <f ca="1">IF($W270="DIRECT","",DAVERAGE('literature entries'!$D:$AI,IF($J270=1,"ACTIVE     CED, FARM GATE (MJ/kg)","CED, processor gate (MJ/kg)"),INDIRECT($W270)))</f>
        <v>2.0319666666666669</v>
      </c>
      <c r="Z270" s="246">
        <f ca="1">IF($W270="DIRECT",$O270,DSTDEV('literature entries'!$D:$AI,IF($J270=1,"ACTIVE     CED, FARM GATE (MJ/kg)","CED, processor gate (MJ/kg)"),INDIRECT($W270)))</f>
        <v>1.7780728376790285</v>
      </c>
      <c r="AA270" s="246">
        <f t="shared" ca="1" si="36"/>
        <v>1.7780728376790285</v>
      </c>
      <c r="AB270" s="254" t="str">
        <f ca="1">IF(P270="PROXY",IF(Q270&gt;=5,K270,"need group"),IF(Q270&gt;=5,"DIRECT","need group"))</f>
        <v>tree_fruit</v>
      </c>
      <c r="AC270" s="247">
        <f ca="1">IF($AB270="DIRECT",Q270,DCOUNT('literature entries'!$D:$AI,IF($J270=1,"ACTIVE     GHGE, FARM GATE (kg CO2e/kg)","GHGE, processor gate (kg CO2e/kg)"),INDIRECT($AB270)))</f>
        <v>59</v>
      </c>
      <c r="AD270" s="247">
        <f ca="1">IF($AB270="DIRECT","",DAVERAGE('literature entries'!$D:$AI,IF($J270=1,"ACTIVE     GHGE, FARM GATE (kg CO2e/kg)","GHGE, processor gate (kg CO2e/kg)"),INDIRECT($AB270)))</f>
        <v>0.25792391165713047</v>
      </c>
      <c r="AE270" s="247">
        <f ca="1">IF($AB270="DIRECT",$S270,DSTDEV('literature entries'!$D:$AI,IF($J270=1,"ACTIVE     GHGE, FARM GATE (kg CO2e/kg)","GHGE, processor gate (kg CO2e/kg)"),INDIRECT($AB270)))</f>
        <v>0.22451998550634089</v>
      </c>
      <c r="AF270" s="247">
        <f t="shared" ca="1" si="37"/>
        <v>0.22451998550634089</v>
      </c>
    </row>
    <row r="271" spans="1:32" s="21" customFormat="1" ht="17" thickBot="1" x14ac:dyDescent="0.25">
      <c r="A271" s="129">
        <v>2402283000</v>
      </c>
      <c r="B271" s="130" t="s">
        <v>2174</v>
      </c>
      <c r="C271" s="131" t="s">
        <v>2175</v>
      </c>
      <c r="D271" s="131"/>
      <c r="E271" s="131">
        <v>334</v>
      </c>
      <c r="F271" s="126">
        <f t="shared" ca="1" si="34"/>
        <v>3.9279973561443997</v>
      </c>
      <c r="G271" s="127">
        <f t="shared" ca="1" si="35"/>
        <v>2.0482</v>
      </c>
      <c r="H271" s="132">
        <v>1.54</v>
      </c>
      <c r="I271" s="133" t="s">
        <v>2724</v>
      </c>
      <c r="J271" s="91">
        <v>1</v>
      </c>
      <c r="K271" s="90" t="s">
        <v>836</v>
      </c>
      <c r="L271" s="152" t="str">
        <f>IF(ISERROR(GETPIVOTDATA(IF($J271=1,"Count of ACTIVE     CED, FARM GATE (MJ/kg)","Count of CED, processor gate (MJ/kg)"),'Pivot Table_CED'!$A$3,"SUB TYPE",$B271)),"PROXY",IF(GETPIVOTDATA(IF($J271=1,"Count of ACTIVE     CED, FARM GATE (MJ/kg)","Count of CED, processor gate (MJ/kg)"),'Pivot Table_CED'!$A$3,"SUB TYPE",$B271)=0,"PROXY","DB value"))</f>
        <v>PROXY</v>
      </c>
      <c r="M271" s="134">
        <f ca="1">IF($L271="PROXY",DCOUNT('literature entries'!$D:$AI,IF($J271=1,"ACTIVE     CED, FARM GATE (MJ/kg)","CED, processor gate (MJ/kg)"),INDIRECT($K271)),GETPIVOTDATA(IF($J271=1,"Count of ACTIVE     CED, FARM GATE (MJ/kg)","Count of CED, processor gate (MJ/kg)"),'Pivot Table_CED'!$A$3,"SUB TYPE",$B271))</f>
        <v>5</v>
      </c>
      <c r="N271" s="135">
        <f ca="1">IF($L271="PROXY",DAVERAGE('literature entries'!$D:$AI,IF($J271=1,"ACTIVE     CED, FARM GATE (MJ/kg)","CED, processor gate (MJ/kg)"),INDIRECT($K271)),GETPIVOTDATA(IF($J271=1,"Average of ACTIVE     CED, FARM GATE (MJ/kg)","Average of CED, processor gate (MJ/kg)"),'Pivot Table_CED'!$A$3,"SUB TYPE",$B271))</f>
        <v>2.5506476338599997</v>
      </c>
      <c r="O271" s="135">
        <f ca="1">IF($L271="PROXY",DSTDEV('literature entries'!D:AI,IF($J271=1,"ACTIVE     CED, FARM GATE (MJ/kg)","CED, processor gate (MJ/kg)"),INDIRECT($K271)),GETPIVOTDATA(IF($J271=1,"StdDev of ACTIVE     CED, FARM GATE (MJ/kg)","StdDev of CED, processor gate (MJ/kg)"),'Pivot Table_CED'!$A$3,"SUB TYPE",$B271))</f>
        <v>0.92727365263139316</v>
      </c>
      <c r="P271" s="152" t="str">
        <f>IF(ISERROR(GETPIVOTDATA(IF($J271=1,"Count of ACTIVE     GHGE, FARM GATE (kg CO2e/kg)","Count of GHGE, processor gate (kg CO2e/kg)"),'Pivot Table_GHG'!$A$3,"SUB TYPE",$B271)),"PROXY",IF(GETPIVOTDATA(IF($J271=1,"Count of ACTIVE     GHGE, FARM GATE (kg CO2e/kg)","Count of GHGE, processor gate (kg CO2e/kg)"),'Pivot Table_GHG'!$A$3,"SUB TYPE",$B271)=0,"PROXY","DB value"))</f>
        <v>DB value</v>
      </c>
      <c r="Q271" s="141">
        <f ca="1">IF($P271="PROXY",DCOUNT('literature entries'!$D:$AI,IF($J271=1,"ACTIVE     GHGE, FARM GATE (kg CO2e/kg)","GHGE, processor gate (kg CO2e/kg)"),INDIRECT($K271)),GETPIVOTDATA(IF($J271=1,"ACTIVE     GHGE, FARM GATE (kg CO2e/kg)","Count of GHGE, processor gate (kg CO2e/kg)"),'Pivot Table_GHG'!$A$3,"SUB TYPE",$B271))</f>
        <v>1</v>
      </c>
      <c r="R271" s="221">
        <f ca="1">IF($P271="PROXY",DAVERAGE('literature entries'!$D:$AI,IF($J271=1,"ACTIVE     GHGE, FARM GATE (kg CO2e/kg)","GHGE, processor gate (kg CO2e/kg)"),INDIRECT($K271)),GETPIVOTDATA(IF($J271=1,"Average of ACTIVE     GHGE, FARM GATE (kg CO2e/kg)","Average of GHGE, processor gate (kg CO2e/kg)"),'Pivot Table_GHG'!$A$3,"SUB TYPE",$B271))</f>
        <v>1.33</v>
      </c>
      <c r="S271" s="221" t="e">
        <f ca="1">IF($P271="PROXY",DSTDEV('literature entries'!$D:$AI,IF($J271=1,"ACTIVE     GHGE, FARM GATE (kg CO2e/kg)","GHGE, processor gate (kg CO2e/kg)"),INDIRECT($K271)),GETPIVOTDATA(IF($J271=1,"StdDev of ACTIVE     GHGE, FARM GATE (kg CO2e/kg)","StdDev of GHGE, processor gate (kg CO2e/kg)"),'Pivot Table_GHG'!$A$3,"SUB TYPE",$B271))</f>
        <v>#DIV/0!</v>
      </c>
      <c r="T271" s="101"/>
      <c r="U271" s="102"/>
      <c r="W271" s="248" t="str">
        <f t="shared" ca="1" si="38"/>
        <v>banana</v>
      </c>
      <c r="X271" s="246">
        <f ca="1">IF($W271="DIRECT",M271,DCOUNT('literature entries'!$D:$AI,IF($J271=1,"ACTIVE     CED, FARM GATE (MJ/kg)","CED, processor gate (MJ/kg)"),INDIRECT($W271)))</f>
        <v>5</v>
      </c>
      <c r="Y271" s="246">
        <f ca="1">IF($W271="DIRECT","",DAVERAGE('literature entries'!$D:$AI,IF($J271=1,"ACTIVE     CED, FARM GATE (MJ/kg)","CED, processor gate (MJ/kg)"),INDIRECT($W271)))</f>
        <v>2.5506476338599997</v>
      </c>
      <c r="Z271" s="246">
        <f ca="1">IF($W271="DIRECT",$O271,DSTDEV('literature entries'!$D:$AI,IF($J271=1,"ACTIVE     CED, FARM GATE (MJ/kg)","CED, processor gate (MJ/kg)"),INDIRECT($W271)))</f>
        <v>0.92727365263139316</v>
      </c>
      <c r="AA271" s="246">
        <f t="shared" ca="1" si="36"/>
        <v>0.92727365263139316</v>
      </c>
      <c r="AB271" s="254" t="s">
        <v>836</v>
      </c>
      <c r="AC271" s="247">
        <f ca="1">IF($AB271="DIRECT",Q271,DCOUNT('literature entries'!$D:$AI,IF($J271=1,"ACTIVE     GHGE, FARM GATE (kg CO2e/kg)","GHGE, processor gate (kg CO2e/kg)"),INDIRECT($AB271)))</f>
        <v>19</v>
      </c>
      <c r="AD271" s="247">
        <f ca="1">IF($AB271="DIRECT","",DAVERAGE('literature entries'!$D:$AI,IF($J271=1,"ACTIVE     GHGE, FARM GATE (kg CO2e/kg)","GHGE, processor gate (kg CO2e/kg)"),INDIRECT($AB271)))</f>
        <v>0.23981212347351016</v>
      </c>
      <c r="AE271" s="247">
        <f ca="1">IF($AB271="DIRECT",$S271,DSTDEV('literature entries'!$D:$AI,IF($J271=1,"ACTIVE     GHGE, FARM GATE (kg CO2e/kg)","GHGE, processor gate (kg CO2e/kg)"),INDIRECT($AB271)))</f>
        <v>6.7822688355273247E-2</v>
      </c>
      <c r="AF271" s="247">
        <f t="shared" ca="1" si="37"/>
        <v>0.3761451848470766</v>
      </c>
    </row>
    <row r="272" spans="1:32" s="21" customFormat="1" ht="17" thickBot="1" x14ac:dyDescent="0.25">
      <c r="A272" s="129">
        <v>2402284000</v>
      </c>
      <c r="B272" s="130" t="s">
        <v>2176</v>
      </c>
      <c r="C272" s="131" t="s">
        <v>2172</v>
      </c>
      <c r="D272" s="131"/>
      <c r="E272" s="131">
        <v>12</v>
      </c>
      <c r="F272" s="126">
        <f t="shared" ca="1" si="34"/>
        <v>8.0523945800960188</v>
      </c>
      <c r="G272" s="127">
        <f t="shared" ca="1" si="35"/>
        <v>0.75708687380587159</v>
      </c>
      <c r="H272" s="132">
        <v>3.157</v>
      </c>
      <c r="I272" s="133" t="s">
        <v>2724</v>
      </c>
      <c r="J272" s="91">
        <v>1</v>
      </c>
      <c r="K272" s="90" t="s">
        <v>836</v>
      </c>
      <c r="L272" s="152" t="str">
        <f>IF(ISERROR(GETPIVOTDATA(IF($J272=1,"Count of ACTIVE     CED, FARM GATE (MJ/kg)","Count of CED, processor gate (MJ/kg)"),'Pivot Table_CED'!$A$3,"SUB TYPE",$B272)),"PROXY",IF(GETPIVOTDATA(IF($J272=1,"Count of ACTIVE     CED, FARM GATE (MJ/kg)","Count of CED, processor gate (MJ/kg)"),'Pivot Table_CED'!$A$3,"SUB TYPE",$B272)=0,"PROXY","DB value"))</f>
        <v>PROXY</v>
      </c>
      <c r="M272" s="134">
        <f ca="1">IF($L272="PROXY",DCOUNT('literature entries'!$D:$AI,IF($J272=1,"ACTIVE     CED, FARM GATE (MJ/kg)","CED, processor gate (MJ/kg)"),INDIRECT($K272)),GETPIVOTDATA(IF($J272=1,"Count of ACTIVE     CED, FARM GATE (MJ/kg)","Count of CED, processor gate (MJ/kg)"),'Pivot Table_CED'!$A$3,"SUB TYPE",$B272))</f>
        <v>5</v>
      </c>
      <c r="N272" s="135">
        <f ca="1">IF($L272="PROXY",DAVERAGE('literature entries'!$D:$AI,IF($J272=1,"ACTIVE     CED, FARM GATE (MJ/kg)","CED, processor gate (MJ/kg)"),INDIRECT($K272)),GETPIVOTDATA(IF($J272=1,"Average of ACTIVE     CED, FARM GATE (MJ/kg)","Average of CED, processor gate (MJ/kg)"),'Pivot Table_CED'!$A$3,"SUB TYPE",$B272))</f>
        <v>2.5506476338599997</v>
      </c>
      <c r="O272" s="135">
        <f ca="1">IF($L272="PROXY",DSTDEV('literature entries'!D:AI,IF($J272=1,"ACTIVE     CED, FARM GATE (MJ/kg)","CED, processor gate (MJ/kg)"),INDIRECT($K272)),GETPIVOTDATA(IF($J272=1,"StdDev of ACTIVE     CED, FARM GATE (MJ/kg)","StdDev of CED, processor gate (MJ/kg)"),'Pivot Table_CED'!$A$3,"SUB TYPE",$B272))</f>
        <v>0.92727365263139316</v>
      </c>
      <c r="P272" s="152" t="str">
        <f>IF(ISERROR(GETPIVOTDATA(IF($J272=1,"Count of ACTIVE     GHGE, FARM GATE (kg CO2e/kg)","Count of GHGE, processor gate (kg CO2e/kg)"),'Pivot Table_GHG'!$A$3,"SUB TYPE",$B272)),"PROXY",IF(GETPIVOTDATA(IF($J272=1,"Count of ACTIVE     GHGE, FARM GATE (kg CO2e/kg)","Count of GHGE, processor gate (kg CO2e/kg)"),'Pivot Table_GHG'!$A$3,"SUB TYPE",$B272)=0,"PROXY","DB value"))</f>
        <v>PROXY</v>
      </c>
      <c r="Q272" s="141">
        <f ca="1">IF($P272="PROXY",DCOUNT('literature entries'!$D:$AI,IF($J272=1,"ACTIVE     GHGE, FARM GATE (kg CO2e/kg)","GHGE, processor gate (kg CO2e/kg)"),INDIRECT($K272)),GETPIVOTDATA(IF($J272=1,"ACTIVE     GHGE, FARM GATE (kg CO2e/kg)","Count of GHGE, processor gate (kg CO2e/kg)"),'Pivot Table_GHG'!$A$3,"SUB TYPE",$B272))</f>
        <v>19</v>
      </c>
      <c r="R272" s="221">
        <f ca="1">IF($P272="PROXY",DAVERAGE('literature entries'!$D:$AI,IF($J272=1,"ACTIVE     GHGE, FARM GATE (kg CO2e/kg)","GHGE, processor gate (kg CO2e/kg)"),INDIRECT($K272)),GETPIVOTDATA(IF($J272=1,"Average of ACTIVE     GHGE, FARM GATE (kg CO2e/kg)","Average of GHGE, processor gate (kg CO2e/kg)"),'Pivot Table_GHG'!$A$3,"SUB TYPE",$B272))</f>
        <v>0.23981212347351016</v>
      </c>
      <c r="S272" s="221">
        <f ca="1">IF($P272="PROXY",DSTDEV('literature entries'!$D:$AI,IF($J272=1,"ACTIVE     GHGE, FARM GATE (kg CO2e/kg)","GHGE, processor gate (kg CO2e/kg)"),INDIRECT($K272)),GETPIVOTDATA(IF($J272=1,"StdDev of ACTIVE     GHGE, FARM GATE (kg CO2e/kg)","StdDev of GHGE, processor gate (kg CO2e/kg)"),'Pivot Table_GHG'!$A$3,"SUB TYPE",$B272))</f>
        <v>6.7822688355273247E-2</v>
      </c>
      <c r="T272" s="101"/>
      <c r="U272" s="102"/>
      <c r="W272" s="248" t="str">
        <f t="shared" ca="1" si="38"/>
        <v>banana</v>
      </c>
      <c r="X272" s="246">
        <f ca="1">IF($W272="DIRECT",M272,DCOUNT('literature entries'!$D:$AI,IF($J272=1,"ACTIVE     CED, FARM GATE (MJ/kg)","CED, processor gate (MJ/kg)"),INDIRECT($W272)))</f>
        <v>5</v>
      </c>
      <c r="Y272" s="246">
        <f ca="1">IF($W272="DIRECT","",DAVERAGE('literature entries'!$D:$AI,IF($J272=1,"ACTIVE     CED, FARM GATE (MJ/kg)","CED, processor gate (MJ/kg)"),INDIRECT($W272)))</f>
        <v>2.5506476338599997</v>
      </c>
      <c r="Z272" s="246">
        <f ca="1">IF($W272="DIRECT",$O272,DSTDEV('literature entries'!$D:$AI,IF($J272=1,"ACTIVE     CED, FARM GATE (MJ/kg)","CED, processor gate (MJ/kg)"),INDIRECT($W272)))</f>
        <v>0.92727365263139316</v>
      </c>
      <c r="AA272" s="246">
        <f t="shared" ca="1" si="36"/>
        <v>0.92727365263139316</v>
      </c>
      <c r="AB272" s="254" t="str">
        <f ca="1">IF(P272="PROXY",IF(Q272&gt;=5,K272,"need group"),IF(Q272&gt;=5,"DIRECT","need group"))</f>
        <v>banana</v>
      </c>
      <c r="AC272" s="247">
        <f ca="1">IF($AB272="DIRECT",Q272,DCOUNT('literature entries'!$D:$AI,IF($J272=1,"ACTIVE     GHGE, FARM GATE (kg CO2e/kg)","GHGE, processor gate (kg CO2e/kg)"),INDIRECT($AB272)))</f>
        <v>19</v>
      </c>
      <c r="AD272" s="247">
        <f ca="1">IF($AB272="DIRECT","",DAVERAGE('literature entries'!$D:$AI,IF($J272=1,"ACTIVE     GHGE, FARM GATE (kg CO2e/kg)","GHGE, processor gate (kg CO2e/kg)"),INDIRECT($AB272)))</f>
        <v>0.23981212347351016</v>
      </c>
      <c r="AE272" s="247">
        <f ca="1">IF($AB272="DIRECT",$S272,DSTDEV('literature entries'!$D:$AI,IF($J272=1,"ACTIVE     GHGE, FARM GATE (kg CO2e/kg)","GHGE, processor gate (kg CO2e/kg)"),INDIRECT($AB272)))</f>
        <v>6.7822688355273247E-2</v>
      </c>
      <c r="AF272" s="247">
        <f t="shared" ca="1" si="37"/>
        <v>6.7822688355273247E-2</v>
      </c>
    </row>
    <row r="273" spans="1:32" s="21" customFormat="1" ht="17" thickBot="1" x14ac:dyDescent="0.25">
      <c r="A273" s="129">
        <v>2402289000</v>
      </c>
      <c r="B273" s="130" t="s">
        <v>2185</v>
      </c>
      <c r="C273" s="131" t="s">
        <v>2116</v>
      </c>
      <c r="D273" s="131" t="s">
        <v>2186</v>
      </c>
      <c r="E273" s="131">
        <v>39</v>
      </c>
      <c r="F273" s="126">
        <f t="shared" ca="1" si="34"/>
        <v>3.6372203333333339</v>
      </c>
      <c r="G273" s="127">
        <f t="shared" ca="1" si="35"/>
        <v>0.46168380186626357</v>
      </c>
      <c r="H273" s="132">
        <v>1.79</v>
      </c>
      <c r="I273" s="133" t="s">
        <v>2724</v>
      </c>
      <c r="J273" s="91">
        <v>1</v>
      </c>
      <c r="K273" s="90" t="s">
        <v>3268</v>
      </c>
      <c r="L273" s="152" t="str">
        <f>IF(ISERROR(GETPIVOTDATA(IF($J273=1,"Count of ACTIVE     CED, FARM GATE (MJ/kg)","Count of CED, processor gate (MJ/kg)"),'Pivot Table_CED'!$A$3,"SUB TYPE",$B273)),"PROXY",IF(GETPIVOTDATA(IF($J273=1,"Count of ACTIVE     CED, FARM GATE (MJ/kg)","Count of CED, processor gate (MJ/kg)"),'Pivot Table_CED'!$A$3,"SUB TYPE",$B273)=0,"PROXY","DB value"))</f>
        <v>PROXY</v>
      </c>
      <c r="M273" s="134">
        <f ca="1">IF($L273="PROXY",DCOUNT('literature entries'!$D:$AI,IF($J273=1,"ACTIVE     CED, FARM GATE (MJ/kg)","CED, processor gate (MJ/kg)"),INDIRECT($K273)),GETPIVOTDATA(IF($J273=1,"Count of ACTIVE     CED, FARM GATE (MJ/kg)","Count of CED, processor gate (MJ/kg)"),'Pivot Table_CED'!$A$3,"SUB TYPE",$B273))</f>
        <v>30</v>
      </c>
      <c r="N273" s="135">
        <f ca="1">IF($L273="PROXY",DAVERAGE('literature entries'!$D:$AI,IF($J273=1,"ACTIVE     CED, FARM GATE (MJ/kg)","CED, processor gate (MJ/kg)"),INDIRECT($K273)),GETPIVOTDATA(IF($J273=1,"Average of ACTIVE     CED, FARM GATE (MJ/kg)","Average of CED, processor gate (MJ/kg)"),'Pivot Table_CED'!$A$3,"SUB TYPE",$B273))</f>
        <v>2.0319666666666669</v>
      </c>
      <c r="O273" s="135">
        <f ca="1">IF($L273="PROXY",DSTDEV('literature entries'!D:AI,IF($J273=1,"ACTIVE     CED, FARM GATE (MJ/kg)","CED, processor gate (MJ/kg)"),INDIRECT($K273)),GETPIVOTDATA(IF($J273=1,"StdDev of ACTIVE     CED, FARM GATE (MJ/kg)","StdDev of CED, processor gate (MJ/kg)"),'Pivot Table_CED'!$A$3,"SUB TYPE",$B273))</f>
        <v>1.7780728376790285</v>
      </c>
      <c r="P273" s="152" t="str">
        <f>IF(ISERROR(GETPIVOTDATA(IF($J273=1,"Count of ACTIVE     GHGE, FARM GATE (kg CO2e/kg)","Count of GHGE, processor gate (kg CO2e/kg)"),'Pivot Table_GHG'!$A$3,"SUB TYPE",$B273)),"PROXY",IF(GETPIVOTDATA(IF($J273=1,"Count of ACTIVE     GHGE, FARM GATE (kg CO2e/kg)","Count of GHGE, processor gate (kg CO2e/kg)"),'Pivot Table_GHG'!$A$3,"SUB TYPE",$B273)=0,"PROXY","DB value"))</f>
        <v>PROXY</v>
      </c>
      <c r="Q273" s="141">
        <f ca="1">IF($P273="PROXY",DCOUNT('literature entries'!$D:$AI,IF($J273=1,"ACTIVE     GHGE, FARM GATE (kg CO2e/kg)","GHGE, processor gate (kg CO2e/kg)"),INDIRECT($K273)),GETPIVOTDATA(IF($J273=1,"ACTIVE     GHGE, FARM GATE (kg CO2e/kg)","Count of GHGE, processor gate (kg CO2e/kg)"),'Pivot Table_GHG'!$A$3,"SUB TYPE",$B273))</f>
        <v>59</v>
      </c>
      <c r="R273" s="221">
        <f ca="1">IF($P273="PROXY",DAVERAGE('literature entries'!$D:$AI,IF($J273=1,"ACTIVE     GHGE, FARM GATE (kg CO2e/kg)","GHGE, processor gate (kg CO2e/kg)"),INDIRECT($K273)),GETPIVOTDATA(IF($J273=1,"Average of ACTIVE     GHGE, FARM GATE (kg CO2e/kg)","Average of GHGE, processor gate (kg CO2e/kg)"),'Pivot Table_GHG'!$A$3,"SUB TYPE",$B273))</f>
        <v>0.25792391165713047</v>
      </c>
      <c r="S273" s="221">
        <f ca="1">IF($P273="PROXY",DSTDEV('literature entries'!$D:$AI,IF($J273=1,"ACTIVE     GHGE, FARM GATE (kg CO2e/kg)","GHGE, processor gate (kg CO2e/kg)"),INDIRECT($K273)),GETPIVOTDATA(IF($J273=1,"StdDev of ACTIVE     GHGE, FARM GATE (kg CO2e/kg)","StdDev of GHGE, processor gate (kg CO2e/kg)"),'Pivot Table_GHG'!$A$3,"SUB TYPE",$B273))</f>
        <v>0.22451998550634089</v>
      </c>
      <c r="T273" s="101"/>
      <c r="U273" s="102"/>
      <c r="W273" s="248" t="str">
        <f t="shared" ca="1" si="38"/>
        <v>tree_fruit</v>
      </c>
      <c r="X273" s="246">
        <f ca="1">IF($W273="DIRECT",M273,DCOUNT('literature entries'!$D:$AI,IF($J273=1,"ACTIVE     CED, FARM GATE (MJ/kg)","CED, processor gate (MJ/kg)"),INDIRECT($W273)))</f>
        <v>30</v>
      </c>
      <c r="Y273" s="246">
        <f ca="1">IF($W273="DIRECT","",DAVERAGE('literature entries'!$D:$AI,IF($J273=1,"ACTIVE     CED, FARM GATE (MJ/kg)","CED, processor gate (MJ/kg)"),INDIRECT($W273)))</f>
        <v>2.0319666666666669</v>
      </c>
      <c r="Z273" s="246">
        <f ca="1">IF($W273="DIRECT",$O273,DSTDEV('literature entries'!$D:$AI,IF($J273=1,"ACTIVE     CED, FARM GATE (MJ/kg)","CED, processor gate (MJ/kg)"),INDIRECT($W273)))</f>
        <v>1.7780728376790285</v>
      </c>
      <c r="AA273" s="246">
        <f t="shared" ca="1" si="36"/>
        <v>1.7780728376790285</v>
      </c>
      <c r="AB273" s="254" t="str">
        <f ca="1">IF(P273="PROXY",IF(Q273&gt;=5,K273,"need group"),IF(Q273&gt;=5,"DIRECT","need group"))</f>
        <v>tree_fruit</v>
      </c>
      <c r="AC273" s="247">
        <f ca="1">IF($AB273="DIRECT",Q273,DCOUNT('literature entries'!$D:$AI,IF($J273=1,"ACTIVE     GHGE, FARM GATE (kg CO2e/kg)","GHGE, processor gate (kg CO2e/kg)"),INDIRECT($AB273)))</f>
        <v>59</v>
      </c>
      <c r="AD273" s="247">
        <f ca="1">IF($AB273="DIRECT","",DAVERAGE('literature entries'!$D:$AI,IF($J273=1,"ACTIVE     GHGE, FARM GATE (kg CO2e/kg)","GHGE, processor gate (kg CO2e/kg)"),INDIRECT($AB273)))</f>
        <v>0.25792391165713047</v>
      </c>
      <c r="AE273" s="247">
        <f ca="1">IF($AB273="DIRECT",$S273,DSTDEV('literature entries'!$D:$AI,IF($J273=1,"ACTIVE     GHGE, FARM GATE (kg CO2e/kg)","GHGE, processor gate (kg CO2e/kg)"),INDIRECT($AB273)))</f>
        <v>0.22451998550634089</v>
      </c>
      <c r="AF273" s="247">
        <f t="shared" ca="1" si="37"/>
        <v>0.22451998550634089</v>
      </c>
    </row>
    <row r="274" spans="1:32" s="21" customFormat="1" ht="17" thickBot="1" x14ac:dyDescent="0.25">
      <c r="A274" s="129">
        <v>2402290000</v>
      </c>
      <c r="B274" s="130" t="s">
        <v>2187</v>
      </c>
      <c r="C274" s="131" t="s">
        <v>1808</v>
      </c>
      <c r="D274" s="131" t="s">
        <v>1809</v>
      </c>
      <c r="E274" s="131">
        <v>41</v>
      </c>
      <c r="F274" s="126">
        <f t="shared" ca="1" si="34"/>
        <v>12.556440666666667</v>
      </c>
      <c r="G274" s="127">
        <f t="shared" ca="1" si="35"/>
        <v>1.9024467298125272</v>
      </c>
      <c r="H274" s="132">
        <v>3.58</v>
      </c>
      <c r="I274" s="133" t="s">
        <v>2724</v>
      </c>
      <c r="J274" s="91">
        <v>1</v>
      </c>
      <c r="K274" s="90" t="s">
        <v>3268</v>
      </c>
      <c r="L274" s="152" t="str">
        <f>IF(ISERROR(GETPIVOTDATA(IF($J274=1,"Count of ACTIVE     CED, FARM GATE (MJ/kg)","Count of CED, processor gate (MJ/kg)"),'Pivot Table_CED'!$A$3,"SUB TYPE",$B274)),"PROXY",IF(GETPIVOTDATA(IF($J274=1,"Count of ACTIVE     CED, FARM GATE (MJ/kg)","Count of CED, processor gate (MJ/kg)"),'Pivot Table_CED'!$A$3,"SUB TYPE",$B274)=0,"PROXY","DB value"))</f>
        <v>PROXY</v>
      </c>
      <c r="M274" s="134">
        <f ca="1">IF($L274="PROXY",DCOUNT('literature entries'!$D:$AI,IF($J274=1,"ACTIVE     CED, FARM GATE (MJ/kg)","CED, processor gate (MJ/kg)"),INDIRECT($K274)),GETPIVOTDATA(IF($J274=1,"Count of ACTIVE     CED, FARM GATE (MJ/kg)","Count of CED, processor gate (MJ/kg)"),'Pivot Table_CED'!$A$3,"SUB TYPE",$B274))</f>
        <v>30</v>
      </c>
      <c r="N274" s="135">
        <f ca="1">IF($L274="PROXY",DAVERAGE('literature entries'!$D:$AI,IF($J274=1,"ACTIVE     CED, FARM GATE (MJ/kg)","CED, processor gate (MJ/kg)"),INDIRECT($K274)),GETPIVOTDATA(IF($J274=1,"Average of ACTIVE     CED, FARM GATE (MJ/kg)","Average of CED, processor gate (MJ/kg)"),'Pivot Table_CED'!$A$3,"SUB TYPE",$B274))</f>
        <v>2.0319666666666669</v>
      </c>
      <c r="O274" s="135">
        <f ca="1">IF($L274="PROXY",DSTDEV('literature entries'!D:AI,IF($J274=1,"ACTIVE     CED, FARM GATE (MJ/kg)","CED, processor gate (MJ/kg)"),INDIRECT($K274)),GETPIVOTDATA(IF($J274=1,"StdDev of ACTIVE     CED, FARM GATE (MJ/kg)","StdDev of CED, processor gate (MJ/kg)"),'Pivot Table_CED'!$A$3,"SUB TYPE",$B274))</f>
        <v>1.7780728376790285</v>
      </c>
      <c r="P274" s="152" t="str">
        <f>IF(ISERROR(GETPIVOTDATA(IF($J274=1,"Count of ACTIVE     GHGE, FARM GATE (kg CO2e/kg)","Count of GHGE, processor gate (kg CO2e/kg)"),'Pivot Table_GHG'!$A$3,"SUB TYPE",$B274)),"PROXY",IF(GETPIVOTDATA(IF($J274=1,"Count of ACTIVE     GHGE, FARM GATE (kg CO2e/kg)","Count of GHGE, processor gate (kg CO2e/kg)"),'Pivot Table_GHG'!$A$3,"SUB TYPE",$B274)=0,"PROXY","DB value"))</f>
        <v>PROXY</v>
      </c>
      <c r="Q274" s="141">
        <f ca="1">IF($P274="PROXY",DCOUNT('literature entries'!$D:$AI,IF($J274=1,"ACTIVE     GHGE, FARM GATE (kg CO2e/kg)","GHGE, processor gate (kg CO2e/kg)"),INDIRECT($K274)),GETPIVOTDATA(IF($J274=1,"ACTIVE     GHGE, FARM GATE (kg CO2e/kg)","Count of GHGE, processor gate (kg CO2e/kg)"),'Pivot Table_GHG'!$A$3,"SUB TYPE",$B274))</f>
        <v>59</v>
      </c>
      <c r="R274" s="221">
        <f ca="1">IF($P274="PROXY",DAVERAGE('literature entries'!$D:$AI,IF($J274=1,"ACTIVE     GHGE, FARM GATE (kg CO2e/kg)","GHGE, processor gate (kg CO2e/kg)"),INDIRECT($K274)),GETPIVOTDATA(IF($J274=1,"Average of ACTIVE     GHGE, FARM GATE (kg CO2e/kg)","Average of GHGE, processor gate (kg CO2e/kg)"),'Pivot Table_GHG'!$A$3,"SUB TYPE",$B274))</f>
        <v>0.25792391165713047</v>
      </c>
      <c r="S274" s="221">
        <f ca="1">IF($P274="PROXY",DSTDEV('literature entries'!$D:$AI,IF($J274=1,"ACTIVE     GHGE, FARM GATE (kg CO2e/kg)","GHGE, processor gate (kg CO2e/kg)"),INDIRECT($K274)),GETPIVOTDATA(IF($J274=1,"StdDev of ACTIVE     GHGE, FARM GATE (kg CO2e/kg)","StdDev of GHGE, processor gate (kg CO2e/kg)"),'Pivot Table_GHG'!$A$3,"SUB TYPE",$B274))</f>
        <v>0.22451998550634089</v>
      </c>
      <c r="T274" s="99">
        <v>5.282</v>
      </c>
      <c r="U274" s="100">
        <v>0.97907912607999992</v>
      </c>
      <c r="W274" s="248" t="str">
        <f t="shared" ca="1" si="38"/>
        <v>tree_fruit</v>
      </c>
      <c r="X274" s="246">
        <f ca="1">IF($W274="DIRECT",M274,DCOUNT('literature entries'!$D:$AI,IF($J274=1,"ACTIVE     CED, FARM GATE (MJ/kg)","CED, processor gate (MJ/kg)"),INDIRECT($W274)))</f>
        <v>30</v>
      </c>
      <c r="Y274" s="246">
        <f ca="1">IF($W274="DIRECT","",DAVERAGE('literature entries'!$D:$AI,IF($J274=1,"ACTIVE     CED, FARM GATE (MJ/kg)","CED, processor gate (MJ/kg)"),INDIRECT($W274)))</f>
        <v>2.0319666666666669</v>
      </c>
      <c r="Z274" s="246">
        <f ca="1">IF($W274="DIRECT",$O274,DSTDEV('literature entries'!$D:$AI,IF($J274=1,"ACTIVE     CED, FARM GATE (MJ/kg)","CED, processor gate (MJ/kg)"),INDIRECT($W274)))</f>
        <v>1.7780728376790285</v>
      </c>
      <c r="AA274" s="246">
        <f t="shared" ca="1" si="36"/>
        <v>1.7780728376790285</v>
      </c>
      <c r="AB274" s="254" t="str">
        <f ca="1">IF(P274="PROXY",IF(Q274&gt;=5,K274,"need group"),IF(Q274&gt;=5,"DIRECT","need group"))</f>
        <v>tree_fruit</v>
      </c>
      <c r="AC274" s="247">
        <f ca="1">IF($AB274="DIRECT",Q274,DCOUNT('literature entries'!$D:$AI,IF($J274=1,"ACTIVE     GHGE, FARM GATE (kg CO2e/kg)","GHGE, processor gate (kg CO2e/kg)"),INDIRECT($AB274)))</f>
        <v>59</v>
      </c>
      <c r="AD274" s="247">
        <f ca="1">IF($AB274="DIRECT","",DAVERAGE('literature entries'!$D:$AI,IF($J274=1,"ACTIVE     GHGE, FARM GATE (kg CO2e/kg)","GHGE, processor gate (kg CO2e/kg)"),INDIRECT($AB274)))</f>
        <v>0.25792391165713047</v>
      </c>
      <c r="AE274" s="247">
        <f ca="1">IF($AB274="DIRECT",$S274,DSTDEV('literature entries'!$D:$AI,IF($J274=1,"ACTIVE     GHGE, FARM GATE (kg CO2e/kg)","GHGE, processor gate (kg CO2e/kg)"),INDIRECT($AB274)))</f>
        <v>0.22451998550634089</v>
      </c>
      <c r="AF274" s="247">
        <f t="shared" ca="1" si="37"/>
        <v>0.22451998550634089</v>
      </c>
    </row>
    <row r="275" spans="1:32" s="21" customFormat="1" thickBot="1" x14ac:dyDescent="0.25">
      <c r="A275" s="129">
        <v>2403060000</v>
      </c>
      <c r="B275" s="130" t="s">
        <v>1841</v>
      </c>
      <c r="C275" s="131" t="s">
        <v>1842</v>
      </c>
      <c r="D275" s="131"/>
      <c r="E275" s="131">
        <v>1</v>
      </c>
      <c r="F275" s="126">
        <f t="shared" ca="1" si="34"/>
        <v>4.3461284175597035</v>
      </c>
      <c r="G275" s="127">
        <f t="shared" ca="1" si="35"/>
        <v>0.68414647779282856</v>
      </c>
      <c r="H275" s="132">
        <v>1.28</v>
      </c>
      <c r="I275" s="132" t="s">
        <v>2724</v>
      </c>
      <c r="J275" s="91">
        <v>1</v>
      </c>
      <c r="K275" s="90" t="s">
        <v>3269</v>
      </c>
      <c r="L275" s="152" t="str">
        <f>IF(ISERROR(GETPIVOTDATA(IF($J275=1,"Count of ACTIVE     CED, FARM GATE (MJ/kg)","Count of CED, processor gate (MJ/kg)"),'Pivot Table_CED'!$A$3,"SUB TYPE",$B275)),"PROXY",IF(GETPIVOTDATA(IF($J275=1,"Count of ACTIVE     CED, FARM GATE (MJ/kg)","Count of CED, processor gate (MJ/kg)"),'Pivot Table_CED'!$A$3,"SUB TYPE",$B275)=0,"PROXY","DB value"))</f>
        <v>PROXY</v>
      </c>
      <c r="M275" s="134">
        <f ca="1">IF($L275="PROXY",DCOUNT('literature entries'!$D:$AI,IF($J275=1,"ACTIVE     CED, FARM GATE (MJ/kg)","CED, processor gate (MJ/kg)"),INDIRECT($K275)),GETPIVOTDATA(IF($J275=1,"Count of ACTIVE     CED, FARM GATE (MJ/kg)","Count of CED, processor gate (MJ/kg)"),'Pivot Table_CED'!$A$3,"SUB TYPE",$B275))</f>
        <v>9</v>
      </c>
      <c r="N275" s="135">
        <f ca="1">IF($L275="PROXY",DAVERAGE('literature entries'!$D:$AI,IF($J275=1,"ACTIVE     CED, FARM GATE (MJ/kg)","CED, processor gate (MJ/kg)"),INDIRECT($K275)),GETPIVOTDATA(IF($J275=1,"Average of ACTIVE     CED, FARM GATE (MJ/kg)","Average of CED, processor gate (MJ/kg)"),'Pivot Table_CED'!$A$3,"SUB TYPE",$B275))</f>
        <v>3.3954128262185184</v>
      </c>
      <c r="O275" s="135">
        <f ca="1">IF($L275="PROXY",DSTDEV('literature entries'!D:AI,IF($J275=1,"ACTIVE     CED, FARM GATE (MJ/kg)","CED, processor gate (MJ/kg)"),INDIRECT($K275)),GETPIVOTDATA(IF($J275=1,"StdDev of ACTIVE     CED, FARM GATE (MJ/kg)","StdDev of CED, processor gate (MJ/kg)"),'Pivot Table_CED'!$A$3,"SUB TYPE",$B275))</f>
        <v>2.1698076963305595</v>
      </c>
      <c r="P275" s="152" t="str">
        <f>IF(ISERROR(GETPIVOTDATA(IF($J275=1,"Count of ACTIVE     GHGE, FARM GATE (kg CO2e/kg)","Count of GHGE, processor gate (kg CO2e/kg)"),'Pivot Table_GHG'!$A$3,"SUB TYPE",$B275)),"PROXY",IF(GETPIVOTDATA(IF($J275=1,"Count of ACTIVE     GHGE, FARM GATE (kg CO2e/kg)","Count of GHGE, processor gate (kg CO2e/kg)"),'Pivot Table_GHG'!$A$3,"SUB TYPE",$B275)=0,"PROXY","DB value"))</f>
        <v>PROXY</v>
      </c>
      <c r="Q275" s="141">
        <f ca="1">IF($P275="PROXY",DCOUNT('literature entries'!$D:$AI,IF($J275=1,"ACTIVE     GHGE, FARM GATE (kg CO2e/kg)","GHGE, processor gate (kg CO2e/kg)"),INDIRECT($K275)),GETPIVOTDATA(IF($J275=1,"ACTIVE     GHGE, FARM GATE (kg CO2e/kg)","Count of GHGE, processor gate (kg CO2e/kg)"),'Pivot Table_GHG'!$A$3,"SUB TYPE",$B275))</f>
        <v>30</v>
      </c>
      <c r="R275" s="221">
        <f ca="1">IF($P275="PROXY",DAVERAGE('literature entries'!$D:$AI,IF($J275=1,"ACTIVE     GHGE, FARM GATE (kg CO2e/kg)","GHGE, processor gate (kg CO2e/kg)"),INDIRECT($K275)),GETPIVOTDATA(IF($J275=1,"Average of ACTIVE     GHGE, FARM GATE (kg CO2e/kg)","Average of GHGE, processor gate (kg CO2e/kg)"),'Pivot Table_GHG'!$A$3,"SUB TYPE",$B275))</f>
        <v>0.53448943577564734</v>
      </c>
      <c r="S275" s="221">
        <f ca="1">IF($P275="PROXY",DSTDEV('literature entries'!$D:$AI,IF($J275=1,"ACTIVE     GHGE, FARM GATE (kg CO2e/kg)","GHGE, processor gate (kg CO2e/kg)"),INDIRECT($K275)),GETPIVOTDATA(IF($J275=1,"StdDev of ACTIVE     GHGE, FARM GATE (kg CO2e/kg)","StdDev of GHGE, processor gate (kg CO2e/kg)"),'Pivot Table_GHG'!$A$3,"SUB TYPE",$B275))</f>
        <v>0.86200931416440196</v>
      </c>
      <c r="T275" s="101"/>
      <c r="U275" s="102"/>
      <c r="W275" s="248" t="str">
        <f t="shared" ca="1" si="38"/>
        <v>tropical_fruit</v>
      </c>
      <c r="X275" s="246">
        <f ca="1">IF($W275="DIRECT",M275,DCOUNT('literature entries'!$D:$AI,IF($J275=1,"ACTIVE     CED, FARM GATE (MJ/kg)","CED, processor gate (MJ/kg)"),INDIRECT($W275)))</f>
        <v>9</v>
      </c>
      <c r="Y275" s="246">
        <f ca="1">IF($W275="DIRECT","",DAVERAGE('literature entries'!$D:$AI,IF($J275=1,"ACTIVE     CED, FARM GATE (MJ/kg)","CED, processor gate (MJ/kg)"),INDIRECT($W275)))</f>
        <v>3.3954128262185184</v>
      </c>
      <c r="Z275" s="246">
        <f ca="1">IF($W275="DIRECT",$O275,DSTDEV('literature entries'!$D:$AI,IF($J275=1,"ACTIVE     CED, FARM GATE (MJ/kg)","CED, processor gate (MJ/kg)"),INDIRECT($W275)))</f>
        <v>2.1698076963305595</v>
      </c>
      <c r="AA275" s="246">
        <f t="shared" ca="1" si="36"/>
        <v>2.1698076963305595</v>
      </c>
      <c r="AB275" s="254" t="str">
        <f ca="1">IF(P275="PROXY",IF(Q275&gt;=5,K275,"need group"),IF(Q275&gt;=5,"DIRECT","need group"))</f>
        <v>tropical_fruit</v>
      </c>
      <c r="AC275" s="247">
        <f ca="1">IF($AB275="DIRECT",Q275,DCOUNT('literature entries'!$D:$AI,IF($J275=1,"ACTIVE     GHGE, FARM GATE (kg CO2e/kg)","GHGE, processor gate (kg CO2e/kg)"),INDIRECT($AB275)))</f>
        <v>30</v>
      </c>
      <c r="AD275" s="247">
        <f ca="1">IF($AB275="DIRECT","",DAVERAGE('literature entries'!$D:$AI,IF($J275=1,"ACTIVE     GHGE, FARM GATE (kg CO2e/kg)","GHGE, processor gate (kg CO2e/kg)"),INDIRECT($AB275)))</f>
        <v>0.53448943577564734</v>
      </c>
      <c r="AE275" s="247">
        <f ca="1">IF($AB275="DIRECT",$S275,DSTDEV('literature entries'!$D:$AI,IF($J275=1,"ACTIVE     GHGE, FARM GATE (kg CO2e/kg)","GHGE, processor gate (kg CO2e/kg)"),INDIRECT($AB275)))</f>
        <v>0.86200931416440196</v>
      </c>
      <c r="AF275" s="247">
        <f t="shared" ca="1" si="37"/>
        <v>0.86200931416440196</v>
      </c>
    </row>
    <row r="276" spans="1:32" s="21" customFormat="1" thickBot="1" x14ac:dyDescent="0.25">
      <c r="A276" s="129">
        <v>2403279000</v>
      </c>
      <c r="B276" s="130" t="s">
        <v>480</v>
      </c>
      <c r="C276" s="131" t="s">
        <v>2170</v>
      </c>
      <c r="D276" s="131"/>
      <c r="E276" s="131">
        <v>2681</v>
      </c>
      <c r="F276" s="126">
        <f t="shared" ca="1" si="34"/>
        <v>5.6186666666666669</v>
      </c>
      <c r="G276" s="127">
        <f t="shared" ca="1" si="35"/>
        <v>0.91362727272727262</v>
      </c>
      <c r="H276" s="132">
        <v>1.96</v>
      </c>
      <c r="I276" s="132" t="s">
        <v>2724</v>
      </c>
      <c r="J276" s="91">
        <v>1</v>
      </c>
      <c r="K276" s="90"/>
      <c r="L276" s="152" t="str">
        <f>IF(ISERROR(GETPIVOTDATA(IF($J276=1,"Count of ACTIVE     CED, FARM GATE (MJ/kg)","Count of CED, processor gate (MJ/kg)"),'Pivot Table_CED'!$A$3,"SUB TYPE",$B276)),"PROXY",IF(GETPIVOTDATA(IF($J276=1,"Count of ACTIVE     CED, FARM GATE (MJ/kg)","Count of CED, processor gate (MJ/kg)"),'Pivot Table_CED'!$A$3,"SUB TYPE",$B276)=0,"PROXY","DB value"))</f>
        <v>DB value</v>
      </c>
      <c r="M276" s="134">
        <f ca="1">IF($L276="PROXY",DCOUNT('literature entries'!$D:$AI,IF($J276=1,"ACTIVE     CED, FARM GATE (MJ/kg)","CED, processor gate (MJ/kg)"),INDIRECT($K276)),GETPIVOTDATA(IF($J276=1,"Count of ACTIVE     CED, FARM GATE (MJ/kg)","Count of CED, processor gate (MJ/kg)"),'Pivot Table_CED'!$A$3,"SUB TYPE",$B276))</f>
        <v>1</v>
      </c>
      <c r="N276" s="135">
        <f ca="1">IF($L276="PROXY",DAVERAGE('literature entries'!$D:$AI,IF($J276=1,"ACTIVE     CED, FARM GATE (MJ/kg)","CED, processor gate (MJ/kg)"),INDIRECT($K276)),GETPIVOTDATA(IF($J276=1,"Average of ACTIVE     CED, FARM GATE (MJ/kg)","Average of CED, processor gate (MJ/kg)"),'Pivot Table_CED'!$A$3,"SUB TYPE",$B276))</f>
        <v>2.8666666666666667</v>
      </c>
      <c r="O276" s="135">
        <f ca="1">IF($L276="PROXY",DSTDEV('literature entries'!D:AI,IF($J276=1,"ACTIVE     CED, FARM GATE (MJ/kg)","CED, processor gate (MJ/kg)"),INDIRECT($K276)),GETPIVOTDATA(IF($J276=1,"StdDev of ACTIVE     CED, FARM GATE (MJ/kg)","StdDev of CED, processor gate (MJ/kg)"),'Pivot Table_CED'!$A$3,"SUB TYPE",$B276))</f>
        <v>0</v>
      </c>
      <c r="P276" s="152" t="str">
        <f>IF(ISERROR(GETPIVOTDATA(IF($J276=1,"Count of ACTIVE     GHGE, FARM GATE (kg CO2e/kg)","Count of GHGE, processor gate (kg CO2e/kg)"),'Pivot Table_GHG'!$A$3,"SUB TYPE",$B276)),"PROXY",IF(GETPIVOTDATA(IF($J276=1,"Count of ACTIVE     GHGE, FARM GATE (kg CO2e/kg)","Count of GHGE, processor gate (kg CO2e/kg)"),'Pivot Table_GHG'!$A$3,"SUB TYPE",$B276)=0,"PROXY","DB value"))</f>
        <v>DB value</v>
      </c>
      <c r="Q276" s="141">
        <f ca="1">IF($P276="PROXY",DCOUNT('literature entries'!$D:$AI,IF($J276=1,"ACTIVE     GHGE, FARM GATE (kg CO2e/kg)","GHGE, processor gate (kg CO2e/kg)"),INDIRECT($K276)),GETPIVOTDATA(IF($J276=1,"ACTIVE     GHGE, FARM GATE (kg CO2e/kg)","Count of GHGE, processor gate (kg CO2e/kg)"),'Pivot Table_GHG'!$A$3,"SUB TYPE",$B276))</f>
        <v>2</v>
      </c>
      <c r="R276" s="221">
        <f ca="1">IF($P276="PROXY",DAVERAGE('literature entries'!$D:$AI,IF($J276=1,"ACTIVE     GHGE, FARM GATE (kg CO2e/kg)","GHGE, processor gate (kg CO2e/kg)"),INDIRECT($K276)),GETPIVOTDATA(IF($J276=1,"Average of ACTIVE     GHGE, FARM GATE (kg CO2e/kg)","Average of GHGE, processor gate (kg CO2e/kg)"),'Pivot Table_GHG'!$A$3,"SUB TYPE",$B276))</f>
        <v>0.46613636363636357</v>
      </c>
      <c r="S276" s="221">
        <f ca="1">IF($P276="PROXY",DSTDEV('literature entries'!$D:$AI,IF($J276=1,"ACTIVE     GHGE, FARM GATE (kg CO2e/kg)","GHGE, processor gate (kg CO2e/kg)"),INDIRECT($K276)),GETPIVOTDATA(IF($J276=1,"StdDev of ACTIVE     GHGE, FARM GATE (kg CO2e/kg)","StdDev of GHGE, processor gate (kg CO2e/kg)"),'Pivot Table_GHG'!$A$3,"SUB TYPE",$B276))</f>
        <v>0.19638283786590038</v>
      </c>
      <c r="T276" s="101"/>
      <c r="U276" s="102"/>
      <c r="W276" s="248" t="s">
        <v>3269</v>
      </c>
      <c r="X276" s="246">
        <f ca="1">IF($W276="DIRECT",M276,DCOUNT('literature entries'!$D:$AI,IF($J276=1,"ACTIVE     CED, FARM GATE (MJ/kg)","CED, processor gate (MJ/kg)"),INDIRECT($W276)))</f>
        <v>9</v>
      </c>
      <c r="Y276" s="246">
        <f ca="1">IF($W276="DIRECT","",DAVERAGE('literature entries'!$D:$AI,IF($J276=1,"ACTIVE     CED, FARM GATE (MJ/kg)","CED, processor gate (MJ/kg)"),INDIRECT($W276)))</f>
        <v>3.3954128262185184</v>
      </c>
      <c r="Z276" s="246">
        <f ca="1">IF($W276="DIRECT",$O276,DSTDEV('literature entries'!$D:$AI,IF($J276=1,"ACTIVE     CED, FARM GATE (MJ/kg)","CED, processor gate (MJ/kg)"),INDIRECT($W276)))</f>
        <v>2.1698076963305595</v>
      </c>
      <c r="AA276" s="246">
        <f t="shared" ca="1" si="36"/>
        <v>1.8319172702999316</v>
      </c>
      <c r="AB276" s="254" t="s">
        <v>3269</v>
      </c>
      <c r="AC276" s="247">
        <f ca="1">IF($AB276="DIRECT",Q276,DCOUNT('literature entries'!$D:$AI,IF($J276=1,"ACTIVE     GHGE, FARM GATE (kg CO2e/kg)","GHGE, processor gate (kg CO2e/kg)"),INDIRECT($AB276)))</f>
        <v>30</v>
      </c>
      <c r="AD276" s="247">
        <f ca="1">IF($AB276="DIRECT","",DAVERAGE('literature entries'!$D:$AI,IF($J276=1,"ACTIVE     GHGE, FARM GATE (kg CO2e/kg)","GHGE, processor gate (kg CO2e/kg)"),INDIRECT($AB276)))</f>
        <v>0.53448943577564734</v>
      </c>
      <c r="AE276" s="247">
        <f ca="1">IF($AB276="DIRECT",$S276,DSTDEV('literature entries'!$D:$AI,IF($J276=1,"ACTIVE     GHGE, FARM GATE (kg CO2e/kg)","GHGE, processor gate (kg CO2e/kg)"),INDIRECT($AB276)))</f>
        <v>0.86200931416440196</v>
      </c>
      <c r="AF276" s="247">
        <f t="shared" ca="1" si="37"/>
        <v>0.75177142938692609</v>
      </c>
    </row>
    <row r="277" spans="1:32" s="21" customFormat="1" ht="17" thickBot="1" x14ac:dyDescent="0.25">
      <c r="A277" s="129">
        <v>2403280000</v>
      </c>
      <c r="B277" s="130" t="s">
        <v>2171</v>
      </c>
      <c r="C277" s="131" t="s">
        <v>2172</v>
      </c>
      <c r="D277" s="131"/>
      <c r="E277" s="131">
        <v>125</v>
      </c>
      <c r="F277" s="126">
        <f t="shared" ca="1" si="34"/>
        <v>27.806666666666665</v>
      </c>
      <c r="G277" s="127">
        <f t="shared" ca="1" si="35"/>
        <v>4.5215227272727265</v>
      </c>
      <c r="H277" s="132">
        <v>9.6999999999999993</v>
      </c>
      <c r="I277" s="133" t="s">
        <v>2724</v>
      </c>
      <c r="J277" s="91">
        <v>1</v>
      </c>
      <c r="K277" s="90" t="s">
        <v>878</v>
      </c>
      <c r="L277" s="152" t="str">
        <f>IF(ISERROR(GETPIVOTDATA(IF($J277=1,"Count of ACTIVE     CED, FARM GATE (MJ/kg)","Count of CED, processor gate (MJ/kg)"),'Pivot Table_CED'!$A$3,"SUB TYPE",$B277)),"PROXY",IF(GETPIVOTDATA(IF($J277=1,"Count of ACTIVE     CED, FARM GATE (MJ/kg)","Count of CED, processor gate (MJ/kg)"),'Pivot Table_CED'!$A$3,"SUB TYPE",$B277)=0,"PROXY","DB value"))</f>
        <v>PROXY</v>
      </c>
      <c r="M277" s="134">
        <f ca="1">IF($L277="PROXY",DCOUNT('literature entries'!$D:$AI,IF($J277=1,"ACTIVE     CED, FARM GATE (MJ/kg)","CED, processor gate (MJ/kg)"),INDIRECT($K277)),GETPIVOTDATA(IF($J277=1,"Count of ACTIVE     CED, FARM GATE (MJ/kg)","Count of CED, processor gate (MJ/kg)"),'Pivot Table_CED'!$A$3,"SUB TYPE",$B277))</f>
        <v>1</v>
      </c>
      <c r="N277" s="135">
        <f ca="1">IF($L277="PROXY",DAVERAGE('literature entries'!$D:$AI,IF($J277=1,"ACTIVE     CED, FARM GATE (MJ/kg)","CED, processor gate (MJ/kg)"),INDIRECT($K277)),GETPIVOTDATA(IF($J277=1,"Average of ACTIVE     CED, FARM GATE (MJ/kg)","Average of CED, processor gate (MJ/kg)"),'Pivot Table_CED'!$A$3,"SUB TYPE",$B277))</f>
        <v>2.8666666666666667</v>
      </c>
      <c r="O277" s="135" t="e">
        <f ca="1">IF($L277="PROXY",DSTDEV('literature entries'!D:AI,IF($J277=1,"ACTIVE     CED, FARM GATE (MJ/kg)","CED, processor gate (MJ/kg)"),INDIRECT($K277)),GETPIVOTDATA(IF($J277=1,"StdDev of ACTIVE     CED, FARM GATE (MJ/kg)","StdDev of CED, processor gate (MJ/kg)"),'Pivot Table_CED'!$A$3,"SUB TYPE",$B277))</f>
        <v>#DIV/0!</v>
      </c>
      <c r="P277" s="152" t="str">
        <f>IF(ISERROR(GETPIVOTDATA(IF($J277=1,"Count of ACTIVE     GHGE, FARM GATE (kg CO2e/kg)","Count of GHGE, processor gate (kg CO2e/kg)"),'Pivot Table_GHG'!$A$3,"SUB TYPE",$B277)),"PROXY",IF(GETPIVOTDATA(IF($J277=1,"Count of ACTIVE     GHGE, FARM GATE (kg CO2e/kg)","Count of GHGE, processor gate (kg CO2e/kg)"),'Pivot Table_GHG'!$A$3,"SUB TYPE",$B277)=0,"PROXY","DB value"))</f>
        <v>PROXY</v>
      </c>
      <c r="Q277" s="141">
        <f ca="1">IF($P277="PROXY",DCOUNT('literature entries'!$D:$AI,IF($J277=1,"ACTIVE     GHGE, FARM GATE (kg CO2e/kg)","GHGE, processor gate (kg CO2e/kg)"),INDIRECT($K277)),GETPIVOTDATA(IF($J277=1,"ACTIVE     GHGE, FARM GATE (kg CO2e/kg)","Count of GHGE, processor gate (kg CO2e/kg)"),'Pivot Table_GHG'!$A$3,"SUB TYPE",$B277))</f>
        <v>2</v>
      </c>
      <c r="R277" s="221">
        <f ca="1">IF($P277="PROXY",DAVERAGE('literature entries'!$D:$AI,IF($J277=1,"ACTIVE     GHGE, FARM GATE (kg CO2e/kg)","GHGE, processor gate (kg CO2e/kg)"),INDIRECT($K277)),GETPIVOTDATA(IF($J277=1,"Average of ACTIVE     GHGE, FARM GATE (kg CO2e/kg)","Average of GHGE, processor gate (kg CO2e/kg)"),'Pivot Table_GHG'!$A$3,"SUB TYPE",$B277))</f>
        <v>0.46613636363636357</v>
      </c>
      <c r="S277" s="221">
        <f ca="1">IF($P277="PROXY",DSTDEV('literature entries'!$D:$AI,IF($J277=1,"ACTIVE     GHGE, FARM GATE (kg CO2e/kg)","GHGE, processor gate (kg CO2e/kg)"),INDIRECT($K277)),GETPIVOTDATA(IF($J277=1,"StdDev of ACTIVE     GHGE, FARM GATE (kg CO2e/kg)","StdDev of GHGE, processor gate (kg CO2e/kg)"),'Pivot Table_GHG'!$A$3,"SUB TYPE",$B277))</f>
        <v>0.19638283786590038</v>
      </c>
      <c r="T277" s="101"/>
      <c r="U277" s="102"/>
      <c r="W277" s="248" t="s">
        <v>3269</v>
      </c>
      <c r="X277" s="246">
        <f ca="1">IF($W277="DIRECT",M277,DCOUNT('literature entries'!$D:$AI,IF($J277=1,"ACTIVE     CED, FARM GATE (MJ/kg)","CED, processor gate (MJ/kg)"),INDIRECT($W277)))</f>
        <v>9</v>
      </c>
      <c r="Y277" s="246">
        <f ca="1">IF($W277="DIRECT","",DAVERAGE('literature entries'!$D:$AI,IF($J277=1,"ACTIVE     CED, FARM GATE (MJ/kg)","CED, processor gate (MJ/kg)"),INDIRECT($W277)))</f>
        <v>3.3954128262185184</v>
      </c>
      <c r="Z277" s="246">
        <f ca="1">IF($W277="DIRECT",$O277,DSTDEV('literature entries'!$D:$AI,IF($J277=1,"ACTIVE     CED, FARM GATE (MJ/kg)","CED, processor gate (MJ/kg)"),INDIRECT($W277)))</f>
        <v>2.1698076963305595</v>
      </c>
      <c r="AA277" s="246">
        <f t="shared" ca="1" si="36"/>
        <v>1.8319172702999316</v>
      </c>
      <c r="AB277" s="254" t="s">
        <v>3269</v>
      </c>
      <c r="AC277" s="247">
        <f ca="1">IF($AB277="DIRECT",Q277,DCOUNT('literature entries'!$D:$AI,IF($J277=1,"ACTIVE     GHGE, FARM GATE (kg CO2e/kg)","GHGE, processor gate (kg CO2e/kg)"),INDIRECT($AB277)))</f>
        <v>30</v>
      </c>
      <c r="AD277" s="247">
        <f ca="1">IF($AB277="DIRECT","",DAVERAGE('literature entries'!$D:$AI,IF($J277=1,"ACTIVE     GHGE, FARM GATE (kg CO2e/kg)","GHGE, processor gate (kg CO2e/kg)"),INDIRECT($AB277)))</f>
        <v>0.53448943577564734</v>
      </c>
      <c r="AE277" s="247">
        <f ca="1">IF($AB277="DIRECT",$S277,DSTDEV('literature entries'!$D:$AI,IF($J277=1,"ACTIVE     GHGE, FARM GATE (kg CO2e/kg)","GHGE, processor gate (kg CO2e/kg)"),INDIRECT($AB277)))</f>
        <v>0.86200931416440196</v>
      </c>
      <c r="AF277" s="247">
        <f t="shared" ca="1" si="37"/>
        <v>0.75177142938692609</v>
      </c>
    </row>
    <row r="278" spans="1:32" s="21" customFormat="1" ht="17" thickBot="1" x14ac:dyDescent="0.25">
      <c r="A278" s="129">
        <v>2403281000</v>
      </c>
      <c r="B278" s="130" t="s">
        <v>2173</v>
      </c>
      <c r="C278" s="131" t="s">
        <v>1742</v>
      </c>
      <c r="D278" s="131"/>
      <c r="E278" s="131">
        <v>8553</v>
      </c>
      <c r="F278" s="126">
        <f t="shared" ca="1" si="34"/>
        <v>10.671333333333333</v>
      </c>
      <c r="G278" s="127">
        <f t="shared" ca="1" si="35"/>
        <v>1.8554154897163633</v>
      </c>
      <c r="H278" s="132">
        <v>1.88</v>
      </c>
      <c r="I278" s="133" t="s">
        <v>2724</v>
      </c>
      <c r="J278" s="91">
        <v>1</v>
      </c>
      <c r="K278" s="90" t="s">
        <v>878</v>
      </c>
      <c r="L278" s="152" t="str">
        <f>IF(ISERROR(GETPIVOTDATA(IF($J278=1,"Count of ACTIVE     CED, FARM GATE (MJ/kg)","Count of CED, processor gate (MJ/kg)"),'Pivot Table_CED'!$A$3,"SUB TYPE",$B278)),"PROXY",IF(GETPIVOTDATA(IF($J278=1,"Count of ACTIVE     CED, FARM GATE (MJ/kg)","Count of CED, processor gate (MJ/kg)"),'Pivot Table_CED'!$A$3,"SUB TYPE",$B278)=0,"PROXY","DB value"))</f>
        <v>PROXY</v>
      </c>
      <c r="M278" s="134">
        <f ca="1">IF($L278="PROXY",DCOUNT('literature entries'!$D:$AI,IF($J278=1,"ACTIVE     CED, FARM GATE (MJ/kg)","CED, processor gate (MJ/kg)"),INDIRECT($K278)),GETPIVOTDATA(IF($J278=1,"Count of ACTIVE     CED, FARM GATE (MJ/kg)","Count of CED, processor gate (MJ/kg)"),'Pivot Table_CED'!$A$3,"SUB TYPE",$B278))</f>
        <v>1</v>
      </c>
      <c r="N278" s="135">
        <f ca="1">IF($L278="PROXY",DAVERAGE('literature entries'!$D:$AI,IF($J278=1,"ACTIVE     CED, FARM GATE (MJ/kg)","CED, processor gate (MJ/kg)"),INDIRECT($K278)),GETPIVOTDATA(IF($J278=1,"Average of ACTIVE     CED, FARM GATE (MJ/kg)","Average of CED, processor gate (MJ/kg)"),'Pivot Table_CED'!$A$3,"SUB TYPE",$B278))</f>
        <v>2.8666666666666667</v>
      </c>
      <c r="O278" s="135" t="e">
        <f ca="1">IF($L278="PROXY",DSTDEV('literature entries'!D:AI,IF($J278=1,"ACTIVE     CED, FARM GATE (MJ/kg)","CED, processor gate (MJ/kg)"),INDIRECT($K278)),GETPIVOTDATA(IF($J278=1,"StdDev of ACTIVE     CED, FARM GATE (MJ/kg)","StdDev of CED, processor gate (MJ/kg)"),'Pivot Table_CED'!$A$3,"SUB TYPE",$B278))</f>
        <v>#DIV/0!</v>
      </c>
      <c r="P278" s="152" t="str">
        <f>IF(ISERROR(GETPIVOTDATA(IF($J278=1,"Count of ACTIVE     GHGE, FARM GATE (kg CO2e/kg)","Count of GHGE, processor gate (kg CO2e/kg)"),'Pivot Table_GHG'!$A$3,"SUB TYPE",$B278)),"PROXY",IF(GETPIVOTDATA(IF($J278=1,"Count of ACTIVE     GHGE, FARM GATE (kg CO2e/kg)","Count of GHGE, processor gate (kg CO2e/kg)"),'Pivot Table_GHG'!$A$3,"SUB TYPE",$B278)=0,"PROXY","DB value"))</f>
        <v>PROXY</v>
      </c>
      <c r="Q278" s="141">
        <f ca="1">IF($P278="PROXY",DCOUNT('literature entries'!$D:$AI,IF($J278=1,"ACTIVE     GHGE, FARM GATE (kg CO2e/kg)","GHGE, processor gate (kg CO2e/kg)"),INDIRECT($K278)),GETPIVOTDATA(IF($J278=1,"ACTIVE     GHGE, FARM GATE (kg CO2e/kg)","Count of GHGE, processor gate (kg CO2e/kg)"),'Pivot Table_GHG'!$A$3,"SUB TYPE",$B278))</f>
        <v>2</v>
      </c>
      <c r="R278" s="221">
        <f ca="1">IF($P278="PROXY",DAVERAGE('literature entries'!$D:$AI,IF($J278=1,"ACTIVE     GHGE, FARM GATE (kg CO2e/kg)","GHGE, processor gate (kg CO2e/kg)"),INDIRECT($K278)),GETPIVOTDATA(IF($J278=1,"Average of ACTIVE     GHGE, FARM GATE (kg CO2e/kg)","Average of GHGE, processor gate (kg CO2e/kg)"),'Pivot Table_GHG'!$A$3,"SUB TYPE",$B278))</f>
        <v>0.46613636363636357</v>
      </c>
      <c r="S278" s="221">
        <f ca="1">IF($P278="PROXY",DSTDEV('literature entries'!$D:$AI,IF($J278=1,"ACTIVE     GHGE, FARM GATE (kg CO2e/kg)","GHGE, processor gate (kg CO2e/kg)"),INDIRECT($K278)),GETPIVOTDATA(IF($J278=1,"StdDev of ACTIVE     GHGE, FARM GATE (kg CO2e/kg)","StdDev of GHGE, processor gate (kg CO2e/kg)"),'Pivot Table_GHG'!$A$3,"SUB TYPE",$B278))</f>
        <v>0.19638283786590038</v>
      </c>
      <c r="T278" s="99">
        <v>5.282</v>
      </c>
      <c r="U278" s="100">
        <v>0.97907912607999992</v>
      </c>
      <c r="W278" s="248" t="s">
        <v>3269</v>
      </c>
      <c r="X278" s="246">
        <f ca="1">IF($W278="DIRECT",M278,DCOUNT('literature entries'!$D:$AI,IF($J278=1,"ACTIVE     CED, FARM GATE (MJ/kg)","CED, processor gate (MJ/kg)"),INDIRECT($W278)))</f>
        <v>9</v>
      </c>
      <c r="Y278" s="246">
        <f ca="1">IF($W278="DIRECT","",DAVERAGE('literature entries'!$D:$AI,IF($J278=1,"ACTIVE     CED, FARM GATE (MJ/kg)","CED, processor gate (MJ/kg)"),INDIRECT($W278)))</f>
        <v>3.3954128262185184</v>
      </c>
      <c r="Z278" s="246">
        <f ca="1">IF($W278="DIRECT",$O278,DSTDEV('literature entries'!$D:$AI,IF($J278=1,"ACTIVE     CED, FARM GATE (MJ/kg)","CED, processor gate (MJ/kg)"),INDIRECT($W278)))</f>
        <v>2.1698076963305595</v>
      </c>
      <c r="AA278" s="246">
        <f t="shared" ca="1" si="36"/>
        <v>1.8319172702999316</v>
      </c>
      <c r="AB278" s="254" t="s">
        <v>3269</v>
      </c>
      <c r="AC278" s="247">
        <f ca="1">IF($AB278="DIRECT",Q278,DCOUNT('literature entries'!$D:$AI,IF($J278=1,"ACTIVE     GHGE, FARM GATE (kg CO2e/kg)","GHGE, processor gate (kg CO2e/kg)"),INDIRECT($AB278)))</f>
        <v>30</v>
      </c>
      <c r="AD278" s="247">
        <f ca="1">IF($AB278="DIRECT","",DAVERAGE('literature entries'!$D:$AI,IF($J278=1,"ACTIVE     GHGE, FARM GATE (kg CO2e/kg)","GHGE, processor gate (kg CO2e/kg)"),INDIRECT($AB278)))</f>
        <v>0.53448943577564734</v>
      </c>
      <c r="AE278" s="247">
        <f ca="1">IF($AB278="DIRECT",$S278,DSTDEV('literature entries'!$D:$AI,IF($J278=1,"ACTIVE     GHGE, FARM GATE (kg CO2e/kg)","GHGE, processor gate (kg CO2e/kg)"),INDIRECT($AB278)))</f>
        <v>0.86200931416440196</v>
      </c>
      <c r="AF278" s="247">
        <f t="shared" ca="1" si="37"/>
        <v>0.75177142938692609</v>
      </c>
    </row>
    <row r="279" spans="1:32" s="21" customFormat="1" thickBot="1" x14ac:dyDescent="0.25">
      <c r="A279" s="129">
        <v>2403346000</v>
      </c>
      <c r="B279" s="130" t="s">
        <v>2265</v>
      </c>
      <c r="C279" s="131" t="s">
        <v>1842</v>
      </c>
      <c r="D279" s="131"/>
      <c r="E279" s="131">
        <v>4</v>
      </c>
      <c r="F279" s="126">
        <f t="shared" ca="1" si="34"/>
        <v>5.0591651110655924</v>
      </c>
      <c r="G279" s="127">
        <f t="shared" ca="1" si="35"/>
        <v>0.79638925930571458</v>
      </c>
      <c r="H279" s="132">
        <v>1.49</v>
      </c>
      <c r="I279" s="132" t="s">
        <v>2724</v>
      </c>
      <c r="J279" s="91">
        <v>1</v>
      </c>
      <c r="K279" s="90" t="s">
        <v>3269</v>
      </c>
      <c r="L279" s="152" t="str">
        <f>IF(ISERROR(GETPIVOTDATA(IF($J279=1,"Count of ACTIVE     CED, FARM GATE (MJ/kg)","Count of CED, processor gate (MJ/kg)"),'Pivot Table_CED'!$A$3,"SUB TYPE",$B279)),"PROXY",IF(GETPIVOTDATA(IF($J279=1,"Count of ACTIVE     CED, FARM GATE (MJ/kg)","Count of CED, processor gate (MJ/kg)"),'Pivot Table_CED'!$A$3,"SUB TYPE",$B279)=0,"PROXY","DB value"))</f>
        <v>PROXY</v>
      </c>
      <c r="M279" s="134">
        <f ca="1">IF($L279="PROXY",DCOUNT('literature entries'!$D:$AI,IF($J279=1,"ACTIVE     CED, FARM GATE (MJ/kg)","CED, processor gate (MJ/kg)"),INDIRECT($K279)),GETPIVOTDATA(IF($J279=1,"Count of ACTIVE     CED, FARM GATE (MJ/kg)","Count of CED, processor gate (MJ/kg)"),'Pivot Table_CED'!$A$3,"SUB TYPE",$B279))</f>
        <v>9</v>
      </c>
      <c r="N279" s="135">
        <f ca="1">IF($L279="PROXY",DAVERAGE('literature entries'!$D:$AI,IF($J279=1,"ACTIVE     CED, FARM GATE (MJ/kg)","CED, processor gate (MJ/kg)"),INDIRECT($K279)),GETPIVOTDATA(IF($J279=1,"Average of ACTIVE     CED, FARM GATE (MJ/kg)","Average of CED, processor gate (MJ/kg)"),'Pivot Table_CED'!$A$3,"SUB TYPE",$B279))</f>
        <v>3.3954128262185184</v>
      </c>
      <c r="O279" s="135">
        <f ca="1">IF($L279="PROXY",DSTDEV('literature entries'!D:AI,IF($J279=1,"ACTIVE     CED, FARM GATE (MJ/kg)","CED, processor gate (MJ/kg)"),INDIRECT($K279)),GETPIVOTDATA(IF($J279=1,"StdDev of ACTIVE     CED, FARM GATE (MJ/kg)","StdDev of CED, processor gate (MJ/kg)"),'Pivot Table_CED'!$A$3,"SUB TYPE",$B279))</f>
        <v>2.1698076963305595</v>
      </c>
      <c r="P279" s="152" t="str">
        <f>IF(ISERROR(GETPIVOTDATA(IF($J279=1,"Count of ACTIVE     GHGE, FARM GATE (kg CO2e/kg)","Count of GHGE, processor gate (kg CO2e/kg)"),'Pivot Table_GHG'!$A$3,"SUB TYPE",$B279)),"PROXY",IF(GETPIVOTDATA(IF($J279=1,"Count of ACTIVE     GHGE, FARM GATE (kg CO2e/kg)","Count of GHGE, processor gate (kg CO2e/kg)"),'Pivot Table_GHG'!$A$3,"SUB TYPE",$B279)=0,"PROXY","DB value"))</f>
        <v>PROXY</v>
      </c>
      <c r="Q279" s="141">
        <f ca="1">IF($P279="PROXY",DCOUNT('literature entries'!$D:$AI,IF($J279=1,"ACTIVE     GHGE, FARM GATE (kg CO2e/kg)","GHGE, processor gate (kg CO2e/kg)"),INDIRECT($K279)),GETPIVOTDATA(IF($J279=1,"ACTIVE     GHGE, FARM GATE (kg CO2e/kg)","Count of GHGE, processor gate (kg CO2e/kg)"),'Pivot Table_GHG'!$A$3,"SUB TYPE",$B279))</f>
        <v>30</v>
      </c>
      <c r="R279" s="221">
        <f ca="1">IF($P279="PROXY",DAVERAGE('literature entries'!$D:$AI,IF($J279=1,"ACTIVE     GHGE, FARM GATE (kg CO2e/kg)","GHGE, processor gate (kg CO2e/kg)"),INDIRECT($K279)),GETPIVOTDATA(IF($J279=1,"Average of ACTIVE     GHGE, FARM GATE (kg CO2e/kg)","Average of GHGE, processor gate (kg CO2e/kg)"),'Pivot Table_GHG'!$A$3,"SUB TYPE",$B279))</f>
        <v>0.53448943577564734</v>
      </c>
      <c r="S279" s="221">
        <f ca="1">IF($P279="PROXY",DSTDEV('literature entries'!$D:$AI,IF($J279=1,"ACTIVE     GHGE, FARM GATE (kg CO2e/kg)","GHGE, processor gate (kg CO2e/kg)"),INDIRECT($K279)),GETPIVOTDATA(IF($J279=1,"StdDev of ACTIVE     GHGE, FARM GATE (kg CO2e/kg)","StdDev of GHGE, processor gate (kg CO2e/kg)"),'Pivot Table_GHG'!$A$3,"SUB TYPE",$B279))</f>
        <v>0.86200931416440196</v>
      </c>
      <c r="T279" s="101"/>
      <c r="U279" s="102"/>
      <c r="W279" s="248" t="str">
        <f t="shared" ref="W279:W298" ca="1" si="39">IF(L279="PROXY",IF(M279&gt;=5,K279,"need group"),IF(M279&gt;=5,"DIRECT","need group"))</f>
        <v>tropical_fruit</v>
      </c>
      <c r="X279" s="246">
        <f ca="1">IF($W279="DIRECT",M279,DCOUNT('literature entries'!$D:$AI,IF($J279=1,"ACTIVE     CED, FARM GATE (MJ/kg)","CED, processor gate (MJ/kg)"),INDIRECT($W279)))</f>
        <v>9</v>
      </c>
      <c r="Y279" s="246">
        <f ca="1">IF($W279="DIRECT","",DAVERAGE('literature entries'!$D:$AI,IF($J279=1,"ACTIVE     CED, FARM GATE (MJ/kg)","CED, processor gate (MJ/kg)"),INDIRECT($W279)))</f>
        <v>3.3954128262185184</v>
      </c>
      <c r="Z279" s="246">
        <f ca="1">IF($W279="DIRECT",$O279,DSTDEV('literature entries'!$D:$AI,IF($J279=1,"ACTIVE     CED, FARM GATE (MJ/kg)","CED, processor gate (MJ/kg)"),INDIRECT($W279)))</f>
        <v>2.1698076963305595</v>
      </c>
      <c r="AA279" s="246">
        <f t="shared" ca="1" si="36"/>
        <v>2.1698076963305595</v>
      </c>
      <c r="AB279" s="254" t="str">
        <f t="shared" ref="AB279:AB301" ca="1" si="40">IF(P279="PROXY",IF(Q279&gt;=5,K279,"need group"),IF(Q279&gt;=5,"DIRECT","need group"))</f>
        <v>tropical_fruit</v>
      </c>
      <c r="AC279" s="247">
        <f ca="1">IF($AB279="DIRECT",Q279,DCOUNT('literature entries'!$D:$AI,IF($J279=1,"ACTIVE     GHGE, FARM GATE (kg CO2e/kg)","GHGE, processor gate (kg CO2e/kg)"),INDIRECT($AB279)))</f>
        <v>30</v>
      </c>
      <c r="AD279" s="247">
        <f ca="1">IF($AB279="DIRECT","",DAVERAGE('literature entries'!$D:$AI,IF($J279=1,"ACTIVE     GHGE, FARM GATE (kg CO2e/kg)","GHGE, processor gate (kg CO2e/kg)"),INDIRECT($AB279)))</f>
        <v>0.53448943577564734</v>
      </c>
      <c r="AE279" s="247">
        <f ca="1">IF($AB279="DIRECT",$S279,DSTDEV('literature entries'!$D:$AI,IF($J279=1,"ACTIVE     GHGE, FARM GATE (kg CO2e/kg)","GHGE, processor gate (kg CO2e/kg)"),INDIRECT($AB279)))</f>
        <v>0.86200931416440196</v>
      </c>
      <c r="AF279" s="247">
        <f t="shared" ca="1" si="37"/>
        <v>0.86200931416440196</v>
      </c>
    </row>
    <row r="280" spans="1:32" s="21" customFormat="1" ht="17" thickBot="1" x14ac:dyDescent="0.25">
      <c r="A280" s="129">
        <v>2405252000</v>
      </c>
      <c r="B280" s="130" t="s">
        <v>2124</v>
      </c>
      <c r="C280" s="131" t="s">
        <v>1912</v>
      </c>
      <c r="D280" s="131"/>
      <c r="E280" s="131">
        <v>3</v>
      </c>
      <c r="F280" s="126">
        <f t="shared" ca="1" si="34"/>
        <v>4.3461284175597035</v>
      </c>
      <c r="G280" s="127">
        <f t="shared" ca="1" si="35"/>
        <v>0.68414647779282856</v>
      </c>
      <c r="H280" s="132">
        <v>1.28</v>
      </c>
      <c r="I280" s="133" t="s">
        <v>2724</v>
      </c>
      <c r="J280" s="91">
        <v>1</v>
      </c>
      <c r="K280" s="90" t="s">
        <v>3269</v>
      </c>
      <c r="L280" s="152" t="str">
        <f>IF(ISERROR(GETPIVOTDATA(IF($J280=1,"Count of ACTIVE     CED, FARM GATE (MJ/kg)","Count of CED, processor gate (MJ/kg)"),'Pivot Table_CED'!$A$3,"SUB TYPE",$B280)),"PROXY",IF(GETPIVOTDATA(IF($J280=1,"Count of ACTIVE     CED, FARM GATE (MJ/kg)","Count of CED, processor gate (MJ/kg)"),'Pivot Table_CED'!$A$3,"SUB TYPE",$B280)=0,"PROXY","DB value"))</f>
        <v>PROXY</v>
      </c>
      <c r="M280" s="134">
        <f ca="1">IF($L280="PROXY",DCOUNT('literature entries'!$D:$AI,IF($J280=1,"ACTIVE     CED, FARM GATE (MJ/kg)","CED, processor gate (MJ/kg)"),INDIRECT($K280)),GETPIVOTDATA(IF($J280=1,"Count of ACTIVE     CED, FARM GATE (MJ/kg)","Count of CED, processor gate (MJ/kg)"),'Pivot Table_CED'!$A$3,"SUB TYPE",$B280))</f>
        <v>9</v>
      </c>
      <c r="N280" s="135">
        <f ca="1">IF($L280="PROXY",DAVERAGE('literature entries'!$D:$AI,IF($J280=1,"ACTIVE     CED, FARM GATE (MJ/kg)","CED, processor gate (MJ/kg)"),INDIRECT($K280)),GETPIVOTDATA(IF($J280=1,"Average of ACTIVE     CED, FARM GATE (MJ/kg)","Average of CED, processor gate (MJ/kg)"),'Pivot Table_CED'!$A$3,"SUB TYPE",$B280))</f>
        <v>3.3954128262185184</v>
      </c>
      <c r="O280" s="135">
        <f ca="1">IF($L280="PROXY",DSTDEV('literature entries'!D:AI,IF($J280=1,"ACTIVE     CED, FARM GATE (MJ/kg)","CED, processor gate (MJ/kg)"),INDIRECT($K280)),GETPIVOTDATA(IF($J280=1,"StdDev of ACTIVE     CED, FARM GATE (MJ/kg)","StdDev of CED, processor gate (MJ/kg)"),'Pivot Table_CED'!$A$3,"SUB TYPE",$B280))</f>
        <v>2.1698076963305595</v>
      </c>
      <c r="P280" s="152" t="str">
        <f>IF(ISERROR(GETPIVOTDATA(IF($J280=1,"Count of ACTIVE     GHGE, FARM GATE (kg CO2e/kg)","Count of GHGE, processor gate (kg CO2e/kg)"),'Pivot Table_GHG'!$A$3,"SUB TYPE",$B280)),"PROXY",IF(GETPIVOTDATA(IF($J280=1,"Count of ACTIVE     GHGE, FARM GATE (kg CO2e/kg)","Count of GHGE, processor gate (kg CO2e/kg)"),'Pivot Table_GHG'!$A$3,"SUB TYPE",$B280)=0,"PROXY","DB value"))</f>
        <v>PROXY</v>
      </c>
      <c r="Q280" s="141">
        <f ca="1">IF($P280="PROXY",DCOUNT('literature entries'!$D:$AI,IF($J280=1,"ACTIVE     GHGE, FARM GATE (kg CO2e/kg)","GHGE, processor gate (kg CO2e/kg)"),INDIRECT($K280)),GETPIVOTDATA(IF($J280=1,"ACTIVE     GHGE, FARM GATE (kg CO2e/kg)","Count of GHGE, processor gate (kg CO2e/kg)"),'Pivot Table_GHG'!$A$3,"SUB TYPE",$B280))</f>
        <v>30</v>
      </c>
      <c r="R280" s="221">
        <f ca="1">IF($P280="PROXY",DAVERAGE('literature entries'!$D:$AI,IF($J280=1,"ACTIVE     GHGE, FARM GATE (kg CO2e/kg)","GHGE, processor gate (kg CO2e/kg)"),INDIRECT($K280)),GETPIVOTDATA(IF($J280=1,"Average of ACTIVE     GHGE, FARM GATE (kg CO2e/kg)","Average of GHGE, processor gate (kg CO2e/kg)"),'Pivot Table_GHG'!$A$3,"SUB TYPE",$B280))</f>
        <v>0.53448943577564734</v>
      </c>
      <c r="S280" s="221">
        <f ca="1">IF($P280="PROXY",DSTDEV('literature entries'!$D:$AI,IF($J280=1,"ACTIVE     GHGE, FARM GATE (kg CO2e/kg)","GHGE, processor gate (kg CO2e/kg)"),INDIRECT($K280)),GETPIVOTDATA(IF($J280=1,"StdDev of ACTIVE     GHGE, FARM GATE (kg CO2e/kg)","StdDev of GHGE, processor gate (kg CO2e/kg)"),'Pivot Table_GHG'!$A$3,"SUB TYPE",$B280))</f>
        <v>0.86200931416440196</v>
      </c>
      <c r="W280" s="248" t="str">
        <f t="shared" ca="1" si="39"/>
        <v>tropical_fruit</v>
      </c>
      <c r="X280" s="246">
        <f ca="1">IF($W280="DIRECT",M280,DCOUNT('literature entries'!$D:$AI,IF($J280=1,"ACTIVE     CED, FARM GATE (MJ/kg)","CED, processor gate (MJ/kg)"),INDIRECT($W280)))</f>
        <v>9</v>
      </c>
      <c r="Y280" s="246">
        <f ca="1">IF($W280="DIRECT","",DAVERAGE('literature entries'!$D:$AI,IF($J280=1,"ACTIVE     CED, FARM GATE (MJ/kg)","CED, processor gate (MJ/kg)"),INDIRECT($W280)))</f>
        <v>3.3954128262185184</v>
      </c>
      <c r="Z280" s="246">
        <f ca="1">IF($W280="DIRECT",$O280,DSTDEV('literature entries'!$D:$AI,IF($J280=1,"ACTIVE     CED, FARM GATE (MJ/kg)","CED, processor gate (MJ/kg)"),INDIRECT($W280)))</f>
        <v>2.1698076963305595</v>
      </c>
      <c r="AA280" s="246">
        <f t="shared" ca="1" si="36"/>
        <v>2.1698076963305595</v>
      </c>
      <c r="AB280" s="254" t="str">
        <f t="shared" ca="1" si="40"/>
        <v>tropical_fruit</v>
      </c>
      <c r="AC280" s="247">
        <f ca="1">IF($AB280="DIRECT",Q280,DCOUNT('literature entries'!$D:$AI,IF($J280=1,"ACTIVE     GHGE, FARM GATE (kg CO2e/kg)","GHGE, processor gate (kg CO2e/kg)"),INDIRECT($AB280)))</f>
        <v>30</v>
      </c>
      <c r="AD280" s="247">
        <f ca="1">IF($AB280="DIRECT","",DAVERAGE('literature entries'!$D:$AI,IF($J280=1,"ACTIVE     GHGE, FARM GATE (kg CO2e/kg)","GHGE, processor gate (kg CO2e/kg)"),INDIRECT($AB280)))</f>
        <v>0.53448943577564734</v>
      </c>
      <c r="AE280" s="247">
        <f ca="1">IF($AB280="DIRECT",$S280,DSTDEV('literature entries'!$D:$AI,IF($J280=1,"ACTIVE     GHGE, FARM GATE (kg CO2e/kg)","GHGE, processor gate (kg CO2e/kg)"),INDIRECT($AB280)))</f>
        <v>0.86200931416440196</v>
      </c>
      <c r="AF280" s="247">
        <f t="shared" ca="1" si="37"/>
        <v>0.86200931416440196</v>
      </c>
    </row>
    <row r="281" spans="1:32" s="21" customFormat="1" ht="17" thickBot="1" x14ac:dyDescent="0.25">
      <c r="A281" s="129">
        <v>2405253000</v>
      </c>
      <c r="B281" s="130" t="s">
        <v>2125</v>
      </c>
      <c r="C281" s="131" t="s">
        <v>1742</v>
      </c>
      <c r="D281" s="131"/>
      <c r="E281" s="131">
        <v>6353</v>
      </c>
      <c r="F281" s="126">
        <f t="shared" ca="1" si="34"/>
        <v>11.665376113290815</v>
      </c>
      <c r="G281" s="127">
        <f t="shared" ca="1" si="35"/>
        <v>1.9839192653382169</v>
      </c>
      <c r="H281" s="132">
        <v>1.88</v>
      </c>
      <c r="I281" s="133" t="s">
        <v>2724</v>
      </c>
      <c r="J281" s="91">
        <v>1</v>
      </c>
      <c r="K281" s="90" t="s">
        <v>3269</v>
      </c>
      <c r="L281" s="152" t="str">
        <f>IF(ISERROR(GETPIVOTDATA(IF($J281=1,"Count of ACTIVE     CED, FARM GATE (MJ/kg)","Count of CED, processor gate (MJ/kg)"),'Pivot Table_CED'!$A$3,"SUB TYPE",$B281)),"PROXY",IF(GETPIVOTDATA(IF($J281=1,"Count of ACTIVE     CED, FARM GATE (MJ/kg)","Count of CED, processor gate (MJ/kg)"),'Pivot Table_CED'!$A$3,"SUB TYPE",$B281)=0,"PROXY","DB value"))</f>
        <v>PROXY</v>
      </c>
      <c r="M281" s="134">
        <f ca="1">IF($L281="PROXY",DCOUNT('literature entries'!$D:$AI,IF($J281=1,"ACTIVE     CED, FARM GATE (MJ/kg)","CED, processor gate (MJ/kg)"),INDIRECT($K281)),GETPIVOTDATA(IF($J281=1,"Count of ACTIVE     CED, FARM GATE (MJ/kg)","Count of CED, processor gate (MJ/kg)"),'Pivot Table_CED'!$A$3,"SUB TYPE",$B281))</f>
        <v>9</v>
      </c>
      <c r="N281" s="135">
        <f ca="1">IF($L281="PROXY",DAVERAGE('literature entries'!$D:$AI,IF($J281=1,"ACTIVE     CED, FARM GATE (MJ/kg)","CED, processor gate (MJ/kg)"),INDIRECT($K281)),GETPIVOTDATA(IF($J281=1,"Average of ACTIVE     CED, FARM GATE (MJ/kg)","Average of CED, processor gate (MJ/kg)"),'Pivot Table_CED'!$A$3,"SUB TYPE",$B281))</f>
        <v>3.3954128262185184</v>
      </c>
      <c r="O281" s="135">
        <f ca="1">IF($L281="PROXY",DSTDEV('literature entries'!D:AI,IF($J281=1,"ACTIVE     CED, FARM GATE (MJ/kg)","CED, processor gate (MJ/kg)"),INDIRECT($K281)),GETPIVOTDATA(IF($J281=1,"StdDev of ACTIVE     CED, FARM GATE (MJ/kg)","StdDev of CED, processor gate (MJ/kg)"),'Pivot Table_CED'!$A$3,"SUB TYPE",$B281))</f>
        <v>2.1698076963305595</v>
      </c>
      <c r="P281" s="152" t="str">
        <f>IF(ISERROR(GETPIVOTDATA(IF($J281=1,"Count of ACTIVE     GHGE, FARM GATE (kg CO2e/kg)","Count of GHGE, processor gate (kg CO2e/kg)"),'Pivot Table_GHG'!$A$3,"SUB TYPE",$B281)),"PROXY",IF(GETPIVOTDATA(IF($J281=1,"Count of ACTIVE     GHGE, FARM GATE (kg CO2e/kg)","Count of GHGE, processor gate (kg CO2e/kg)"),'Pivot Table_GHG'!$A$3,"SUB TYPE",$B281)=0,"PROXY","DB value"))</f>
        <v>PROXY</v>
      </c>
      <c r="Q281" s="141">
        <f ca="1">IF($P281="PROXY",DCOUNT('literature entries'!$D:$AI,IF($J281=1,"ACTIVE     GHGE, FARM GATE (kg CO2e/kg)","GHGE, processor gate (kg CO2e/kg)"),INDIRECT($K281)),GETPIVOTDATA(IF($J281=1,"ACTIVE     GHGE, FARM GATE (kg CO2e/kg)","Count of GHGE, processor gate (kg CO2e/kg)"),'Pivot Table_GHG'!$A$3,"SUB TYPE",$B281))</f>
        <v>30</v>
      </c>
      <c r="R281" s="221">
        <f ca="1">IF($P281="PROXY",DAVERAGE('literature entries'!$D:$AI,IF($J281=1,"ACTIVE     GHGE, FARM GATE (kg CO2e/kg)","GHGE, processor gate (kg CO2e/kg)"),INDIRECT($K281)),GETPIVOTDATA(IF($J281=1,"Average of ACTIVE     GHGE, FARM GATE (kg CO2e/kg)","Average of GHGE, processor gate (kg CO2e/kg)"),'Pivot Table_GHG'!$A$3,"SUB TYPE",$B281))</f>
        <v>0.53448943577564734</v>
      </c>
      <c r="S281" s="221">
        <f ca="1">IF($P281="PROXY",DSTDEV('literature entries'!$D:$AI,IF($J281=1,"ACTIVE     GHGE, FARM GATE (kg CO2e/kg)","GHGE, processor gate (kg CO2e/kg)"),INDIRECT($K281)),GETPIVOTDATA(IF($J281=1,"StdDev of ACTIVE     GHGE, FARM GATE (kg CO2e/kg)","StdDev of GHGE, processor gate (kg CO2e/kg)"),'Pivot Table_GHG'!$A$3,"SUB TYPE",$B281))</f>
        <v>0.86200931416440196</v>
      </c>
      <c r="T281" s="99">
        <v>5.282</v>
      </c>
      <c r="U281" s="100">
        <v>0.97907912607999992</v>
      </c>
      <c r="W281" s="248" t="str">
        <f t="shared" ca="1" si="39"/>
        <v>tropical_fruit</v>
      </c>
      <c r="X281" s="246">
        <f ca="1">IF($W281="DIRECT",M281,DCOUNT('literature entries'!$D:$AI,IF($J281=1,"ACTIVE     CED, FARM GATE (MJ/kg)","CED, processor gate (MJ/kg)"),INDIRECT($W281)))</f>
        <v>9</v>
      </c>
      <c r="Y281" s="246">
        <f ca="1">IF($W281="DIRECT","",DAVERAGE('literature entries'!$D:$AI,IF($J281=1,"ACTIVE     CED, FARM GATE (MJ/kg)","CED, processor gate (MJ/kg)"),INDIRECT($W281)))</f>
        <v>3.3954128262185184</v>
      </c>
      <c r="Z281" s="246">
        <f ca="1">IF($W281="DIRECT",$O281,DSTDEV('literature entries'!$D:$AI,IF($J281=1,"ACTIVE     CED, FARM GATE (MJ/kg)","CED, processor gate (MJ/kg)"),INDIRECT($W281)))</f>
        <v>2.1698076963305595</v>
      </c>
      <c r="AA281" s="246">
        <f t="shared" ca="1" si="36"/>
        <v>2.1698076963305595</v>
      </c>
      <c r="AB281" s="254" t="str">
        <f t="shared" ca="1" si="40"/>
        <v>tropical_fruit</v>
      </c>
      <c r="AC281" s="247">
        <f ca="1">IF($AB281="DIRECT",Q281,DCOUNT('literature entries'!$D:$AI,IF($J281=1,"ACTIVE     GHGE, FARM GATE (kg CO2e/kg)","GHGE, processor gate (kg CO2e/kg)"),INDIRECT($AB281)))</f>
        <v>30</v>
      </c>
      <c r="AD281" s="247">
        <f ca="1">IF($AB281="DIRECT","",DAVERAGE('literature entries'!$D:$AI,IF($J281=1,"ACTIVE     GHGE, FARM GATE (kg CO2e/kg)","GHGE, processor gate (kg CO2e/kg)"),INDIRECT($AB281)))</f>
        <v>0.53448943577564734</v>
      </c>
      <c r="AE281" s="247">
        <f ca="1">IF($AB281="DIRECT",$S281,DSTDEV('literature entries'!$D:$AI,IF($J281=1,"ACTIVE     GHGE, FARM GATE (kg CO2e/kg)","GHGE, processor gate (kg CO2e/kg)"),INDIRECT($AB281)))</f>
        <v>0.86200931416440196</v>
      </c>
      <c r="AF281" s="247">
        <f t="shared" ca="1" si="37"/>
        <v>0.86200931416440196</v>
      </c>
    </row>
    <row r="282" spans="1:32" s="21" customFormat="1" ht="17" thickBot="1" x14ac:dyDescent="0.25">
      <c r="A282" s="129">
        <v>3100044000</v>
      </c>
      <c r="B282" s="130" t="s">
        <v>1814</v>
      </c>
      <c r="C282" s="131" t="s">
        <v>1815</v>
      </c>
      <c r="D282" s="131" t="s">
        <v>1816</v>
      </c>
      <c r="E282" s="131">
        <v>29164</v>
      </c>
      <c r="F282" s="126">
        <f t="shared" ca="1" si="34"/>
        <v>67.894632596446456</v>
      </c>
      <c r="G282" s="127">
        <f t="shared" ca="1" si="35"/>
        <v>33.105179355719855</v>
      </c>
      <c r="H282" s="132">
        <v>1</v>
      </c>
      <c r="I282" s="133" t="s">
        <v>594</v>
      </c>
      <c r="J282" s="91">
        <v>1</v>
      </c>
      <c r="K282" s="216"/>
      <c r="L282" s="152" t="str">
        <f>IF(ISERROR(GETPIVOTDATA(IF($J282=1,"Count of ACTIVE     CED, FARM GATE (MJ/kg)","Count of CED, processor gate (MJ/kg)"),'Pivot Table_CED'!$A$3,"SUB TYPE","beef")),"PROXY",IF(GETPIVOTDATA(IF($J282=1,"Count of ACTIVE     CED, FARM GATE (MJ/kg)","Count of CED, processor gate (MJ/kg)"),'Pivot Table_CED'!$A$3,"SUB TYPE","beef")=0,"PROXY","DB value"))</f>
        <v>DB value</v>
      </c>
      <c r="M282" s="134">
        <f ca="1">IF($L282="PROXY",DCOUNT('literature entries'!$D:$AI,IF($J282=1,"ACTIVE     CED, FARM GATE (MJ/kg)","CED, processor gate (MJ/kg)"),INDIRECT($K282)),GETPIVOTDATA(IF($J282=1,"Count of ACTIVE     CED, FARM GATE (MJ/kg)","Count of CED, processor gate (MJ/kg)"),'Pivot Table_CED'!$A$3,"SUB TYPE","beef"))</f>
        <v>19</v>
      </c>
      <c r="N282" s="135">
        <f ca="1">IF($L282="PROXY",DAVERAGE('literature entries'!$D:$AI,IF($J282=1,"ACTIVE     CED, FARM GATE (MJ/kg)","CED, processor gate (MJ/kg)"),INDIRECT($K282)),GETPIVOTDATA(IF($J282=1,"Average of ACTIVE     CED, FARM GATE (MJ/kg)","Average of CED, processor gate (MJ/kg)"),'Pivot Table_CED'!$A$3,"SUB TYPE","beef"))</f>
        <v>67.894632596446456</v>
      </c>
      <c r="O282" s="135">
        <f ca="1">IF($L282="PROXY",DSTDEV('literature entries'!D:AI,IF($J282=1,"ACTIVE     CED, FARM GATE (MJ/kg)","CED, processor gate (MJ/kg)"),INDIRECT($K282)),GETPIVOTDATA(IF($J282=1,"StdDev of ACTIVE     CED, FARM GATE (MJ/kg)","StdDev of CED, processor gate (MJ/kg)"),'Pivot Table_CED'!$A$3,"SUB TYPE","beef"))</f>
        <v>39.183980232133344</v>
      </c>
      <c r="P282" s="152" t="str">
        <f>IF(ISERROR(GETPIVOTDATA(IF($J282=1,"Count of ACTIVE     GHGE, FARM GATE (kg CO2e/kg)","Count of GHGE, processor gate (kg CO2e/kg)"),'Pivot Table_GHG'!$A$3,"SUB TYPE","beef")),"PROXY",IF(GETPIVOTDATA(IF($J282=1,"Count of ACTIVE     GHGE, FARM GATE (kg CO2e/kg)","Count of GHGE, processor gate (kg CO2e/kg)"),'Pivot Table_GHG'!$A$3,"SUB TYPE","beef")=0,"PROXY","DB value"))</f>
        <v>DB value</v>
      </c>
      <c r="Q282" s="141">
        <f ca="1">IF($P282="PROXY",DCOUNT('literature entries'!$D:$AI,IF($J282=1,"ACTIVE     GHGE, FARM GATE (kg CO2e/kg)","GHGE, processor gate (kg CO2e/kg)"),INDIRECT($K282)),GETPIVOTDATA(IF($J282=1,"ACTIVE     GHGE, FARM GATE (kg CO2e/kg)","Count of GHGE, processor gate (kg CO2e/kg)"),'Pivot Table_GHG'!$A$3,"SUB TYPE","beef"))</f>
        <v>95</v>
      </c>
      <c r="R282" s="221">
        <f ca="1">IF($P282="PROXY",DAVERAGE('literature entries'!$D:$AI,IF($J282=1,"ACTIVE     GHGE, FARM GATE (kg CO2e/kg)","GHGE, processor gate (kg CO2e/kg)"),INDIRECT($K282)),GETPIVOTDATA(IF($J282=1,"Average of ACTIVE     GHGE, FARM GATE (kg CO2e/kg)","Average of GHGE, processor gate (kg CO2e/kg)"),'Pivot Table_GHG'!$A$3,"SUB TYPE","beef"))</f>
        <v>33.105179355719855</v>
      </c>
      <c r="S282" s="221">
        <f ca="1">IF($P282="PROXY",DSTDEV('literature entries'!$D:$AI,IF($J282=1,"ACTIVE     GHGE, FARM GATE (kg CO2e/kg)","GHGE, processor gate (kg CO2e/kg)"),INDIRECT($K282)),GETPIVOTDATA(IF($J282=1,"StdDev of ACTIVE     GHGE, FARM GATE (kg CO2e/kg)","StdDev of GHGE, processor gate (kg CO2e/kg)"),'Pivot Table_GHG'!$A$3,"SUB TYPE","beef"))</f>
        <v>12.613499974064888</v>
      </c>
      <c r="T282" s="101"/>
      <c r="U282" s="102"/>
      <c r="W282" s="248" t="str">
        <f t="shared" ca="1" si="39"/>
        <v>DIRECT</v>
      </c>
      <c r="X282" s="246">
        <f ca="1">IF($W282="DIRECT",M282,DCOUNT('literature entries'!$D:$AI,IF($J282=1,"ACTIVE     CED, FARM GATE (MJ/kg)","CED, processor gate (MJ/kg)"),INDIRECT($W282)))</f>
        <v>19</v>
      </c>
      <c r="Y282" s="246" t="str">
        <f ca="1">IF($W282="DIRECT","",DAVERAGE('literature entries'!$D:$AI,IF($J282=1,"ACTIVE     CED, FARM GATE (MJ/kg)","CED, processor gate (MJ/kg)"),INDIRECT($W282)))</f>
        <v/>
      </c>
      <c r="Z282" s="246">
        <f ca="1">IF($W282="DIRECT",$O282,DSTDEV('literature entries'!$D:$AI,IF($J282=1,"ACTIVE     CED, FARM GATE (MJ/kg)","CED, processor gate (MJ/kg)"),INDIRECT($W282)))</f>
        <v>39.183980232133344</v>
      </c>
      <c r="AA282" s="246">
        <f t="shared" ca="1" si="36"/>
        <v>39.183980232133344</v>
      </c>
      <c r="AB282" s="254" t="str">
        <f t="shared" ca="1" si="40"/>
        <v>DIRECT</v>
      </c>
      <c r="AC282" s="247">
        <f ca="1">IF($AB282="DIRECT",Q282,DCOUNT('literature entries'!$D:$AI,IF($J282=1,"ACTIVE     GHGE, FARM GATE (kg CO2e/kg)","GHGE, processor gate (kg CO2e/kg)"),INDIRECT($AB282)))</f>
        <v>95</v>
      </c>
      <c r="AD282" s="247" t="str">
        <f ca="1">IF($AB282="DIRECT","",DAVERAGE('literature entries'!$D:$AI,IF($J282=1,"ACTIVE     GHGE, FARM GATE (kg CO2e/kg)","GHGE, processor gate (kg CO2e/kg)"),INDIRECT($AB282)))</f>
        <v/>
      </c>
      <c r="AE282" s="247">
        <f ca="1">IF($AB282="DIRECT",$S282,DSTDEV('literature entries'!$D:$AI,IF($J282=1,"ACTIVE     GHGE, FARM GATE (kg CO2e/kg)","GHGE, processor gate (kg CO2e/kg)"),INDIRECT($AB282)))</f>
        <v>12.613499974064888</v>
      </c>
      <c r="AF282" s="247">
        <f t="shared" ca="1" si="37"/>
        <v>12.613499974064888</v>
      </c>
    </row>
    <row r="283" spans="1:32" s="21" customFormat="1" ht="17" thickBot="1" x14ac:dyDescent="0.25">
      <c r="A283" s="129">
        <v>3100045000</v>
      </c>
      <c r="B283" s="130" t="s">
        <v>1820</v>
      </c>
      <c r="C283" s="131" t="s">
        <v>1821</v>
      </c>
      <c r="D283" s="131"/>
      <c r="E283" s="131">
        <v>414</v>
      </c>
      <c r="F283" s="126">
        <f t="shared" ca="1" si="34"/>
        <v>93.694592983096101</v>
      </c>
      <c r="G283" s="127">
        <f t="shared" ca="1" si="35"/>
        <v>45.685147510893394</v>
      </c>
      <c r="H283" s="132">
        <v>1.38</v>
      </c>
      <c r="I283" s="133" t="s">
        <v>2724</v>
      </c>
      <c r="J283" s="91">
        <v>1</v>
      </c>
      <c r="K283" s="216"/>
      <c r="L283" s="152" t="str">
        <f>IF(ISERROR(GETPIVOTDATA(IF($J283=1,"Count of ACTIVE     CED, FARM GATE (MJ/kg)","Count of CED, processor gate (MJ/kg)"),'Pivot Table_CED'!$A$3,"SUB TYPE","beef")),"PROXY",IF(GETPIVOTDATA(IF($J283=1,"Count of ACTIVE     CED, FARM GATE (MJ/kg)","Count of CED, processor gate (MJ/kg)"),'Pivot Table_CED'!$A$3,"SUB TYPE","beef")=0,"PROXY","DB value"))</f>
        <v>DB value</v>
      </c>
      <c r="M283" s="134">
        <f ca="1">IF($L283="PROXY",DCOUNT('literature entries'!$D:$AI,IF($J283=1,"ACTIVE     CED, FARM GATE (MJ/kg)","CED, processor gate (MJ/kg)"),INDIRECT($K283)),GETPIVOTDATA(IF($J283=1,"Count of ACTIVE     CED, FARM GATE (MJ/kg)","Count of CED, processor gate (MJ/kg)"),'Pivot Table_CED'!$A$3,"SUB TYPE","beef"))</f>
        <v>19</v>
      </c>
      <c r="N283" s="135">
        <f ca="1">IF($L283="PROXY",DAVERAGE('literature entries'!$D:$AI,IF($J283=1,"ACTIVE     CED, FARM GATE (MJ/kg)","CED, processor gate (MJ/kg)"),INDIRECT($K283)),GETPIVOTDATA(IF($J283=1,"Average of ACTIVE     CED, FARM GATE (MJ/kg)","Average of CED, processor gate (MJ/kg)"),'Pivot Table_CED'!$A$3,"SUB TYPE","beef"))</f>
        <v>67.894632596446456</v>
      </c>
      <c r="O283" s="135">
        <f ca="1">IF($L283="PROXY",DSTDEV('literature entries'!D:AI,IF($J283=1,"ACTIVE     CED, FARM GATE (MJ/kg)","CED, processor gate (MJ/kg)"),INDIRECT($K283)),GETPIVOTDATA(IF($J283=1,"StdDev of ACTIVE     CED, FARM GATE (MJ/kg)","StdDev of CED, processor gate (MJ/kg)"),'Pivot Table_CED'!$A$3,"SUB TYPE","beef"))</f>
        <v>39.183980232133344</v>
      </c>
      <c r="P283" s="152" t="str">
        <f>IF(ISERROR(GETPIVOTDATA(IF($J283=1,"Count of ACTIVE     GHGE, FARM GATE (kg CO2e/kg)","Count of GHGE, processor gate (kg CO2e/kg)"),'Pivot Table_GHG'!$A$3,"SUB TYPE","beef")),"PROXY",IF(GETPIVOTDATA(IF($J283=1,"Count of ACTIVE     GHGE, FARM GATE (kg CO2e/kg)","Count of GHGE, processor gate (kg CO2e/kg)"),'Pivot Table_GHG'!$A$3,"SUB TYPE","beef")=0,"PROXY","DB value"))</f>
        <v>DB value</v>
      </c>
      <c r="Q283" s="141">
        <f ca="1">IF($P283="PROXY",DCOUNT('literature entries'!$D:$AI,IF($J283=1,"ACTIVE     GHGE, FARM GATE (kg CO2e/kg)","GHGE, processor gate (kg CO2e/kg)"),INDIRECT($K283)),GETPIVOTDATA(IF($J283=1,"ACTIVE     GHGE, FARM GATE (kg CO2e/kg)","Count of GHGE, processor gate (kg CO2e/kg)"),'Pivot Table_GHG'!$A$3,"SUB TYPE","beef"))</f>
        <v>95</v>
      </c>
      <c r="R283" s="221">
        <f ca="1">IF($P283="PROXY",DAVERAGE('literature entries'!$D:$AI,IF($J283=1,"ACTIVE     GHGE, FARM GATE (kg CO2e/kg)","GHGE, processor gate (kg CO2e/kg)"),INDIRECT($K283)),GETPIVOTDATA(IF($J283=1,"Average of ACTIVE     GHGE, FARM GATE (kg CO2e/kg)","Average of GHGE, processor gate (kg CO2e/kg)"),'Pivot Table_GHG'!$A$3,"SUB TYPE","beef"))</f>
        <v>33.105179355719855</v>
      </c>
      <c r="S283" s="221">
        <f ca="1">IF($P283="PROXY",DSTDEV('literature entries'!$D:$AI,IF($J283=1,"ACTIVE     GHGE, FARM GATE (kg CO2e/kg)","GHGE, processor gate (kg CO2e/kg)"),INDIRECT($K283)),GETPIVOTDATA(IF($J283=1,"StdDev of ACTIVE     GHGE, FARM GATE (kg CO2e/kg)","StdDev of GHGE, processor gate (kg CO2e/kg)"),'Pivot Table_GHG'!$A$3,"SUB TYPE","beef"))</f>
        <v>12.613499974064888</v>
      </c>
      <c r="T283" s="101"/>
      <c r="U283" s="102"/>
      <c r="W283" s="248" t="str">
        <f t="shared" ca="1" si="39"/>
        <v>DIRECT</v>
      </c>
      <c r="X283" s="246">
        <f ca="1">IF($W283="DIRECT",M283,DCOUNT('literature entries'!$D:$AI,IF($J283=1,"ACTIVE     CED, FARM GATE (MJ/kg)","CED, processor gate (MJ/kg)"),INDIRECT($W283)))</f>
        <v>19</v>
      </c>
      <c r="Y283" s="246" t="str">
        <f ca="1">IF($W283="DIRECT","",DAVERAGE('literature entries'!$D:$AI,IF($J283=1,"ACTIVE     CED, FARM GATE (MJ/kg)","CED, processor gate (MJ/kg)"),INDIRECT($W283)))</f>
        <v/>
      </c>
      <c r="Z283" s="246">
        <f ca="1">IF($W283="DIRECT",$O283,DSTDEV('literature entries'!$D:$AI,IF($J283=1,"ACTIVE     CED, FARM GATE (MJ/kg)","CED, processor gate (MJ/kg)"),INDIRECT($W283)))</f>
        <v>39.183980232133344</v>
      </c>
      <c r="AA283" s="246">
        <f t="shared" ca="1" si="36"/>
        <v>39.183980232133344</v>
      </c>
      <c r="AB283" s="254" t="str">
        <f t="shared" ca="1" si="40"/>
        <v>DIRECT</v>
      </c>
      <c r="AC283" s="247">
        <f ca="1">IF($AB283="DIRECT",Q283,DCOUNT('literature entries'!$D:$AI,IF($J283=1,"ACTIVE     GHGE, FARM GATE (kg CO2e/kg)","GHGE, processor gate (kg CO2e/kg)"),INDIRECT($AB283)))</f>
        <v>95</v>
      </c>
      <c r="AD283" s="247" t="str">
        <f ca="1">IF($AB283="DIRECT","",DAVERAGE('literature entries'!$D:$AI,IF($J283=1,"ACTIVE     GHGE, FARM GATE (kg CO2e/kg)","GHGE, processor gate (kg CO2e/kg)"),INDIRECT($AB283)))</f>
        <v/>
      </c>
      <c r="AE283" s="247">
        <f ca="1">IF($AB283="DIRECT",$S283,DSTDEV('literature entries'!$D:$AI,IF($J283=1,"ACTIVE     GHGE, FARM GATE (kg CO2e/kg)","GHGE, processor gate (kg CO2e/kg)"),INDIRECT($AB283)))</f>
        <v>12.613499974064888</v>
      </c>
      <c r="AF283" s="247">
        <f t="shared" ca="1" si="37"/>
        <v>12.613499974064888</v>
      </c>
    </row>
    <row r="284" spans="1:32" s="21" customFormat="1" ht="17" thickBot="1" x14ac:dyDescent="0.25">
      <c r="A284" s="129">
        <v>3100046000</v>
      </c>
      <c r="B284" s="130" t="s">
        <v>1817</v>
      </c>
      <c r="C284" s="131" t="s">
        <v>1818</v>
      </c>
      <c r="D284" s="131" t="s">
        <v>1819</v>
      </c>
      <c r="E284" s="131">
        <v>26546</v>
      </c>
      <c r="F284" s="126">
        <f t="shared" ca="1" si="34"/>
        <v>67.894632596446456</v>
      </c>
      <c r="G284" s="127">
        <f t="shared" ca="1" si="35"/>
        <v>33.105179355719855</v>
      </c>
      <c r="H284" s="132">
        <v>1</v>
      </c>
      <c r="I284" s="133" t="s">
        <v>594</v>
      </c>
      <c r="J284" s="91">
        <v>1</v>
      </c>
      <c r="K284" s="216"/>
      <c r="L284" s="152" t="str">
        <f>IF(ISERROR(GETPIVOTDATA(IF($J284=1,"Count of ACTIVE     CED, FARM GATE (MJ/kg)","Count of CED, processor gate (MJ/kg)"),'Pivot Table_CED'!$A$3,"SUB TYPE","beef")),"PROXY",IF(GETPIVOTDATA(IF($J284=1,"Count of ACTIVE     CED, FARM GATE (MJ/kg)","Count of CED, processor gate (MJ/kg)"),'Pivot Table_CED'!$A$3,"SUB TYPE","beef")=0,"PROXY","DB value"))</f>
        <v>DB value</v>
      </c>
      <c r="M284" s="134">
        <f ca="1">IF($L284="PROXY",DCOUNT('literature entries'!$D:$AI,IF($J284=1,"ACTIVE     CED, FARM GATE (MJ/kg)","CED, processor gate (MJ/kg)"),INDIRECT($K284)),GETPIVOTDATA(IF($J284=1,"Count of ACTIVE     CED, FARM GATE (MJ/kg)","Count of CED, processor gate (MJ/kg)"),'Pivot Table_CED'!$A$3,"SUB TYPE","beef"))</f>
        <v>19</v>
      </c>
      <c r="N284" s="135">
        <f ca="1">IF($L284="PROXY",DAVERAGE('literature entries'!$D:$AI,IF($J284=1,"ACTIVE     CED, FARM GATE (MJ/kg)","CED, processor gate (MJ/kg)"),INDIRECT($K284)),GETPIVOTDATA(IF($J284=1,"Average of ACTIVE     CED, FARM GATE (MJ/kg)","Average of CED, processor gate (MJ/kg)"),'Pivot Table_CED'!$A$3,"SUB TYPE","beef"))</f>
        <v>67.894632596446456</v>
      </c>
      <c r="O284" s="135">
        <f ca="1">IF($L284="PROXY",DSTDEV('literature entries'!D:AI,IF($J284=1,"ACTIVE     CED, FARM GATE (MJ/kg)","CED, processor gate (MJ/kg)"),INDIRECT($K284)),GETPIVOTDATA(IF($J284=1,"StdDev of ACTIVE     CED, FARM GATE (MJ/kg)","StdDev of CED, processor gate (MJ/kg)"),'Pivot Table_CED'!$A$3,"SUB TYPE","beef"))</f>
        <v>39.183980232133344</v>
      </c>
      <c r="P284" s="152" t="str">
        <f>IF(ISERROR(GETPIVOTDATA(IF($J284=1,"Count of ACTIVE     GHGE, FARM GATE (kg CO2e/kg)","Count of GHGE, processor gate (kg CO2e/kg)"),'Pivot Table_GHG'!$A$3,"SUB TYPE","beef")),"PROXY",IF(GETPIVOTDATA(IF($J284=1,"Count of ACTIVE     GHGE, FARM GATE (kg CO2e/kg)","Count of GHGE, processor gate (kg CO2e/kg)"),'Pivot Table_GHG'!$A$3,"SUB TYPE","beef")=0,"PROXY","DB value"))</f>
        <v>DB value</v>
      </c>
      <c r="Q284" s="141">
        <f ca="1">IF($P284="PROXY",DCOUNT('literature entries'!$D:$AI,IF($J284=1,"ACTIVE     GHGE, FARM GATE (kg CO2e/kg)","GHGE, processor gate (kg CO2e/kg)"),INDIRECT($K284)),GETPIVOTDATA(IF($J284=1,"ACTIVE     GHGE, FARM GATE (kg CO2e/kg)","Count of GHGE, processor gate (kg CO2e/kg)"),'Pivot Table_GHG'!$A$3,"SUB TYPE","beef"))</f>
        <v>95</v>
      </c>
      <c r="R284" s="221">
        <f ca="1">IF($P284="PROXY",DAVERAGE('literature entries'!$D:$AI,IF($J284=1,"ACTIVE     GHGE, FARM GATE (kg CO2e/kg)","GHGE, processor gate (kg CO2e/kg)"),INDIRECT($K284)),GETPIVOTDATA(IF($J284=1,"Average of ACTIVE     GHGE, FARM GATE (kg CO2e/kg)","Average of GHGE, processor gate (kg CO2e/kg)"),'Pivot Table_GHG'!$A$3,"SUB TYPE","beef"))</f>
        <v>33.105179355719855</v>
      </c>
      <c r="S284" s="221">
        <f ca="1">IF($P284="PROXY",DSTDEV('literature entries'!$D:$AI,IF($J284=1,"ACTIVE     GHGE, FARM GATE (kg CO2e/kg)","GHGE, processor gate (kg CO2e/kg)"),INDIRECT($K284)),GETPIVOTDATA(IF($J284=1,"StdDev of ACTIVE     GHGE, FARM GATE (kg CO2e/kg)","StdDev of GHGE, processor gate (kg CO2e/kg)"),'Pivot Table_GHG'!$A$3,"SUB TYPE","beef"))</f>
        <v>12.613499974064888</v>
      </c>
      <c r="T284" s="101"/>
      <c r="U284" s="102"/>
      <c r="W284" s="248" t="str">
        <f t="shared" ca="1" si="39"/>
        <v>DIRECT</v>
      </c>
      <c r="X284" s="246">
        <f ca="1">IF($W284="DIRECT",M284,DCOUNT('literature entries'!$D:$AI,IF($J284=1,"ACTIVE     CED, FARM GATE (MJ/kg)","CED, processor gate (MJ/kg)"),INDIRECT($W284)))</f>
        <v>19</v>
      </c>
      <c r="Y284" s="246" t="str">
        <f ca="1">IF($W284="DIRECT","",DAVERAGE('literature entries'!$D:$AI,IF($J284=1,"ACTIVE     CED, FARM GATE (MJ/kg)","CED, processor gate (MJ/kg)"),INDIRECT($W284)))</f>
        <v/>
      </c>
      <c r="Z284" s="246">
        <f ca="1">IF($W284="DIRECT",$O284,DSTDEV('literature entries'!$D:$AI,IF($J284=1,"ACTIVE     CED, FARM GATE (MJ/kg)","CED, processor gate (MJ/kg)"),INDIRECT($W284)))</f>
        <v>39.183980232133344</v>
      </c>
      <c r="AA284" s="246">
        <f t="shared" ca="1" si="36"/>
        <v>39.183980232133344</v>
      </c>
      <c r="AB284" s="254" t="str">
        <f t="shared" ca="1" si="40"/>
        <v>DIRECT</v>
      </c>
      <c r="AC284" s="247">
        <f ca="1">IF($AB284="DIRECT",Q284,DCOUNT('literature entries'!$D:$AI,IF($J284=1,"ACTIVE     GHGE, FARM GATE (kg CO2e/kg)","GHGE, processor gate (kg CO2e/kg)"),INDIRECT($AB284)))</f>
        <v>95</v>
      </c>
      <c r="AD284" s="247" t="str">
        <f ca="1">IF($AB284="DIRECT","",DAVERAGE('literature entries'!$D:$AI,IF($J284=1,"ACTIVE     GHGE, FARM GATE (kg CO2e/kg)","GHGE, processor gate (kg CO2e/kg)"),INDIRECT($AB284)))</f>
        <v/>
      </c>
      <c r="AE284" s="247">
        <f ca="1">IF($AB284="DIRECT",$S284,DSTDEV('literature entries'!$D:$AI,IF($J284=1,"ACTIVE     GHGE, FARM GATE (kg CO2e/kg)","GHGE, processor gate (kg CO2e/kg)"),INDIRECT($AB284)))</f>
        <v>12.613499974064888</v>
      </c>
      <c r="AF284" s="247">
        <f t="shared" ca="1" si="37"/>
        <v>12.613499974064888</v>
      </c>
    </row>
    <row r="285" spans="1:32" s="21" customFormat="1" ht="17" thickBot="1" x14ac:dyDescent="0.25">
      <c r="A285" s="129">
        <v>3100047000</v>
      </c>
      <c r="B285" s="130" t="s">
        <v>1810</v>
      </c>
      <c r="C285" s="131" t="s">
        <v>1811</v>
      </c>
      <c r="D285" s="131"/>
      <c r="E285" s="131">
        <v>32127</v>
      </c>
      <c r="F285" s="126">
        <f t="shared" ca="1" si="34"/>
        <v>67.894632596446456</v>
      </c>
      <c r="G285" s="127">
        <f t="shared" ca="1" si="35"/>
        <v>33.105179355719855</v>
      </c>
      <c r="H285" s="132">
        <v>1</v>
      </c>
      <c r="I285" s="133" t="s">
        <v>594</v>
      </c>
      <c r="J285" s="91">
        <v>1</v>
      </c>
      <c r="K285" s="216"/>
      <c r="L285" s="152" t="str">
        <f>IF(ISERROR(GETPIVOTDATA(IF($J285=1,"Count of ACTIVE     CED, FARM GATE (MJ/kg)","Count of CED, processor gate (MJ/kg)"),'Pivot Table_CED'!$A$3,"SUB TYPE","beef")),"PROXY",IF(GETPIVOTDATA(IF($J285=1,"Count of ACTIVE     CED, FARM GATE (MJ/kg)","Count of CED, processor gate (MJ/kg)"),'Pivot Table_CED'!$A$3,"SUB TYPE","beef")=0,"PROXY","DB value"))</f>
        <v>DB value</v>
      </c>
      <c r="M285" s="134">
        <f ca="1">IF($L285="PROXY",DCOUNT('literature entries'!$D:$AI,IF($J285=1,"ACTIVE     CED, FARM GATE (MJ/kg)","CED, processor gate (MJ/kg)"),INDIRECT($K285)),GETPIVOTDATA(IF($J285=1,"Count of ACTIVE     CED, FARM GATE (MJ/kg)","Count of CED, processor gate (MJ/kg)"),'Pivot Table_CED'!$A$3,"SUB TYPE","beef"))</f>
        <v>19</v>
      </c>
      <c r="N285" s="135">
        <f ca="1">IF($L285="PROXY",DAVERAGE('literature entries'!$D:$AI,IF($J285=1,"ACTIVE     CED, FARM GATE (MJ/kg)","CED, processor gate (MJ/kg)"),INDIRECT($K285)),GETPIVOTDATA(IF($J285=1,"Average of ACTIVE     CED, FARM GATE (MJ/kg)","Average of CED, processor gate (MJ/kg)"),'Pivot Table_CED'!$A$3,"SUB TYPE","beef"))</f>
        <v>67.894632596446456</v>
      </c>
      <c r="O285" s="135">
        <f ca="1">IF($L285="PROXY",DSTDEV('literature entries'!D:AI,IF($J285=1,"ACTIVE     CED, FARM GATE (MJ/kg)","CED, processor gate (MJ/kg)"),INDIRECT($K285)),GETPIVOTDATA(IF($J285=1,"StdDev of ACTIVE     CED, FARM GATE (MJ/kg)","StdDev of CED, processor gate (MJ/kg)"),'Pivot Table_CED'!$A$3,"SUB TYPE","beef"))</f>
        <v>39.183980232133344</v>
      </c>
      <c r="P285" s="152" t="str">
        <f>IF(ISERROR(GETPIVOTDATA(IF($J285=1,"Count of ACTIVE     GHGE, FARM GATE (kg CO2e/kg)","Count of GHGE, processor gate (kg CO2e/kg)"),'Pivot Table_GHG'!$A$3,"SUB TYPE","beef")),"PROXY",IF(GETPIVOTDATA(IF($J285=1,"Count of ACTIVE     GHGE, FARM GATE (kg CO2e/kg)","Count of GHGE, processor gate (kg CO2e/kg)"),'Pivot Table_GHG'!$A$3,"SUB TYPE","beef")=0,"PROXY","DB value"))</f>
        <v>DB value</v>
      </c>
      <c r="Q285" s="141">
        <f ca="1">IF($P285="PROXY",DCOUNT('literature entries'!$D:$AI,IF($J285=1,"ACTIVE     GHGE, FARM GATE (kg CO2e/kg)","GHGE, processor gate (kg CO2e/kg)"),INDIRECT($K285)),GETPIVOTDATA(IF($J285=1,"ACTIVE     GHGE, FARM GATE (kg CO2e/kg)","Count of GHGE, processor gate (kg CO2e/kg)"),'Pivot Table_GHG'!$A$3,"SUB TYPE","beef"))</f>
        <v>95</v>
      </c>
      <c r="R285" s="221">
        <f ca="1">IF($P285="PROXY",DAVERAGE('literature entries'!$D:$AI,IF($J285=1,"ACTIVE     GHGE, FARM GATE (kg CO2e/kg)","GHGE, processor gate (kg CO2e/kg)"),INDIRECT($K285)),GETPIVOTDATA(IF($J285=1,"Average of ACTIVE     GHGE, FARM GATE (kg CO2e/kg)","Average of GHGE, processor gate (kg CO2e/kg)"),'Pivot Table_GHG'!$A$3,"SUB TYPE","beef"))</f>
        <v>33.105179355719855</v>
      </c>
      <c r="S285" s="221">
        <f ca="1">IF($P285="PROXY",DSTDEV('literature entries'!$D:$AI,IF($J285=1,"ACTIVE     GHGE, FARM GATE (kg CO2e/kg)","GHGE, processor gate (kg CO2e/kg)"),INDIRECT($K285)),GETPIVOTDATA(IF($J285=1,"StdDev of ACTIVE     GHGE, FARM GATE (kg CO2e/kg)","StdDev of GHGE, processor gate (kg CO2e/kg)"),'Pivot Table_GHG'!$A$3,"SUB TYPE","beef"))</f>
        <v>12.613499974064888</v>
      </c>
      <c r="T285" s="101"/>
      <c r="U285" s="102"/>
      <c r="W285" s="248" t="str">
        <f t="shared" ca="1" si="39"/>
        <v>DIRECT</v>
      </c>
      <c r="X285" s="246">
        <f ca="1">IF($W285="DIRECT",M285,DCOUNT('literature entries'!$D:$AI,IF($J285=1,"ACTIVE     CED, FARM GATE (MJ/kg)","CED, processor gate (MJ/kg)"),INDIRECT($W285)))</f>
        <v>19</v>
      </c>
      <c r="Y285" s="246" t="str">
        <f ca="1">IF($W285="DIRECT","",DAVERAGE('literature entries'!$D:$AI,IF($J285=1,"ACTIVE     CED, FARM GATE (MJ/kg)","CED, processor gate (MJ/kg)"),INDIRECT($W285)))</f>
        <v/>
      </c>
      <c r="Z285" s="246">
        <f ca="1">IF($W285="DIRECT",$O285,DSTDEV('literature entries'!$D:$AI,IF($J285=1,"ACTIVE     CED, FARM GATE (MJ/kg)","CED, processor gate (MJ/kg)"),INDIRECT($W285)))</f>
        <v>39.183980232133344</v>
      </c>
      <c r="AA285" s="246">
        <f t="shared" ca="1" si="36"/>
        <v>39.183980232133344</v>
      </c>
      <c r="AB285" s="254" t="str">
        <f t="shared" ca="1" si="40"/>
        <v>DIRECT</v>
      </c>
      <c r="AC285" s="247">
        <f ca="1">IF($AB285="DIRECT",Q285,DCOUNT('literature entries'!$D:$AI,IF($J285=1,"ACTIVE     GHGE, FARM GATE (kg CO2e/kg)","GHGE, processor gate (kg CO2e/kg)"),INDIRECT($AB285)))</f>
        <v>95</v>
      </c>
      <c r="AD285" s="247" t="str">
        <f ca="1">IF($AB285="DIRECT","",DAVERAGE('literature entries'!$D:$AI,IF($J285=1,"ACTIVE     GHGE, FARM GATE (kg CO2e/kg)","GHGE, processor gate (kg CO2e/kg)"),INDIRECT($AB285)))</f>
        <v/>
      </c>
      <c r="AE285" s="247">
        <f ca="1">IF($AB285="DIRECT",$S285,DSTDEV('literature entries'!$D:$AI,IF($J285=1,"ACTIVE     GHGE, FARM GATE (kg CO2e/kg)","GHGE, processor gate (kg CO2e/kg)"),INDIRECT($AB285)))</f>
        <v>12.613499974064888</v>
      </c>
      <c r="AF285" s="247">
        <f t="shared" ca="1" si="37"/>
        <v>12.613499974064888</v>
      </c>
    </row>
    <row r="286" spans="1:32" s="21" customFormat="1" ht="17" thickBot="1" x14ac:dyDescent="0.25">
      <c r="A286" s="129">
        <v>3100049000</v>
      </c>
      <c r="B286" s="130" t="s">
        <v>1812</v>
      </c>
      <c r="C286" s="131" t="s">
        <v>1813</v>
      </c>
      <c r="D286" s="131"/>
      <c r="E286" s="131">
        <v>84</v>
      </c>
      <c r="F286" s="126">
        <f t="shared" ca="1" si="34"/>
        <v>67.894632596446456</v>
      </c>
      <c r="G286" s="127">
        <f t="shared" ca="1" si="35"/>
        <v>33.105179355719855</v>
      </c>
      <c r="H286" s="132">
        <v>1</v>
      </c>
      <c r="I286" s="133" t="s">
        <v>594</v>
      </c>
      <c r="J286" s="91">
        <v>1</v>
      </c>
      <c r="K286" s="216"/>
      <c r="L286" s="152" t="str">
        <f>IF(ISERROR(GETPIVOTDATA(IF($J286=1,"Count of ACTIVE     CED, FARM GATE (MJ/kg)","Count of CED, processor gate (MJ/kg)"),'Pivot Table_CED'!$A$3,"SUB TYPE","beef")),"PROXY",IF(GETPIVOTDATA(IF($J286=1,"Count of ACTIVE     CED, FARM GATE (MJ/kg)","Count of CED, processor gate (MJ/kg)"),'Pivot Table_CED'!$A$3,"SUB TYPE","beef")=0,"PROXY","DB value"))</f>
        <v>DB value</v>
      </c>
      <c r="M286" s="134">
        <f ca="1">IF($L286="PROXY",DCOUNT('literature entries'!$D:$AI,IF($J286=1,"ACTIVE     CED, FARM GATE (MJ/kg)","CED, processor gate (MJ/kg)"),INDIRECT($K286)),GETPIVOTDATA(IF($J286=1,"Count of ACTIVE     CED, FARM GATE (MJ/kg)","Count of CED, processor gate (MJ/kg)"),'Pivot Table_CED'!$A$3,"SUB TYPE","beef"))</f>
        <v>19</v>
      </c>
      <c r="N286" s="135">
        <f ca="1">IF($L286="PROXY",DAVERAGE('literature entries'!$D:$AI,IF($J286=1,"ACTIVE     CED, FARM GATE (MJ/kg)","CED, processor gate (MJ/kg)"),INDIRECT($K286)),GETPIVOTDATA(IF($J286=1,"Average of ACTIVE     CED, FARM GATE (MJ/kg)","Average of CED, processor gate (MJ/kg)"),'Pivot Table_CED'!$A$3,"SUB TYPE","beef"))</f>
        <v>67.894632596446456</v>
      </c>
      <c r="O286" s="135">
        <f ca="1">IF($L286="PROXY",DSTDEV('literature entries'!D:AI,IF($J286=1,"ACTIVE     CED, FARM GATE (MJ/kg)","CED, processor gate (MJ/kg)"),INDIRECT($K286)),GETPIVOTDATA(IF($J286=1,"StdDev of ACTIVE     CED, FARM GATE (MJ/kg)","StdDev of CED, processor gate (MJ/kg)"),'Pivot Table_CED'!$A$3,"SUB TYPE","beef"))</f>
        <v>39.183980232133344</v>
      </c>
      <c r="P286" s="152" t="str">
        <f>IF(ISERROR(GETPIVOTDATA(IF($J286=1,"Count of ACTIVE     GHGE, FARM GATE (kg CO2e/kg)","Count of GHGE, processor gate (kg CO2e/kg)"),'Pivot Table_GHG'!$A$3,"SUB TYPE","beef")),"PROXY",IF(GETPIVOTDATA(IF($J286=1,"Count of ACTIVE     GHGE, FARM GATE (kg CO2e/kg)","Count of GHGE, processor gate (kg CO2e/kg)"),'Pivot Table_GHG'!$A$3,"SUB TYPE","beef")=0,"PROXY","DB value"))</f>
        <v>DB value</v>
      </c>
      <c r="Q286" s="141">
        <f ca="1">IF($P286="PROXY",DCOUNT('literature entries'!$D:$AI,IF($J286=1,"ACTIVE     GHGE, FARM GATE (kg CO2e/kg)","GHGE, processor gate (kg CO2e/kg)"),INDIRECT($K286)),GETPIVOTDATA(IF($J286=1,"ACTIVE     GHGE, FARM GATE (kg CO2e/kg)","Count of GHGE, processor gate (kg CO2e/kg)"),'Pivot Table_GHG'!$A$3,"SUB TYPE","beef"))</f>
        <v>95</v>
      </c>
      <c r="R286" s="221">
        <f ca="1">IF($P286="PROXY",DAVERAGE('literature entries'!$D:$AI,IF($J286=1,"ACTIVE     GHGE, FARM GATE (kg CO2e/kg)","GHGE, processor gate (kg CO2e/kg)"),INDIRECT($K286)),GETPIVOTDATA(IF($J286=1,"Average of ACTIVE     GHGE, FARM GATE (kg CO2e/kg)","Average of GHGE, processor gate (kg CO2e/kg)"),'Pivot Table_GHG'!$A$3,"SUB TYPE","beef"))</f>
        <v>33.105179355719855</v>
      </c>
      <c r="S286" s="221">
        <f ca="1">IF($P286="PROXY",DSTDEV('literature entries'!$D:$AI,IF($J286=1,"ACTIVE     GHGE, FARM GATE (kg CO2e/kg)","GHGE, processor gate (kg CO2e/kg)"),INDIRECT($K286)),GETPIVOTDATA(IF($J286=1,"StdDev of ACTIVE     GHGE, FARM GATE (kg CO2e/kg)","StdDev of GHGE, processor gate (kg CO2e/kg)"),'Pivot Table_GHG'!$A$3,"SUB TYPE","beef"))</f>
        <v>12.613499974064888</v>
      </c>
      <c r="T286" s="101"/>
      <c r="U286" s="102"/>
      <c r="W286" s="248" t="str">
        <f t="shared" ca="1" si="39"/>
        <v>DIRECT</v>
      </c>
      <c r="X286" s="246">
        <f ca="1">IF($W286="DIRECT",M286,DCOUNT('literature entries'!$D:$AI,IF($J286=1,"ACTIVE     CED, FARM GATE (MJ/kg)","CED, processor gate (MJ/kg)"),INDIRECT($W286)))</f>
        <v>19</v>
      </c>
      <c r="Y286" s="246" t="str">
        <f ca="1">IF($W286="DIRECT","",DAVERAGE('literature entries'!$D:$AI,IF($J286=1,"ACTIVE     CED, FARM GATE (MJ/kg)","CED, processor gate (MJ/kg)"),INDIRECT($W286)))</f>
        <v/>
      </c>
      <c r="Z286" s="246">
        <f ca="1">IF($W286="DIRECT",$O286,DSTDEV('literature entries'!$D:$AI,IF($J286=1,"ACTIVE     CED, FARM GATE (MJ/kg)","CED, processor gate (MJ/kg)"),INDIRECT($W286)))</f>
        <v>39.183980232133344</v>
      </c>
      <c r="AA286" s="246">
        <f t="shared" ca="1" si="36"/>
        <v>39.183980232133344</v>
      </c>
      <c r="AB286" s="254" t="str">
        <f t="shared" ca="1" si="40"/>
        <v>DIRECT</v>
      </c>
      <c r="AC286" s="247">
        <f ca="1">IF($AB286="DIRECT",Q286,DCOUNT('literature entries'!$D:$AI,IF($J286=1,"ACTIVE     GHGE, FARM GATE (kg CO2e/kg)","GHGE, processor gate (kg CO2e/kg)"),INDIRECT($AB286)))</f>
        <v>95</v>
      </c>
      <c r="AD286" s="247" t="str">
        <f ca="1">IF($AB286="DIRECT","",DAVERAGE('literature entries'!$D:$AI,IF($J286=1,"ACTIVE     GHGE, FARM GATE (kg CO2e/kg)","GHGE, processor gate (kg CO2e/kg)"),INDIRECT($AB286)))</f>
        <v/>
      </c>
      <c r="AE286" s="247">
        <f ca="1">IF($AB286="DIRECT",$S286,DSTDEV('literature entries'!$D:$AI,IF($J286=1,"ACTIVE     GHGE, FARM GATE (kg CO2e/kg)","GHGE, processor gate (kg CO2e/kg)"),INDIRECT($AB286)))</f>
        <v>12.613499974064888</v>
      </c>
      <c r="AF286" s="247">
        <f t="shared" ca="1" si="37"/>
        <v>12.613499974064888</v>
      </c>
    </row>
    <row r="287" spans="1:32" s="21" customFormat="1" ht="17" thickBot="1" x14ac:dyDescent="0.25">
      <c r="A287" s="129">
        <v>3200169000</v>
      </c>
      <c r="B287" s="130" t="s">
        <v>2006</v>
      </c>
      <c r="C287" s="131" t="s">
        <v>2007</v>
      </c>
      <c r="D287" s="131"/>
      <c r="E287" s="131">
        <v>45</v>
      </c>
      <c r="F287" s="126">
        <f t="shared" ca="1" si="34"/>
        <v>33.613424518743663</v>
      </c>
      <c r="G287" s="127">
        <f t="shared" ca="1" si="35"/>
        <v>34.745269501950553</v>
      </c>
      <c r="H287" s="132">
        <v>1</v>
      </c>
      <c r="I287" s="133" t="s">
        <v>594</v>
      </c>
      <c r="J287" s="91">
        <v>1</v>
      </c>
      <c r="K287" s="227" t="s">
        <v>346</v>
      </c>
      <c r="L287" s="152" t="str">
        <f>IF(ISERROR(GETPIVOTDATA(IF($J287=1,"Count of ACTIVE     CED, FARM GATE (MJ/kg)","Count of CED, processor gate (MJ/kg)"),'Pivot Table_CED'!$A$3,"SUB TYPE",$B287)),"PROXY",IF(GETPIVOTDATA(IF($J287=1,"Count of ACTIVE     CED, FARM GATE (MJ/kg)","Count of CED, processor gate (MJ/kg)"),'Pivot Table_CED'!$A$3,"SUB TYPE",$B287)=0,"PROXY","DB value"))</f>
        <v>PROXY</v>
      </c>
      <c r="M287" s="134">
        <f ca="1">IF($L287="PROXY",DCOUNT('literature entries'!$D:$AI,IF($J287=1,"ACTIVE     CED, FARM GATE (MJ/kg)","CED, processor gate (MJ/kg)"),INDIRECT($K287)),GETPIVOTDATA(IF($J287=1,"Count of ACTIVE     CED, FARM GATE (MJ/kg)","Count of CED, processor gate (MJ/kg)"),'Pivot Table_CED'!$A$3,"SUB TYPE",$B287))</f>
        <v>6</v>
      </c>
      <c r="N287" s="135">
        <f ca="1">IF($L287="PROXY",DAVERAGE('literature entries'!$D:$AI,IF($J287=1,"ACTIVE     CED, FARM GATE (MJ/kg)","CED, processor gate (MJ/kg)"),INDIRECT($K287)),GETPIVOTDATA(IF($J287=1,"Average of ACTIVE     CED, FARM GATE (MJ/kg)","Average of CED, processor gate (MJ/kg)"),'Pivot Table_CED'!$A$3,"SUB TYPE",$B287))</f>
        <v>33.613424518743663</v>
      </c>
      <c r="O287" s="135">
        <f ca="1">IF($L287="PROXY",DSTDEV('literature entries'!D:AI,IF($J287=1,"ACTIVE     CED, FARM GATE (MJ/kg)","CED, processor gate (MJ/kg)"),INDIRECT($K287)),GETPIVOTDATA(IF($J287=1,"StdDev of ACTIVE     CED, FARM GATE (MJ/kg)","StdDev of CED, processor gate (MJ/kg)"),'Pivot Table_CED'!$A$3,"SUB TYPE",$B287))</f>
        <v>20.560479404527239</v>
      </c>
      <c r="P287" s="152" t="str">
        <f>IF(ISERROR(GETPIVOTDATA(IF($J287=1,"Count of ACTIVE     GHGE, FARM GATE (kg CO2e/kg)","Count of GHGE, processor gate (kg CO2e/kg)"),'Pivot Table_GHG'!$A$3,"SUB TYPE",$B287)),"PROXY",IF(GETPIVOTDATA(IF($J287=1,"Count of ACTIVE     GHGE, FARM GATE (kg CO2e/kg)","Count of GHGE, processor gate (kg CO2e/kg)"),'Pivot Table_GHG'!$A$3,"SUB TYPE",$B287)=0,"PROXY","DB value"))</f>
        <v>PROXY</v>
      </c>
      <c r="Q287" s="141">
        <f ca="1">IF($P287="PROXY",DCOUNT('literature entries'!$D:$AI,IF($J287=1,"ACTIVE     GHGE, FARM GATE (kg CO2e/kg)","GHGE, processor gate (kg CO2e/kg)"),INDIRECT($K287)),GETPIVOTDATA(IF($J287=1,"ACTIVE     GHGE, FARM GATE (kg CO2e/kg)","Count of GHGE, processor gate (kg CO2e/kg)"),'Pivot Table_GHG'!$A$3,"SUB TYPE",$B287))</f>
        <v>25</v>
      </c>
      <c r="R287" s="221">
        <f ca="1">IF($P287="PROXY",DAVERAGE('literature entries'!$D:$AI,IF($J287=1,"ACTIVE     GHGE, FARM GATE (kg CO2e/kg)","GHGE, processor gate (kg CO2e/kg)"),INDIRECT($K287)),GETPIVOTDATA(IF($J287=1,"Average of ACTIVE     GHGE, FARM GATE (kg CO2e/kg)","Average of GHGE, processor gate (kg CO2e/kg)"),'Pivot Table_GHG'!$A$3,"SUB TYPE",$B287))</f>
        <v>34.745269501950553</v>
      </c>
      <c r="S287" s="221">
        <f ca="1">IF($P287="PROXY",DSTDEV('literature entries'!$D:$AI,IF($J287=1,"ACTIVE     GHGE, FARM GATE (kg CO2e/kg)","GHGE, processor gate (kg CO2e/kg)"),INDIRECT($K287)),GETPIVOTDATA(IF($J287=1,"StdDev of ACTIVE     GHGE, FARM GATE (kg CO2e/kg)","StdDev of GHGE, processor gate (kg CO2e/kg)"),'Pivot Table_GHG'!$A$3,"SUB TYPE",$B287))</f>
        <v>30.511572332540641</v>
      </c>
      <c r="T287" s="101"/>
      <c r="U287" s="102"/>
      <c r="W287" s="248" t="str">
        <f t="shared" ca="1" si="39"/>
        <v>Sheep</v>
      </c>
      <c r="X287" s="246">
        <f ca="1">IF($W287="DIRECT",M287,DCOUNT('literature entries'!$D:$AI,IF($J287=1,"ACTIVE     CED, FARM GATE (MJ/kg)","CED, processor gate (MJ/kg)"),INDIRECT($W287)))</f>
        <v>6</v>
      </c>
      <c r="Y287" s="246">
        <f ca="1">IF($W287="DIRECT","",DAVERAGE('literature entries'!$D:$AI,IF($J287=1,"ACTIVE     CED, FARM GATE (MJ/kg)","CED, processor gate (MJ/kg)"),INDIRECT($W287)))</f>
        <v>33.613424518743663</v>
      </c>
      <c r="Z287" s="246">
        <f ca="1">IF($W287="DIRECT",$O287,DSTDEV('literature entries'!$D:$AI,IF($J287=1,"ACTIVE     CED, FARM GATE (MJ/kg)","CED, processor gate (MJ/kg)"),INDIRECT($W287)))</f>
        <v>20.560479404527239</v>
      </c>
      <c r="AA287" s="246">
        <f t="shared" ca="1" si="36"/>
        <v>20.560479404527239</v>
      </c>
      <c r="AB287" s="254" t="str">
        <f t="shared" ca="1" si="40"/>
        <v>Sheep</v>
      </c>
      <c r="AC287" s="247">
        <f ca="1">IF($AB287="DIRECT",Q287,DCOUNT('literature entries'!$D:$AI,IF($J287=1,"ACTIVE     GHGE, FARM GATE (kg CO2e/kg)","GHGE, processor gate (kg CO2e/kg)"),INDIRECT($AB287)))</f>
        <v>25</v>
      </c>
      <c r="AD287" s="247">
        <f ca="1">IF($AB287="DIRECT","",DAVERAGE('literature entries'!$D:$AI,IF($J287=1,"ACTIVE     GHGE, FARM GATE (kg CO2e/kg)","GHGE, processor gate (kg CO2e/kg)"),INDIRECT($AB287)))</f>
        <v>34.745269501950553</v>
      </c>
      <c r="AE287" s="247">
        <f ca="1">IF($AB287="DIRECT",$S287,DSTDEV('literature entries'!$D:$AI,IF($J287=1,"ACTIVE     GHGE, FARM GATE (kg CO2e/kg)","GHGE, processor gate (kg CO2e/kg)"),INDIRECT($AB287)))</f>
        <v>30.511572332540641</v>
      </c>
      <c r="AF287" s="247">
        <f t="shared" ca="1" si="37"/>
        <v>30.511572332540641</v>
      </c>
    </row>
    <row r="288" spans="1:32" s="21" customFormat="1" ht="17" thickBot="1" x14ac:dyDescent="0.25">
      <c r="A288" s="129">
        <v>3200170000</v>
      </c>
      <c r="B288" s="130" t="s">
        <v>2008</v>
      </c>
      <c r="C288" s="131" t="s">
        <v>1892</v>
      </c>
      <c r="D288" s="131" t="s">
        <v>2009</v>
      </c>
      <c r="E288" s="131">
        <v>1</v>
      </c>
      <c r="F288" s="126">
        <f t="shared" ca="1" si="34"/>
        <v>33.613424518743663</v>
      </c>
      <c r="G288" s="127">
        <f t="shared" ca="1" si="35"/>
        <v>34.745269501950553</v>
      </c>
      <c r="H288" s="132">
        <v>1</v>
      </c>
      <c r="I288" s="133" t="s">
        <v>594</v>
      </c>
      <c r="J288" s="91">
        <v>1</v>
      </c>
      <c r="K288" s="227" t="s">
        <v>346</v>
      </c>
      <c r="L288" s="152" t="str">
        <f>IF(ISERROR(GETPIVOTDATA(IF($J288=1,"Count of ACTIVE     CED, FARM GATE (MJ/kg)","Count of CED, processor gate (MJ/kg)"),'Pivot Table_CED'!$A$3,"SUB TYPE",$B288)),"PROXY",IF(GETPIVOTDATA(IF($J288=1,"Count of ACTIVE     CED, FARM GATE (MJ/kg)","Count of CED, processor gate (MJ/kg)"),'Pivot Table_CED'!$A$3,"SUB TYPE",$B288)=0,"PROXY","DB value"))</f>
        <v>PROXY</v>
      </c>
      <c r="M288" s="134">
        <f ca="1">IF($L288="PROXY",DCOUNT('literature entries'!$D:$AI,IF($J288=1,"ACTIVE     CED, FARM GATE (MJ/kg)","CED, processor gate (MJ/kg)"),INDIRECT($K288)),GETPIVOTDATA(IF($J288=1,"Count of ACTIVE     CED, FARM GATE (MJ/kg)","Count of CED, processor gate (MJ/kg)"),'Pivot Table_CED'!$A$3,"SUB TYPE",$B288))</f>
        <v>6</v>
      </c>
      <c r="N288" s="135">
        <f ca="1">IF($L288="PROXY",DAVERAGE('literature entries'!$D:$AI,IF($J288=1,"ACTIVE     CED, FARM GATE (MJ/kg)","CED, processor gate (MJ/kg)"),INDIRECT($K288)),GETPIVOTDATA(IF($J288=1,"Average of ACTIVE     CED, FARM GATE (MJ/kg)","Average of CED, processor gate (MJ/kg)"),'Pivot Table_CED'!$A$3,"SUB TYPE",$B288))</f>
        <v>33.613424518743663</v>
      </c>
      <c r="O288" s="135">
        <f ca="1">IF($L288="PROXY",DSTDEV('literature entries'!D:AI,IF($J288=1,"ACTIVE     CED, FARM GATE (MJ/kg)","CED, processor gate (MJ/kg)"),INDIRECT($K288)),GETPIVOTDATA(IF($J288=1,"StdDev of ACTIVE     CED, FARM GATE (MJ/kg)","StdDev of CED, processor gate (MJ/kg)"),'Pivot Table_CED'!$A$3,"SUB TYPE",$B288))</f>
        <v>20.560479404527239</v>
      </c>
      <c r="P288" s="152" t="str">
        <f>IF(ISERROR(GETPIVOTDATA(IF($J288=1,"Count of ACTIVE     GHGE, FARM GATE (kg CO2e/kg)","Count of GHGE, processor gate (kg CO2e/kg)"),'Pivot Table_GHG'!$A$3,"SUB TYPE",$B288)),"PROXY",IF(GETPIVOTDATA(IF($J288=1,"Count of ACTIVE     GHGE, FARM GATE (kg CO2e/kg)","Count of GHGE, processor gate (kg CO2e/kg)"),'Pivot Table_GHG'!$A$3,"SUB TYPE",$B288)=0,"PROXY","DB value"))</f>
        <v>PROXY</v>
      </c>
      <c r="Q288" s="141">
        <f ca="1">IF($P288="PROXY",DCOUNT('literature entries'!$D:$AI,IF($J288=1,"ACTIVE     GHGE, FARM GATE (kg CO2e/kg)","GHGE, processor gate (kg CO2e/kg)"),INDIRECT($K288)),GETPIVOTDATA(IF($J288=1,"ACTIVE     GHGE, FARM GATE (kg CO2e/kg)","Count of GHGE, processor gate (kg CO2e/kg)"),'Pivot Table_GHG'!$A$3,"SUB TYPE",$B288))</f>
        <v>25</v>
      </c>
      <c r="R288" s="221">
        <f ca="1">IF($P288="PROXY",DAVERAGE('literature entries'!$D:$AI,IF($J288=1,"ACTIVE     GHGE, FARM GATE (kg CO2e/kg)","GHGE, processor gate (kg CO2e/kg)"),INDIRECT($K288)),GETPIVOTDATA(IF($J288=1,"Average of ACTIVE     GHGE, FARM GATE (kg CO2e/kg)","Average of GHGE, processor gate (kg CO2e/kg)"),'Pivot Table_GHG'!$A$3,"SUB TYPE",$B288))</f>
        <v>34.745269501950553</v>
      </c>
      <c r="S288" s="221">
        <f ca="1">IF($P288="PROXY",DSTDEV('literature entries'!$D:$AI,IF($J288=1,"ACTIVE     GHGE, FARM GATE (kg CO2e/kg)","GHGE, processor gate (kg CO2e/kg)"),INDIRECT($K288)),GETPIVOTDATA(IF($J288=1,"StdDev of ACTIVE     GHGE, FARM GATE (kg CO2e/kg)","StdDev of GHGE, processor gate (kg CO2e/kg)"),'Pivot Table_GHG'!$A$3,"SUB TYPE",$B288))</f>
        <v>30.511572332540641</v>
      </c>
      <c r="T288" s="101"/>
      <c r="U288" s="102"/>
      <c r="W288" s="248" t="str">
        <f t="shared" ca="1" si="39"/>
        <v>Sheep</v>
      </c>
      <c r="X288" s="246">
        <f ca="1">IF($W288="DIRECT",M288,DCOUNT('literature entries'!$D:$AI,IF($J288=1,"ACTIVE     CED, FARM GATE (MJ/kg)","CED, processor gate (MJ/kg)"),INDIRECT($W288)))</f>
        <v>6</v>
      </c>
      <c r="Y288" s="246">
        <f ca="1">IF($W288="DIRECT","",DAVERAGE('literature entries'!$D:$AI,IF($J288=1,"ACTIVE     CED, FARM GATE (MJ/kg)","CED, processor gate (MJ/kg)"),INDIRECT($W288)))</f>
        <v>33.613424518743663</v>
      </c>
      <c r="Z288" s="246">
        <f ca="1">IF($W288="DIRECT",$O288,DSTDEV('literature entries'!$D:$AI,IF($J288=1,"ACTIVE     CED, FARM GATE (MJ/kg)","CED, processor gate (MJ/kg)"),INDIRECT($W288)))</f>
        <v>20.560479404527239</v>
      </c>
      <c r="AA288" s="246">
        <f t="shared" ca="1" si="36"/>
        <v>20.560479404527239</v>
      </c>
      <c r="AB288" s="254" t="str">
        <f t="shared" ca="1" si="40"/>
        <v>Sheep</v>
      </c>
      <c r="AC288" s="247">
        <f ca="1">IF($AB288="DIRECT",Q288,DCOUNT('literature entries'!$D:$AI,IF($J288=1,"ACTIVE     GHGE, FARM GATE (kg CO2e/kg)","GHGE, processor gate (kg CO2e/kg)"),INDIRECT($AB288)))</f>
        <v>25</v>
      </c>
      <c r="AD288" s="247">
        <f ca="1">IF($AB288="DIRECT","",DAVERAGE('literature entries'!$D:$AI,IF($J288=1,"ACTIVE     GHGE, FARM GATE (kg CO2e/kg)","GHGE, processor gate (kg CO2e/kg)"),INDIRECT($AB288)))</f>
        <v>34.745269501950553</v>
      </c>
      <c r="AE288" s="247">
        <f ca="1">IF($AB288="DIRECT",$S288,DSTDEV('literature entries'!$D:$AI,IF($J288=1,"ACTIVE     GHGE, FARM GATE (kg CO2e/kg)","GHGE, processor gate (kg CO2e/kg)"),INDIRECT($AB288)))</f>
        <v>30.511572332540641</v>
      </c>
      <c r="AF288" s="247">
        <f t="shared" ca="1" si="37"/>
        <v>30.511572332540641</v>
      </c>
    </row>
    <row r="289" spans="1:32" s="21" customFormat="1" ht="17" thickBot="1" x14ac:dyDescent="0.25">
      <c r="A289" s="129">
        <v>3200171000</v>
      </c>
      <c r="B289" s="130" t="s">
        <v>2004</v>
      </c>
      <c r="C289" s="131" t="s">
        <v>2005</v>
      </c>
      <c r="D289" s="131"/>
      <c r="E289" s="131">
        <v>45</v>
      </c>
      <c r="F289" s="126">
        <f t="shared" ca="1" si="34"/>
        <v>33.613424518743663</v>
      </c>
      <c r="G289" s="127">
        <f t="shared" ca="1" si="35"/>
        <v>34.745269501950553</v>
      </c>
      <c r="H289" s="132">
        <v>1</v>
      </c>
      <c r="I289" s="133" t="s">
        <v>594</v>
      </c>
      <c r="J289" s="91">
        <v>1</v>
      </c>
      <c r="K289" s="227" t="s">
        <v>346</v>
      </c>
      <c r="L289" s="152" t="str">
        <f>IF(ISERROR(GETPIVOTDATA(IF($J289=1,"Count of ACTIVE     CED, FARM GATE (MJ/kg)","Count of CED, processor gate (MJ/kg)"),'Pivot Table_CED'!$A$3,"SUB TYPE",$B289)),"PROXY",IF(GETPIVOTDATA(IF($J289=1,"Count of ACTIVE     CED, FARM GATE (MJ/kg)","Count of CED, processor gate (MJ/kg)"),'Pivot Table_CED'!$A$3,"SUB TYPE",$B289)=0,"PROXY","DB value"))</f>
        <v>PROXY</v>
      </c>
      <c r="M289" s="134">
        <f ca="1">IF($L289="PROXY",DCOUNT('literature entries'!$D:$AI,IF($J289=1,"ACTIVE     CED, FARM GATE (MJ/kg)","CED, processor gate (MJ/kg)"),INDIRECT($K289)),GETPIVOTDATA(IF($J289=1,"Count of ACTIVE     CED, FARM GATE (MJ/kg)","Count of CED, processor gate (MJ/kg)"),'Pivot Table_CED'!$A$3,"SUB TYPE",$B289))</f>
        <v>6</v>
      </c>
      <c r="N289" s="135">
        <f ca="1">IF($L289="PROXY",DAVERAGE('literature entries'!$D:$AI,IF($J289=1,"ACTIVE     CED, FARM GATE (MJ/kg)","CED, processor gate (MJ/kg)"),INDIRECT($K289)),GETPIVOTDATA(IF($J289=1,"Average of ACTIVE     CED, FARM GATE (MJ/kg)","Average of CED, processor gate (MJ/kg)"),'Pivot Table_CED'!$A$3,"SUB TYPE",$B289))</f>
        <v>33.613424518743663</v>
      </c>
      <c r="O289" s="135">
        <f ca="1">IF($L289="PROXY",DSTDEV('literature entries'!D:AI,IF($J289=1,"ACTIVE     CED, FARM GATE (MJ/kg)","CED, processor gate (MJ/kg)"),INDIRECT($K289)),GETPIVOTDATA(IF($J289=1,"StdDev of ACTIVE     CED, FARM GATE (MJ/kg)","StdDev of CED, processor gate (MJ/kg)"),'Pivot Table_CED'!$A$3,"SUB TYPE",$B289))</f>
        <v>20.560479404527239</v>
      </c>
      <c r="P289" s="152" t="str">
        <f>IF(ISERROR(GETPIVOTDATA(IF($J289=1,"Count of ACTIVE     GHGE, FARM GATE (kg CO2e/kg)","Count of GHGE, processor gate (kg CO2e/kg)"),'Pivot Table_GHG'!$A$3,"SUB TYPE",$B289)),"PROXY",IF(GETPIVOTDATA(IF($J289=1,"Count of ACTIVE     GHGE, FARM GATE (kg CO2e/kg)","Count of GHGE, processor gate (kg CO2e/kg)"),'Pivot Table_GHG'!$A$3,"SUB TYPE",$B289)=0,"PROXY","DB value"))</f>
        <v>PROXY</v>
      </c>
      <c r="Q289" s="141">
        <f ca="1">IF($P289="PROXY",DCOUNT('literature entries'!$D:$AI,IF($J289=1,"ACTIVE     GHGE, FARM GATE (kg CO2e/kg)","GHGE, processor gate (kg CO2e/kg)"),INDIRECT($K289)),GETPIVOTDATA(IF($J289=1,"ACTIVE     GHGE, FARM GATE (kg CO2e/kg)","Count of GHGE, processor gate (kg CO2e/kg)"),'Pivot Table_GHG'!$A$3,"SUB TYPE",$B289))</f>
        <v>25</v>
      </c>
      <c r="R289" s="221">
        <f ca="1">IF($P289="PROXY",DAVERAGE('literature entries'!$D:$AI,IF($J289=1,"ACTIVE     GHGE, FARM GATE (kg CO2e/kg)","GHGE, processor gate (kg CO2e/kg)"),INDIRECT($K289)),GETPIVOTDATA(IF($J289=1,"Average of ACTIVE     GHGE, FARM GATE (kg CO2e/kg)","Average of GHGE, processor gate (kg CO2e/kg)"),'Pivot Table_GHG'!$A$3,"SUB TYPE",$B289))</f>
        <v>34.745269501950553</v>
      </c>
      <c r="S289" s="221">
        <f ca="1">IF($P289="PROXY",DSTDEV('literature entries'!$D:$AI,IF($J289=1,"ACTIVE     GHGE, FARM GATE (kg CO2e/kg)","GHGE, processor gate (kg CO2e/kg)"),INDIRECT($K289)),GETPIVOTDATA(IF($J289=1,"StdDev of ACTIVE     GHGE, FARM GATE (kg CO2e/kg)","StdDev of GHGE, processor gate (kg CO2e/kg)"),'Pivot Table_GHG'!$A$3,"SUB TYPE",$B289))</f>
        <v>30.511572332540641</v>
      </c>
      <c r="T289" s="101"/>
      <c r="U289" s="102"/>
      <c r="W289" s="248" t="str">
        <f t="shared" ca="1" si="39"/>
        <v>Sheep</v>
      </c>
      <c r="X289" s="246">
        <f ca="1">IF($W289="DIRECT",M289,DCOUNT('literature entries'!$D:$AI,IF($J289=1,"ACTIVE     CED, FARM GATE (MJ/kg)","CED, processor gate (MJ/kg)"),INDIRECT($W289)))</f>
        <v>6</v>
      </c>
      <c r="Y289" s="246">
        <f ca="1">IF($W289="DIRECT","",DAVERAGE('literature entries'!$D:$AI,IF($J289=1,"ACTIVE     CED, FARM GATE (MJ/kg)","CED, processor gate (MJ/kg)"),INDIRECT($W289)))</f>
        <v>33.613424518743663</v>
      </c>
      <c r="Z289" s="246">
        <f ca="1">IF($W289="DIRECT",$O289,DSTDEV('literature entries'!$D:$AI,IF($J289=1,"ACTIVE     CED, FARM GATE (MJ/kg)","CED, processor gate (MJ/kg)"),INDIRECT($W289)))</f>
        <v>20.560479404527239</v>
      </c>
      <c r="AA289" s="246">
        <f t="shared" ca="1" si="36"/>
        <v>20.560479404527239</v>
      </c>
      <c r="AB289" s="254" t="str">
        <f t="shared" ca="1" si="40"/>
        <v>Sheep</v>
      </c>
      <c r="AC289" s="247">
        <f ca="1">IF($AB289="DIRECT",Q289,DCOUNT('literature entries'!$D:$AI,IF($J289=1,"ACTIVE     GHGE, FARM GATE (kg CO2e/kg)","GHGE, processor gate (kg CO2e/kg)"),INDIRECT($AB289)))</f>
        <v>25</v>
      </c>
      <c r="AD289" s="247">
        <f ca="1">IF($AB289="DIRECT","",DAVERAGE('literature entries'!$D:$AI,IF($J289=1,"ACTIVE     GHGE, FARM GATE (kg CO2e/kg)","GHGE, processor gate (kg CO2e/kg)"),INDIRECT($AB289)))</f>
        <v>34.745269501950553</v>
      </c>
      <c r="AE289" s="247">
        <f ca="1">IF($AB289="DIRECT",$S289,DSTDEV('literature entries'!$D:$AI,IF($J289=1,"ACTIVE     GHGE, FARM GATE (kg CO2e/kg)","GHGE, processor gate (kg CO2e/kg)"),INDIRECT($AB289)))</f>
        <v>30.511572332540641</v>
      </c>
      <c r="AF289" s="247">
        <f t="shared" ca="1" si="37"/>
        <v>30.511572332540641</v>
      </c>
    </row>
    <row r="290" spans="1:32" s="21" customFormat="1" ht="17" thickBot="1" x14ac:dyDescent="0.25">
      <c r="A290" s="129">
        <v>3400290000</v>
      </c>
      <c r="B290" s="130" t="s">
        <v>2191</v>
      </c>
      <c r="C290" s="131" t="s">
        <v>2007</v>
      </c>
      <c r="D290" s="131"/>
      <c r="E290" s="131">
        <v>24279</v>
      </c>
      <c r="F290" s="126">
        <f t="shared" ca="1" si="34"/>
        <v>28.619775438183076</v>
      </c>
      <c r="G290" s="127">
        <f t="shared" ca="1" si="35"/>
        <v>5.5600439454132689</v>
      </c>
      <c r="H290" s="132">
        <v>1</v>
      </c>
      <c r="I290" s="133" t="s">
        <v>594</v>
      </c>
      <c r="J290" s="91">
        <v>1</v>
      </c>
      <c r="K290" s="216"/>
      <c r="L290" s="152" t="str">
        <f>IF(ISERROR(GETPIVOTDATA(IF($J290=1,"Count of ACTIVE     CED, FARM GATE (MJ/kg)","Count of CED, processor gate (MJ/kg)"),'Pivot Table_CED'!$A$3,"SUB TYPE","pork")),"PROXY",IF(GETPIVOTDATA(IF($J290=1,"Count of ACTIVE     CED, FARM GATE (MJ/kg)","Count of CED, processor gate (MJ/kg)"),'Pivot Table_CED'!$A$3,"SUB TYPE","pork")=0,"PROXY","DB value"))</f>
        <v>DB value</v>
      </c>
      <c r="M290" s="134">
        <f ca="1">IF($L290="PROXY",DCOUNT('literature entries'!$D:$AI,IF($J290=1,"ACTIVE     CED, FARM GATE (MJ/kg)","CED, processor gate (MJ/kg)"),INDIRECT($K290)),GETPIVOTDATA(IF($J290=1,"Count of ACTIVE     CED, FARM GATE (MJ/kg)","Count of CED, processor gate (MJ/kg)"),'Pivot Table_CED'!$A$3,"SUB TYPE","pork"))</f>
        <v>17</v>
      </c>
      <c r="N290" s="135">
        <f ca="1">IF($L290="PROXY",DAVERAGE('literature entries'!$D:$AI,IF($J290=1,"ACTIVE     CED, FARM GATE (MJ/kg)","CED, processor gate (MJ/kg)"),INDIRECT($K290)),GETPIVOTDATA(IF($J290=1,"Average of ACTIVE     CED, FARM GATE (MJ/kg)","Average of CED, processor gate (MJ/kg)"),'Pivot Table_CED'!$A$3,"SUB TYPE","pork"))</f>
        <v>28.619775438183076</v>
      </c>
      <c r="O290" s="135">
        <f ca="1">IF($L290="PROXY",DSTDEV('literature entries'!D:AI,IF($J290=1,"ACTIVE     CED, FARM GATE (MJ/kg)","CED, processor gate (MJ/kg)"),INDIRECT($K290)),GETPIVOTDATA(IF($J290=1,"StdDev of ACTIVE     CED, FARM GATE (MJ/kg)","StdDev of CED, processor gate (MJ/kg)"),'Pivot Table_CED'!$A$3,"SUB TYPE","pork"))</f>
        <v>6.8913248294546285</v>
      </c>
      <c r="P290" s="152" t="str">
        <f>IF(ISERROR(GETPIVOTDATA(IF($J290=1,"Count of ACTIVE     GHGE, FARM GATE (kg CO2e/kg)","Count of GHGE, processor gate (kg CO2e/kg)"),'Pivot Table_GHG'!$A$3,"SUB TYPE","pork")),"PROXY",IF(GETPIVOTDATA(IF($J290=1,"Count of ACTIVE     GHGE, FARM GATE (kg CO2e/kg)","Count of GHGE, processor gate (kg CO2e/kg)"),'Pivot Table_GHG'!$A$3,"SUB TYPE","pork")=0,"PROXY","DB value"))</f>
        <v>DB value</v>
      </c>
      <c r="Q290" s="141">
        <f ca="1">IF($P290="PROXY",DCOUNT('literature entries'!$D:$AI,IF($J290=1,"ACTIVE     GHGE, FARM GATE (kg CO2e/kg)","GHGE, processor gate (kg CO2e/kg)"),INDIRECT($K290)),GETPIVOTDATA(IF($J290=1,"ACTIVE     GHGE, FARM GATE (kg CO2e/kg)","Count of GHGE, processor gate (kg CO2e/kg)"),'Pivot Table_GHG'!$A$3,"SUB TYPE","pork"))</f>
        <v>50</v>
      </c>
      <c r="R290" s="221">
        <f ca="1">IF($P290="PROXY",DAVERAGE('literature entries'!$D:$AI,IF($J290=1,"ACTIVE     GHGE, FARM GATE (kg CO2e/kg)","GHGE, processor gate (kg CO2e/kg)"),INDIRECT($K290)),GETPIVOTDATA(IF($J290=1,"Average of ACTIVE     GHGE, FARM GATE (kg CO2e/kg)","Average of GHGE, processor gate (kg CO2e/kg)"),'Pivot Table_GHG'!$A$3,"SUB TYPE","pork"))</f>
        <v>5.5600439454132689</v>
      </c>
      <c r="S290" s="221">
        <f ca="1">IF($P290="PROXY",DSTDEV('literature entries'!$D:$AI,IF($J290=1,"ACTIVE     GHGE, FARM GATE (kg CO2e/kg)","GHGE, processor gate (kg CO2e/kg)"),INDIRECT($K290)),GETPIVOTDATA(IF($J290=1,"StdDev of ACTIVE     GHGE, FARM GATE (kg CO2e/kg)","StdDev of GHGE, processor gate (kg CO2e/kg)"),'Pivot Table_GHG'!$A$3,"SUB TYPE","pork"))</f>
        <v>1.5896088267882067</v>
      </c>
      <c r="T290" s="101"/>
      <c r="U290" s="102"/>
      <c r="W290" s="248" t="str">
        <f t="shared" ca="1" si="39"/>
        <v>DIRECT</v>
      </c>
      <c r="X290" s="246">
        <f ca="1">IF($W290="DIRECT",M290,DCOUNT('literature entries'!$D:$AI,IF($J290=1,"ACTIVE     CED, FARM GATE (MJ/kg)","CED, processor gate (MJ/kg)"),INDIRECT($W290)))</f>
        <v>17</v>
      </c>
      <c r="Y290" s="246" t="str">
        <f ca="1">IF($W290="DIRECT","",DAVERAGE('literature entries'!$D:$AI,IF($J290=1,"ACTIVE     CED, FARM GATE (MJ/kg)","CED, processor gate (MJ/kg)"),INDIRECT($W290)))</f>
        <v/>
      </c>
      <c r="Z290" s="246">
        <f ca="1">IF($W290="DIRECT",$O290,DSTDEV('literature entries'!$D:$AI,IF($J290=1,"ACTIVE     CED, FARM GATE (MJ/kg)","CED, processor gate (MJ/kg)"),INDIRECT($W290)))</f>
        <v>6.8913248294546285</v>
      </c>
      <c r="AA290" s="246">
        <f t="shared" ca="1" si="36"/>
        <v>6.8913248294546285</v>
      </c>
      <c r="AB290" s="254" t="str">
        <f t="shared" ca="1" si="40"/>
        <v>DIRECT</v>
      </c>
      <c r="AC290" s="247">
        <f ca="1">IF($AB290="DIRECT",Q290,DCOUNT('literature entries'!$D:$AI,IF($J290=1,"ACTIVE     GHGE, FARM GATE (kg CO2e/kg)","GHGE, processor gate (kg CO2e/kg)"),INDIRECT($AB290)))</f>
        <v>50</v>
      </c>
      <c r="AD290" s="247" t="str">
        <f ca="1">IF($AB290="DIRECT","",DAVERAGE('literature entries'!$D:$AI,IF($J290=1,"ACTIVE     GHGE, FARM GATE (kg CO2e/kg)","GHGE, processor gate (kg CO2e/kg)"),INDIRECT($AB290)))</f>
        <v/>
      </c>
      <c r="AE290" s="247">
        <f ca="1">IF($AB290="DIRECT",$S290,DSTDEV('literature entries'!$D:$AI,IF($J290=1,"ACTIVE     GHGE, FARM GATE (kg CO2e/kg)","GHGE, processor gate (kg CO2e/kg)"),INDIRECT($AB290)))</f>
        <v>1.5896088267882067</v>
      </c>
      <c r="AF290" s="247">
        <f t="shared" ca="1" si="37"/>
        <v>1.5896088267882067</v>
      </c>
    </row>
    <row r="291" spans="1:32" s="21" customFormat="1" ht="17" thickBot="1" x14ac:dyDescent="0.25">
      <c r="A291" s="129">
        <v>3400291000</v>
      </c>
      <c r="B291" s="130" t="s">
        <v>2195</v>
      </c>
      <c r="C291" s="131" t="s">
        <v>2196</v>
      </c>
      <c r="D291" s="131" t="s">
        <v>2197</v>
      </c>
      <c r="E291" s="131">
        <v>10329</v>
      </c>
      <c r="F291" s="126">
        <f t="shared" ca="1" si="34"/>
        <v>28.619775438183076</v>
      </c>
      <c r="G291" s="127">
        <f t="shared" ca="1" si="35"/>
        <v>5.5600439454132689</v>
      </c>
      <c r="H291" s="132">
        <v>1</v>
      </c>
      <c r="I291" s="133" t="s">
        <v>594</v>
      </c>
      <c r="J291" s="91">
        <v>1</v>
      </c>
      <c r="K291" s="216"/>
      <c r="L291" s="152" t="str">
        <f>IF(ISERROR(GETPIVOTDATA(IF($J291=1,"Count of ACTIVE     CED, FARM GATE (MJ/kg)","Count of CED, processor gate (MJ/kg)"),'Pivot Table_CED'!$A$3,"SUB TYPE","pork")),"PROXY",IF(GETPIVOTDATA(IF($J291=1,"Count of ACTIVE     CED, FARM GATE (MJ/kg)","Count of CED, processor gate (MJ/kg)"),'Pivot Table_CED'!$A$3,"SUB TYPE","pork")=0,"PROXY","DB value"))</f>
        <v>DB value</v>
      </c>
      <c r="M291" s="134">
        <f ca="1">IF($L291="PROXY",DCOUNT('literature entries'!$D:$AI,IF($J291=1,"ACTIVE     CED, FARM GATE (MJ/kg)","CED, processor gate (MJ/kg)"),INDIRECT($K291)),GETPIVOTDATA(IF($J291=1,"Count of ACTIVE     CED, FARM GATE (MJ/kg)","Count of CED, processor gate (MJ/kg)"),'Pivot Table_CED'!$A$3,"SUB TYPE","pork"))</f>
        <v>17</v>
      </c>
      <c r="N291" s="135">
        <f ca="1">IF($L291="PROXY",DAVERAGE('literature entries'!$D:$AI,IF($J291=1,"ACTIVE     CED, FARM GATE (MJ/kg)","CED, processor gate (MJ/kg)"),INDIRECT($K291)),GETPIVOTDATA(IF($J291=1,"Average of ACTIVE     CED, FARM GATE (MJ/kg)","Average of CED, processor gate (MJ/kg)"),'Pivot Table_CED'!$A$3,"SUB TYPE","pork"))</f>
        <v>28.619775438183076</v>
      </c>
      <c r="O291" s="135">
        <f ca="1">IF($L291="PROXY",DSTDEV('literature entries'!D:AI,IF($J291=1,"ACTIVE     CED, FARM GATE (MJ/kg)","CED, processor gate (MJ/kg)"),INDIRECT($K291)),GETPIVOTDATA(IF($J291=1,"StdDev of ACTIVE     CED, FARM GATE (MJ/kg)","StdDev of CED, processor gate (MJ/kg)"),'Pivot Table_CED'!$A$3,"SUB TYPE","pork"))</f>
        <v>6.8913248294546285</v>
      </c>
      <c r="P291" s="152" t="str">
        <f>IF(ISERROR(GETPIVOTDATA(IF($J291=1,"Count of ACTIVE     GHGE, FARM GATE (kg CO2e/kg)","Count of GHGE, processor gate (kg CO2e/kg)"),'Pivot Table_GHG'!$A$3,"SUB TYPE","pork")),"PROXY",IF(GETPIVOTDATA(IF($J291=1,"Count of ACTIVE     GHGE, FARM GATE (kg CO2e/kg)","Count of GHGE, processor gate (kg CO2e/kg)"),'Pivot Table_GHG'!$A$3,"SUB TYPE","pork")=0,"PROXY","DB value"))</f>
        <v>DB value</v>
      </c>
      <c r="Q291" s="141">
        <f ca="1">IF($P291="PROXY",DCOUNT('literature entries'!$D:$AI,IF($J291=1,"ACTIVE     GHGE, FARM GATE (kg CO2e/kg)","GHGE, processor gate (kg CO2e/kg)"),INDIRECT($K291)),GETPIVOTDATA(IF($J291=1,"ACTIVE     GHGE, FARM GATE (kg CO2e/kg)","Count of GHGE, processor gate (kg CO2e/kg)"),'Pivot Table_GHG'!$A$3,"SUB TYPE","pork"))</f>
        <v>50</v>
      </c>
      <c r="R291" s="221">
        <f ca="1">IF($P291="PROXY",DAVERAGE('literature entries'!$D:$AI,IF($J291=1,"ACTIVE     GHGE, FARM GATE (kg CO2e/kg)","GHGE, processor gate (kg CO2e/kg)"),INDIRECT($K291)),GETPIVOTDATA(IF($J291=1,"Average of ACTIVE     GHGE, FARM GATE (kg CO2e/kg)","Average of GHGE, processor gate (kg CO2e/kg)"),'Pivot Table_GHG'!$A$3,"SUB TYPE","pork"))</f>
        <v>5.5600439454132689</v>
      </c>
      <c r="S291" s="221">
        <f ca="1">IF($P291="PROXY",DSTDEV('literature entries'!$D:$AI,IF($J291=1,"ACTIVE     GHGE, FARM GATE (kg CO2e/kg)","GHGE, processor gate (kg CO2e/kg)"),INDIRECT($K291)),GETPIVOTDATA(IF($J291=1,"StdDev of ACTIVE     GHGE, FARM GATE (kg CO2e/kg)","StdDev of GHGE, processor gate (kg CO2e/kg)"),'Pivot Table_GHG'!$A$3,"SUB TYPE","pork"))</f>
        <v>1.5896088267882067</v>
      </c>
      <c r="T291" s="101"/>
      <c r="U291" s="102"/>
      <c r="W291" s="248" t="str">
        <f t="shared" ca="1" si="39"/>
        <v>DIRECT</v>
      </c>
      <c r="X291" s="246">
        <f ca="1">IF($W291="DIRECT",M291,DCOUNT('literature entries'!$D:$AI,IF($J291=1,"ACTIVE     CED, FARM GATE (MJ/kg)","CED, processor gate (MJ/kg)"),INDIRECT($W291)))</f>
        <v>17</v>
      </c>
      <c r="Y291" s="246" t="str">
        <f ca="1">IF($W291="DIRECT","",DAVERAGE('literature entries'!$D:$AI,IF($J291=1,"ACTIVE     CED, FARM GATE (MJ/kg)","CED, processor gate (MJ/kg)"),INDIRECT($W291)))</f>
        <v/>
      </c>
      <c r="Z291" s="246">
        <f ca="1">IF($W291="DIRECT",$O291,DSTDEV('literature entries'!$D:$AI,IF($J291=1,"ACTIVE     CED, FARM GATE (MJ/kg)","CED, processor gate (MJ/kg)"),INDIRECT($W291)))</f>
        <v>6.8913248294546285</v>
      </c>
      <c r="AA291" s="246">
        <f t="shared" ca="1" si="36"/>
        <v>6.8913248294546285</v>
      </c>
      <c r="AB291" s="254" t="str">
        <f t="shared" ca="1" si="40"/>
        <v>DIRECT</v>
      </c>
      <c r="AC291" s="247">
        <f ca="1">IF($AB291="DIRECT",Q291,DCOUNT('literature entries'!$D:$AI,IF($J291=1,"ACTIVE     GHGE, FARM GATE (kg CO2e/kg)","GHGE, processor gate (kg CO2e/kg)"),INDIRECT($AB291)))</f>
        <v>50</v>
      </c>
      <c r="AD291" s="247" t="str">
        <f ca="1">IF($AB291="DIRECT","",DAVERAGE('literature entries'!$D:$AI,IF($J291=1,"ACTIVE     GHGE, FARM GATE (kg CO2e/kg)","GHGE, processor gate (kg CO2e/kg)"),INDIRECT($AB291)))</f>
        <v/>
      </c>
      <c r="AE291" s="247">
        <f ca="1">IF($AB291="DIRECT",$S291,DSTDEV('literature entries'!$D:$AI,IF($J291=1,"ACTIVE     GHGE, FARM GATE (kg CO2e/kg)","GHGE, processor gate (kg CO2e/kg)"),INDIRECT($AB291)))</f>
        <v>1.5896088267882067</v>
      </c>
      <c r="AF291" s="247">
        <f t="shared" ca="1" si="37"/>
        <v>1.5896088267882067</v>
      </c>
    </row>
    <row r="292" spans="1:32" s="21" customFormat="1" ht="17" thickBot="1" x14ac:dyDescent="0.25">
      <c r="A292" s="129">
        <v>3400292000</v>
      </c>
      <c r="B292" s="130" t="s">
        <v>2192</v>
      </c>
      <c r="C292" s="131" t="s">
        <v>2193</v>
      </c>
      <c r="D292" s="131" t="s">
        <v>2194</v>
      </c>
      <c r="E292" s="131">
        <v>19329</v>
      </c>
      <c r="F292" s="126">
        <f t="shared" ca="1" si="34"/>
        <v>28.619775438183076</v>
      </c>
      <c r="G292" s="127">
        <f t="shared" ca="1" si="35"/>
        <v>5.5600439454132689</v>
      </c>
      <c r="H292" s="132">
        <v>1</v>
      </c>
      <c r="I292" s="133" t="s">
        <v>594</v>
      </c>
      <c r="J292" s="91">
        <v>1</v>
      </c>
      <c r="K292" s="216"/>
      <c r="L292" s="152" t="str">
        <f>IF(ISERROR(GETPIVOTDATA(IF($J292=1,"Count of ACTIVE     CED, FARM GATE (MJ/kg)","Count of CED, processor gate (MJ/kg)"),'Pivot Table_CED'!$A$3,"SUB TYPE","pork")),"PROXY",IF(GETPIVOTDATA(IF($J292=1,"Count of ACTIVE     CED, FARM GATE (MJ/kg)","Count of CED, processor gate (MJ/kg)"),'Pivot Table_CED'!$A$3,"SUB TYPE","pork")=0,"PROXY","DB value"))</f>
        <v>DB value</v>
      </c>
      <c r="M292" s="134">
        <f ca="1">IF($L292="PROXY",DCOUNT('literature entries'!$D:$AI,IF($J292=1,"ACTIVE     CED, FARM GATE (MJ/kg)","CED, processor gate (MJ/kg)"),INDIRECT($K292)),GETPIVOTDATA(IF($J292=1,"Count of ACTIVE     CED, FARM GATE (MJ/kg)","Count of CED, processor gate (MJ/kg)"),'Pivot Table_CED'!$A$3,"SUB TYPE","pork"))</f>
        <v>17</v>
      </c>
      <c r="N292" s="135">
        <f ca="1">IF($L292="PROXY",DAVERAGE('literature entries'!$D:$AI,IF($J292=1,"ACTIVE     CED, FARM GATE (MJ/kg)","CED, processor gate (MJ/kg)"),INDIRECT($K292)),GETPIVOTDATA(IF($J292=1,"Average of ACTIVE     CED, FARM GATE (MJ/kg)","Average of CED, processor gate (MJ/kg)"),'Pivot Table_CED'!$A$3,"SUB TYPE","pork"))</f>
        <v>28.619775438183076</v>
      </c>
      <c r="O292" s="135">
        <f ca="1">IF($L292="PROXY",DSTDEV('literature entries'!D:AI,IF($J292=1,"ACTIVE     CED, FARM GATE (MJ/kg)","CED, processor gate (MJ/kg)"),INDIRECT($K292)),GETPIVOTDATA(IF($J292=1,"StdDev of ACTIVE     CED, FARM GATE (MJ/kg)","StdDev of CED, processor gate (MJ/kg)"),'Pivot Table_CED'!$A$3,"SUB TYPE","pork"))</f>
        <v>6.8913248294546285</v>
      </c>
      <c r="P292" s="152" t="str">
        <f>IF(ISERROR(GETPIVOTDATA(IF($J292=1,"Count of ACTIVE     GHGE, FARM GATE (kg CO2e/kg)","Count of GHGE, processor gate (kg CO2e/kg)"),'Pivot Table_GHG'!$A$3,"SUB TYPE","pork")),"PROXY",IF(GETPIVOTDATA(IF($J292=1,"Count of ACTIVE     GHGE, FARM GATE (kg CO2e/kg)","Count of GHGE, processor gate (kg CO2e/kg)"),'Pivot Table_GHG'!$A$3,"SUB TYPE","pork")=0,"PROXY","DB value"))</f>
        <v>DB value</v>
      </c>
      <c r="Q292" s="141">
        <f ca="1">IF($P292="PROXY",DCOUNT('literature entries'!$D:$AI,IF($J292=1,"ACTIVE     GHGE, FARM GATE (kg CO2e/kg)","GHGE, processor gate (kg CO2e/kg)"),INDIRECT($K292)),GETPIVOTDATA(IF($J292=1,"ACTIVE     GHGE, FARM GATE (kg CO2e/kg)","Count of GHGE, processor gate (kg CO2e/kg)"),'Pivot Table_GHG'!$A$3,"SUB TYPE","pork"))</f>
        <v>50</v>
      </c>
      <c r="R292" s="221">
        <f ca="1">IF($P292="PROXY",DAVERAGE('literature entries'!$D:$AI,IF($J292=1,"ACTIVE     GHGE, FARM GATE (kg CO2e/kg)","GHGE, processor gate (kg CO2e/kg)"),INDIRECT($K292)),GETPIVOTDATA(IF($J292=1,"Average of ACTIVE     GHGE, FARM GATE (kg CO2e/kg)","Average of GHGE, processor gate (kg CO2e/kg)"),'Pivot Table_GHG'!$A$3,"SUB TYPE","pork"))</f>
        <v>5.5600439454132689</v>
      </c>
      <c r="S292" s="221">
        <f ca="1">IF($P292="PROXY",DSTDEV('literature entries'!$D:$AI,IF($J292=1,"ACTIVE     GHGE, FARM GATE (kg CO2e/kg)","GHGE, processor gate (kg CO2e/kg)"),INDIRECT($K292)),GETPIVOTDATA(IF($J292=1,"StdDev of ACTIVE     GHGE, FARM GATE (kg CO2e/kg)","StdDev of GHGE, processor gate (kg CO2e/kg)"),'Pivot Table_GHG'!$A$3,"SUB TYPE","pork"))</f>
        <v>1.5896088267882067</v>
      </c>
      <c r="T292" s="101"/>
      <c r="U292" s="102"/>
      <c r="W292" s="248" t="str">
        <f t="shared" ca="1" si="39"/>
        <v>DIRECT</v>
      </c>
      <c r="X292" s="246">
        <f ca="1">IF($W292="DIRECT",M292,DCOUNT('literature entries'!$D:$AI,IF($J292=1,"ACTIVE     CED, FARM GATE (MJ/kg)","CED, processor gate (MJ/kg)"),INDIRECT($W292)))</f>
        <v>17</v>
      </c>
      <c r="Y292" s="246" t="str">
        <f ca="1">IF($W292="DIRECT","",DAVERAGE('literature entries'!$D:$AI,IF($J292=1,"ACTIVE     CED, FARM GATE (MJ/kg)","CED, processor gate (MJ/kg)"),INDIRECT($W292)))</f>
        <v/>
      </c>
      <c r="Z292" s="246">
        <f ca="1">IF($W292="DIRECT",$O292,DSTDEV('literature entries'!$D:$AI,IF($J292=1,"ACTIVE     CED, FARM GATE (MJ/kg)","CED, processor gate (MJ/kg)"),INDIRECT($W292)))</f>
        <v>6.8913248294546285</v>
      </c>
      <c r="AA292" s="246">
        <f t="shared" ca="1" si="36"/>
        <v>6.8913248294546285</v>
      </c>
      <c r="AB292" s="254" t="str">
        <f t="shared" ca="1" si="40"/>
        <v>DIRECT</v>
      </c>
      <c r="AC292" s="247">
        <f ca="1">IF($AB292="DIRECT",Q292,DCOUNT('literature entries'!$D:$AI,IF($J292=1,"ACTIVE     GHGE, FARM GATE (kg CO2e/kg)","GHGE, processor gate (kg CO2e/kg)"),INDIRECT($AB292)))</f>
        <v>50</v>
      </c>
      <c r="AD292" s="247" t="str">
        <f ca="1">IF($AB292="DIRECT","",DAVERAGE('literature entries'!$D:$AI,IF($J292=1,"ACTIVE     GHGE, FARM GATE (kg CO2e/kg)","GHGE, processor gate (kg CO2e/kg)"),INDIRECT($AB292)))</f>
        <v/>
      </c>
      <c r="AE292" s="247">
        <f ca="1">IF($AB292="DIRECT",$S292,DSTDEV('literature entries'!$D:$AI,IF($J292=1,"ACTIVE     GHGE, FARM GATE (kg CO2e/kg)","GHGE, processor gate (kg CO2e/kg)"),INDIRECT($AB292)))</f>
        <v>1.5896088267882067</v>
      </c>
      <c r="AF292" s="247">
        <f t="shared" ca="1" si="37"/>
        <v>1.5896088267882067</v>
      </c>
    </row>
    <row r="293" spans="1:32" s="21" customFormat="1" ht="17" thickBot="1" x14ac:dyDescent="0.25">
      <c r="A293" s="129">
        <v>3400293000</v>
      </c>
      <c r="B293" s="130" t="s">
        <v>2188</v>
      </c>
      <c r="C293" s="131" t="s">
        <v>2189</v>
      </c>
      <c r="D293" s="131"/>
      <c r="E293" s="131">
        <v>27119</v>
      </c>
      <c r="F293" s="126">
        <f t="shared" ca="1" si="34"/>
        <v>28.619775438183076</v>
      </c>
      <c r="G293" s="127">
        <f t="shared" ca="1" si="35"/>
        <v>5.5600439454132689</v>
      </c>
      <c r="H293" s="132">
        <v>1</v>
      </c>
      <c r="I293" s="133" t="s">
        <v>594</v>
      </c>
      <c r="J293" s="91">
        <v>1</v>
      </c>
      <c r="K293" s="216"/>
      <c r="L293" s="152" t="str">
        <f>IF(ISERROR(GETPIVOTDATA(IF($J293=1,"Count of ACTIVE     CED, FARM GATE (MJ/kg)","Count of CED, processor gate (MJ/kg)"),'Pivot Table_CED'!$A$3,"SUB TYPE","pork")),"PROXY",IF(GETPIVOTDATA(IF($J293=1,"Count of ACTIVE     CED, FARM GATE (MJ/kg)","Count of CED, processor gate (MJ/kg)"),'Pivot Table_CED'!$A$3,"SUB TYPE","pork")=0,"PROXY","DB value"))</f>
        <v>DB value</v>
      </c>
      <c r="M293" s="134">
        <f ca="1">IF($L293="PROXY",DCOUNT('literature entries'!$D:$AI,IF($J293=1,"ACTIVE     CED, FARM GATE (MJ/kg)","CED, processor gate (MJ/kg)"),INDIRECT($K293)),GETPIVOTDATA(IF($J293=1,"Count of ACTIVE     CED, FARM GATE (MJ/kg)","Count of CED, processor gate (MJ/kg)"),'Pivot Table_CED'!$A$3,"SUB TYPE","pork"))</f>
        <v>17</v>
      </c>
      <c r="N293" s="135">
        <f ca="1">IF($L293="PROXY",DAVERAGE('literature entries'!$D:$AI,IF($J293=1,"ACTIVE     CED, FARM GATE (MJ/kg)","CED, processor gate (MJ/kg)"),INDIRECT($K293)),GETPIVOTDATA(IF($J293=1,"Average of ACTIVE     CED, FARM GATE (MJ/kg)","Average of CED, processor gate (MJ/kg)"),'Pivot Table_CED'!$A$3,"SUB TYPE","pork"))</f>
        <v>28.619775438183076</v>
      </c>
      <c r="O293" s="135">
        <f ca="1">IF($L293="PROXY",DSTDEV('literature entries'!D:AI,IF($J293=1,"ACTIVE     CED, FARM GATE (MJ/kg)","CED, processor gate (MJ/kg)"),INDIRECT($K293)),GETPIVOTDATA(IF($J293=1,"StdDev of ACTIVE     CED, FARM GATE (MJ/kg)","StdDev of CED, processor gate (MJ/kg)"),'Pivot Table_CED'!$A$3,"SUB TYPE","pork"))</f>
        <v>6.8913248294546285</v>
      </c>
      <c r="P293" s="152" t="str">
        <f>IF(ISERROR(GETPIVOTDATA(IF($J293=1,"Count of ACTIVE     GHGE, FARM GATE (kg CO2e/kg)","Count of GHGE, processor gate (kg CO2e/kg)"),'Pivot Table_GHG'!$A$3,"SUB TYPE","pork")),"PROXY",IF(GETPIVOTDATA(IF($J293=1,"Count of ACTIVE     GHGE, FARM GATE (kg CO2e/kg)","Count of GHGE, processor gate (kg CO2e/kg)"),'Pivot Table_GHG'!$A$3,"SUB TYPE","pork")=0,"PROXY","DB value"))</f>
        <v>DB value</v>
      </c>
      <c r="Q293" s="141">
        <f ca="1">IF($P293="PROXY",DCOUNT('literature entries'!$D:$AI,IF($J293=1,"ACTIVE     GHGE, FARM GATE (kg CO2e/kg)","GHGE, processor gate (kg CO2e/kg)"),INDIRECT($K293)),GETPIVOTDATA(IF($J293=1,"ACTIVE     GHGE, FARM GATE (kg CO2e/kg)","Count of GHGE, processor gate (kg CO2e/kg)"),'Pivot Table_GHG'!$A$3,"SUB TYPE","pork"))</f>
        <v>50</v>
      </c>
      <c r="R293" s="221">
        <f ca="1">IF($P293="PROXY",DAVERAGE('literature entries'!$D:$AI,IF($J293=1,"ACTIVE     GHGE, FARM GATE (kg CO2e/kg)","GHGE, processor gate (kg CO2e/kg)"),INDIRECT($K293)),GETPIVOTDATA(IF($J293=1,"Average of ACTIVE     GHGE, FARM GATE (kg CO2e/kg)","Average of GHGE, processor gate (kg CO2e/kg)"),'Pivot Table_GHG'!$A$3,"SUB TYPE","pork"))</f>
        <v>5.5600439454132689</v>
      </c>
      <c r="S293" s="221">
        <f ca="1">IF($P293="PROXY",DSTDEV('literature entries'!$D:$AI,IF($J293=1,"ACTIVE     GHGE, FARM GATE (kg CO2e/kg)","GHGE, processor gate (kg CO2e/kg)"),INDIRECT($K293)),GETPIVOTDATA(IF($J293=1,"StdDev of ACTIVE     GHGE, FARM GATE (kg CO2e/kg)","StdDev of GHGE, processor gate (kg CO2e/kg)"),'Pivot Table_GHG'!$A$3,"SUB TYPE","pork"))</f>
        <v>1.5896088267882067</v>
      </c>
      <c r="T293" s="101"/>
      <c r="U293" s="102"/>
      <c r="W293" s="248" t="str">
        <f t="shared" ca="1" si="39"/>
        <v>DIRECT</v>
      </c>
      <c r="X293" s="246">
        <f ca="1">IF($W293="DIRECT",M293,DCOUNT('literature entries'!$D:$AI,IF($J293=1,"ACTIVE     CED, FARM GATE (MJ/kg)","CED, processor gate (MJ/kg)"),INDIRECT($W293)))</f>
        <v>17</v>
      </c>
      <c r="Y293" s="246" t="str">
        <f ca="1">IF($W293="DIRECT","",DAVERAGE('literature entries'!$D:$AI,IF($J293=1,"ACTIVE     CED, FARM GATE (MJ/kg)","CED, processor gate (MJ/kg)"),INDIRECT($W293)))</f>
        <v/>
      </c>
      <c r="Z293" s="246">
        <f ca="1">IF($W293="DIRECT",$O293,DSTDEV('literature entries'!$D:$AI,IF($J293=1,"ACTIVE     CED, FARM GATE (MJ/kg)","CED, processor gate (MJ/kg)"),INDIRECT($W293)))</f>
        <v>6.8913248294546285</v>
      </c>
      <c r="AA293" s="246">
        <f t="shared" ca="1" si="36"/>
        <v>6.8913248294546285</v>
      </c>
      <c r="AB293" s="254" t="str">
        <f t="shared" ca="1" si="40"/>
        <v>DIRECT</v>
      </c>
      <c r="AC293" s="247">
        <f ca="1">IF($AB293="DIRECT",Q293,DCOUNT('literature entries'!$D:$AI,IF($J293=1,"ACTIVE     GHGE, FARM GATE (kg CO2e/kg)","GHGE, processor gate (kg CO2e/kg)"),INDIRECT($AB293)))</f>
        <v>50</v>
      </c>
      <c r="AD293" s="247" t="str">
        <f ca="1">IF($AB293="DIRECT","",DAVERAGE('literature entries'!$D:$AI,IF($J293=1,"ACTIVE     GHGE, FARM GATE (kg CO2e/kg)","GHGE, processor gate (kg CO2e/kg)"),INDIRECT($AB293)))</f>
        <v/>
      </c>
      <c r="AE293" s="247">
        <f ca="1">IF($AB293="DIRECT",$S293,DSTDEV('literature entries'!$D:$AI,IF($J293=1,"ACTIVE     GHGE, FARM GATE (kg CO2e/kg)","GHGE, processor gate (kg CO2e/kg)"),INDIRECT($AB293)))</f>
        <v>1.5896088267882067</v>
      </c>
      <c r="AF293" s="247">
        <f t="shared" ca="1" si="37"/>
        <v>1.5896088267882067</v>
      </c>
    </row>
    <row r="294" spans="1:32" s="21" customFormat="1" ht="17" thickBot="1" x14ac:dyDescent="0.25">
      <c r="A294" s="129">
        <v>3400295000</v>
      </c>
      <c r="B294" s="130" t="s">
        <v>2190</v>
      </c>
      <c r="C294" s="131" t="s">
        <v>1813</v>
      </c>
      <c r="D294" s="131"/>
      <c r="E294" s="131">
        <v>89</v>
      </c>
      <c r="F294" s="126">
        <f t="shared" ca="1" si="34"/>
        <v>28.619775438183076</v>
      </c>
      <c r="G294" s="127">
        <f t="shared" ca="1" si="35"/>
        <v>5.5600439454132689</v>
      </c>
      <c r="H294" s="132">
        <v>1</v>
      </c>
      <c r="I294" s="133" t="s">
        <v>594</v>
      </c>
      <c r="J294" s="91">
        <v>1</v>
      </c>
      <c r="K294" s="216"/>
      <c r="L294" s="152" t="str">
        <f>IF(ISERROR(GETPIVOTDATA(IF($J294=1,"Count of ACTIVE     CED, FARM GATE (MJ/kg)","Count of CED, processor gate (MJ/kg)"),'Pivot Table_CED'!$A$3,"SUB TYPE","pork")),"PROXY",IF(GETPIVOTDATA(IF($J294=1,"Count of ACTIVE     CED, FARM GATE (MJ/kg)","Count of CED, processor gate (MJ/kg)"),'Pivot Table_CED'!$A$3,"SUB TYPE","pork")=0,"PROXY","DB value"))</f>
        <v>DB value</v>
      </c>
      <c r="M294" s="134">
        <f ca="1">IF($L294="PROXY",DCOUNT('literature entries'!$D:$AI,IF($J294=1,"ACTIVE     CED, FARM GATE (MJ/kg)","CED, processor gate (MJ/kg)"),INDIRECT($K294)),GETPIVOTDATA(IF($J294=1,"Count of ACTIVE     CED, FARM GATE (MJ/kg)","Count of CED, processor gate (MJ/kg)"),'Pivot Table_CED'!$A$3,"SUB TYPE","pork"))</f>
        <v>17</v>
      </c>
      <c r="N294" s="135">
        <f ca="1">IF($L294="PROXY",DAVERAGE('literature entries'!$D:$AI,IF($J294=1,"ACTIVE     CED, FARM GATE (MJ/kg)","CED, processor gate (MJ/kg)"),INDIRECT($K294)),GETPIVOTDATA(IF($J294=1,"Average of ACTIVE     CED, FARM GATE (MJ/kg)","Average of CED, processor gate (MJ/kg)"),'Pivot Table_CED'!$A$3,"SUB TYPE","pork"))</f>
        <v>28.619775438183076</v>
      </c>
      <c r="O294" s="135">
        <f ca="1">IF($L294="PROXY",DSTDEV('literature entries'!D:AI,IF($J294=1,"ACTIVE     CED, FARM GATE (MJ/kg)","CED, processor gate (MJ/kg)"),INDIRECT($K294)),GETPIVOTDATA(IF($J294=1,"StdDev of ACTIVE     CED, FARM GATE (MJ/kg)","StdDev of CED, processor gate (MJ/kg)"),'Pivot Table_CED'!$A$3,"SUB TYPE","pork"))</f>
        <v>6.8913248294546285</v>
      </c>
      <c r="P294" s="152" t="str">
        <f>IF(ISERROR(GETPIVOTDATA(IF($J294=1,"Count of ACTIVE     GHGE, FARM GATE (kg CO2e/kg)","Count of GHGE, processor gate (kg CO2e/kg)"),'Pivot Table_GHG'!$A$3,"SUB TYPE","pork")),"PROXY",IF(GETPIVOTDATA(IF($J294=1,"Count of ACTIVE     GHGE, FARM GATE (kg CO2e/kg)","Count of GHGE, processor gate (kg CO2e/kg)"),'Pivot Table_GHG'!$A$3,"SUB TYPE","pork")=0,"PROXY","DB value"))</f>
        <v>DB value</v>
      </c>
      <c r="Q294" s="141">
        <f ca="1">IF($P294="PROXY",DCOUNT('literature entries'!$D:$AI,IF($J294=1,"ACTIVE     GHGE, FARM GATE (kg CO2e/kg)","GHGE, processor gate (kg CO2e/kg)"),INDIRECT($K294)),GETPIVOTDATA(IF($J294=1,"ACTIVE     GHGE, FARM GATE (kg CO2e/kg)","Count of GHGE, processor gate (kg CO2e/kg)"),'Pivot Table_GHG'!$A$3,"SUB TYPE","pork"))</f>
        <v>50</v>
      </c>
      <c r="R294" s="221">
        <f ca="1">IF($P294="PROXY",DAVERAGE('literature entries'!$D:$AI,IF($J294=1,"ACTIVE     GHGE, FARM GATE (kg CO2e/kg)","GHGE, processor gate (kg CO2e/kg)"),INDIRECT($K294)),GETPIVOTDATA(IF($J294=1,"Average of ACTIVE     GHGE, FARM GATE (kg CO2e/kg)","Average of GHGE, processor gate (kg CO2e/kg)"),'Pivot Table_GHG'!$A$3,"SUB TYPE","pork"))</f>
        <v>5.5600439454132689</v>
      </c>
      <c r="S294" s="221">
        <f ca="1">IF($P294="PROXY",DSTDEV('literature entries'!$D:$AI,IF($J294=1,"ACTIVE     GHGE, FARM GATE (kg CO2e/kg)","GHGE, processor gate (kg CO2e/kg)"),INDIRECT($K294)),GETPIVOTDATA(IF($J294=1,"StdDev of ACTIVE     GHGE, FARM GATE (kg CO2e/kg)","StdDev of GHGE, processor gate (kg CO2e/kg)"),'Pivot Table_GHG'!$A$3,"SUB TYPE","pork"))</f>
        <v>1.5896088267882067</v>
      </c>
      <c r="T294" s="101"/>
      <c r="U294" s="102"/>
      <c r="W294" s="248" t="str">
        <f t="shared" ca="1" si="39"/>
        <v>DIRECT</v>
      </c>
      <c r="X294" s="246">
        <f ca="1">IF($W294="DIRECT",M294,DCOUNT('literature entries'!$D:$AI,IF($J294=1,"ACTIVE     CED, FARM GATE (MJ/kg)","CED, processor gate (MJ/kg)"),INDIRECT($W294)))</f>
        <v>17</v>
      </c>
      <c r="Y294" s="246" t="str">
        <f ca="1">IF($W294="DIRECT","",DAVERAGE('literature entries'!$D:$AI,IF($J294=1,"ACTIVE     CED, FARM GATE (MJ/kg)","CED, processor gate (MJ/kg)"),INDIRECT($W294)))</f>
        <v/>
      </c>
      <c r="Z294" s="246">
        <f ca="1">IF($W294="DIRECT",$O294,DSTDEV('literature entries'!$D:$AI,IF($J294=1,"ACTIVE     CED, FARM GATE (MJ/kg)","CED, processor gate (MJ/kg)"),INDIRECT($W294)))</f>
        <v>6.8913248294546285</v>
      </c>
      <c r="AA294" s="246">
        <f t="shared" ca="1" si="36"/>
        <v>6.8913248294546285</v>
      </c>
      <c r="AB294" s="254" t="str">
        <f t="shared" ca="1" si="40"/>
        <v>DIRECT</v>
      </c>
      <c r="AC294" s="247">
        <f ca="1">IF($AB294="DIRECT",Q294,DCOUNT('literature entries'!$D:$AI,IF($J294=1,"ACTIVE     GHGE, FARM GATE (kg CO2e/kg)","GHGE, processor gate (kg CO2e/kg)"),INDIRECT($AB294)))</f>
        <v>50</v>
      </c>
      <c r="AD294" s="247" t="str">
        <f ca="1">IF($AB294="DIRECT","",DAVERAGE('literature entries'!$D:$AI,IF($J294=1,"ACTIVE     GHGE, FARM GATE (kg CO2e/kg)","GHGE, processor gate (kg CO2e/kg)"),INDIRECT($AB294)))</f>
        <v/>
      </c>
      <c r="AE294" s="247">
        <f ca="1">IF($AB294="DIRECT",$S294,DSTDEV('literature entries'!$D:$AI,IF($J294=1,"ACTIVE     GHGE, FARM GATE (kg CO2e/kg)","GHGE, processor gate (kg CO2e/kg)"),INDIRECT($AB294)))</f>
        <v>1.5896088267882067</v>
      </c>
      <c r="AF294" s="247">
        <f t="shared" ca="1" si="37"/>
        <v>1.5896088267882067</v>
      </c>
    </row>
    <row r="295" spans="1:32" s="21" customFormat="1" ht="17" thickBot="1" x14ac:dyDescent="0.25">
      <c r="A295" s="129">
        <v>3500339000</v>
      </c>
      <c r="B295" s="130" t="s">
        <v>2259</v>
      </c>
      <c r="C295" s="131" t="s">
        <v>2260</v>
      </c>
      <c r="D295" s="131"/>
      <c r="E295" s="131">
        <v>2660</v>
      </c>
      <c r="F295" s="126">
        <f t="shared" ca="1" si="34"/>
        <v>33.613424518743663</v>
      </c>
      <c r="G295" s="127">
        <f t="shared" ca="1" si="35"/>
        <v>34.745269501950553</v>
      </c>
      <c r="H295" s="132">
        <v>1</v>
      </c>
      <c r="I295" s="133" t="s">
        <v>594</v>
      </c>
      <c r="J295" s="91">
        <v>1</v>
      </c>
      <c r="K295" s="216"/>
      <c r="L295" s="152" t="str">
        <f>IF(ISERROR(GETPIVOTDATA(IF($J295=1,"Count of ACTIVE     CED, FARM GATE (MJ/kg)","Count of CED, processor gate (MJ/kg)"),'Pivot Table_CED'!$A$3,"SUB TYPE","Sheep")),"PROXY",IF(GETPIVOTDATA(IF($J295=1,"Count of ACTIVE     CED, FARM GATE (MJ/kg)","Count of CED, processor gate (MJ/kg)"),'Pivot Table_CED'!$A$3,"SUB TYPE","Sheep")=0,"PROXY","DB value"))</f>
        <v>DB value</v>
      </c>
      <c r="M295" s="134">
        <f ca="1">IF($L295="PROXY",DCOUNT('literature entries'!$D:$AI,IF($J295=1,"ACTIVE     CED, FARM GATE (MJ/kg)","CED, processor gate (MJ/kg)"),INDIRECT($K295)),GETPIVOTDATA(IF($J295=1,"Count of ACTIVE     CED, FARM GATE (MJ/kg)","Count of CED, processor gate (MJ/kg)"),'Pivot Table_CED'!$A$3,"SUB TYPE","Sheep"))</f>
        <v>6</v>
      </c>
      <c r="N295" s="135">
        <f ca="1">IF($L295="PROXY",DAVERAGE('literature entries'!$D:$AI,IF($J295=1,"ACTIVE     CED, FARM GATE (MJ/kg)","CED, processor gate (MJ/kg)"),INDIRECT($K295)),GETPIVOTDATA(IF($J295=1,"Average of ACTIVE     CED, FARM GATE (MJ/kg)","Average of CED, processor gate (MJ/kg)"),'Pivot Table_CED'!$A$3,"SUB TYPE","Sheep"))</f>
        <v>33.613424518743663</v>
      </c>
      <c r="O295" s="135">
        <f ca="1">IF($L295="PROXY",DSTDEV('literature entries'!D:AI,IF($J295=1,"ACTIVE     CED, FARM GATE (MJ/kg)","CED, processor gate (MJ/kg)"),INDIRECT($K295)),GETPIVOTDATA(IF($J295=1,"StdDev of ACTIVE     CED, FARM GATE (MJ/kg)","StdDev of CED, processor gate (MJ/kg)"),'Pivot Table_CED'!$A$3,"SUB TYPE","Sheep"))</f>
        <v>20.560479404527239</v>
      </c>
      <c r="P295" s="152" t="str">
        <f>IF(ISERROR(GETPIVOTDATA(IF($J295=1,"Count of ACTIVE     GHGE, FARM GATE (kg CO2e/kg)","Count of GHGE, processor gate (kg CO2e/kg)"),'Pivot Table_GHG'!$A$3,"SUB TYPE","Sheep")),"PROXY",IF(GETPIVOTDATA(IF($J295=1,"Count of ACTIVE     GHGE, FARM GATE (kg CO2e/kg)","Count of GHGE, processor gate (kg CO2e/kg)"),'Pivot Table_GHG'!$A$3,"SUB TYPE","Sheep")=0,"PROXY","DB value"))</f>
        <v>DB value</v>
      </c>
      <c r="Q295" s="141">
        <f ca="1">IF($P295="PROXY",DCOUNT('literature entries'!$D:$AI,IF($J295=1,"ACTIVE     GHGE, FARM GATE (kg CO2e/kg)","GHGE, processor gate (kg CO2e/kg)"),INDIRECT($K295)),GETPIVOTDATA(IF($J295=1,"ACTIVE     GHGE, FARM GATE (kg CO2e/kg)","Count of GHGE, processor gate (kg CO2e/kg)"),'Pivot Table_GHG'!$A$3,"SUB TYPE","Sheep"))</f>
        <v>25</v>
      </c>
      <c r="R295" s="221">
        <f ca="1">IF($P295="PROXY",DAVERAGE('literature entries'!$D:$AI,IF($J295=1,"ACTIVE     GHGE, FARM GATE (kg CO2e/kg)","GHGE, processor gate (kg CO2e/kg)"),INDIRECT($K295)),GETPIVOTDATA(IF($J295=1,"Average of ACTIVE     GHGE, FARM GATE (kg CO2e/kg)","Average of GHGE, processor gate (kg CO2e/kg)"),'Pivot Table_GHG'!$A$3,"SUB TYPE","Sheep"))</f>
        <v>34.745269501950553</v>
      </c>
      <c r="S295" s="221">
        <f ca="1">IF($P295="PROXY",DSTDEV('literature entries'!$D:$AI,IF($J295=1,"ACTIVE     GHGE, FARM GATE (kg CO2e/kg)","GHGE, processor gate (kg CO2e/kg)"),INDIRECT($K295)),GETPIVOTDATA(IF($J295=1,"StdDev of ACTIVE     GHGE, FARM GATE (kg CO2e/kg)","StdDev of GHGE, processor gate (kg CO2e/kg)"),'Pivot Table_GHG'!$A$3,"SUB TYPE","Sheep"))</f>
        <v>30.511572332540641</v>
      </c>
      <c r="T295" s="101"/>
      <c r="U295" s="102"/>
      <c r="W295" s="248" t="str">
        <f t="shared" ca="1" si="39"/>
        <v>DIRECT</v>
      </c>
      <c r="X295" s="246">
        <f ca="1">IF($W295="DIRECT",M295,DCOUNT('literature entries'!$D:$AI,IF($J295=1,"ACTIVE     CED, FARM GATE (MJ/kg)","CED, processor gate (MJ/kg)"),INDIRECT($W295)))</f>
        <v>6</v>
      </c>
      <c r="Y295" s="246" t="str">
        <f ca="1">IF($W295="DIRECT","",DAVERAGE('literature entries'!$D:$AI,IF($J295=1,"ACTIVE     CED, FARM GATE (MJ/kg)","CED, processor gate (MJ/kg)"),INDIRECT($W295)))</f>
        <v/>
      </c>
      <c r="Z295" s="246">
        <f ca="1">IF($W295="DIRECT",$O295,DSTDEV('literature entries'!$D:$AI,IF($J295=1,"ACTIVE     CED, FARM GATE (MJ/kg)","CED, processor gate (MJ/kg)"),INDIRECT($W295)))</f>
        <v>20.560479404527239</v>
      </c>
      <c r="AA295" s="246">
        <f t="shared" ca="1" si="36"/>
        <v>20.560479404527239</v>
      </c>
      <c r="AB295" s="254" t="str">
        <f t="shared" ca="1" si="40"/>
        <v>DIRECT</v>
      </c>
      <c r="AC295" s="247">
        <f ca="1">IF($AB295="DIRECT",Q295,DCOUNT('literature entries'!$D:$AI,IF($J295=1,"ACTIVE     GHGE, FARM GATE (kg CO2e/kg)","GHGE, processor gate (kg CO2e/kg)"),INDIRECT($AB295)))</f>
        <v>25</v>
      </c>
      <c r="AD295" s="247" t="str">
        <f ca="1">IF($AB295="DIRECT","",DAVERAGE('literature entries'!$D:$AI,IF($J295=1,"ACTIVE     GHGE, FARM GATE (kg CO2e/kg)","GHGE, processor gate (kg CO2e/kg)"),INDIRECT($AB295)))</f>
        <v/>
      </c>
      <c r="AE295" s="247">
        <f ca="1">IF($AB295="DIRECT",$S295,DSTDEV('literature entries'!$D:$AI,IF($J295=1,"ACTIVE     GHGE, FARM GATE (kg CO2e/kg)","GHGE, processor gate (kg CO2e/kg)"),INDIRECT($AB295)))</f>
        <v>30.511572332540641</v>
      </c>
      <c r="AF295" s="247">
        <f t="shared" ca="1" si="37"/>
        <v>30.511572332540641</v>
      </c>
    </row>
    <row r="296" spans="1:32" s="21" customFormat="1" ht="17" thickBot="1" x14ac:dyDescent="0.25">
      <c r="A296" s="129">
        <v>3500340000</v>
      </c>
      <c r="B296" s="130" t="s">
        <v>2261</v>
      </c>
      <c r="C296" s="131" t="s">
        <v>2262</v>
      </c>
      <c r="D296" s="131" t="s">
        <v>2263</v>
      </c>
      <c r="E296" s="131">
        <v>2176</v>
      </c>
      <c r="F296" s="126">
        <f t="shared" ca="1" si="34"/>
        <v>33.613424518743663</v>
      </c>
      <c r="G296" s="127">
        <f t="shared" ca="1" si="35"/>
        <v>34.745269501950553</v>
      </c>
      <c r="H296" s="132">
        <v>1</v>
      </c>
      <c r="I296" s="133" t="s">
        <v>594</v>
      </c>
      <c r="J296" s="91">
        <v>1</v>
      </c>
      <c r="K296" s="216"/>
      <c r="L296" s="152" t="str">
        <f>IF(ISERROR(GETPIVOTDATA(IF($J296=1,"Count of ACTIVE     CED, FARM GATE (MJ/kg)","Count of CED, processor gate (MJ/kg)"),'Pivot Table_CED'!$A$3,"SUB TYPE","Sheep")),"PROXY",IF(GETPIVOTDATA(IF($J296=1,"Count of ACTIVE     CED, FARM GATE (MJ/kg)","Count of CED, processor gate (MJ/kg)"),'Pivot Table_CED'!$A$3,"SUB TYPE","Sheep")=0,"PROXY","DB value"))</f>
        <v>DB value</v>
      </c>
      <c r="M296" s="134">
        <f ca="1">IF($L296="PROXY",DCOUNT('literature entries'!$D:$AI,IF($J296=1,"ACTIVE     CED, FARM GATE (MJ/kg)","CED, processor gate (MJ/kg)"),INDIRECT($K296)),GETPIVOTDATA(IF($J296=1,"Count of ACTIVE     CED, FARM GATE (MJ/kg)","Count of CED, processor gate (MJ/kg)"),'Pivot Table_CED'!$A$3,"SUB TYPE","Sheep"))</f>
        <v>6</v>
      </c>
      <c r="N296" s="135">
        <f ca="1">IF($L296="PROXY",DAVERAGE('literature entries'!$D:$AI,IF($J296=1,"ACTIVE     CED, FARM GATE (MJ/kg)","CED, processor gate (MJ/kg)"),INDIRECT($K296)),GETPIVOTDATA(IF($J296=1,"Average of ACTIVE     CED, FARM GATE (MJ/kg)","Average of CED, processor gate (MJ/kg)"),'Pivot Table_CED'!$A$3,"SUB TYPE","Sheep"))</f>
        <v>33.613424518743663</v>
      </c>
      <c r="O296" s="135">
        <f ca="1">IF($L296="PROXY",DSTDEV('literature entries'!D:AI,IF($J296=1,"ACTIVE     CED, FARM GATE (MJ/kg)","CED, processor gate (MJ/kg)"),INDIRECT($K296)),GETPIVOTDATA(IF($J296=1,"StdDev of ACTIVE     CED, FARM GATE (MJ/kg)","StdDev of CED, processor gate (MJ/kg)"),'Pivot Table_CED'!$A$3,"SUB TYPE","Sheep"))</f>
        <v>20.560479404527239</v>
      </c>
      <c r="P296" s="152" t="str">
        <f>IF(ISERROR(GETPIVOTDATA(IF($J296=1,"Count of ACTIVE     GHGE, FARM GATE (kg CO2e/kg)","Count of GHGE, processor gate (kg CO2e/kg)"),'Pivot Table_GHG'!$A$3,"SUB TYPE","Sheep")),"PROXY",IF(GETPIVOTDATA(IF($J296=1,"Count of ACTIVE     GHGE, FARM GATE (kg CO2e/kg)","Count of GHGE, processor gate (kg CO2e/kg)"),'Pivot Table_GHG'!$A$3,"SUB TYPE","Sheep")=0,"PROXY","DB value"))</f>
        <v>DB value</v>
      </c>
      <c r="Q296" s="141">
        <f ca="1">IF($P296="PROXY",DCOUNT('literature entries'!$D:$AI,IF($J296=1,"ACTIVE     GHGE, FARM GATE (kg CO2e/kg)","GHGE, processor gate (kg CO2e/kg)"),INDIRECT($K296)),GETPIVOTDATA(IF($J296=1,"ACTIVE     GHGE, FARM GATE (kg CO2e/kg)","Count of GHGE, processor gate (kg CO2e/kg)"),'Pivot Table_GHG'!$A$3,"SUB TYPE","Sheep"))</f>
        <v>25</v>
      </c>
      <c r="R296" s="221">
        <f ca="1">IF($P296="PROXY",DAVERAGE('literature entries'!$D:$AI,IF($J296=1,"ACTIVE     GHGE, FARM GATE (kg CO2e/kg)","GHGE, processor gate (kg CO2e/kg)"),INDIRECT($K296)),GETPIVOTDATA(IF($J296=1,"Average of ACTIVE     GHGE, FARM GATE (kg CO2e/kg)","Average of GHGE, processor gate (kg CO2e/kg)"),'Pivot Table_GHG'!$A$3,"SUB TYPE","Sheep"))</f>
        <v>34.745269501950553</v>
      </c>
      <c r="S296" s="221">
        <f ca="1">IF($P296="PROXY",DSTDEV('literature entries'!$D:$AI,IF($J296=1,"ACTIVE     GHGE, FARM GATE (kg CO2e/kg)","GHGE, processor gate (kg CO2e/kg)"),INDIRECT($K296)),GETPIVOTDATA(IF($J296=1,"StdDev of ACTIVE     GHGE, FARM GATE (kg CO2e/kg)","StdDev of GHGE, processor gate (kg CO2e/kg)"),'Pivot Table_GHG'!$A$3,"SUB TYPE","Sheep"))</f>
        <v>30.511572332540641</v>
      </c>
      <c r="T296" s="101"/>
      <c r="U296" s="102"/>
      <c r="W296" s="248" t="str">
        <f t="shared" ca="1" si="39"/>
        <v>DIRECT</v>
      </c>
      <c r="X296" s="246">
        <f ca="1">IF($W296="DIRECT",M296,DCOUNT('literature entries'!$D:$AI,IF($J296=1,"ACTIVE     CED, FARM GATE (MJ/kg)","CED, processor gate (MJ/kg)"),INDIRECT($W296)))</f>
        <v>6</v>
      </c>
      <c r="Y296" s="246" t="str">
        <f ca="1">IF($W296="DIRECT","",DAVERAGE('literature entries'!$D:$AI,IF($J296=1,"ACTIVE     CED, FARM GATE (MJ/kg)","CED, processor gate (MJ/kg)"),INDIRECT($W296)))</f>
        <v/>
      </c>
      <c r="Z296" s="246">
        <f ca="1">IF($W296="DIRECT",$O296,DSTDEV('literature entries'!$D:$AI,IF($J296=1,"ACTIVE     CED, FARM GATE (MJ/kg)","CED, processor gate (MJ/kg)"),INDIRECT($W296)))</f>
        <v>20.560479404527239</v>
      </c>
      <c r="AA296" s="246">
        <f t="shared" ca="1" si="36"/>
        <v>20.560479404527239</v>
      </c>
      <c r="AB296" s="254" t="str">
        <f t="shared" ca="1" si="40"/>
        <v>DIRECT</v>
      </c>
      <c r="AC296" s="247">
        <f ca="1">IF($AB296="DIRECT",Q296,DCOUNT('literature entries'!$D:$AI,IF($J296=1,"ACTIVE     GHGE, FARM GATE (kg CO2e/kg)","GHGE, processor gate (kg CO2e/kg)"),INDIRECT($AB296)))</f>
        <v>25</v>
      </c>
      <c r="AD296" s="247" t="str">
        <f ca="1">IF($AB296="DIRECT","",DAVERAGE('literature entries'!$D:$AI,IF($J296=1,"ACTIVE     GHGE, FARM GATE (kg CO2e/kg)","GHGE, processor gate (kg CO2e/kg)"),INDIRECT($AB296)))</f>
        <v/>
      </c>
      <c r="AE296" s="247">
        <f ca="1">IF($AB296="DIRECT",$S296,DSTDEV('literature entries'!$D:$AI,IF($J296=1,"ACTIVE     GHGE, FARM GATE (kg CO2e/kg)","GHGE, processor gate (kg CO2e/kg)"),INDIRECT($AB296)))</f>
        <v>30.511572332540641</v>
      </c>
      <c r="AF296" s="247">
        <f t="shared" ca="1" si="37"/>
        <v>30.511572332540641</v>
      </c>
    </row>
    <row r="297" spans="1:32" s="21" customFormat="1" ht="17" thickBot="1" x14ac:dyDescent="0.25">
      <c r="A297" s="129">
        <v>3500341000</v>
      </c>
      <c r="B297" s="130" t="s">
        <v>2256</v>
      </c>
      <c r="C297" s="131" t="s">
        <v>2257</v>
      </c>
      <c r="D297" s="131"/>
      <c r="E297" s="131">
        <v>3742</v>
      </c>
      <c r="F297" s="126">
        <f t="shared" ca="1" si="34"/>
        <v>33.613424518743663</v>
      </c>
      <c r="G297" s="127">
        <f t="shared" ca="1" si="35"/>
        <v>34.745269501950553</v>
      </c>
      <c r="H297" s="132">
        <v>1</v>
      </c>
      <c r="I297" s="133" t="s">
        <v>594</v>
      </c>
      <c r="J297" s="91">
        <v>1</v>
      </c>
      <c r="K297" s="216"/>
      <c r="L297" s="152" t="str">
        <f>IF(ISERROR(GETPIVOTDATA(IF($J297=1,"Count of ACTIVE     CED, FARM GATE (MJ/kg)","Count of CED, processor gate (MJ/kg)"),'Pivot Table_CED'!$A$3,"SUB TYPE","Sheep")),"PROXY",IF(GETPIVOTDATA(IF($J297=1,"Count of ACTIVE     CED, FARM GATE (MJ/kg)","Count of CED, processor gate (MJ/kg)"),'Pivot Table_CED'!$A$3,"SUB TYPE","Sheep")=0,"PROXY","DB value"))</f>
        <v>DB value</v>
      </c>
      <c r="M297" s="134">
        <f ca="1">IF($L297="PROXY",DCOUNT('literature entries'!$D:$AI,IF($J297=1,"ACTIVE     CED, FARM GATE (MJ/kg)","CED, processor gate (MJ/kg)"),INDIRECT($K297)),GETPIVOTDATA(IF($J297=1,"Count of ACTIVE     CED, FARM GATE (MJ/kg)","Count of CED, processor gate (MJ/kg)"),'Pivot Table_CED'!$A$3,"SUB TYPE","Sheep"))</f>
        <v>6</v>
      </c>
      <c r="N297" s="135">
        <f ca="1">IF($L297="PROXY",DAVERAGE('literature entries'!$D:$AI,IF($J297=1,"ACTIVE     CED, FARM GATE (MJ/kg)","CED, processor gate (MJ/kg)"),INDIRECT($K297)),GETPIVOTDATA(IF($J297=1,"Average of ACTIVE     CED, FARM GATE (MJ/kg)","Average of CED, processor gate (MJ/kg)"),'Pivot Table_CED'!$A$3,"SUB TYPE","Sheep"))</f>
        <v>33.613424518743663</v>
      </c>
      <c r="O297" s="135">
        <f ca="1">IF($L297="PROXY",DSTDEV('literature entries'!D:AI,IF($J297=1,"ACTIVE     CED, FARM GATE (MJ/kg)","CED, processor gate (MJ/kg)"),INDIRECT($K297)),GETPIVOTDATA(IF($J297=1,"StdDev of ACTIVE     CED, FARM GATE (MJ/kg)","StdDev of CED, processor gate (MJ/kg)"),'Pivot Table_CED'!$A$3,"SUB TYPE","Sheep"))</f>
        <v>20.560479404527239</v>
      </c>
      <c r="P297" s="152" t="str">
        <f>IF(ISERROR(GETPIVOTDATA(IF($J297=1,"Count of ACTIVE     GHGE, FARM GATE (kg CO2e/kg)","Count of GHGE, processor gate (kg CO2e/kg)"),'Pivot Table_GHG'!$A$3,"SUB TYPE","Sheep")),"PROXY",IF(GETPIVOTDATA(IF($J297=1,"Count of ACTIVE     GHGE, FARM GATE (kg CO2e/kg)","Count of GHGE, processor gate (kg CO2e/kg)"),'Pivot Table_GHG'!$A$3,"SUB TYPE","Sheep")=0,"PROXY","DB value"))</f>
        <v>DB value</v>
      </c>
      <c r="Q297" s="141">
        <f ca="1">IF($P297="PROXY",DCOUNT('literature entries'!$D:$AI,IF($J297=1,"ACTIVE     GHGE, FARM GATE (kg CO2e/kg)","GHGE, processor gate (kg CO2e/kg)"),INDIRECT($K297)),GETPIVOTDATA(IF($J297=1,"ACTIVE     GHGE, FARM GATE (kg CO2e/kg)","Count of GHGE, processor gate (kg CO2e/kg)"),'Pivot Table_GHG'!$A$3,"SUB TYPE","Sheep"))</f>
        <v>25</v>
      </c>
      <c r="R297" s="221">
        <f ca="1">IF($P297="PROXY",DAVERAGE('literature entries'!$D:$AI,IF($J297=1,"ACTIVE     GHGE, FARM GATE (kg CO2e/kg)","GHGE, processor gate (kg CO2e/kg)"),INDIRECT($K297)),GETPIVOTDATA(IF($J297=1,"Average of ACTIVE     GHGE, FARM GATE (kg CO2e/kg)","Average of GHGE, processor gate (kg CO2e/kg)"),'Pivot Table_GHG'!$A$3,"SUB TYPE","Sheep"))</f>
        <v>34.745269501950553</v>
      </c>
      <c r="S297" s="221">
        <f ca="1">IF($P297="PROXY",DSTDEV('literature entries'!$D:$AI,IF($J297=1,"ACTIVE     GHGE, FARM GATE (kg CO2e/kg)","GHGE, processor gate (kg CO2e/kg)"),INDIRECT($K297)),GETPIVOTDATA(IF($J297=1,"StdDev of ACTIVE     GHGE, FARM GATE (kg CO2e/kg)","StdDev of GHGE, processor gate (kg CO2e/kg)"),'Pivot Table_GHG'!$A$3,"SUB TYPE","Sheep"))</f>
        <v>30.511572332540641</v>
      </c>
      <c r="T297" s="101"/>
      <c r="U297" s="102"/>
      <c r="W297" s="248" t="str">
        <f t="shared" ca="1" si="39"/>
        <v>DIRECT</v>
      </c>
      <c r="X297" s="246">
        <f ca="1">IF($W297="DIRECT",M297,DCOUNT('literature entries'!$D:$AI,IF($J297=1,"ACTIVE     CED, FARM GATE (MJ/kg)","CED, processor gate (MJ/kg)"),INDIRECT($W297)))</f>
        <v>6</v>
      </c>
      <c r="Y297" s="246" t="str">
        <f ca="1">IF($W297="DIRECT","",DAVERAGE('literature entries'!$D:$AI,IF($J297=1,"ACTIVE     CED, FARM GATE (MJ/kg)","CED, processor gate (MJ/kg)"),INDIRECT($W297)))</f>
        <v/>
      </c>
      <c r="Z297" s="246">
        <f ca="1">IF($W297="DIRECT",$O297,DSTDEV('literature entries'!$D:$AI,IF($J297=1,"ACTIVE     CED, FARM GATE (MJ/kg)","CED, processor gate (MJ/kg)"),INDIRECT($W297)))</f>
        <v>20.560479404527239</v>
      </c>
      <c r="AA297" s="246">
        <f t="shared" ca="1" si="36"/>
        <v>20.560479404527239</v>
      </c>
      <c r="AB297" s="254" t="str">
        <f t="shared" ca="1" si="40"/>
        <v>DIRECT</v>
      </c>
      <c r="AC297" s="247">
        <f ca="1">IF($AB297="DIRECT",Q297,DCOUNT('literature entries'!$D:$AI,IF($J297=1,"ACTIVE     GHGE, FARM GATE (kg CO2e/kg)","GHGE, processor gate (kg CO2e/kg)"),INDIRECT($AB297)))</f>
        <v>25</v>
      </c>
      <c r="AD297" s="247" t="str">
        <f ca="1">IF($AB297="DIRECT","",DAVERAGE('literature entries'!$D:$AI,IF($J297=1,"ACTIVE     GHGE, FARM GATE (kg CO2e/kg)","GHGE, processor gate (kg CO2e/kg)"),INDIRECT($AB297)))</f>
        <v/>
      </c>
      <c r="AE297" s="247">
        <f ca="1">IF($AB297="DIRECT",$S297,DSTDEV('literature entries'!$D:$AI,IF($J297=1,"ACTIVE     GHGE, FARM GATE (kg CO2e/kg)","GHGE, processor gate (kg CO2e/kg)"),INDIRECT($AB297)))</f>
        <v>30.511572332540641</v>
      </c>
      <c r="AF297" s="247">
        <f t="shared" ca="1" si="37"/>
        <v>30.511572332540641</v>
      </c>
    </row>
    <row r="298" spans="1:32" s="21" customFormat="1" ht="17" thickBot="1" x14ac:dyDescent="0.25">
      <c r="A298" s="129">
        <v>3500343000</v>
      </c>
      <c r="B298" s="130" t="s">
        <v>2258</v>
      </c>
      <c r="C298" s="131" t="s">
        <v>2212</v>
      </c>
      <c r="D298" s="131"/>
      <c r="E298" s="131">
        <v>16</v>
      </c>
      <c r="F298" s="126">
        <f t="shared" ca="1" si="34"/>
        <v>33.613424518743663</v>
      </c>
      <c r="G298" s="127">
        <f t="shared" ca="1" si="35"/>
        <v>34.745269501950553</v>
      </c>
      <c r="H298" s="132">
        <v>1</v>
      </c>
      <c r="I298" s="133" t="s">
        <v>594</v>
      </c>
      <c r="J298" s="91">
        <v>1</v>
      </c>
      <c r="K298" s="216"/>
      <c r="L298" s="152" t="str">
        <f>IF(ISERROR(GETPIVOTDATA(IF($J298=1,"Count of ACTIVE     CED, FARM GATE (MJ/kg)","Count of CED, processor gate (MJ/kg)"),'Pivot Table_CED'!$A$3,"SUB TYPE","Sheep")),"PROXY",IF(GETPIVOTDATA(IF($J298=1,"Count of ACTIVE     CED, FARM GATE (MJ/kg)","Count of CED, processor gate (MJ/kg)"),'Pivot Table_CED'!$A$3,"SUB TYPE","Sheep")=0,"PROXY","DB value"))</f>
        <v>DB value</v>
      </c>
      <c r="M298" s="134">
        <f ca="1">IF($L298="PROXY",DCOUNT('literature entries'!$D:$AI,IF($J298=1,"ACTIVE     CED, FARM GATE (MJ/kg)","CED, processor gate (MJ/kg)"),INDIRECT($K298)),GETPIVOTDATA(IF($J298=1,"Count of ACTIVE     CED, FARM GATE (MJ/kg)","Count of CED, processor gate (MJ/kg)"),'Pivot Table_CED'!$A$3,"SUB TYPE","Sheep"))</f>
        <v>6</v>
      </c>
      <c r="N298" s="135">
        <f ca="1">IF($L298="PROXY",DAVERAGE('literature entries'!$D:$AI,IF($J298=1,"ACTIVE     CED, FARM GATE (MJ/kg)","CED, processor gate (MJ/kg)"),INDIRECT($K298)),GETPIVOTDATA(IF($J298=1,"Average of ACTIVE     CED, FARM GATE (MJ/kg)","Average of CED, processor gate (MJ/kg)"),'Pivot Table_CED'!$A$3,"SUB TYPE","Sheep"))</f>
        <v>33.613424518743663</v>
      </c>
      <c r="O298" s="135">
        <f ca="1">IF($L298="PROXY",DSTDEV('literature entries'!D:AI,IF($J298=1,"ACTIVE     CED, FARM GATE (MJ/kg)","CED, processor gate (MJ/kg)"),INDIRECT($K298)),GETPIVOTDATA(IF($J298=1,"StdDev of ACTIVE     CED, FARM GATE (MJ/kg)","StdDev of CED, processor gate (MJ/kg)"),'Pivot Table_CED'!$A$3,"SUB TYPE","Sheep"))</f>
        <v>20.560479404527239</v>
      </c>
      <c r="P298" s="152" t="str">
        <f>IF(ISERROR(GETPIVOTDATA(IF($J298=1,"Count of ACTIVE     GHGE, FARM GATE (kg CO2e/kg)","Count of GHGE, processor gate (kg CO2e/kg)"),'Pivot Table_GHG'!$A$3,"SUB TYPE","Sheep")),"PROXY",IF(GETPIVOTDATA(IF($J298=1,"Count of ACTIVE     GHGE, FARM GATE (kg CO2e/kg)","Count of GHGE, processor gate (kg CO2e/kg)"),'Pivot Table_GHG'!$A$3,"SUB TYPE","Sheep")=0,"PROXY","DB value"))</f>
        <v>DB value</v>
      </c>
      <c r="Q298" s="141">
        <f ca="1">IF($P298="PROXY",DCOUNT('literature entries'!$D:$AI,IF($J298=1,"ACTIVE     GHGE, FARM GATE (kg CO2e/kg)","GHGE, processor gate (kg CO2e/kg)"),INDIRECT($K298)),GETPIVOTDATA(IF($J298=1,"ACTIVE     GHGE, FARM GATE (kg CO2e/kg)","Count of GHGE, processor gate (kg CO2e/kg)"),'Pivot Table_GHG'!$A$3,"SUB TYPE","Sheep"))</f>
        <v>25</v>
      </c>
      <c r="R298" s="221">
        <f ca="1">IF($P298="PROXY",DAVERAGE('literature entries'!$D:$AI,IF($J298=1,"ACTIVE     GHGE, FARM GATE (kg CO2e/kg)","GHGE, processor gate (kg CO2e/kg)"),INDIRECT($K298)),GETPIVOTDATA(IF($J298=1,"Average of ACTIVE     GHGE, FARM GATE (kg CO2e/kg)","Average of GHGE, processor gate (kg CO2e/kg)"),'Pivot Table_GHG'!$A$3,"SUB TYPE","Sheep"))</f>
        <v>34.745269501950553</v>
      </c>
      <c r="S298" s="221">
        <f ca="1">IF($P298="PROXY",DSTDEV('literature entries'!$D:$AI,IF($J298=1,"ACTIVE     GHGE, FARM GATE (kg CO2e/kg)","GHGE, processor gate (kg CO2e/kg)"),INDIRECT($K298)),GETPIVOTDATA(IF($J298=1,"StdDev of ACTIVE     GHGE, FARM GATE (kg CO2e/kg)","StdDev of GHGE, processor gate (kg CO2e/kg)"),'Pivot Table_GHG'!$A$3,"SUB TYPE","Sheep"))</f>
        <v>30.511572332540641</v>
      </c>
      <c r="T298" s="101"/>
      <c r="U298" s="102"/>
      <c r="W298" s="248" t="str">
        <f t="shared" ca="1" si="39"/>
        <v>DIRECT</v>
      </c>
      <c r="X298" s="246">
        <f ca="1">IF($W298="DIRECT",M298,DCOUNT('literature entries'!$D:$AI,IF($J298=1,"ACTIVE     CED, FARM GATE (MJ/kg)","CED, processor gate (MJ/kg)"),INDIRECT($W298)))</f>
        <v>6</v>
      </c>
      <c r="Y298" s="246" t="str">
        <f ca="1">IF($W298="DIRECT","",DAVERAGE('literature entries'!$D:$AI,IF($J298=1,"ACTIVE     CED, FARM GATE (MJ/kg)","CED, processor gate (MJ/kg)"),INDIRECT($W298)))</f>
        <v/>
      </c>
      <c r="Z298" s="246">
        <f ca="1">IF($W298="DIRECT",$O298,DSTDEV('literature entries'!$D:$AI,IF($J298=1,"ACTIVE     CED, FARM GATE (MJ/kg)","CED, processor gate (MJ/kg)"),INDIRECT($W298)))</f>
        <v>20.560479404527239</v>
      </c>
      <c r="AA298" s="246">
        <f t="shared" ca="1" si="36"/>
        <v>20.560479404527239</v>
      </c>
      <c r="AB298" s="254" t="str">
        <f t="shared" ca="1" si="40"/>
        <v>DIRECT</v>
      </c>
      <c r="AC298" s="247">
        <f ca="1">IF($AB298="DIRECT",Q298,DCOUNT('literature entries'!$D:$AI,IF($J298=1,"ACTIVE     GHGE, FARM GATE (kg CO2e/kg)","GHGE, processor gate (kg CO2e/kg)"),INDIRECT($AB298)))</f>
        <v>25</v>
      </c>
      <c r="AD298" s="247" t="str">
        <f ca="1">IF($AB298="DIRECT","",DAVERAGE('literature entries'!$D:$AI,IF($J298=1,"ACTIVE     GHGE, FARM GATE (kg CO2e/kg)","GHGE, processor gate (kg CO2e/kg)"),INDIRECT($AB298)))</f>
        <v/>
      </c>
      <c r="AE298" s="247">
        <f ca="1">IF($AB298="DIRECT",$S298,DSTDEV('literature entries'!$D:$AI,IF($J298=1,"ACTIVE     GHGE, FARM GATE (kg CO2e/kg)","GHGE, processor gate (kg CO2e/kg)"),INDIRECT($AB298)))</f>
        <v>30.511572332540641</v>
      </c>
      <c r="AF298" s="247">
        <f t="shared" ca="1" si="37"/>
        <v>30.511572332540641</v>
      </c>
    </row>
    <row r="299" spans="1:32" s="21" customFormat="1" ht="17" thickBot="1" x14ac:dyDescent="0.25">
      <c r="A299" s="129">
        <v>3600222000</v>
      </c>
      <c r="B299" s="130" t="s">
        <v>2076</v>
      </c>
      <c r="C299" s="131" t="s">
        <v>2077</v>
      </c>
      <c r="D299" s="131"/>
      <c r="E299" s="131">
        <v>50583</v>
      </c>
      <c r="F299" s="126">
        <f t="shared" ca="1" si="34"/>
        <v>59.355710095753537</v>
      </c>
      <c r="G299" s="127">
        <f t="shared" ca="1" si="35"/>
        <v>11.018406266382952</v>
      </c>
      <c r="H299" s="132">
        <f>1/0.1201</f>
        <v>8.3263946711074102</v>
      </c>
      <c r="I299" s="133" t="s">
        <v>594</v>
      </c>
      <c r="J299" s="96">
        <v>2</v>
      </c>
      <c r="K299" s="216"/>
      <c r="L299" s="152" t="str">
        <f>IF(ISERROR(GETPIVOTDATA(IF($J299=1,"Count of ACTIVE     CED, FARM GATE (MJ/kg)","Count of CED, processor gate (MJ/kg)"),'Pivot Table_CED'!$A$3,"SUB TYPE","Fluid Milk, Cow")),"PROXY",IF(GETPIVOTDATA(IF($J299=1,"Count of ACTIVE     CED, FARM GATE (MJ/kg)","Count of CED, processor gate (MJ/kg)"),'Pivot Table_CED'!$A$3,"SUB TYPE","Fluid Milk, Cow")=0,"PROXY","DB value"))</f>
        <v>DB value</v>
      </c>
      <c r="M299" s="134">
        <f ca="1">IF($L299="PROXY",DCOUNT('literature entries'!$D:$AI,IF($J299=1,"ACTIVE     CED, FARM GATE (MJ/kg)","CED, processor gate (MJ/kg)"),INDIRECT($K299)),GETPIVOTDATA(IF($J299=1,"Count of ACTIVE     CED, FARM GATE (MJ/kg)","Count of CED, processor gate (MJ/kg)"),'Pivot Table_CED'!$A$3,"SUB TYPE","Fluid Milk, Cow"))</f>
        <v>4</v>
      </c>
      <c r="N299" s="135">
        <f ca="1">IF($L299="PROXY",DAVERAGE('literature entries'!$D:$AI,IF($J299=1,"ACTIVE     CED, FARM GATE (MJ/kg)","CED, processor gate (MJ/kg)"),INDIRECT($K299)),GETPIVOTDATA(IF($J299=1,"Average of ACTIVE     CED, FARM GATE (MJ/kg)","Average of CED, processor gate (MJ/kg)"),'Pivot Table_CED'!$A$3,"SUB TYPE","Fluid Milk, Cow"))</f>
        <v>7.1286207824999996</v>
      </c>
      <c r="O299" s="135">
        <f ca="1">IF($L299="PROXY",DSTDEV('literature entries'!D:AI,IF($J299=1,"ACTIVE     CED, FARM GATE (MJ/kg)","CED, processor gate (MJ/kg)"),INDIRECT($K299)),GETPIVOTDATA(IF($J299=1,"StdDev of ACTIVE     CED, FARM GATE (MJ/kg)","StdDev of CED, processor gate (MJ/kg)"),'Pivot Table_CED'!$A$3,"SUB TYPE","Fluid Milk, Cow"))</f>
        <v>3.4350520731026917</v>
      </c>
      <c r="P299" s="152" t="str">
        <f>IF(ISERROR(GETPIVOTDATA(IF($J299=1,"Count of ACTIVE     GHGE, FARM GATE (kg CO2e/kg)","Count of GHGE, processor gate (kg CO2e/kg)"),'Pivot Table_GHG'!$A$3,"SUB TYPE","Fluid Milk, Cow")),"PROXY",IF(GETPIVOTDATA(IF($J299=1,"Count of ACTIVE     GHGE, FARM GATE (kg CO2e/kg)","Count of GHGE, processor gate (kg CO2e/kg)"),'Pivot Table_GHG'!$A$3,"SUB TYPE","Fluid Milk, Cow")=0,"PROXY","DB value"))</f>
        <v>DB value</v>
      </c>
      <c r="Q299" s="141">
        <f ca="1">IF($P299="PROXY",DCOUNT('literature entries'!$D:$AI,IF($J299=1,"ACTIVE     GHGE, FARM GATE (kg CO2e/kg)","GHGE, processor gate (kg CO2e/kg)"),INDIRECT($K299)),GETPIVOTDATA(IF($J299=1,"ACTIVE     GHGE, FARM GATE (kg CO2e/kg)","Count of GHGE, processor gate (kg CO2e/kg)"),'Pivot Table_GHG'!$A$3,"SUB TYPE","Fluid Milk, Cow"))</f>
        <v>9</v>
      </c>
      <c r="R299" s="221">
        <f ca="1">IF($P299="PROXY",DAVERAGE('literature entries'!$D:$AI,IF($J299=1,"ACTIVE     GHGE, FARM GATE (kg CO2e/kg)","GHGE, processor gate (kg CO2e/kg)"),INDIRECT($K299)),GETPIVOTDATA(IF($J299=1,"Average of ACTIVE     GHGE, FARM GATE (kg CO2e/kg)","Average of GHGE, processor gate (kg CO2e/kg)"),'Pivot Table_GHG'!$A$3,"SUB TYPE","Fluid Milk, Cow"))</f>
        <v>1.3233105925925925</v>
      </c>
      <c r="S299" s="221">
        <f ca="1">IF($P299="PROXY",DSTDEV('literature entries'!$D:$AI,IF($J299=1,"ACTIVE     GHGE, FARM GATE (kg CO2e/kg)","GHGE, processor gate (kg CO2e/kg)"),INDIRECT($K299)),GETPIVOTDATA(IF($J299=1,"StdDev of ACTIVE     GHGE, FARM GATE (kg CO2e/kg)","StdDev of GHGE, processor gate (kg CO2e/kg)"),'Pivot Table_GHG'!$A$3,"SUB TYPE","Fluid Milk, Cow"))</f>
        <v>0.32820469451153628</v>
      </c>
      <c r="T299" s="101"/>
      <c r="U299" s="102"/>
      <c r="W299" s="258" t="s">
        <v>3369</v>
      </c>
      <c r="X299" s="246">
        <f ca="1">IF($W299="DIRECT",M299,DCOUNT('literature entries'!$D:$AI,"ACTIVE     CED, FARM GATE (MJ/kg)",INDIRECT($W299)))</f>
        <v>41</v>
      </c>
      <c r="Y299" s="246">
        <f ca="1">IF($W299="DIRECT","",DAVERAGE('literature entries'!$D:$AI,IF($J299=1,"ACTIVE     CED, FARM GATE (MJ/kg)","CED, processor gate (MJ/kg)"),INDIRECT($W299)))</f>
        <v>7.1286207824999996</v>
      </c>
      <c r="Z299" s="246">
        <f ca="1">IF($W299="DIRECT",$O299,DSTDEV('literature entries'!$D:$AI,IF($J299=1,"ACTIVE     CED, FARM GATE (MJ/kg)","CED, processor gate (MJ/kg)"),INDIRECT($W299)))</f>
        <v>3.4350520731026917</v>
      </c>
      <c r="AA299" s="246">
        <f t="shared" ca="1" si="36"/>
        <v>3.4350520731026917</v>
      </c>
      <c r="AB299" s="254" t="str">
        <f t="shared" ca="1" si="40"/>
        <v>DIRECT</v>
      </c>
      <c r="AC299" s="247">
        <f ca="1">IF($AB299="DIRECT",Q299,DCOUNT('literature entries'!$D:$AI,IF($J299=1,"ACTIVE     GHGE, FARM GATE (kg CO2e/kg)","GHGE, processor gate (kg CO2e/kg)"),INDIRECT($AB299)))</f>
        <v>9</v>
      </c>
      <c r="AD299" s="247" t="str">
        <f ca="1">IF($AB299="DIRECT","",DAVERAGE('literature entries'!$D:$AI,IF($J299=1,"ACTIVE     GHGE, FARM GATE (kg CO2e/kg)","GHGE, processor gate (kg CO2e/kg)"),INDIRECT($AB299)))</f>
        <v/>
      </c>
      <c r="AE299" s="247">
        <f ca="1">IF($AB299="DIRECT",$S299,DSTDEV('literature entries'!$D:$AI,IF($J299=1,"ACTIVE     GHGE, FARM GATE (kg CO2e/kg)","GHGE, processor gate (kg CO2e/kg)"),INDIRECT($AB299)))</f>
        <v>0.32820469451153628</v>
      </c>
      <c r="AF299" s="247">
        <f t="shared" ca="1" si="37"/>
        <v>0.32820469451153628</v>
      </c>
    </row>
    <row r="300" spans="1:32" s="21" customFormat="1" ht="17" thickBot="1" x14ac:dyDescent="0.25">
      <c r="A300" s="129">
        <v>3600223000</v>
      </c>
      <c r="B300" s="130" t="s">
        <v>2078</v>
      </c>
      <c r="C300" s="131" t="s">
        <v>2079</v>
      </c>
      <c r="D300" s="131" t="s">
        <v>2080</v>
      </c>
      <c r="E300" s="131">
        <v>50712</v>
      </c>
      <c r="F300" s="126">
        <f t="shared" ca="1" si="34"/>
        <v>59.355710095753537</v>
      </c>
      <c r="G300" s="127">
        <f t="shared" ca="1" si="35"/>
        <v>11.018406266382952</v>
      </c>
      <c r="H300" s="132">
        <f>1/0.1201</f>
        <v>8.3263946711074102</v>
      </c>
      <c r="I300" s="133" t="s">
        <v>594</v>
      </c>
      <c r="J300" s="96">
        <v>2</v>
      </c>
      <c r="K300" s="216"/>
      <c r="L300" s="152" t="str">
        <f>IF(ISERROR(GETPIVOTDATA(IF($J300=1,"Count of ACTIVE     CED, FARM GATE (MJ/kg)","Count of CED, processor gate (MJ/kg)"),'Pivot Table_CED'!$A$3,"SUB TYPE","Fluid Milk, Cow")),"PROXY",IF(GETPIVOTDATA(IF($J300=1,"Count of ACTIVE     CED, FARM GATE (MJ/kg)","Count of CED, processor gate (MJ/kg)"),'Pivot Table_CED'!$A$3,"SUB TYPE","Fluid Milk, Cow")=0,"PROXY","DB value"))</f>
        <v>DB value</v>
      </c>
      <c r="M300" s="134">
        <f ca="1">IF($L300="PROXY",DCOUNT('literature entries'!$D:$AI,IF($J300=1,"ACTIVE     CED, FARM GATE (MJ/kg)","CED, processor gate (MJ/kg)"),INDIRECT($K300)),GETPIVOTDATA(IF($J300=1,"Count of ACTIVE     CED, FARM GATE (MJ/kg)","Count of CED, processor gate (MJ/kg)"),'Pivot Table_CED'!$A$3,"SUB TYPE","Fluid Milk, Cow"))</f>
        <v>4</v>
      </c>
      <c r="N300" s="135">
        <f ca="1">IF($L300="PROXY",DAVERAGE('literature entries'!$D:$AI,IF($J300=1,"ACTIVE     CED, FARM GATE (MJ/kg)","CED, processor gate (MJ/kg)"),INDIRECT($K300)),GETPIVOTDATA(IF($J300=1,"Average of ACTIVE     CED, FARM GATE (MJ/kg)","Average of CED, processor gate (MJ/kg)"),'Pivot Table_CED'!$A$3,"SUB TYPE","Fluid Milk, Cow"))</f>
        <v>7.1286207824999996</v>
      </c>
      <c r="O300" s="135">
        <f ca="1">IF($L300="PROXY",DSTDEV('literature entries'!D:AI,IF($J300=1,"ACTIVE     CED, FARM GATE (MJ/kg)","CED, processor gate (MJ/kg)"),INDIRECT($K300)),GETPIVOTDATA(IF($J300=1,"StdDev of ACTIVE     CED, FARM GATE (MJ/kg)","StdDev of CED, processor gate (MJ/kg)"),'Pivot Table_CED'!$A$3,"SUB TYPE","Fluid Milk, Cow"))</f>
        <v>3.4350520731026917</v>
      </c>
      <c r="P300" s="152" t="str">
        <f>IF(ISERROR(GETPIVOTDATA(IF($J300=1,"Count of ACTIVE     GHGE, FARM GATE (kg CO2e/kg)","Count of GHGE, processor gate (kg CO2e/kg)"),'Pivot Table_GHG'!$A$3,"SUB TYPE","Fluid Milk, Cow")),"PROXY",IF(GETPIVOTDATA(IF($J300=1,"Count of ACTIVE     GHGE, FARM GATE (kg CO2e/kg)","Count of GHGE, processor gate (kg CO2e/kg)"),'Pivot Table_GHG'!$A$3,"SUB TYPE","Fluid Milk, Cow")=0,"PROXY","DB value"))</f>
        <v>DB value</v>
      </c>
      <c r="Q300" s="141">
        <f ca="1">IF($P300="PROXY",DCOUNT('literature entries'!$D:$AI,IF($J300=1,"ACTIVE     GHGE, FARM GATE (kg CO2e/kg)","GHGE, processor gate (kg CO2e/kg)"),INDIRECT($K300)),GETPIVOTDATA(IF($J300=1,"ACTIVE     GHGE, FARM GATE (kg CO2e/kg)","Count of GHGE, processor gate (kg CO2e/kg)"),'Pivot Table_GHG'!$A$3,"SUB TYPE","Fluid Milk, Cow"))</f>
        <v>9</v>
      </c>
      <c r="R300" s="221">
        <f ca="1">IF($P300="PROXY",DAVERAGE('literature entries'!$D:$AI,IF($J300=1,"ACTIVE     GHGE, FARM GATE (kg CO2e/kg)","GHGE, processor gate (kg CO2e/kg)"),INDIRECT($K300)),GETPIVOTDATA(IF($J300=1,"Average of ACTIVE     GHGE, FARM GATE (kg CO2e/kg)","Average of GHGE, processor gate (kg CO2e/kg)"),'Pivot Table_GHG'!$A$3,"SUB TYPE","Fluid Milk, Cow"))</f>
        <v>1.3233105925925925</v>
      </c>
      <c r="S300" s="221">
        <f ca="1">IF($P300="PROXY",DSTDEV('literature entries'!$D:$AI,IF($J300=1,"ACTIVE     GHGE, FARM GATE (kg CO2e/kg)","GHGE, processor gate (kg CO2e/kg)"),INDIRECT($K300)),GETPIVOTDATA(IF($J300=1,"StdDev of ACTIVE     GHGE, FARM GATE (kg CO2e/kg)","StdDev of GHGE, processor gate (kg CO2e/kg)"),'Pivot Table_GHG'!$A$3,"SUB TYPE","Fluid Milk, Cow"))</f>
        <v>0.32820469451153628</v>
      </c>
      <c r="T300" s="101"/>
      <c r="U300" s="102"/>
      <c r="W300" s="258" t="s">
        <v>3369</v>
      </c>
      <c r="X300" s="246">
        <f ca="1">IF($W300="DIRECT",M300,DCOUNT('literature entries'!$D:$AI,"ACTIVE     CED, FARM GATE (MJ/kg)",INDIRECT($W300)))</f>
        <v>41</v>
      </c>
      <c r="Y300" s="246">
        <f ca="1">IF($W300="DIRECT","",DAVERAGE('literature entries'!$D:$AI,IF($J300=1,"ACTIVE     CED, FARM GATE (MJ/kg)","CED, processor gate (MJ/kg)"),INDIRECT($W300)))</f>
        <v>7.1286207824999996</v>
      </c>
      <c r="Z300" s="246">
        <f ca="1">IF($W300="DIRECT",$O300,DSTDEV('literature entries'!$D:$AI,IF($J300=1,"ACTIVE     CED, FARM GATE (MJ/kg)","CED, processor gate (MJ/kg)"),INDIRECT($W300)))</f>
        <v>3.4350520731026917</v>
      </c>
      <c r="AA300" s="246">
        <f t="shared" ca="1" si="36"/>
        <v>3.4350520731026917</v>
      </c>
      <c r="AB300" s="254" t="str">
        <f t="shared" ca="1" si="40"/>
        <v>DIRECT</v>
      </c>
      <c r="AC300" s="247">
        <f ca="1">IF($AB300="DIRECT",Q300,DCOUNT('literature entries'!$D:$AI,IF($J300=1,"ACTIVE     GHGE, FARM GATE (kg CO2e/kg)","GHGE, processor gate (kg CO2e/kg)"),INDIRECT($AB300)))</f>
        <v>9</v>
      </c>
      <c r="AD300" s="247" t="str">
        <f ca="1">IF($AB300="DIRECT","",DAVERAGE('literature entries'!$D:$AI,IF($J300=1,"ACTIVE     GHGE, FARM GATE (kg CO2e/kg)","GHGE, processor gate (kg CO2e/kg)"),INDIRECT($AB300)))</f>
        <v/>
      </c>
      <c r="AE300" s="247">
        <f ca="1">IF($AB300="DIRECT",$S300,DSTDEV('literature entries'!$D:$AI,IF($J300=1,"ACTIVE     GHGE, FARM GATE (kg CO2e/kg)","GHGE, processor gate (kg CO2e/kg)"),INDIRECT($AB300)))</f>
        <v>0.32820469451153628</v>
      </c>
      <c r="AF300" s="247">
        <f t="shared" ca="1" si="37"/>
        <v>0.32820469451153628</v>
      </c>
    </row>
    <row r="301" spans="1:32" s="21" customFormat="1" ht="17" thickBot="1" x14ac:dyDescent="0.25">
      <c r="A301" s="129">
        <v>3600224000</v>
      </c>
      <c r="B301" s="130" t="s">
        <v>2081</v>
      </c>
      <c r="C301" s="131" t="s">
        <v>2082</v>
      </c>
      <c r="D301" s="131"/>
      <c r="E301" s="131">
        <v>50581</v>
      </c>
      <c r="F301" s="126">
        <f t="shared" ca="1" si="34"/>
        <v>0</v>
      </c>
      <c r="G301" s="127">
        <f t="shared" ca="1" si="35"/>
        <v>0</v>
      </c>
      <c r="H301" s="132">
        <v>0</v>
      </c>
      <c r="I301" s="133" t="s">
        <v>594</v>
      </c>
      <c r="J301" s="96">
        <v>2</v>
      </c>
      <c r="K301" s="216"/>
      <c r="L301" s="152" t="str">
        <f>IF(ISERROR(GETPIVOTDATA(IF($J301=1,"Count of ACTIVE     CED, FARM GATE (MJ/kg)","Count of CED, processor gate (MJ/kg)"),'Pivot Table_CED'!$A$3,"SUB TYPE","Fluid Milk, Cow")),"PROXY",IF(GETPIVOTDATA(IF($J301=1,"Count of ACTIVE     CED, FARM GATE (MJ/kg)","Count of CED, processor gate (MJ/kg)"),'Pivot Table_CED'!$A$3,"SUB TYPE","Fluid Milk, Cow")=0,"PROXY","DB value"))</f>
        <v>DB value</v>
      </c>
      <c r="M301" s="134">
        <f ca="1">IF($L301="PROXY",DCOUNT('literature entries'!$D:$AI,IF($J301=1,"ACTIVE     CED, FARM GATE (MJ/kg)","CED, processor gate (MJ/kg)"),INDIRECT($K301)),GETPIVOTDATA(IF($J301=1,"Count of ACTIVE     CED, FARM GATE (MJ/kg)","Count of CED, processor gate (MJ/kg)"),'Pivot Table_CED'!$A$3,"SUB TYPE","Fluid Milk, Cow"))</f>
        <v>4</v>
      </c>
      <c r="N301" s="135">
        <f ca="1">IF($L301="PROXY",DAVERAGE('literature entries'!$D:$AI,IF($J301=1,"ACTIVE     CED, FARM GATE (MJ/kg)","CED, processor gate (MJ/kg)"),INDIRECT($K301)),GETPIVOTDATA(IF($J301=1,"Average of ACTIVE     CED, FARM GATE (MJ/kg)","Average of CED, processor gate (MJ/kg)"),'Pivot Table_CED'!$A$3,"SUB TYPE","Fluid Milk, Cow"))</f>
        <v>7.1286207824999996</v>
      </c>
      <c r="O301" s="135">
        <f ca="1">IF($L301="PROXY",DSTDEV('literature entries'!D:AI,IF($J301=1,"ACTIVE     CED, FARM GATE (MJ/kg)","CED, processor gate (MJ/kg)"),INDIRECT($K301)),GETPIVOTDATA(IF($J301=1,"StdDev of ACTIVE     CED, FARM GATE (MJ/kg)","StdDev of CED, processor gate (MJ/kg)"),'Pivot Table_CED'!$A$3,"SUB TYPE","Fluid Milk, Cow"))</f>
        <v>3.4350520731026917</v>
      </c>
      <c r="P301" s="152" t="str">
        <f>IF(ISERROR(GETPIVOTDATA(IF($J301=1,"Count of ACTIVE     GHGE, FARM GATE (kg CO2e/kg)","Count of GHGE, processor gate (kg CO2e/kg)"),'Pivot Table_GHG'!$A$3,"SUB TYPE","Fluid Milk, Cow")),"PROXY",IF(GETPIVOTDATA(IF($J301=1,"Count of ACTIVE     GHGE, FARM GATE (kg CO2e/kg)","Count of GHGE, processor gate (kg CO2e/kg)"),'Pivot Table_GHG'!$A$3,"SUB TYPE","Fluid Milk, Cow")=0,"PROXY","DB value"))</f>
        <v>DB value</v>
      </c>
      <c r="Q301" s="141">
        <f ca="1">IF($P301="PROXY",DCOUNT('literature entries'!$D:$AI,IF($J301=1,"ACTIVE     GHGE, FARM GATE (kg CO2e/kg)","GHGE, processor gate (kg CO2e/kg)"),INDIRECT($K301)),GETPIVOTDATA(IF($J301=1,"ACTIVE     GHGE, FARM GATE (kg CO2e/kg)","Count of GHGE, processor gate (kg CO2e/kg)"),'Pivot Table_GHG'!$A$3,"SUB TYPE","Fluid Milk, Cow"))</f>
        <v>9</v>
      </c>
      <c r="R301" s="221">
        <f ca="1">IF($P301="PROXY",DAVERAGE('literature entries'!$D:$AI,IF($J301=1,"ACTIVE     GHGE, FARM GATE (kg CO2e/kg)","GHGE, processor gate (kg CO2e/kg)"),INDIRECT($K301)),GETPIVOTDATA(IF($J301=1,"Average of ACTIVE     GHGE, FARM GATE (kg CO2e/kg)","Average of GHGE, processor gate (kg CO2e/kg)"),'Pivot Table_GHG'!$A$3,"SUB TYPE","Fluid Milk, Cow"))</f>
        <v>1.3233105925925925</v>
      </c>
      <c r="S301" s="221">
        <f ca="1">IF($P301="PROXY",DSTDEV('literature entries'!$D:$AI,IF($J301=1,"ACTIVE     GHGE, FARM GATE (kg CO2e/kg)","GHGE, processor gate (kg CO2e/kg)"),INDIRECT($K301)),GETPIVOTDATA(IF($J301=1,"StdDev of ACTIVE     GHGE, FARM GATE (kg CO2e/kg)","StdDev of GHGE, processor gate (kg CO2e/kg)"),'Pivot Table_GHG'!$A$3,"SUB TYPE","Fluid Milk, Cow"))</f>
        <v>0.32820469451153628</v>
      </c>
      <c r="T301" s="101"/>
      <c r="U301" s="102"/>
      <c r="W301" s="258" t="s">
        <v>3369</v>
      </c>
      <c r="X301" s="246">
        <f ca="1">IF($W301="DIRECT",M301,DCOUNT('literature entries'!$D:$AI,"ACTIVE     CED, FARM GATE (MJ/kg)",INDIRECT($W301)))</f>
        <v>41</v>
      </c>
      <c r="Y301" s="246">
        <f ca="1">IF($W301="DIRECT","",DAVERAGE('literature entries'!$D:$AI,IF($J301=1,"ACTIVE     CED, FARM GATE (MJ/kg)","CED, processor gate (MJ/kg)"),INDIRECT($W301)))</f>
        <v>7.1286207824999996</v>
      </c>
      <c r="Z301" s="246">
        <f ca="1">IF($W301="DIRECT",$O301,DSTDEV('literature entries'!$D:$AI,IF($J301=1,"ACTIVE     CED, FARM GATE (MJ/kg)","CED, processor gate (MJ/kg)"),INDIRECT($W301)))</f>
        <v>3.4350520731026917</v>
      </c>
      <c r="AA301" s="246">
        <f t="shared" ca="1" si="36"/>
        <v>3.4350520731026917</v>
      </c>
      <c r="AB301" s="254" t="str">
        <f t="shared" ca="1" si="40"/>
        <v>DIRECT</v>
      </c>
      <c r="AC301" s="247">
        <f ca="1">IF($AB301="DIRECT",Q301,DCOUNT('literature entries'!$D:$AI,IF($J301=1,"ACTIVE     GHGE, FARM GATE (kg CO2e/kg)","GHGE, processor gate (kg CO2e/kg)"),INDIRECT($AB301)))</f>
        <v>9</v>
      </c>
      <c r="AD301" s="247" t="str">
        <f ca="1">IF($AB301="DIRECT","",DAVERAGE('literature entries'!$D:$AI,IF($J301=1,"ACTIVE     GHGE, FARM GATE (kg CO2e/kg)","GHGE, processor gate (kg CO2e/kg)"),INDIRECT($AB301)))</f>
        <v/>
      </c>
      <c r="AE301" s="247">
        <f ca="1">IF($AB301="DIRECT",$S301,DSTDEV('literature entries'!$D:$AI,IF($J301=1,"ACTIVE     GHGE, FARM GATE (kg CO2e/kg)","GHGE, processor gate (kg CO2e/kg)"),INDIRECT($AB301)))</f>
        <v>0.32820469451153628</v>
      </c>
      <c r="AF301" s="247">
        <f t="shared" ca="1" si="37"/>
        <v>0.32820469451153628</v>
      </c>
    </row>
    <row r="302" spans="1:32" s="21" customFormat="1" ht="17" thickBot="1" x14ac:dyDescent="0.25">
      <c r="A302" s="129">
        <v>3800221000</v>
      </c>
      <c r="B302" s="130" t="s">
        <v>2073</v>
      </c>
      <c r="C302" s="131" t="s">
        <v>2074</v>
      </c>
      <c r="D302" s="131" t="s">
        <v>2075</v>
      </c>
      <c r="E302" s="131">
        <v>161</v>
      </c>
      <c r="F302" s="126">
        <f t="shared" ca="1" si="34"/>
        <v>8.5</v>
      </c>
      <c r="G302" s="127">
        <f t="shared" ca="1" si="35"/>
        <v>0.84</v>
      </c>
      <c r="H302" s="132">
        <v>1</v>
      </c>
      <c r="I302" s="133" t="s">
        <v>594</v>
      </c>
      <c r="J302" s="91">
        <v>2</v>
      </c>
      <c r="K302" s="90"/>
      <c r="L302" s="152" t="str">
        <f>IF(ISERROR(GETPIVOTDATA(IF($J302=1,"Count of ACTIVE     CED, FARM GATE (MJ/kg)","Count of CED, processor gate (MJ/kg)"),'Pivot Table_CED'!$A$3,"SUB TYPE",$B302)),"PROXY",IF(GETPIVOTDATA(IF($J302=1,"Count of ACTIVE     CED, FARM GATE (MJ/kg)","Count of CED, processor gate (MJ/kg)"),'Pivot Table_CED'!$A$3,"SUB TYPE",$B302)=0,"PROXY","DB value"))</f>
        <v>DB value</v>
      </c>
      <c r="M302" s="134">
        <f ca="1">IF($L302="PROXY",DCOUNT('literature entries'!$D:$AI,IF($J302=1,"ACTIVE     CED, FARM GATE (MJ/kg)","CED, processor gate (MJ/kg)"),INDIRECT($K302)),GETPIVOTDATA(IF($J302=1,"Count of ACTIVE     CED, FARM GATE (MJ/kg)","Count of CED, processor gate (MJ/kg)"),'Pivot Table_CED'!$A$3,"SUB TYPE",$B302))</f>
        <v>1</v>
      </c>
      <c r="N302" s="135">
        <f ca="1">IF($L302="PROXY",DAVERAGE('literature entries'!$D:$AI,IF($J302=1,"ACTIVE     CED, FARM GATE (MJ/kg)","CED, processor gate (MJ/kg)"),INDIRECT($K302)),GETPIVOTDATA(IF($J302=1,"Average of ACTIVE     CED, FARM GATE (MJ/kg)","Average of CED, processor gate (MJ/kg)"),'Pivot Table_CED'!$A$3,"SUB TYPE",$B302))</f>
        <v>8.5</v>
      </c>
      <c r="O302" s="135">
        <f ca="1">IF($L302="PROXY",DSTDEV('literature entries'!D:AI,IF($J302=1,"ACTIVE     CED, FARM GATE (MJ/kg)","CED, processor gate (MJ/kg)"),INDIRECT($K302)),GETPIVOTDATA(IF($J302=1,"StdDev of ACTIVE     CED, FARM GATE (MJ/kg)","StdDev of CED, processor gate (MJ/kg)"),'Pivot Table_CED'!$A$3,"SUB TYPE",$B302))</f>
        <v>0</v>
      </c>
      <c r="P302" s="152" t="str">
        <f>IF(ISERROR(GETPIVOTDATA(IF($J302=1,"Count of ACTIVE     GHGE, FARM GATE (kg CO2e/kg)","Count of GHGE, processor gate (kg CO2e/kg)"),'Pivot Table_GHG'!$A$3,"SUB TYPE",$B302)),"PROXY",IF(GETPIVOTDATA(IF($J302=1,"Count of ACTIVE     GHGE, FARM GATE (kg CO2e/kg)","Count of GHGE, processor gate (kg CO2e/kg)"),'Pivot Table_GHG'!$A$3,"SUB TYPE",$B302)=0,"PROXY","DB value"))</f>
        <v>DB value</v>
      </c>
      <c r="Q302" s="141">
        <f ca="1">IF($P302="PROXY",DCOUNT('literature entries'!$D:$AI,IF($J302=1,"ACTIVE     GHGE, FARM GATE (kg CO2e/kg)","GHGE, processor gate (kg CO2e/kg)"),INDIRECT($K302)),GETPIVOTDATA(IF($J302=1,"ACTIVE     GHGE, FARM GATE (kg CO2e/kg)","Count of GHGE, processor gate (kg CO2e/kg)"),'Pivot Table_GHG'!$A$3,"SUB TYPE",$B302))</f>
        <v>1</v>
      </c>
      <c r="R302" s="221">
        <f ca="1">IF($P302="PROXY",DAVERAGE('literature entries'!$D:$AI,IF($J302=1,"ACTIVE     GHGE, FARM GATE (kg CO2e/kg)","GHGE, processor gate (kg CO2e/kg)"),INDIRECT($K302)),GETPIVOTDATA(IF($J302=1,"Average of ACTIVE     GHGE, FARM GATE (kg CO2e/kg)","Average of GHGE, processor gate (kg CO2e/kg)"),'Pivot Table_GHG'!$A$3,"SUB TYPE",$B302))</f>
        <v>0.84</v>
      </c>
      <c r="S302" s="221" t="e">
        <f ca="1">IF($P302="PROXY",DSTDEV('literature entries'!$D:$AI,IF($J302=1,"ACTIVE     GHGE, FARM GATE (kg CO2e/kg)","GHGE, processor gate (kg CO2e/kg)"),INDIRECT($K302)),GETPIVOTDATA(IF($J302=1,"StdDev of ACTIVE     GHGE, FARM GATE (kg CO2e/kg)","StdDev of GHGE, processor gate (kg CO2e/kg)"),'Pivot Table_GHG'!$A$3,"SUB TYPE",$B302))</f>
        <v>#DIV/0!</v>
      </c>
      <c r="T302" s="101"/>
      <c r="U302" s="102"/>
      <c r="W302" s="256" t="s">
        <v>3367</v>
      </c>
      <c r="X302" s="246"/>
      <c r="Y302" s="246"/>
      <c r="Z302" s="246">
        <v>0</v>
      </c>
      <c r="AA302" s="246">
        <v>0</v>
      </c>
      <c r="AB302" s="256" t="s">
        <v>3367</v>
      </c>
      <c r="AC302" s="247"/>
      <c r="AD302" s="247"/>
      <c r="AE302" s="247">
        <v>0</v>
      </c>
      <c r="AF302" s="247">
        <v>0</v>
      </c>
    </row>
    <row r="303" spans="1:32" s="21" customFormat="1" ht="17" thickBot="1" x14ac:dyDescent="0.25">
      <c r="A303" s="129">
        <v>3900312000</v>
      </c>
      <c r="B303" s="130" t="s">
        <v>2224</v>
      </c>
      <c r="C303" s="131" t="s">
        <v>2074</v>
      </c>
      <c r="D303" s="131"/>
      <c r="E303" s="131">
        <v>9</v>
      </c>
      <c r="F303" s="126">
        <f t="shared" ca="1" si="34"/>
        <v>55.220125786163514</v>
      </c>
      <c r="G303" s="127">
        <f t="shared" ca="1" si="35"/>
        <v>4.5408805031446535</v>
      </c>
      <c r="H303" s="132">
        <v>1</v>
      </c>
      <c r="I303" s="133" t="s">
        <v>594</v>
      </c>
      <c r="J303" s="91">
        <v>1</v>
      </c>
      <c r="K303" s="90"/>
      <c r="L303" s="152" t="str">
        <f>IF(ISERROR(GETPIVOTDATA(IF($J303=1,"Count of ACTIVE     CED, FARM GATE (MJ/kg)","Count of CED, processor gate (MJ/kg)"),'Pivot Table_CED'!$A$3,"SUB TYPE",$B303)),"PROXY",IF(GETPIVOTDATA(IF($J303=1,"Count of ACTIVE     CED, FARM GATE (MJ/kg)","Count of CED, processor gate (MJ/kg)"),'Pivot Table_CED'!$A$3,"SUB TYPE",$B303)=0,"PROXY","DB value"))</f>
        <v>DB value</v>
      </c>
      <c r="M303" s="134">
        <f ca="1">IF($L303="PROXY",DCOUNT('literature entries'!$D:$AI,IF($J303=1,"ACTIVE     CED, FARM GATE (MJ/kg)","CED, processor gate (MJ/kg)"),INDIRECT($K303)),GETPIVOTDATA(IF($J303=1,"Count of ACTIVE     CED, FARM GATE (MJ/kg)","Count of CED, processor gate (MJ/kg)"),'Pivot Table_CED'!$A$3,"SUB TYPE",$B303))</f>
        <v>1</v>
      </c>
      <c r="N303" s="135">
        <f ca="1">IF($L303="PROXY",DAVERAGE('literature entries'!$D:$AI,IF($J303=1,"ACTIVE     CED, FARM GATE (MJ/kg)","CED, processor gate (MJ/kg)"),INDIRECT($K303)),GETPIVOTDATA(IF($J303=1,"Average of ACTIVE     CED, FARM GATE (MJ/kg)","Average of CED, processor gate (MJ/kg)"),'Pivot Table_CED'!$A$3,"SUB TYPE",$B303))</f>
        <v>55.220125786163514</v>
      </c>
      <c r="O303" s="135">
        <f ca="1">IF($L303="PROXY",DSTDEV('literature entries'!D:AI,IF($J303=1,"ACTIVE     CED, FARM GATE (MJ/kg)","CED, processor gate (MJ/kg)"),INDIRECT($K303)),GETPIVOTDATA(IF($J303=1,"StdDev of ACTIVE     CED, FARM GATE (MJ/kg)","StdDev of CED, processor gate (MJ/kg)"),'Pivot Table_CED'!$A$3,"SUB TYPE",$B303))</f>
        <v>0</v>
      </c>
      <c r="P303" s="152" t="str">
        <f>IF(ISERROR(GETPIVOTDATA(IF($J303=1,"Count of ACTIVE     GHGE, FARM GATE (kg CO2e/kg)","Count of GHGE, processor gate (kg CO2e/kg)"),'Pivot Table_GHG'!$A$3,"SUB TYPE",$B303)),"PROXY",IF(GETPIVOTDATA(IF($J303=1,"Count of ACTIVE     GHGE, FARM GATE (kg CO2e/kg)","Count of GHGE, processor gate (kg CO2e/kg)"),'Pivot Table_GHG'!$A$3,"SUB TYPE",$B303)=0,"PROXY","DB value"))</f>
        <v>DB value</v>
      </c>
      <c r="Q303" s="141">
        <f ca="1">IF($P303="PROXY",DCOUNT('literature entries'!$D:$AI,IF($J303=1,"ACTIVE     GHGE, FARM GATE (kg CO2e/kg)","GHGE, processor gate (kg CO2e/kg)"),INDIRECT($K303)),GETPIVOTDATA(IF($J303=1,"ACTIVE     GHGE, FARM GATE (kg CO2e/kg)","Count of GHGE, processor gate (kg CO2e/kg)"),'Pivot Table_GHG'!$A$3,"SUB TYPE",$B303))</f>
        <v>1</v>
      </c>
      <c r="R303" s="221">
        <f ca="1">IF($P303="PROXY",DAVERAGE('literature entries'!$D:$AI,IF($J303=1,"ACTIVE     GHGE, FARM GATE (kg CO2e/kg)","GHGE, processor gate (kg CO2e/kg)"),INDIRECT($K303)),GETPIVOTDATA(IF($J303=1,"Average of ACTIVE     GHGE, FARM GATE (kg CO2e/kg)","Average of GHGE, processor gate (kg CO2e/kg)"),'Pivot Table_GHG'!$A$3,"SUB TYPE",$B303))</f>
        <v>4.5408805031446535</v>
      </c>
      <c r="S303" s="221" t="e">
        <f ca="1">IF($P303="PROXY",DSTDEV('literature entries'!$D:$AI,IF($J303=1,"ACTIVE     GHGE, FARM GATE (kg CO2e/kg)","GHGE, processor gate (kg CO2e/kg)"),INDIRECT($K303)),GETPIVOTDATA(IF($J303=1,"StdDev of ACTIVE     GHGE, FARM GATE (kg CO2e/kg)","StdDev of GHGE, processor gate (kg CO2e/kg)"),'Pivot Table_GHG'!$A$3,"SUB TYPE",$B303))</f>
        <v>#DIV/0!</v>
      </c>
      <c r="T303" s="101"/>
      <c r="U303" s="102"/>
      <c r="W303" s="248" t="s">
        <v>2448</v>
      </c>
      <c r="X303" s="246">
        <f ca="1">IF($W303="DIRECT",M303,DCOUNT('literature entries'!$D:$AI,IF($J303=1,"ACTIVE     CED, FARM GATE (MJ/kg)","CED, processor gate (MJ/kg)"),INDIRECT($W303)))</f>
        <v>15</v>
      </c>
      <c r="Y303" s="246">
        <f ca="1">IF($W303="DIRECT","",DAVERAGE('literature entries'!$D:$AI,IF($J303=1,"ACTIVE     CED, FARM GATE (MJ/kg)","CED, processor gate (MJ/kg)"),INDIRECT($W303)))</f>
        <v>27.337984848484844</v>
      </c>
      <c r="Z303" s="246">
        <f ca="1">IF($W303="DIRECT",$O303,DSTDEV('literature entries'!$D:$AI,IF($J303=1,"ACTIVE     CED, FARM GATE (MJ/kg)","CED, processor gate (MJ/kg)"),INDIRECT($W303)))</f>
        <v>11.446373044126648</v>
      </c>
      <c r="AA303" s="246">
        <f t="shared" ref="AA303:AA329" ca="1" si="41">IF($W303="DIRECT",$O303,$Z303/$Y303*$N303)</f>
        <v>23.120583422485005</v>
      </c>
      <c r="AB303" s="254" t="s">
        <v>2448</v>
      </c>
      <c r="AC303" s="247">
        <f ca="1">IF($AB303="DIRECT",Q303,DCOUNT('literature entries'!$D:$AI,IF($J303=1,"ACTIVE     GHGE, FARM GATE (kg CO2e/kg)","GHGE, processor gate (kg CO2e/kg)"),INDIRECT($AB303)))</f>
        <v>32</v>
      </c>
      <c r="AD303" s="247">
        <f ca="1">IF($AB303="DIRECT","",DAVERAGE('literature entries'!$D:$AI,IF($J303=1,"ACTIVE     GHGE, FARM GATE (kg CO2e/kg)","GHGE, processor gate (kg CO2e/kg)"),INDIRECT($AB303)))</f>
        <v>4.1878483887317701</v>
      </c>
      <c r="AE303" s="247">
        <f ca="1">IF($AB303="DIRECT",$S303,DSTDEV('literature entries'!$D:$AI,IF($J303=1,"ACTIVE     GHGE, FARM GATE (kg CO2e/kg)","GHGE, processor gate (kg CO2e/kg)"),INDIRECT($AB303)))</f>
        <v>2.3000746274481916</v>
      </c>
      <c r="AF303" s="247">
        <f t="shared" ref="AF303:AF329" ca="1" si="42">IF($AB303="DIRECT",$S303,$AE303/$AD303*$R303)</f>
        <v>2.4939689936387888</v>
      </c>
    </row>
    <row r="304" spans="1:32" s="21" customFormat="1" ht="17" thickBot="1" x14ac:dyDescent="0.25">
      <c r="A304" s="129">
        <v>4000093000</v>
      </c>
      <c r="B304" s="130" t="s">
        <v>1889</v>
      </c>
      <c r="C304" s="131" t="s">
        <v>1890</v>
      </c>
      <c r="D304" s="131"/>
      <c r="E304" s="131">
        <v>26566</v>
      </c>
      <c r="F304" s="126">
        <f t="shared" ca="1" si="34"/>
        <v>27.337984848484844</v>
      </c>
      <c r="G304" s="127">
        <f t="shared" ca="1" si="35"/>
        <v>4.1878483887317701</v>
      </c>
      <c r="H304" s="132">
        <v>1</v>
      </c>
      <c r="I304" s="133" t="s">
        <v>594</v>
      </c>
      <c r="J304" s="91">
        <v>1</v>
      </c>
      <c r="K304" s="216"/>
      <c r="L304" s="152" t="str">
        <f>IF(ISERROR(GETPIVOTDATA(IF($J304=1,"Count of ACTIVE     CED, FARM GATE (MJ/kg)","Count of CED, processor gate (MJ/kg)"),'Pivot Table_CED'!$A$3,"SUB TYPE","chicken")),"PROXY",IF(GETPIVOTDATA(IF($J304=1,"Count of ACTIVE     CED, FARM GATE (MJ/kg)","Count of CED, processor gate (MJ/kg)"),'Pivot Table_CED'!$A$3,"SUB TYPE","chicken")=0,"PROXY","DB value"))</f>
        <v>DB value</v>
      </c>
      <c r="M304" s="134">
        <f ca="1">IF($L304="PROXY",DCOUNT('literature entries'!$D:$AI,IF($J304=1,"ACTIVE     CED, FARM GATE (MJ/kg)","CED, processor gate (MJ/kg)"),INDIRECT($K304)),GETPIVOTDATA(IF($J304=1,"Count of ACTIVE     CED, FARM GATE (MJ/kg)","Count of CED, processor gate (MJ/kg)"),'Pivot Table_CED'!$A$3,"SUB TYPE","chicken"))</f>
        <v>15</v>
      </c>
      <c r="N304" s="135">
        <f ca="1">IF($L304="PROXY",DAVERAGE('literature entries'!$D:$AI,IF($J304=1,"ACTIVE     CED, FARM GATE (MJ/kg)","CED, processor gate (MJ/kg)"),INDIRECT($K304)),GETPIVOTDATA(IF($J304=1,"Average of ACTIVE     CED, FARM GATE (MJ/kg)","Average of CED, processor gate (MJ/kg)"),'Pivot Table_CED'!$A$3,"SUB TYPE","chicken"))</f>
        <v>27.337984848484844</v>
      </c>
      <c r="O304" s="135">
        <f ca="1">IF($L304="PROXY",DSTDEV('literature entries'!D:AI,IF($J304=1,"ACTIVE     CED, FARM GATE (MJ/kg)","CED, processor gate (MJ/kg)"),INDIRECT($K304)),GETPIVOTDATA(IF($J304=1,"StdDev of ACTIVE     CED, FARM GATE (MJ/kg)","StdDev of CED, processor gate (MJ/kg)"),'Pivot Table_CED'!$A$3,"SUB TYPE","chicken"))</f>
        <v>11.446373044126648</v>
      </c>
      <c r="P304" s="152" t="str">
        <f>IF(ISERROR(GETPIVOTDATA(IF($J304=1,"Count of ACTIVE     GHGE, FARM GATE (kg CO2e/kg)","Count of GHGE, processor gate (kg CO2e/kg)"),'Pivot Table_GHG'!$A$3,"SUB TYPE","chicken")),"PROXY",IF(GETPIVOTDATA(IF($J304=1,"Count of ACTIVE     GHGE, FARM GATE (kg CO2e/kg)","Count of GHGE, processor gate (kg CO2e/kg)"),'Pivot Table_GHG'!$A$3,"SUB TYPE","chicken")=0,"PROXY","DB value"))</f>
        <v>DB value</v>
      </c>
      <c r="Q304" s="141">
        <f ca="1">IF($P304="PROXY",DCOUNT('literature entries'!$D:$AI,IF($J304=1,"ACTIVE     GHGE, FARM GATE (kg CO2e/kg)","GHGE, processor gate (kg CO2e/kg)"),INDIRECT($K304)),GETPIVOTDATA(IF($J304=1,"ACTIVE     GHGE, FARM GATE (kg CO2e/kg)","Count of GHGE, processor gate (kg CO2e/kg)"),'Pivot Table_GHG'!$A$3,"SUB TYPE","chicken"))</f>
        <v>32</v>
      </c>
      <c r="R304" s="221">
        <f ca="1">IF($P304="PROXY",DAVERAGE('literature entries'!$D:$AI,IF($J304=1,"ACTIVE     GHGE, FARM GATE (kg CO2e/kg)","GHGE, processor gate (kg CO2e/kg)"),INDIRECT($K304)),GETPIVOTDATA(IF($J304=1,"Average of ACTIVE     GHGE, FARM GATE (kg CO2e/kg)","Average of GHGE, processor gate (kg CO2e/kg)"),'Pivot Table_GHG'!$A$3,"SUB TYPE","chicken"))</f>
        <v>4.1878483887317701</v>
      </c>
      <c r="S304" s="221">
        <f ca="1">IF($P304="PROXY",DSTDEV('literature entries'!$D:$AI,IF($J304=1,"ACTIVE     GHGE, FARM GATE (kg CO2e/kg)","GHGE, processor gate (kg CO2e/kg)"),INDIRECT($K304)),GETPIVOTDATA(IF($J304=1,"StdDev of ACTIVE     GHGE, FARM GATE (kg CO2e/kg)","StdDev of GHGE, processor gate (kg CO2e/kg)"),'Pivot Table_GHG'!$A$3,"SUB TYPE","chicken"))</f>
        <v>2.3000746274481916</v>
      </c>
      <c r="T304" s="101"/>
      <c r="U304" s="102"/>
      <c r="W304" s="248" t="str">
        <f t="shared" ref="W304:W313" ca="1" si="43">IF(L304="PROXY",IF(M304&gt;=5,K304,"need group"),IF(M304&gt;=5,"DIRECT","need group"))</f>
        <v>DIRECT</v>
      </c>
      <c r="X304" s="246">
        <f ca="1">IF($W304="DIRECT",M304,DCOUNT('literature entries'!$D:$AI,IF($J304=1,"ACTIVE     CED, FARM GATE (MJ/kg)","CED, processor gate (MJ/kg)"),INDIRECT($W304)))</f>
        <v>15</v>
      </c>
      <c r="Y304" s="246" t="str">
        <f ca="1">IF($W304="DIRECT","",DAVERAGE('literature entries'!$D:$AI,IF($J304=1,"ACTIVE     CED, FARM GATE (MJ/kg)","CED, processor gate (MJ/kg)"),INDIRECT($W304)))</f>
        <v/>
      </c>
      <c r="Z304" s="246">
        <f ca="1">IF($W304="DIRECT",$O304,DSTDEV('literature entries'!$D:$AI,IF($J304=1,"ACTIVE     CED, FARM GATE (MJ/kg)","CED, processor gate (MJ/kg)"),INDIRECT($W304)))</f>
        <v>11.446373044126648</v>
      </c>
      <c r="AA304" s="246">
        <f t="shared" ca="1" si="41"/>
        <v>11.446373044126648</v>
      </c>
      <c r="AB304" s="254" t="str">
        <f ca="1">IF(P304="PROXY",IF(Q304&gt;=5,K304,"need group"),IF(Q304&gt;=5,"DIRECT","need group"))</f>
        <v>DIRECT</v>
      </c>
      <c r="AC304" s="247">
        <f ca="1">IF($AB304="DIRECT",Q304,DCOUNT('literature entries'!$D:$AI,IF($J304=1,"ACTIVE     GHGE, FARM GATE (kg CO2e/kg)","GHGE, processor gate (kg CO2e/kg)"),INDIRECT($AB304)))</f>
        <v>32</v>
      </c>
      <c r="AD304" s="247" t="str">
        <f ca="1">IF($AB304="DIRECT","",DAVERAGE('literature entries'!$D:$AI,IF($J304=1,"ACTIVE     GHGE, FARM GATE (kg CO2e/kg)","GHGE, processor gate (kg CO2e/kg)"),INDIRECT($AB304)))</f>
        <v/>
      </c>
      <c r="AE304" s="247">
        <f ca="1">IF($AB304="DIRECT",$S304,DSTDEV('literature entries'!$D:$AI,IF($J304=1,"ACTIVE     GHGE, FARM GATE (kg CO2e/kg)","GHGE, processor gate (kg CO2e/kg)"),INDIRECT($AB304)))</f>
        <v>2.3000746274481916</v>
      </c>
      <c r="AF304" s="247">
        <f t="shared" ca="1" si="42"/>
        <v>2.3000746274481916</v>
      </c>
    </row>
    <row r="305" spans="1:32" s="21" customFormat="1" ht="17" thickBot="1" x14ac:dyDescent="0.25">
      <c r="A305" s="129">
        <v>4000094000</v>
      </c>
      <c r="B305" s="130" t="s">
        <v>1887</v>
      </c>
      <c r="C305" s="131" t="s">
        <v>1888</v>
      </c>
      <c r="D305" s="131"/>
      <c r="E305" s="131">
        <v>267</v>
      </c>
      <c r="F305" s="126">
        <f t="shared" ca="1" si="34"/>
        <v>27.337984848484844</v>
      </c>
      <c r="G305" s="127">
        <f t="shared" ca="1" si="35"/>
        <v>4.1878483887317701</v>
      </c>
      <c r="H305" s="132">
        <v>1</v>
      </c>
      <c r="I305" s="133" t="s">
        <v>594</v>
      </c>
      <c r="J305" s="91">
        <v>1</v>
      </c>
      <c r="K305" s="216"/>
      <c r="L305" s="152" t="str">
        <f>IF(ISERROR(GETPIVOTDATA(IF($J305=1,"Count of ACTIVE     CED, FARM GATE (MJ/kg)","Count of CED, processor gate (MJ/kg)"),'Pivot Table_CED'!$A$3,"SUB TYPE","chicken")),"PROXY",IF(GETPIVOTDATA(IF($J305=1,"Count of ACTIVE     CED, FARM GATE (MJ/kg)","Count of CED, processor gate (MJ/kg)"),'Pivot Table_CED'!$A$3,"SUB TYPE","chicken")=0,"PROXY","DB value"))</f>
        <v>DB value</v>
      </c>
      <c r="M305" s="134">
        <f ca="1">IF($L305="PROXY",DCOUNT('literature entries'!$D:$AI,IF($J305=1,"ACTIVE     CED, FARM GATE (MJ/kg)","CED, processor gate (MJ/kg)"),INDIRECT($K305)),GETPIVOTDATA(IF($J305=1,"Count of ACTIVE     CED, FARM GATE (MJ/kg)","Count of CED, processor gate (MJ/kg)"),'Pivot Table_CED'!$A$3,"SUB TYPE","chicken"))</f>
        <v>15</v>
      </c>
      <c r="N305" s="135">
        <f ca="1">IF($L305="PROXY",DAVERAGE('literature entries'!$D:$AI,IF($J305=1,"ACTIVE     CED, FARM GATE (MJ/kg)","CED, processor gate (MJ/kg)"),INDIRECT($K305)),GETPIVOTDATA(IF($J305=1,"Average of ACTIVE     CED, FARM GATE (MJ/kg)","Average of CED, processor gate (MJ/kg)"),'Pivot Table_CED'!$A$3,"SUB TYPE","chicken"))</f>
        <v>27.337984848484844</v>
      </c>
      <c r="O305" s="135">
        <f ca="1">IF($L305="PROXY",DSTDEV('literature entries'!D:AI,IF($J305=1,"ACTIVE     CED, FARM GATE (MJ/kg)","CED, processor gate (MJ/kg)"),INDIRECT($K305)),GETPIVOTDATA(IF($J305=1,"StdDev of ACTIVE     CED, FARM GATE (MJ/kg)","StdDev of CED, processor gate (MJ/kg)"),'Pivot Table_CED'!$A$3,"SUB TYPE","chicken"))</f>
        <v>11.446373044126648</v>
      </c>
      <c r="P305" s="152" t="str">
        <f>IF(ISERROR(GETPIVOTDATA(IF($J305=1,"Count of ACTIVE     GHGE, FARM GATE (kg CO2e/kg)","Count of GHGE, processor gate (kg CO2e/kg)"),'Pivot Table_GHG'!$A$3,"SUB TYPE","chicken")),"PROXY",IF(GETPIVOTDATA(IF($J305=1,"Count of ACTIVE     GHGE, FARM GATE (kg CO2e/kg)","Count of GHGE, processor gate (kg CO2e/kg)"),'Pivot Table_GHG'!$A$3,"SUB TYPE","chicken")=0,"PROXY","DB value"))</f>
        <v>DB value</v>
      </c>
      <c r="Q305" s="141">
        <f ca="1">IF($P305="PROXY",DCOUNT('literature entries'!$D:$AI,IF($J305=1,"ACTIVE     GHGE, FARM GATE (kg CO2e/kg)","GHGE, processor gate (kg CO2e/kg)"),INDIRECT($K305)),GETPIVOTDATA(IF($J305=1,"ACTIVE     GHGE, FARM GATE (kg CO2e/kg)","Count of GHGE, processor gate (kg CO2e/kg)"),'Pivot Table_GHG'!$A$3,"SUB TYPE","chicken"))</f>
        <v>32</v>
      </c>
      <c r="R305" s="221">
        <f ca="1">IF($P305="PROXY",DAVERAGE('literature entries'!$D:$AI,IF($J305=1,"ACTIVE     GHGE, FARM GATE (kg CO2e/kg)","GHGE, processor gate (kg CO2e/kg)"),INDIRECT($K305)),GETPIVOTDATA(IF($J305=1,"Average of ACTIVE     GHGE, FARM GATE (kg CO2e/kg)","Average of GHGE, processor gate (kg CO2e/kg)"),'Pivot Table_GHG'!$A$3,"SUB TYPE","chicken"))</f>
        <v>4.1878483887317701</v>
      </c>
      <c r="S305" s="221">
        <f ca="1">IF($P305="PROXY",DSTDEV('literature entries'!$D:$AI,IF($J305=1,"ACTIVE     GHGE, FARM GATE (kg CO2e/kg)","GHGE, processor gate (kg CO2e/kg)"),INDIRECT($K305)),GETPIVOTDATA(IF($J305=1,"StdDev of ACTIVE     GHGE, FARM GATE (kg CO2e/kg)","StdDev of GHGE, processor gate (kg CO2e/kg)"),'Pivot Table_GHG'!$A$3,"SUB TYPE","chicken"))</f>
        <v>2.3000746274481916</v>
      </c>
      <c r="T305" s="101"/>
      <c r="U305" s="102"/>
      <c r="W305" s="248" t="str">
        <f t="shared" ca="1" si="43"/>
        <v>DIRECT</v>
      </c>
      <c r="X305" s="246">
        <f ca="1">IF($W305="DIRECT",M305,DCOUNT('literature entries'!$D:$AI,IF($J305=1,"ACTIVE     CED, FARM GATE (MJ/kg)","CED, processor gate (MJ/kg)"),INDIRECT($W305)))</f>
        <v>15</v>
      </c>
      <c r="Y305" s="246" t="str">
        <f ca="1">IF($W305="DIRECT","",DAVERAGE('literature entries'!$D:$AI,IF($J305=1,"ACTIVE     CED, FARM GATE (MJ/kg)","CED, processor gate (MJ/kg)"),INDIRECT($W305)))</f>
        <v/>
      </c>
      <c r="Z305" s="246">
        <f ca="1">IF($W305="DIRECT",$O305,DSTDEV('literature entries'!$D:$AI,IF($J305=1,"ACTIVE     CED, FARM GATE (MJ/kg)","CED, processor gate (MJ/kg)"),INDIRECT($W305)))</f>
        <v>11.446373044126648</v>
      </c>
      <c r="AA305" s="246">
        <f t="shared" ca="1" si="41"/>
        <v>11.446373044126648</v>
      </c>
      <c r="AB305" s="254" t="str">
        <f ca="1">IF(P305="PROXY",IF(Q305&gt;=5,K305,"need group"),IF(Q305&gt;=5,"DIRECT","need group"))</f>
        <v>DIRECT</v>
      </c>
      <c r="AC305" s="247">
        <f ca="1">IF($AB305="DIRECT",Q305,DCOUNT('literature entries'!$D:$AI,IF($J305=1,"ACTIVE     GHGE, FARM GATE (kg CO2e/kg)","GHGE, processor gate (kg CO2e/kg)"),INDIRECT($AB305)))</f>
        <v>32</v>
      </c>
      <c r="AD305" s="247" t="str">
        <f ca="1">IF($AB305="DIRECT","",DAVERAGE('literature entries'!$D:$AI,IF($J305=1,"ACTIVE     GHGE, FARM GATE (kg CO2e/kg)","GHGE, processor gate (kg CO2e/kg)"),INDIRECT($AB305)))</f>
        <v/>
      </c>
      <c r="AE305" s="247">
        <f ca="1">IF($AB305="DIRECT",$S305,DSTDEV('literature entries'!$D:$AI,IF($J305=1,"ACTIVE     GHGE, FARM GATE (kg CO2e/kg)","GHGE, processor gate (kg CO2e/kg)"),INDIRECT($AB305)))</f>
        <v>2.3000746274481916</v>
      </c>
      <c r="AF305" s="247">
        <f t="shared" ca="1" si="42"/>
        <v>2.3000746274481916</v>
      </c>
    </row>
    <row r="306" spans="1:32" s="21" customFormat="1" ht="17" thickBot="1" x14ac:dyDescent="0.25">
      <c r="A306" s="129">
        <v>4000095000</v>
      </c>
      <c r="B306" s="130" t="s">
        <v>1891</v>
      </c>
      <c r="C306" s="131" t="s">
        <v>1892</v>
      </c>
      <c r="D306" s="131" t="s">
        <v>1893</v>
      </c>
      <c r="E306" s="131">
        <v>13122</v>
      </c>
      <c r="F306" s="126">
        <f t="shared" ca="1" si="34"/>
        <v>27.337984848484844</v>
      </c>
      <c r="G306" s="127">
        <f t="shared" ca="1" si="35"/>
        <v>4.1878483887317701</v>
      </c>
      <c r="H306" s="132">
        <v>1</v>
      </c>
      <c r="I306" s="133" t="s">
        <v>594</v>
      </c>
      <c r="J306" s="91">
        <v>1</v>
      </c>
      <c r="K306" s="216"/>
      <c r="L306" s="152" t="str">
        <f>IF(ISERROR(GETPIVOTDATA(IF($J306=1,"Count of ACTIVE     CED, FARM GATE (MJ/kg)","Count of CED, processor gate (MJ/kg)"),'Pivot Table_CED'!$A$3,"SUB TYPE","chicken")),"PROXY",IF(GETPIVOTDATA(IF($J306=1,"Count of ACTIVE     CED, FARM GATE (MJ/kg)","Count of CED, processor gate (MJ/kg)"),'Pivot Table_CED'!$A$3,"SUB TYPE","chicken")=0,"PROXY","DB value"))</f>
        <v>DB value</v>
      </c>
      <c r="M306" s="134">
        <f ca="1">IF($L306="PROXY",DCOUNT('literature entries'!$D:$AI,IF($J306=1,"ACTIVE     CED, FARM GATE (MJ/kg)","CED, processor gate (MJ/kg)"),INDIRECT($K306)),GETPIVOTDATA(IF($J306=1,"Count of ACTIVE     CED, FARM GATE (MJ/kg)","Count of CED, processor gate (MJ/kg)"),'Pivot Table_CED'!$A$3,"SUB TYPE","chicken"))</f>
        <v>15</v>
      </c>
      <c r="N306" s="135">
        <f ca="1">IF($L306="PROXY",DAVERAGE('literature entries'!$D:$AI,IF($J306=1,"ACTIVE     CED, FARM GATE (MJ/kg)","CED, processor gate (MJ/kg)"),INDIRECT($K306)),GETPIVOTDATA(IF($J306=1,"Average of ACTIVE     CED, FARM GATE (MJ/kg)","Average of CED, processor gate (MJ/kg)"),'Pivot Table_CED'!$A$3,"SUB TYPE","chicken"))</f>
        <v>27.337984848484844</v>
      </c>
      <c r="O306" s="135">
        <f ca="1">IF($L306="PROXY",DSTDEV('literature entries'!D:AI,IF($J306=1,"ACTIVE     CED, FARM GATE (MJ/kg)","CED, processor gate (MJ/kg)"),INDIRECT($K306)),GETPIVOTDATA(IF($J306=1,"StdDev of ACTIVE     CED, FARM GATE (MJ/kg)","StdDev of CED, processor gate (MJ/kg)"),'Pivot Table_CED'!$A$3,"SUB TYPE","chicken"))</f>
        <v>11.446373044126648</v>
      </c>
      <c r="P306" s="152" t="str">
        <f>IF(ISERROR(GETPIVOTDATA(IF($J306=1,"Count of ACTIVE     GHGE, FARM GATE (kg CO2e/kg)","Count of GHGE, processor gate (kg CO2e/kg)"),'Pivot Table_GHG'!$A$3,"SUB TYPE","chicken")),"PROXY",IF(GETPIVOTDATA(IF($J306=1,"Count of ACTIVE     GHGE, FARM GATE (kg CO2e/kg)","Count of GHGE, processor gate (kg CO2e/kg)"),'Pivot Table_GHG'!$A$3,"SUB TYPE","chicken")=0,"PROXY","DB value"))</f>
        <v>DB value</v>
      </c>
      <c r="Q306" s="141">
        <f ca="1">IF($P306="PROXY",DCOUNT('literature entries'!$D:$AI,IF($J306=1,"ACTIVE     GHGE, FARM GATE (kg CO2e/kg)","GHGE, processor gate (kg CO2e/kg)"),INDIRECT($K306)),GETPIVOTDATA(IF($J306=1,"ACTIVE     GHGE, FARM GATE (kg CO2e/kg)","Count of GHGE, processor gate (kg CO2e/kg)"),'Pivot Table_GHG'!$A$3,"SUB TYPE","chicken"))</f>
        <v>32</v>
      </c>
      <c r="R306" s="221">
        <f ca="1">IF($P306="PROXY",DAVERAGE('literature entries'!$D:$AI,IF($J306=1,"ACTIVE     GHGE, FARM GATE (kg CO2e/kg)","GHGE, processor gate (kg CO2e/kg)"),INDIRECT($K306)),GETPIVOTDATA(IF($J306=1,"Average of ACTIVE     GHGE, FARM GATE (kg CO2e/kg)","Average of GHGE, processor gate (kg CO2e/kg)"),'Pivot Table_GHG'!$A$3,"SUB TYPE","chicken"))</f>
        <v>4.1878483887317701</v>
      </c>
      <c r="S306" s="221">
        <f ca="1">IF($P306="PROXY",DSTDEV('literature entries'!$D:$AI,IF($J306=1,"ACTIVE     GHGE, FARM GATE (kg CO2e/kg)","GHGE, processor gate (kg CO2e/kg)"),INDIRECT($K306)),GETPIVOTDATA(IF($J306=1,"StdDev of ACTIVE     GHGE, FARM GATE (kg CO2e/kg)","StdDev of GHGE, processor gate (kg CO2e/kg)"),'Pivot Table_GHG'!$A$3,"SUB TYPE","chicken"))</f>
        <v>2.3000746274481916</v>
      </c>
      <c r="T306" s="101"/>
      <c r="U306" s="102"/>
      <c r="W306" s="248" t="str">
        <f t="shared" ca="1" si="43"/>
        <v>DIRECT</v>
      </c>
      <c r="X306" s="246">
        <f ca="1">IF($W306="DIRECT",M306,DCOUNT('literature entries'!$D:$AI,IF($J306=1,"ACTIVE     CED, FARM GATE (MJ/kg)","CED, processor gate (MJ/kg)"),INDIRECT($W306)))</f>
        <v>15</v>
      </c>
      <c r="Y306" s="246" t="str">
        <f ca="1">IF($W306="DIRECT","",DAVERAGE('literature entries'!$D:$AI,IF($J306=1,"ACTIVE     CED, FARM GATE (MJ/kg)","CED, processor gate (MJ/kg)"),INDIRECT($W306)))</f>
        <v/>
      </c>
      <c r="Z306" s="246">
        <f ca="1">IF($W306="DIRECT",$O306,DSTDEV('literature entries'!$D:$AI,IF($J306=1,"ACTIVE     CED, FARM GATE (MJ/kg)","CED, processor gate (MJ/kg)"),INDIRECT($W306)))</f>
        <v>11.446373044126648</v>
      </c>
      <c r="AA306" s="246">
        <f t="shared" ca="1" si="41"/>
        <v>11.446373044126648</v>
      </c>
      <c r="AB306" s="254" t="str">
        <f ca="1">IF(P306="PROXY",IF(Q306&gt;=5,K306,"need group"),IF(Q306&gt;=5,"DIRECT","need group"))</f>
        <v>DIRECT</v>
      </c>
      <c r="AC306" s="247">
        <f ca="1">IF($AB306="DIRECT",Q306,DCOUNT('literature entries'!$D:$AI,IF($J306=1,"ACTIVE     GHGE, FARM GATE (kg CO2e/kg)","GHGE, processor gate (kg CO2e/kg)"),INDIRECT($AB306)))</f>
        <v>32</v>
      </c>
      <c r="AD306" s="247" t="str">
        <f ca="1">IF($AB306="DIRECT","",DAVERAGE('literature entries'!$D:$AI,IF($J306=1,"ACTIVE     GHGE, FARM GATE (kg CO2e/kg)","GHGE, processor gate (kg CO2e/kg)"),INDIRECT($AB306)))</f>
        <v/>
      </c>
      <c r="AE306" s="247">
        <f ca="1">IF($AB306="DIRECT",$S306,DSTDEV('literature entries'!$D:$AI,IF($J306=1,"ACTIVE     GHGE, FARM GATE (kg CO2e/kg)","GHGE, processor gate (kg CO2e/kg)"),INDIRECT($AB306)))</f>
        <v>2.3000746274481916</v>
      </c>
      <c r="AF306" s="247">
        <f t="shared" ca="1" si="42"/>
        <v>2.3000746274481916</v>
      </c>
    </row>
    <row r="307" spans="1:32" s="21" customFormat="1" ht="17" thickBot="1" x14ac:dyDescent="0.25">
      <c r="A307" s="129">
        <v>4000096000</v>
      </c>
      <c r="B307" s="130" t="s">
        <v>1885</v>
      </c>
      <c r="C307" s="131" t="s">
        <v>1886</v>
      </c>
      <c r="D307" s="131"/>
      <c r="E307" s="131">
        <v>26710</v>
      </c>
      <c r="F307" s="126">
        <f t="shared" ca="1" si="34"/>
        <v>27.337984848484844</v>
      </c>
      <c r="G307" s="127">
        <f t="shared" ca="1" si="35"/>
        <v>4.1878483887317701</v>
      </c>
      <c r="H307" s="132">
        <v>1</v>
      </c>
      <c r="I307" s="133" t="s">
        <v>594</v>
      </c>
      <c r="J307" s="91">
        <v>1</v>
      </c>
      <c r="K307" s="216"/>
      <c r="L307" s="152" t="str">
        <f>IF(ISERROR(GETPIVOTDATA(IF($J307=1,"Count of ACTIVE     CED, FARM GATE (MJ/kg)","Count of CED, processor gate (MJ/kg)"),'Pivot Table_CED'!$A$3,"SUB TYPE","chicken")),"PROXY",IF(GETPIVOTDATA(IF($J307=1,"Count of ACTIVE     CED, FARM GATE (MJ/kg)","Count of CED, processor gate (MJ/kg)"),'Pivot Table_CED'!$A$3,"SUB TYPE","chicken")=0,"PROXY","DB value"))</f>
        <v>DB value</v>
      </c>
      <c r="M307" s="134">
        <f ca="1">IF($L307="PROXY",DCOUNT('literature entries'!$D:$AI,IF($J307=1,"ACTIVE     CED, FARM GATE (MJ/kg)","CED, processor gate (MJ/kg)"),INDIRECT($K307)),GETPIVOTDATA(IF($J307=1,"Count of ACTIVE     CED, FARM GATE (MJ/kg)","Count of CED, processor gate (MJ/kg)"),'Pivot Table_CED'!$A$3,"SUB TYPE","chicken"))</f>
        <v>15</v>
      </c>
      <c r="N307" s="135">
        <f ca="1">IF($L307="PROXY",DAVERAGE('literature entries'!$D:$AI,IF($J307=1,"ACTIVE     CED, FARM GATE (MJ/kg)","CED, processor gate (MJ/kg)"),INDIRECT($K307)),GETPIVOTDATA(IF($J307=1,"Average of ACTIVE     CED, FARM GATE (MJ/kg)","Average of CED, processor gate (MJ/kg)"),'Pivot Table_CED'!$A$3,"SUB TYPE","chicken"))</f>
        <v>27.337984848484844</v>
      </c>
      <c r="O307" s="135">
        <f ca="1">IF($L307="PROXY",DSTDEV('literature entries'!D:AI,IF($J307=1,"ACTIVE     CED, FARM GATE (MJ/kg)","CED, processor gate (MJ/kg)"),INDIRECT($K307)),GETPIVOTDATA(IF($J307=1,"StdDev of ACTIVE     CED, FARM GATE (MJ/kg)","StdDev of CED, processor gate (MJ/kg)"),'Pivot Table_CED'!$A$3,"SUB TYPE","chicken"))</f>
        <v>11.446373044126648</v>
      </c>
      <c r="P307" s="152" t="str">
        <f>IF(ISERROR(GETPIVOTDATA(IF($J307=1,"Count of ACTIVE     GHGE, FARM GATE (kg CO2e/kg)","Count of GHGE, processor gate (kg CO2e/kg)"),'Pivot Table_GHG'!$A$3,"SUB TYPE","chicken")),"PROXY",IF(GETPIVOTDATA(IF($J307=1,"Count of ACTIVE     GHGE, FARM GATE (kg CO2e/kg)","Count of GHGE, processor gate (kg CO2e/kg)"),'Pivot Table_GHG'!$A$3,"SUB TYPE","chicken")=0,"PROXY","DB value"))</f>
        <v>DB value</v>
      </c>
      <c r="Q307" s="141">
        <f ca="1">IF($P307="PROXY",DCOUNT('literature entries'!$D:$AI,IF($J307=1,"ACTIVE     GHGE, FARM GATE (kg CO2e/kg)","GHGE, processor gate (kg CO2e/kg)"),INDIRECT($K307)),GETPIVOTDATA(IF($J307=1,"ACTIVE     GHGE, FARM GATE (kg CO2e/kg)","Count of GHGE, processor gate (kg CO2e/kg)"),'Pivot Table_GHG'!$A$3,"SUB TYPE","chicken"))</f>
        <v>32</v>
      </c>
      <c r="R307" s="221">
        <f ca="1">IF($P307="PROXY",DAVERAGE('literature entries'!$D:$AI,IF($J307=1,"ACTIVE     GHGE, FARM GATE (kg CO2e/kg)","GHGE, processor gate (kg CO2e/kg)"),INDIRECT($K307)),GETPIVOTDATA(IF($J307=1,"Average of ACTIVE     GHGE, FARM GATE (kg CO2e/kg)","Average of GHGE, processor gate (kg CO2e/kg)"),'Pivot Table_GHG'!$A$3,"SUB TYPE","chicken"))</f>
        <v>4.1878483887317701</v>
      </c>
      <c r="S307" s="221">
        <f ca="1">IF($P307="PROXY",DSTDEV('literature entries'!$D:$AI,IF($J307=1,"ACTIVE     GHGE, FARM GATE (kg CO2e/kg)","GHGE, processor gate (kg CO2e/kg)"),INDIRECT($K307)),GETPIVOTDATA(IF($J307=1,"StdDev of ACTIVE     GHGE, FARM GATE (kg CO2e/kg)","StdDev of GHGE, processor gate (kg CO2e/kg)"),'Pivot Table_GHG'!$A$3,"SUB TYPE","chicken"))</f>
        <v>2.3000746274481916</v>
      </c>
      <c r="T307" s="101"/>
      <c r="U307" s="102"/>
      <c r="W307" s="248" t="str">
        <f t="shared" ca="1" si="43"/>
        <v>DIRECT</v>
      </c>
      <c r="X307" s="246">
        <f ca="1">IF($W307="DIRECT",M307,DCOUNT('literature entries'!$D:$AI,IF($J307=1,"ACTIVE     CED, FARM GATE (MJ/kg)","CED, processor gate (MJ/kg)"),INDIRECT($W307)))</f>
        <v>15</v>
      </c>
      <c r="Y307" s="246" t="str">
        <f ca="1">IF($W307="DIRECT","",DAVERAGE('literature entries'!$D:$AI,IF($J307=1,"ACTIVE     CED, FARM GATE (MJ/kg)","CED, processor gate (MJ/kg)"),INDIRECT($W307)))</f>
        <v/>
      </c>
      <c r="Z307" s="246">
        <f ca="1">IF($W307="DIRECT",$O307,DSTDEV('literature entries'!$D:$AI,IF($J307=1,"ACTIVE     CED, FARM GATE (MJ/kg)","CED, processor gate (MJ/kg)"),INDIRECT($W307)))</f>
        <v>11.446373044126648</v>
      </c>
      <c r="AA307" s="246">
        <f t="shared" ca="1" si="41"/>
        <v>11.446373044126648</v>
      </c>
      <c r="AB307" s="254" t="str">
        <f ca="1">IF(P307="PROXY",IF(Q307&gt;=5,K307,"need group"),IF(Q307&gt;=5,"DIRECT","need group"))</f>
        <v>DIRECT</v>
      </c>
      <c r="AC307" s="247">
        <f ca="1">IF($AB307="DIRECT",Q307,DCOUNT('literature entries'!$D:$AI,IF($J307=1,"ACTIVE     GHGE, FARM GATE (kg CO2e/kg)","GHGE, processor gate (kg CO2e/kg)"),INDIRECT($AB307)))</f>
        <v>32</v>
      </c>
      <c r="AD307" s="247" t="str">
        <f ca="1">IF($AB307="DIRECT","",DAVERAGE('literature entries'!$D:$AI,IF($J307=1,"ACTIVE     GHGE, FARM GATE (kg CO2e/kg)","GHGE, processor gate (kg CO2e/kg)"),INDIRECT($AB307)))</f>
        <v/>
      </c>
      <c r="AE307" s="247">
        <f ca="1">IF($AB307="DIRECT",$S307,DSTDEV('literature entries'!$D:$AI,IF($J307=1,"ACTIVE     GHGE, FARM GATE (kg CO2e/kg)","GHGE, processor gate (kg CO2e/kg)"),INDIRECT($AB307)))</f>
        <v>2.3000746274481916</v>
      </c>
      <c r="AF307" s="247">
        <f t="shared" ca="1" si="42"/>
        <v>2.3000746274481916</v>
      </c>
    </row>
    <row r="308" spans="1:32" s="21" customFormat="1" ht="17" thickBot="1" x14ac:dyDescent="0.25">
      <c r="A308" s="129">
        <v>4000097000</v>
      </c>
      <c r="B308" s="130" t="s">
        <v>1894</v>
      </c>
      <c r="C308" s="131" t="s">
        <v>1895</v>
      </c>
      <c r="D308" s="131"/>
      <c r="E308" s="131">
        <v>12543</v>
      </c>
      <c r="F308" s="126">
        <f t="shared" ca="1" si="34"/>
        <v>27.337984848484844</v>
      </c>
      <c r="G308" s="127">
        <f t="shared" ca="1" si="35"/>
        <v>4.1878483887317701</v>
      </c>
      <c r="H308" s="132">
        <v>1</v>
      </c>
      <c r="I308" s="133" t="s">
        <v>594</v>
      </c>
      <c r="J308" s="91">
        <v>1</v>
      </c>
      <c r="K308" s="216"/>
      <c r="L308" s="152" t="str">
        <f>IF(ISERROR(GETPIVOTDATA(IF($J308=1,"Count of ACTIVE     CED, FARM GATE (MJ/kg)","Count of CED, processor gate (MJ/kg)"),'Pivot Table_CED'!$A$3,"SUB TYPE","chicken")),"PROXY",IF(GETPIVOTDATA(IF($J308=1,"Count of ACTIVE     CED, FARM GATE (MJ/kg)","Count of CED, processor gate (MJ/kg)"),'Pivot Table_CED'!$A$3,"SUB TYPE","chicken")=0,"PROXY","DB value"))</f>
        <v>DB value</v>
      </c>
      <c r="M308" s="134">
        <f ca="1">IF($L308="PROXY",DCOUNT('literature entries'!$D:$AI,IF($J308=1,"ACTIVE     CED, FARM GATE (MJ/kg)","CED, processor gate (MJ/kg)"),INDIRECT($K308)),GETPIVOTDATA(IF($J308=1,"Count of ACTIVE     CED, FARM GATE (MJ/kg)","Count of CED, processor gate (MJ/kg)"),'Pivot Table_CED'!$A$3,"SUB TYPE","chicken"))</f>
        <v>15</v>
      </c>
      <c r="N308" s="135">
        <f ca="1">IF($L308="PROXY",DAVERAGE('literature entries'!$D:$AI,IF($J308=1,"ACTIVE     CED, FARM GATE (MJ/kg)","CED, processor gate (MJ/kg)"),INDIRECT($K308)),GETPIVOTDATA(IF($J308=1,"Average of ACTIVE     CED, FARM GATE (MJ/kg)","Average of CED, processor gate (MJ/kg)"),'Pivot Table_CED'!$A$3,"SUB TYPE","chicken"))</f>
        <v>27.337984848484844</v>
      </c>
      <c r="O308" s="135">
        <f ca="1">IF($L308="PROXY",DSTDEV('literature entries'!D:AI,IF($J308=1,"ACTIVE     CED, FARM GATE (MJ/kg)","CED, processor gate (MJ/kg)"),INDIRECT($K308)),GETPIVOTDATA(IF($J308=1,"StdDev of ACTIVE     CED, FARM GATE (MJ/kg)","StdDev of CED, processor gate (MJ/kg)"),'Pivot Table_CED'!$A$3,"SUB TYPE","chicken"))</f>
        <v>11.446373044126648</v>
      </c>
      <c r="P308" s="152" t="str">
        <f>IF(ISERROR(GETPIVOTDATA(IF($J308=1,"Count of ACTIVE     GHGE, FARM GATE (kg CO2e/kg)","Count of GHGE, processor gate (kg CO2e/kg)"),'Pivot Table_GHG'!$A$3,"SUB TYPE","chicken")),"PROXY",IF(GETPIVOTDATA(IF($J308=1,"Count of ACTIVE     GHGE, FARM GATE (kg CO2e/kg)","Count of GHGE, processor gate (kg CO2e/kg)"),'Pivot Table_GHG'!$A$3,"SUB TYPE","chicken")=0,"PROXY","DB value"))</f>
        <v>DB value</v>
      </c>
      <c r="Q308" s="141">
        <f ca="1">IF($P308="PROXY",DCOUNT('literature entries'!$D:$AI,IF($J308=1,"ACTIVE     GHGE, FARM GATE (kg CO2e/kg)","GHGE, processor gate (kg CO2e/kg)"),INDIRECT($K308)),GETPIVOTDATA(IF($J308=1,"ACTIVE     GHGE, FARM GATE (kg CO2e/kg)","Count of GHGE, processor gate (kg CO2e/kg)"),'Pivot Table_GHG'!$A$3,"SUB TYPE","chicken"))</f>
        <v>32</v>
      </c>
      <c r="R308" s="221">
        <f ca="1">IF($P308="PROXY",DAVERAGE('literature entries'!$D:$AI,IF($J308=1,"ACTIVE     GHGE, FARM GATE (kg CO2e/kg)","GHGE, processor gate (kg CO2e/kg)"),INDIRECT($K308)),GETPIVOTDATA(IF($J308=1,"Average of ACTIVE     GHGE, FARM GATE (kg CO2e/kg)","Average of GHGE, processor gate (kg CO2e/kg)"),'Pivot Table_GHG'!$A$3,"SUB TYPE","chicken"))</f>
        <v>4.1878483887317701</v>
      </c>
      <c r="S308" s="221">
        <f ca="1">IF($P308="PROXY",DSTDEV('literature entries'!$D:$AI,IF($J308=1,"ACTIVE     GHGE, FARM GATE (kg CO2e/kg)","GHGE, processor gate (kg CO2e/kg)"),INDIRECT($K308)),GETPIVOTDATA(IF($J308=1,"StdDev of ACTIVE     GHGE, FARM GATE (kg CO2e/kg)","StdDev of GHGE, processor gate (kg CO2e/kg)"),'Pivot Table_GHG'!$A$3,"SUB TYPE","chicken"))</f>
        <v>2.3000746274481916</v>
      </c>
      <c r="T308" s="101"/>
      <c r="U308" s="102"/>
      <c r="W308" s="248" t="str">
        <f t="shared" ca="1" si="43"/>
        <v>DIRECT</v>
      </c>
      <c r="X308" s="246">
        <f ca="1">IF($W308="DIRECT",M308,DCOUNT('literature entries'!$D:$AI,IF($J308=1,"ACTIVE     CED, FARM GATE (MJ/kg)","CED, processor gate (MJ/kg)"),INDIRECT($W308)))</f>
        <v>15</v>
      </c>
      <c r="Y308" s="246" t="str">
        <f ca="1">IF($W308="DIRECT","",DAVERAGE('literature entries'!$D:$AI,IF($J308=1,"ACTIVE     CED, FARM GATE (MJ/kg)","CED, processor gate (MJ/kg)"),INDIRECT($W308)))</f>
        <v/>
      </c>
      <c r="Z308" s="246">
        <f ca="1">IF($W308="DIRECT",$O308,DSTDEV('literature entries'!$D:$AI,IF($J308=1,"ACTIVE     CED, FARM GATE (MJ/kg)","CED, processor gate (MJ/kg)"),INDIRECT($W308)))</f>
        <v>11.446373044126648</v>
      </c>
      <c r="AA308" s="246">
        <f t="shared" ca="1" si="41"/>
        <v>11.446373044126648</v>
      </c>
      <c r="AB308" s="254" t="str">
        <f ca="1">IF(P308="PROXY",IF(Q308&gt;=5,K308,"need group"),IF(Q308&gt;=5,"DIRECT","need group"))</f>
        <v>DIRECT</v>
      </c>
      <c r="AC308" s="247">
        <f ca="1">IF($AB308="DIRECT",Q308,DCOUNT('literature entries'!$D:$AI,IF($J308=1,"ACTIVE     GHGE, FARM GATE (kg CO2e/kg)","GHGE, processor gate (kg CO2e/kg)"),INDIRECT($AB308)))</f>
        <v>32</v>
      </c>
      <c r="AD308" s="247" t="str">
        <f ca="1">IF($AB308="DIRECT","",DAVERAGE('literature entries'!$D:$AI,IF($J308=1,"ACTIVE     GHGE, FARM GATE (kg CO2e/kg)","GHGE, processor gate (kg CO2e/kg)"),INDIRECT($AB308)))</f>
        <v/>
      </c>
      <c r="AE308" s="247">
        <f ca="1">IF($AB308="DIRECT",$S308,DSTDEV('literature entries'!$D:$AI,IF($J308=1,"ACTIVE     GHGE, FARM GATE (kg CO2e/kg)","GHGE, processor gate (kg CO2e/kg)"),INDIRECT($AB308)))</f>
        <v>2.3000746274481916</v>
      </c>
      <c r="AF308" s="247">
        <f t="shared" ca="1" si="42"/>
        <v>2.3000746274481916</v>
      </c>
    </row>
    <row r="309" spans="1:32" s="21" customFormat="1" ht="17" thickBot="1" x14ac:dyDescent="0.25">
      <c r="A309" s="129">
        <v>5000382000</v>
      </c>
      <c r="B309" s="130" t="s">
        <v>2324</v>
      </c>
      <c r="C309" s="131" t="s">
        <v>2325</v>
      </c>
      <c r="D309" s="131"/>
      <c r="E309" s="131">
        <v>12047</v>
      </c>
      <c r="F309" s="126">
        <f t="shared" ca="1" si="34"/>
        <v>27.337984848484844</v>
      </c>
      <c r="G309" s="127">
        <f t="shared" ca="1" si="35"/>
        <v>2.5714285714285712</v>
      </c>
      <c r="H309" s="132">
        <v>1</v>
      </c>
      <c r="I309" s="133" t="s">
        <v>594</v>
      </c>
      <c r="J309" s="91">
        <v>1</v>
      </c>
      <c r="K309" s="216" t="s">
        <v>2448</v>
      </c>
      <c r="L309" s="152" t="str">
        <f>IF(ISERROR(GETPIVOTDATA(IF($J309=1,"Count of ACTIVE     CED, FARM GATE (MJ/kg)","Count of CED, processor gate (MJ/kg)"),'Pivot Table_CED'!$A$3,"SUB TYPE","Turkey")),"PROXY",IF(GETPIVOTDATA(IF($J309=1,"Count of ACTIVE     CED, FARM GATE (MJ/kg)","Count of CED, processor gate (MJ/kg)"),'Pivot Table_CED'!$A$3,"SUB TYPE","Turkey")=0,"PROXY","DB value"))</f>
        <v>PROXY</v>
      </c>
      <c r="M309" s="134">
        <f ca="1">IF($L309="PROXY",DCOUNT('literature entries'!$D:$AI,IF($J309=1,"ACTIVE     CED, FARM GATE (MJ/kg)","CED, processor gate (MJ/kg)"),INDIRECT($K309)),GETPIVOTDATA(IF($J309=1,"Count of ACTIVE     CED, FARM GATE (MJ/kg)","Count of CED, processor gate (MJ/kg)"),'Pivot Table_CED'!$A$3,"SUB TYPE","Turkey"))</f>
        <v>15</v>
      </c>
      <c r="N309" s="135">
        <f ca="1">IF($L309="PROXY",DAVERAGE('literature entries'!$D:$AI,IF($J309=1,"ACTIVE     CED, FARM GATE (MJ/kg)","CED, processor gate (MJ/kg)"),INDIRECT($K309)),GETPIVOTDATA(IF($J309=1,"Average of ACTIVE     CED, FARM GATE (MJ/kg)","Average of CED, processor gate (MJ/kg)"),'Pivot Table_CED'!$A$3,"SUB TYPE","Turkey"))</f>
        <v>27.337984848484844</v>
      </c>
      <c r="O309" s="135">
        <f ca="1">IF($L309="PROXY",DSTDEV('literature entries'!D:AI,IF($J309=1,"ACTIVE     CED, FARM GATE (MJ/kg)","CED, processor gate (MJ/kg)"),INDIRECT($K309)),GETPIVOTDATA(IF($J309=1,"StdDev of ACTIVE     CED, FARM GATE (MJ/kg)","StdDev of CED, processor gate (MJ/kg)"),'Pivot Table_CED'!$A$3,"SUB TYPE","Turkey"))</f>
        <v>11.446373044126648</v>
      </c>
      <c r="P309" s="152" t="str">
        <f>IF(ISERROR(GETPIVOTDATA(IF($J309=1,"Count of ACTIVE     GHGE, FARM GATE (kg CO2e/kg)","Count of GHGE, processor gate (kg CO2e/kg)"),'Pivot Table_GHG'!$A$3,"SUB TYPE","Turkey")),"PROXY",IF(GETPIVOTDATA(IF($J309=1,"Count of ACTIVE     GHGE, FARM GATE (kg CO2e/kg)","Count of GHGE, processor gate (kg CO2e/kg)"),'Pivot Table_GHG'!$A$3,"SUB TYPE","Turkey")=0,"PROXY","DB value"))</f>
        <v>DB value</v>
      </c>
      <c r="Q309" s="141">
        <f ca="1">IF($P309="PROXY",DCOUNT('literature entries'!$D:$AI,IF($J309=1,"ACTIVE     GHGE, FARM GATE (kg CO2e/kg)","GHGE, processor gate (kg CO2e/kg)"),INDIRECT($K309)),GETPIVOTDATA(IF($J309=1,"ACTIVE     GHGE, FARM GATE (kg CO2e/kg)","Count of GHGE, processor gate (kg CO2e/kg)"),'Pivot Table_GHG'!$A$3,"SUB TYPE","Turkey"))</f>
        <v>1</v>
      </c>
      <c r="R309" s="221">
        <f ca="1">IF($P309="PROXY",DAVERAGE('literature entries'!$D:$AI,IF($J309=1,"ACTIVE     GHGE, FARM GATE (kg CO2e/kg)","GHGE, processor gate (kg CO2e/kg)"),INDIRECT($K309)),GETPIVOTDATA(IF($J309=1,"Average of ACTIVE     GHGE, FARM GATE (kg CO2e/kg)","Average of GHGE, processor gate (kg CO2e/kg)"),'Pivot Table_GHG'!$A$3,"SUB TYPE","Turkey"))</f>
        <v>2.5714285714285712</v>
      </c>
      <c r="S309" s="221" t="e">
        <f ca="1">IF($P309="PROXY",DSTDEV('literature entries'!$D:$AI,IF($J309=1,"ACTIVE     GHGE, FARM GATE (kg CO2e/kg)","GHGE, processor gate (kg CO2e/kg)"),INDIRECT($K309)),GETPIVOTDATA(IF($J309=1,"StdDev of ACTIVE     GHGE, FARM GATE (kg CO2e/kg)","StdDev of GHGE, processor gate (kg CO2e/kg)"),'Pivot Table_GHG'!$A$3,"SUB TYPE","Turkey"))</f>
        <v>#DIV/0!</v>
      </c>
      <c r="T309" s="101"/>
      <c r="U309" s="102"/>
      <c r="W309" s="248" t="str">
        <f t="shared" ca="1" si="43"/>
        <v>chicken</v>
      </c>
      <c r="X309" s="246">
        <f ca="1">IF($W309="DIRECT",M309,DCOUNT('literature entries'!$D:$AI,IF($J309=1,"ACTIVE     CED, FARM GATE (MJ/kg)","CED, processor gate (MJ/kg)"),INDIRECT($W309)))</f>
        <v>15</v>
      </c>
      <c r="Y309" s="246">
        <f ca="1">IF($W309="DIRECT","",DAVERAGE('literature entries'!$D:$AI,IF($J309=1,"ACTIVE     CED, FARM GATE (MJ/kg)","CED, processor gate (MJ/kg)"),INDIRECT($W309)))</f>
        <v>27.337984848484844</v>
      </c>
      <c r="Z309" s="246">
        <f ca="1">IF($W309="DIRECT",$O309,DSTDEV('literature entries'!$D:$AI,IF($J309=1,"ACTIVE     CED, FARM GATE (MJ/kg)","CED, processor gate (MJ/kg)"),INDIRECT($W309)))</f>
        <v>11.446373044126648</v>
      </c>
      <c r="AA309" s="246">
        <f t="shared" ca="1" si="41"/>
        <v>11.446373044126648</v>
      </c>
      <c r="AB309" s="254" t="s">
        <v>2448</v>
      </c>
      <c r="AC309" s="247">
        <f ca="1">IF($AB309="DIRECT",Q309,DCOUNT('literature entries'!$D:$AI,IF($J309=1,"ACTIVE     GHGE, FARM GATE (kg CO2e/kg)","GHGE, processor gate (kg CO2e/kg)"),INDIRECT($AB309)))</f>
        <v>32</v>
      </c>
      <c r="AD309" s="247">
        <f ca="1">IF($AB309="DIRECT","",DAVERAGE('literature entries'!$D:$AI,IF($J309=1,"ACTIVE     GHGE, FARM GATE (kg CO2e/kg)","GHGE, processor gate (kg CO2e/kg)"),INDIRECT($AB309)))</f>
        <v>4.1878483887317701</v>
      </c>
      <c r="AE309" s="247">
        <f ca="1">IF($AB309="DIRECT",$S309,DSTDEV('literature entries'!$D:$AI,IF($J309=1,"ACTIVE     GHGE, FARM GATE (kg CO2e/kg)","GHGE, processor gate (kg CO2e/kg)"),INDIRECT($AB309)))</f>
        <v>2.3000746274481916</v>
      </c>
      <c r="AF309" s="247">
        <f t="shared" ca="1" si="42"/>
        <v>1.4122950652540984</v>
      </c>
    </row>
    <row r="310" spans="1:32" s="21" customFormat="1" ht="17" thickBot="1" x14ac:dyDescent="0.25">
      <c r="A310" s="129">
        <v>5000383000</v>
      </c>
      <c r="B310" s="130" t="s">
        <v>2323</v>
      </c>
      <c r="C310" s="131" t="s">
        <v>2212</v>
      </c>
      <c r="D310" s="131"/>
      <c r="E310" s="131">
        <v>122</v>
      </c>
      <c r="F310" s="126">
        <f t="shared" ca="1" si="34"/>
        <v>27.337984848484844</v>
      </c>
      <c r="G310" s="127">
        <f t="shared" ca="1" si="35"/>
        <v>2.5714285714285712</v>
      </c>
      <c r="H310" s="132">
        <v>1</v>
      </c>
      <c r="I310" s="133" t="s">
        <v>594</v>
      </c>
      <c r="J310" s="91">
        <v>1</v>
      </c>
      <c r="K310" s="216" t="s">
        <v>2448</v>
      </c>
      <c r="L310" s="152" t="str">
        <f>IF(ISERROR(GETPIVOTDATA(IF($J310=1,"Count of ACTIVE     CED, FARM GATE (MJ/kg)","Count of CED, processor gate (MJ/kg)"),'Pivot Table_CED'!$A$3,"SUB TYPE","Turkey")),"PROXY",IF(GETPIVOTDATA(IF($J310=1,"Count of ACTIVE     CED, FARM GATE (MJ/kg)","Count of CED, processor gate (MJ/kg)"),'Pivot Table_CED'!$A$3,"SUB TYPE","Turkey")=0,"PROXY","DB value"))</f>
        <v>PROXY</v>
      </c>
      <c r="M310" s="134">
        <f ca="1">IF($L310="PROXY",DCOUNT('literature entries'!$D:$AI,IF($J310=1,"ACTIVE     CED, FARM GATE (MJ/kg)","CED, processor gate (MJ/kg)"),INDIRECT($K310)),GETPIVOTDATA(IF($J310=1,"Count of ACTIVE     CED, FARM GATE (MJ/kg)","Count of CED, processor gate (MJ/kg)"),'Pivot Table_CED'!$A$3,"SUB TYPE","Turkey"))</f>
        <v>15</v>
      </c>
      <c r="N310" s="135">
        <f ca="1">IF($L310="PROXY",DAVERAGE('literature entries'!$D:$AI,IF($J310=1,"ACTIVE     CED, FARM GATE (MJ/kg)","CED, processor gate (MJ/kg)"),INDIRECT($K310)),GETPIVOTDATA(IF($J310=1,"Average of ACTIVE     CED, FARM GATE (MJ/kg)","Average of CED, processor gate (MJ/kg)"),'Pivot Table_CED'!$A$3,"SUB TYPE","Turkey"))</f>
        <v>27.337984848484844</v>
      </c>
      <c r="O310" s="135">
        <f ca="1">IF($L310="PROXY",DSTDEV('literature entries'!D:AI,IF($J310=1,"ACTIVE     CED, FARM GATE (MJ/kg)","CED, processor gate (MJ/kg)"),INDIRECT($K310)),GETPIVOTDATA(IF($J310=1,"StdDev of ACTIVE     CED, FARM GATE (MJ/kg)","StdDev of CED, processor gate (MJ/kg)"),'Pivot Table_CED'!$A$3,"SUB TYPE","Turkey"))</f>
        <v>11.446373044126648</v>
      </c>
      <c r="P310" s="152" t="str">
        <f>IF(ISERROR(GETPIVOTDATA(IF($J310=1,"Count of ACTIVE     GHGE, FARM GATE (kg CO2e/kg)","Count of GHGE, processor gate (kg CO2e/kg)"),'Pivot Table_GHG'!$A$3,"SUB TYPE","Turkey")),"PROXY",IF(GETPIVOTDATA(IF($J310=1,"Count of ACTIVE     GHGE, FARM GATE (kg CO2e/kg)","Count of GHGE, processor gate (kg CO2e/kg)"),'Pivot Table_GHG'!$A$3,"SUB TYPE","Turkey")=0,"PROXY","DB value"))</f>
        <v>DB value</v>
      </c>
      <c r="Q310" s="141">
        <f ca="1">IF($P310="PROXY",DCOUNT('literature entries'!$D:$AI,IF($J310=1,"ACTIVE     GHGE, FARM GATE (kg CO2e/kg)","GHGE, processor gate (kg CO2e/kg)"),INDIRECT($K310)),GETPIVOTDATA(IF($J310=1,"ACTIVE     GHGE, FARM GATE (kg CO2e/kg)","Count of GHGE, processor gate (kg CO2e/kg)"),'Pivot Table_GHG'!$A$3,"SUB TYPE","Turkey"))</f>
        <v>1</v>
      </c>
      <c r="R310" s="221">
        <f ca="1">IF($P310="PROXY",DAVERAGE('literature entries'!$D:$AI,IF($J310=1,"ACTIVE     GHGE, FARM GATE (kg CO2e/kg)","GHGE, processor gate (kg CO2e/kg)"),INDIRECT($K310)),GETPIVOTDATA(IF($J310=1,"Average of ACTIVE     GHGE, FARM GATE (kg CO2e/kg)","Average of GHGE, processor gate (kg CO2e/kg)"),'Pivot Table_GHG'!$A$3,"SUB TYPE","Turkey"))</f>
        <v>2.5714285714285712</v>
      </c>
      <c r="S310" s="221" t="e">
        <f ca="1">IF($P310="PROXY",DSTDEV('literature entries'!$D:$AI,IF($J310=1,"ACTIVE     GHGE, FARM GATE (kg CO2e/kg)","GHGE, processor gate (kg CO2e/kg)"),INDIRECT($K310)),GETPIVOTDATA(IF($J310=1,"StdDev of ACTIVE     GHGE, FARM GATE (kg CO2e/kg)","StdDev of GHGE, processor gate (kg CO2e/kg)"),'Pivot Table_GHG'!$A$3,"SUB TYPE","Turkey"))</f>
        <v>#DIV/0!</v>
      </c>
      <c r="T310" s="101"/>
      <c r="U310" s="102"/>
      <c r="W310" s="248" t="str">
        <f t="shared" ca="1" si="43"/>
        <v>chicken</v>
      </c>
      <c r="X310" s="246">
        <f ca="1">IF($W310="DIRECT",M310,DCOUNT('literature entries'!$D:$AI,IF($J310=1,"ACTIVE     CED, FARM GATE (MJ/kg)","CED, processor gate (MJ/kg)"),INDIRECT($W310)))</f>
        <v>15</v>
      </c>
      <c r="Y310" s="246">
        <f ca="1">IF($W310="DIRECT","",DAVERAGE('literature entries'!$D:$AI,IF($J310=1,"ACTIVE     CED, FARM GATE (MJ/kg)","CED, processor gate (MJ/kg)"),INDIRECT($W310)))</f>
        <v>27.337984848484844</v>
      </c>
      <c r="Z310" s="246">
        <f ca="1">IF($W310="DIRECT",$O310,DSTDEV('literature entries'!$D:$AI,IF($J310=1,"ACTIVE     CED, FARM GATE (MJ/kg)","CED, processor gate (MJ/kg)"),INDIRECT($W310)))</f>
        <v>11.446373044126648</v>
      </c>
      <c r="AA310" s="246">
        <f t="shared" ca="1" si="41"/>
        <v>11.446373044126648</v>
      </c>
      <c r="AB310" s="254" t="s">
        <v>2448</v>
      </c>
      <c r="AC310" s="247">
        <f ca="1">IF($AB310="DIRECT",Q310,DCOUNT('literature entries'!$D:$AI,IF($J310=1,"ACTIVE     GHGE, FARM GATE (kg CO2e/kg)","GHGE, processor gate (kg CO2e/kg)"),INDIRECT($AB310)))</f>
        <v>32</v>
      </c>
      <c r="AD310" s="247">
        <f ca="1">IF($AB310="DIRECT","",DAVERAGE('literature entries'!$D:$AI,IF($J310=1,"ACTIVE     GHGE, FARM GATE (kg CO2e/kg)","GHGE, processor gate (kg CO2e/kg)"),INDIRECT($AB310)))</f>
        <v>4.1878483887317701</v>
      </c>
      <c r="AE310" s="247">
        <f ca="1">IF($AB310="DIRECT",$S310,DSTDEV('literature entries'!$D:$AI,IF($J310=1,"ACTIVE     GHGE, FARM GATE (kg CO2e/kg)","GHGE, processor gate (kg CO2e/kg)"),INDIRECT($AB310)))</f>
        <v>2.3000746274481916</v>
      </c>
      <c r="AF310" s="247">
        <f t="shared" ca="1" si="42"/>
        <v>1.4122950652540984</v>
      </c>
    </row>
    <row r="311" spans="1:32" s="21" customFormat="1" ht="17" thickBot="1" x14ac:dyDescent="0.25">
      <c r="A311" s="129">
        <v>5000384000</v>
      </c>
      <c r="B311" s="130" t="s">
        <v>2326</v>
      </c>
      <c r="C311" s="131" t="s">
        <v>2327</v>
      </c>
      <c r="D311" s="131" t="s">
        <v>2328</v>
      </c>
      <c r="E311" s="131">
        <v>10762</v>
      </c>
      <c r="F311" s="126">
        <f t="shared" ca="1" si="34"/>
        <v>27.337984848484844</v>
      </c>
      <c r="G311" s="127">
        <f t="shared" ca="1" si="35"/>
        <v>2.5714285714285712</v>
      </c>
      <c r="H311" s="132">
        <v>1</v>
      </c>
      <c r="I311" s="133" t="s">
        <v>594</v>
      </c>
      <c r="J311" s="91">
        <v>1</v>
      </c>
      <c r="K311" s="216" t="s">
        <v>2448</v>
      </c>
      <c r="L311" s="152" t="str">
        <f>IF(ISERROR(GETPIVOTDATA(IF($J311=1,"Count of ACTIVE     CED, FARM GATE (MJ/kg)","Count of CED, processor gate (MJ/kg)"),'Pivot Table_CED'!$A$3,"SUB TYPE","Turkey")),"PROXY",IF(GETPIVOTDATA(IF($J311=1,"Count of ACTIVE     CED, FARM GATE (MJ/kg)","Count of CED, processor gate (MJ/kg)"),'Pivot Table_CED'!$A$3,"SUB TYPE","Turkey")=0,"PROXY","DB value"))</f>
        <v>PROXY</v>
      </c>
      <c r="M311" s="134">
        <f ca="1">IF($L311="PROXY",DCOUNT('literature entries'!$D:$AI,IF($J311=1,"ACTIVE     CED, FARM GATE (MJ/kg)","CED, processor gate (MJ/kg)"),INDIRECT($K311)),GETPIVOTDATA(IF($J311=1,"Count of ACTIVE     CED, FARM GATE (MJ/kg)","Count of CED, processor gate (MJ/kg)"),'Pivot Table_CED'!$A$3,"SUB TYPE","Turkey"))</f>
        <v>15</v>
      </c>
      <c r="N311" s="135">
        <f ca="1">IF($L311="PROXY",DAVERAGE('literature entries'!$D:$AI,IF($J311=1,"ACTIVE     CED, FARM GATE (MJ/kg)","CED, processor gate (MJ/kg)"),INDIRECT($K311)),GETPIVOTDATA(IF($J311=1,"Average of ACTIVE     CED, FARM GATE (MJ/kg)","Average of CED, processor gate (MJ/kg)"),'Pivot Table_CED'!$A$3,"SUB TYPE","Turkey"))</f>
        <v>27.337984848484844</v>
      </c>
      <c r="O311" s="135">
        <f ca="1">IF($L311="PROXY",DSTDEV('literature entries'!D:AI,IF($J311=1,"ACTIVE     CED, FARM GATE (MJ/kg)","CED, processor gate (MJ/kg)"),INDIRECT($K311)),GETPIVOTDATA(IF($J311=1,"StdDev of ACTIVE     CED, FARM GATE (MJ/kg)","StdDev of CED, processor gate (MJ/kg)"),'Pivot Table_CED'!$A$3,"SUB TYPE","Turkey"))</f>
        <v>11.446373044126648</v>
      </c>
      <c r="P311" s="152" t="str">
        <f>IF(ISERROR(GETPIVOTDATA(IF($J311=1,"Count of ACTIVE     GHGE, FARM GATE (kg CO2e/kg)","Count of GHGE, processor gate (kg CO2e/kg)"),'Pivot Table_GHG'!$A$3,"SUB TYPE","Turkey")),"PROXY",IF(GETPIVOTDATA(IF($J311=1,"Count of ACTIVE     GHGE, FARM GATE (kg CO2e/kg)","Count of GHGE, processor gate (kg CO2e/kg)"),'Pivot Table_GHG'!$A$3,"SUB TYPE","Turkey")=0,"PROXY","DB value"))</f>
        <v>DB value</v>
      </c>
      <c r="Q311" s="141">
        <f ca="1">IF($P311="PROXY",DCOUNT('literature entries'!$D:$AI,IF($J311=1,"ACTIVE     GHGE, FARM GATE (kg CO2e/kg)","GHGE, processor gate (kg CO2e/kg)"),INDIRECT($K311)),GETPIVOTDATA(IF($J311=1,"ACTIVE     GHGE, FARM GATE (kg CO2e/kg)","Count of GHGE, processor gate (kg CO2e/kg)"),'Pivot Table_GHG'!$A$3,"SUB TYPE","Turkey"))</f>
        <v>1</v>
      </c>
      <c r="R311" s="221">
        <f ca="1">IF($P311="PROXY",DAVERAGE('literature entries'!$D:$AI,IF($J311=1,"ACTIVE     GHGE, FARM GATE (kg CO2e/kg)","GHGE, processor gate (kg CO2e/kg)"),INDIRECT($K311)),GETPIVOTDATA(IF($J311=1,"Average of ACTIVE     GHGE, FARM GATE (kg CO2e/kg)","Average of GHGE, processor gate (kg CO2e/kg)"),'Pivot Table_GHG'!$A$3,"SUB TYPE","Turkey"))</f>
        <v>2.5714285714285712</v>
      </c>
      <c r="S311" s="221" t="e">
        <f ca="1">IF($P311="PROXY",DSTDEV('literature entries'!$D:$AI,IF($J311=1,"ACTIVE     GHGE, FARM GATE (kg CO2e/kg)","GHGE, processor gate (kg CO2e/kg)"),INDIRECT($K311)),GETPIVOTDATA(IF($J311=1,"StdDev of ACTIVE     GHGE, FARM GATE (kg CO2e/kg)","StdDev of GHGE, processor gate (kg CO2e/kg)"),'Pivot Table_GHG'!$A$3,"SUB TYPE","Turkey"))</f>
        <v>#DIV/0!</v>
      </c>
      <c r="T311" s="101"/>
      <c r="U311" s="102"/>
      <c r="W311" s="248" t="str">
        <f t="shared" ca="1" si="43"/>
        <v>chicken</v>
      </c>
      <c r="X311" s="246">
        <f ca="1">IF($W311="DIRECT",M311,DCOUNT('literature entries'!$D:$AI,IF($J311=1,"ACTIVE     CED, FARM GATE (MJ/kg)","CED, processor gate (MJ/kg)"),INDIRECT($W311)))</f>
        <v>15</v>
      </c>
      <c r="Y311" s="246">
        <f ca="1">IF($W311="DIRECT","",DAVERAGE('literature entries'!$D:$AI,IF($J311=1,"ACTIVE     CED, FARM GATE (MJ/kg)","CED, processor gate (MJ/kg)"),INDIRECT($W311)))</f>
        <v>27.337984848484844</v>
      </c>
      <c r="Z311" s="246">
        <f ca="1">IF($W311="DIRECT",$O311,DSTDEV('literature entries'!$D:$AI,IF($J311=1,"ACTIVE     CED, FARM GATE (MJ/kg)","CED, processor gate (MJ/kg)"),INDIRECT($W311)))</f>
        <v>11.446373044126648</v>
      </c>
      <c r="AA311" s="246">
        <f t="shared" ca="1" si="41"/>
        <v>11.446373044126648</v>
      </c>
      <c r="AB311" s="254" t="s">
        <v>2448</v>
      </c>
      <c r="AC311" s="247">
        <f ca="1">IF($AB311="DIRECT",Q311,DCOUNT('literature entries'!$D:$AI,IF($J311=1,"ACTIVE     GHGE, FARM GATE (kg CO2e/kg)","GHGE, processor gate (kg CO2e/kg)"),INDIRECT($AB311)))</f>
        <v>32</v>
      </c>
      <c r="AD311" s="247">
        <f ca="1">IF($AB311="DIRECT","",DAVERAGE('literature entries'!$D:$AI,IF($J311=1,"ACTIVE     GHGE, FARM GATE (kg CO2e/kg)","GHGE, processor gate (kg CO2e/kg)"),INDIRECT($AB311)))</f>
        <v>4.1878483887317701</v>
      </c>
      <c r="AE311" s="247">
        <f ca="1">IF($AB311="DIRECT",$S311,DSTDEV('literature entries'!$D:$AI,IF($J311=1,"ACTIVE     GHGE, FARM GATE (kg CO2e/kg)","GHGE, processor gate (kg CO2e/kg)"),INDIRECT($AB311)))</f>
        <v>2.3000746274481916</v>
      </c>
      <c r="AF311" s="247">
        <f t="shared" ca="1" si="42"/>
        <v>1.4122950652540984</v>
      </c>
    </row>
    <row r="312" spans="1:32" s="21" customFormat="1" ht="17" thickBot="1" x14ac:dyDescent="0.25">
      <c r="A312" s="129">
        <v>5000385000</v>
      </c>
      <c r="B312" s="130" t="s">
        <v>2321</v>
      </c>
      <c r="C312" s="131" t="s">
        <v>2322</v>
      </c>
      <c r="D312" s="131"/>
      <c r="E312" s="131">
        <v>12144</v>
      </c>
      <c r="F312" s="126">
        <f t="shared" ca="1" si="34"/>
        <v>27.337984848484844</v>
      </c>
      <c r="G312" s="127">
        <f t="shared" ca="1" si="35"/>
        <v>2.5714285714285712</v>
      </c>
      <c r="H312" s="132">
        <v>1</v>
      </c>
      <c r="I312" s="133" t="s">
        <v>594</v>
      </c>
      <c r="J312" s="91">
        <v>1</v>
      </c>
      <c r="K312" s="216" t="s">
        <v>2448</v>
      </c>
      <c r="L312" s="152" t="str">
        <f>IF(ISERROR(GETPIVOTDATA(IF($J312=1,"Count of ACTIVE     CED, FARM GATE (MJ/kg)","Count of CED, processor gate (MJ/kg)"),'Pivot Table_CED'!$A$3,"SUB TYPE","Turkey")),"PROXY",IF(GETPIVOTDATA(IF($J312=1,"Count of ACTIVE     CED, FARM GATE (MJ/kg)","Count of CED, processor gate (MJ/kg)"),'Pivot Table_CED'!$A$3,"SUB TYPE","Turkey")=0,"PROXY","DB value"))</f>
        <v>PROXY</v>
      </c>
      <c r="M312" s="134">
        <f ca="1">IF($L312="PROXY",DCOUNT('literature entries'!$D:$AI,IF($J312=1,"ACTIVE     CED, FARM GATE (MJ/kg)","CED, processor gate (MJ/kg)"),INDIRECT($K312)),GETPIVOTDATA(IF($J312=1,"Count of ACTIVE     CED, FARM GATE (MJ/kg)","Count of CED, processor gate (MJ/kg)"),'Pivot Table_CED'!$A$3,"SUB TYPE","Turkey"))</f>
        <v>15</v>
      </c>
      <c r="N312" s="135">
        <f ca="1">IF($L312="PROXY",DAVERAGE('literature entries'!$D:$AI,IF($J312=1,"ACTIVE     CED, FARM GATE (MJ/kg)","CED, processor gate (MJ/kg)"),INDIRECT($K312)),GETPIVOTDATA(IF($J312=1,"Average of ACTIVE     CED, FARM GATE (MJ/kg)","Average of CED, processor gate (MJ/kg)"),'Pivot Table_CED'!$A$3,"SUB TYPE","Turkey"))</f>
        <v>27.337984848484844</v>
      </c>
      <c r="O312" s="135">
        <f ca="1">IF($L312="PROXY",DSTDEV('literature entries'!D:AI,IF($J312=1,"ACTIVE     CED, FARM GATE (MJ/kg)","CED, processor gate (MJ/kg)"),INDIRECT($K312)),GETPIVOTDATA(IF($J312=1,"StdDev of ACTIVE     CED, FARM GATE (MJ/kg)","StdDev of CED, processor gate (MJ/kg)"),'Pivot Table_CED'!$A$3,"SUB TYPE","Turkey"))</f>
        <v>11.446373044126648</v>
      </c>
      <c r="P312" s="152" t="str">
        <f>IF(ISERROR(GETPIVOTDATA(IF($J312=1,"Count of ACTIVE     GHGE, FARM GATE (kg CO2e/kg)","Count of GHGE, processor gate (kg CO2e/kg)"),'Pivot Table_GHG'!$A$3,"SUB TYPE","Turkey")),"PROXY",IF(GETPIVOTDATA(IF($J312=1,"Count of ACTIVE     GHGE, FARM GATE (kg CO2e/kg)","Count of GHGE, processor gate (kg CO2e/kg)"),'Pivot Table_GHG'!$A$3,"SUB TYPE","Turkey")=0,"PROXY","DB value"))</f>
        <v>DB value</v>
      </c>
      <c r="Q312" s="141">
        <f ca="1">IF($P312="PROXY",DCOUNT('literature entries'!$D:$AI,IF($J312=1,"ACTIVE     GHGE, FARM GATE (kg CO2e/kg)","GHGE, processor gate (kg CO2e/kg)"),INDIRECT($K312)),GETPIVOTDATA(IF($J312=1,"ACTIVE     GHGE, FARM GATE (kg CO2e/kg)","Count of GHGE, processor gate (kg CO2e/kg)"),'Pivot Table_GHG'!$A$3,"SUB TYPE","Turkey"))</f>
        <v>1</v>
      </c>
      <c r="R312" s="221">
        <f ca="1">IF($P312="PROXY",DAVERAGE('literature entries'!$D:$AI,IF($J312=1,"ACTIVE     GHGE, FARM GATE (kg CO2e/kg)","GHGE, processor gate (kg CO2e/kg)"),INDIRECT($K312)),GETPIVOTDATA(IF($J312=1,"Average of ACTIVE     GHGE, FARM GATE (kg CO2e/kg)","Average of GHGE, processor gate (kg CO2e/kg)"),'Pivot Table_GHG'!$A$3,"SUB TYPE","Turkey"))</f>
        <v>2.5714285714285712</v>
      </c>
      <c r="S312" s="221" t="e">
        <f ca="1">IF($P312="PROXY",DSTDEV('literature entries'!$D:$AI,IF($J312=1,"ACTIVE     GHGE, FARM GATE (kg CO2e/kg)","GHGE, processor gate (kg CO2e/kg)"),INDIRECT($K312)),GETPIVOTDATA(IF($J312=1,"StdDev of ACTIVE     GHGE, FARM GATE (kg CO2e/kg)","StdDev of GHGE, processor gate (kg CO2e/kg)"),'Pivot Table_GHG'!$A$3,"SUB TYPE","Turkey"))</f>
        <v>#DIV/0!</v>
      </c>
      <c r="T312" s="101"/>
      <c r="U312" s="102"/>
      <c r="W312" s="248" t="str">
        <f t="shared" ca="1" si="43"/>
        <v>chicken</v>
      </c>
      <c r="X312" s="246">
        <f ca="1">IF($W312="DIRECT",M312,DCOUNT('literature entries'!$D:$AI,IF($J312=1,"ACTIVE     CED, FARM GATE (MJ/kg)","CED, processor gate (MJ/kg)"),INDIRECT($W312)))</f>
        <v>15</v>
      </c>
      <c r="Y312" s="246">
        <f ca="1">IF($W312="DIRECT","",DAVERAGE('literature entries'!$D:$AI,IF($J312=1,"ACTIVE     CED, FARM GATE (MJ/kg)","CED, processor gate (MJ/kg)"),INDIRECT($W312)))</f>
        <v>27.337984848484844</v>
      </c>
      <c r="Z312" s="246">
        <f ca="1">IF($W312="DIRECT",$O312,DSTDEV('literature entries'!$D:$AI,IF($J312=1,"ACTIVE     CED, FARM GATE (MJ/kg)","CED, processor gate (MJ/kg)"),INDIRECT($W312)))</f>
        <v>11.446373044126648</v>
      </c>
      <c r="AA312" s="246">
        <f t="shared" ca="1" si="41"/>
        <v>11.446373044126648</v>
      </c>
      <c r="AB312" s="254" t="s">
        <v>2448</v>
      </c>
      <c r="AC312" s="247">
        <f ca="1">IF($AB312="DIRECT",Q312,DCOUNT('literature entries'!$D:$AI,IF($J312=1,"ACTIVE     GHGE, FARM GATE (kg CO2e/kg)","GHGE, processor gate (kg CO2e/kg)"),INDIRECT($AB312)))</f>
        <v>32</v>
      </c>
      <c r="AD312" s="247">
        <f ca="1">IF($AB312="DIRECT","",DAVERAGE('literature entries'!$D:$AI,IF($J312=1,"ACTIVE     GHGE, FARM GATE (kg CO2e/kg)","GHGE, processor gate (kg CO2e/kg)"),INDIRECT($AB312)))</f>
        <v>4.1878483887317701</v>
      </c>
      <c r="AE312" s="247">
        <f ca="1">IF($AB312="DIRECT",$S312,DSTDEV('literature entries'!$D:$AI,IF($J312=1,"ACTIVE     GHGE, FARM GATE (kg CO2e/kg)","GHGE, processor gate (kg CO2e/kg)"),INDIRECT($AB312)))</f>
        <v>2.3000746274481916</v>
      </c>
      <c r="AF312" s="247">
        <f t="shared" ca="1" si="42"/>
        <v>1.4122950652540984</v>
      </c>
    </row>
    <row r="313" spans="1:32" s="21" customFormat="1" ht="17" thickBot="1" x14ac:dyDescent="0.25">
      <c r="A313" s="129">
        <v>5000386000</v>
      </c>
      <c r="B313" s="130" t="s">
        <v>2329</v>
      </c>
      <c r="C313" s="131" t="s">
        <v>1895</v>
      </c>
      <c r="D313" s="131"/>
      <c r="E313" s="131">
        <v>7683</v>
      </c>
      <c r="F313" s="126">
        <f t="shared" ca="1" si="34"/>
        <v>27.337984848484844</v>
      </c>
      <c r="G313" s="127">
        <f t="shared" ca="1" si="35"/>
        <v>2.5714285714285712</v>
      </c>
      <c r="H313" s="132">
        <v>1</v>
      </c>
      <c r="I313" s="133" t="s">
        <v>594</v>
      </c>
      <c r="J313" s="91">
        <v>1</v>
      </c>
      <c r="K313" s="216" t="s">
        <v>2448</v>
      </c>
      <c r="L313" s="152" t="str">
        <f>IF(ISERROR(GETPIVOTDATA(IF($J313=1,"Count of ACTIVE     CED, FARM GATE (MJ/kg)","Count of CED, processor gate (MJ/kg)"),'Pivot Table_CED'!$A$3,"SUB TYPE","Turkey")),"PROXY",IF(GETPIVOTDATA(IF($J313=1,"Count of ACTIVE     CED, FARM GATE (MJ/kg)","Count of CED, processor gate (MJ/kg)"),'Pivot Table_CED'!$A$3,"SUB TYPE","Turkey")=0,"PROXY","DB value"))</f>
        <v>PROXY</v>
      </c>
      <c r="M313" s="134">
        <f ca="1">IF($L313="PROXY",DCOUNT('literature entries'!$D:$AI,IF($J313=1,"ACTIVE     CED, FARM GATE (MJ/kg)","CED, processor gate (MJ/kg)"),INDIRECT($K313)),GETPIVOTDATA(IF($J313=1,"Count of ACTIVE     CED, FARM GATE (MJ/kg)","Count of CED, processor gate (MJ/kg)"),'Pivot Table_CED'!$A$3,"SUB TYPE","Turkey"))</f>
        <v>15</v>
      </c>
      <c r="N313" s="135">
        <f ca="1">IF($L313="PROXY",DAVERAGE('literature entries'!$D:$AI,IF($J313=1,"ACTIVE     CED, FARM GATE (MJ/kg)","CED, processor gate (MJ/kg)"),INDIRECT($K313)),GETPIVOTDATA(IF($J313=1,"Average of ACTIVE     CED, FARM GATE (MJ/kg)","Average of CED, processor gate (MJ/kg)"),'Pivot Table_CED'!$A$3,"SUB TYPE","Turkey"))</f>
        <v>27.337984848484844</v>
      </c>
      <c r="O313" s="135">
        <f ca="1">IF($L313="PROXY",DSTDEV('literature entries'!D:AI,IF($J313=1,"ACTIVE     CED, FARM GATE (MJ/kg)","CED, processor gate (MJ/kg)"),INDIRECT($K313)),GETPIVOTDATA(IF($J313=1,"StdDev of ACTIVE     CED, FARM GATE (MJ/kg)","StdDev of CED, processor gate (MJ/kg)"),'Pivot Table_CED'!$A$3,"SUB TYPE","Turkey"))</f>
        <v>11.446373044126648</v>
      </c>
      <c r="P313" s="152" t="str">
        <f>IF(ISERROR(GETPIVOTDATA(IF($J313=1,"Count of ACTIVE     GHGE, FARM GATE (kg CO2e/kg)","Count of GHGE, processor gate (kg CO2e/kg)"),'Pivot Table_GHG'!$A$3,"SUB TYPE","Turkey")),"PROXY",IF(GETPIVOTDATA(IF($J313=1,"Count of ACTIVE     GHGE, FARM GATE (kg CO2e/kg)","Count of GHGE, processor gate (kg CO2e/kg)"),'Pivot Table_GHG'!$A$3,"SUB TYPE","Turkey")=0,"PROXY","DB value"))</f>
        <v>DB value</v>
      </c>
      <c r="Q313" s="141">
        <f ca="1">IF($P313="PROXY",DCOUNT('literature entries'!$D:$AI,IF($J313=1,"ACTIVE     GHGE, FARM GATE (kg CO2e/kg)","GHGE, processor gate (kg CO2e/kg)"),INDIRECT($K313)),GETPIVOTDATA(IF($J313=1,"ACTIVE     GHGE, FARM GATE (kg CO2e/kg)","Count of GHGE, processor gate (kg CO2e/kg)"),'Pivot Table_GHG'!$A$3,"SUB TYPE","Turkey"))</f>
        <v>1</v>
      </c>
      <c r="R313" s="221">
        <f ca="1">IF($P313="PROXY",DAVERAGE('literature entries'!$D:$AI,IF($J313=1,"ACTIVE     GHGE, FARM GATE (kg CO2e/kg)","GHGE, processor gate (kg CO2e/kg)"),INDIRECT($K313)),GETPIVOTDATA(IF($J313=1,"Average of ACTIVE     GHGE, FARM GATE (kg CO2e/kg)","Average of GHGE, processor gate (kg CO2e/kg)"),'Pivot Table_GHG'!$A$3,"SUB TYPE","Turkey"))</f>
        <v>2.5714285714285712</v>
      </c>
      <c r="S313" s="221" t="e">
        <f ca="1">IF($P313="PROXY",DSTDEV('literature entries'!$D:$AI,IF($J313=1,"ACTIVE     GHGE, FARM GATE (kg CO2e/kg)","GHGE, processor gate (kg CO2e/kg)"),INDIRECT($K313)),GETPIVOTDATA(IF($J313=1,"StdDev of ACTIVE     GHGE, FARM GATE (kg CO2e/kg)","StdDev of GHGE, processor gate (kg CO2e/kg)"),'Pivot Table_GHG'!$A$3,"SUB TYPE","Turkey"))</f>
        <v>#DIV/0!</v>
      </c>
      <c r="T313" s="101"/>
      <c r="U313" s="102"/>
      <c r="W313" s="248" t="str">
        <f t="shared" ca="1" si="43"/>
        <v>chicken</v>
      </c>
      <c r="X313" s="246">
        <f ca="1">IF($W313="DIRECT",M313,DCOUNT('literature entries'!$D:$AI,IF($J313=1,"ACTIVE     CED, FARM GATE (MJ/kg)","CED, processor gate (MJ/kg)"),INDIRECT($W313)))</f>
        <v>15</v>
      </c>
      <c r="Y313" s="246">
        <f ca="1">IF($W313="DIRECT","",DAVERAGE('literature entries'!$D:$AI,IF($J313=1,"ACTIVE     CED, FARM GATE (MJ/kg)","CED, processor gate (MJ/kg)"),INDIRECT($W313)))</f>
        <v>27.337984848484844</v>
      </c>
      <c r="Z313" s="246">
        <f ca="1">IF($W313="DIRECT",$O313,DSTDEV('literature entries'!$D:$AI,IF($J313=1,"ACTIVE     CED, FARM GATE (MJ/kg)","CED, processor gate (MJ/kg)"),INDIRECT($W313)))</f>
        <v>11.446373044126648</v>
      </c>
      <c r="AA313" s="246">
        <f t="shared" ca="1" si="41"/>
        <v>11.446373044126648</v>
      </c>
      <c r="AB313" s="254" t="s">
        <v>2448</v>
      </c>
      <c r="AC313" s="247">
        <f ca="1">IF($AB313="DIRECT",Q313,DCOUNT('literature entries'!$D:$AI,IF($J313=1,"ACTIVE     GHGE, FARM GATE (kg CO2e/kg)","GHGE, processor gate (kg CO2e/kg)"),INDIRECT($AB313)))</f>
        <v>32</v>
      </c>
      <c r="AD313" s="247">
        <f ca="1">IF($AB313="DIRECT","",DAVERAGE('literature entries'!$D:$AI,IF($J313=1,"ACTIVE     GHGE, FARM GATE (kg CO2e/kg)","GHGE, processor gate (kg CO2e/kg)"),INDIRECT($AB313)))</f>
        <v>4.1878483887317701</v>
      </c>
      <c r="AE313" s="247">
        <f ca="1">IF($AB313="DIRECT",$S313,DSTDEV('literature entries'!$D:$AI,IF($J313=1,"ACTIVE     GHGE, FARM GATE (kg CO2e/kg)","GHGE, processor gate (kg CO2e/kg)"),INDIRECT($AB313)))</f>
        <v>2.3000746274481916</v>
      </c>
      <c r="AF313" s="247">
        <f t="shared" ca="1" si="42"/>
        <v>1.4122950652540984</v>
      </c>
    </row>
    <row r="314" spans="1:32" s="21" customFormat="1" ht="17" thickBot="1" x14ac:dyDescent="0.25">
      <c r="A314" s="129">
        <v>6000301000</v>
      </c>
      <c r="B314" s="130" t="s">
        <v>2213</v>
      </c>
      <c r="C314" s="131" t="s">
        <v>2214</v>
      </c>
      <c r="D314" s="131" t="s">
        <v>2210</v>
      </c>
      <c r="E314" s="131">
        <v>107</v>
      </c>
      <c r="F314" s="126">
        <f t="shared" ca="1" si="34"/>
        <v>24.475427350427349</v>
      </c>
      <c r="G314" s="127">
        <f t="shared" ca="1" si="35"/>
        <v>2.8307692307692305</v>
      </c>
      <c r="H314" s="132">
        <v>1</v>
      </c>
      <c r="I314" s="133" t="s">
        <v>594</v>
      </c>
      <c r="J314" s="91">
        <v>1</v>
      </c>
      <c r="K314" s="216"/>
      <c r="L314" s="152" t="str">
        <f>IF(ISERROR(GETPIVOTDATA(IF($J314=1,"Count of ACTIVE     CED, FARM GATE (MJ/kg)","Count of CED, processor gate (MJ/kg)"),'Pivot Table_CED'!$A$3,"SUB TYPE","Poultry, other")),"PROXY",IF(GETPIVOTDATA(IF($J314=1,"Count of ACTIVE     CED, FARM GATE (MJ/kg)","Count of CED, processor gate (MJ/kg)"),'Pivot Table_CED'!$A$3,"SUB TYPE","Poultry, other")=0,"PROXY","DB value"))</f>
        <v>DB value</v>
      </c>
      <c r="M314" s="134">
        <f ca="1">IF($L314="PROXY",DCOUNT('literature entries'!$D:$AI,IF($J314=1,"ACTIVE     CED, FARM GATE (MJ/kg)","CED, processor gate (MJ/kg)"),INDIRECT($K314)),GETPIVOTDATA(IF($J314=1,"Count of ACTIVE     CED, FARM GATE (MJ/kg)","Count of CED, processor gate (MJ/kg)"),'Pivot Table_CED'!$A$3,"SUB TYPE","Poultry, other"))</f>
        <v>4</v>
      </c>
      <c r="N314" s="135">
        <f ca="1">IF($L314="PROXY",DAVERAGE('literature entries'!$D:$AI,IF($J314=1,"ACTIVE     CED, FARM GATE (MJ/kg)","CED, processor gate (MJ/kg)"),INDIRECT($K314)),GETPIVOTDATA(IF($J314=1,"Average of ACTIVE     CED, FARM GATE (MJ/kg)","Average of CED, processor gate (MJ/kg)"),'Pivot Table_CED'!$A$3,"SUB TYPE","Poultry, other"))</f>
        <v>24.475427350427349</v>
      </c>
      <c r="O314" s="135">
        <f ca="1">IF($L314="PROXY",DSTDEV('literature entries'!D:AI,IF($J314=1,"ACTIVE     CED, FARM GATE (MJ/kg)","CED, processor gate (MJ/kg)"),INDIRECT($K314)),GETPIVOTDATA(IF($J314=1,"StdDev of ACTIVE     CED, FARM GATE (MJ/kg)","StdDev of CED, processor gate (MJ/kg)"),'Pivot Table_CED'!$A$3,"SUB TYPE","Poultry, other"))</f>
        <v>14.332624486190154</v>
      </c>
      <c r="P314" s="152" t="str">
        <f>IF(ISERROR(GETPIVOTDATA(IF($J314=1,"Count of ACTIVE     GHGE, FARM GATE (kg CO2e/kg)","Count of GHGE, processor gate (kg CO2e/kg)"),'Pivot Table_GHG'!$A$3,"SUB TYPE","Poultry, other")),"PROXY",IF(GETPIVOTDATA(IF($J314=1,"Count of ACTIVE     GHGE, FARM GATE (kg CO2e/kg)","Count of GHGE, processor gate (kg CO2e/kg)"),'Pivot Table_GHG'!$A$3,"SUB TYPE","Poultry, other")=0,"PROXY","DB value"))</f>
        <v>DB value</v>
      </c>
      <c r="Q314" s="141">
        <f ca="1">IF($P314="PROXY",DCOUNT('literature entries'!$D:$AI,IF($J314=1,"ACTIVE     GHGE, FARM GATE (kg CO2e/kg)","GHGE, processor gate (kg CO2e/kg)"),INDIRECT($K314)),GETPIVOTDATA(IF($J314=1,"ACTIVE     GHGE, FARM GATE (kg CO2e/kg)","Count of GHGE, processor gate (kg CO2e/kg)"),'Pivot Table_GHG'!$A$3,"SUB TYPE","Poultry, other"))</f>
        <v>5</v>
      </c>
      <c r="R314" s="221">
        <f ca="1">IF($P314="PROXY",DAVERAGE('literature entries'!$D:$AI,IF($J314=1,"ACTIVE     GHGE, FARM GATE (kg CO2e/kg)","GHGE, processor gate (kg CO2e/kg)"),INDIRECT($K314)),GETPIVOTDATA(IF($J314=1,"Average of ACTIVE     GHGE, FARM GATE (kg CO2e/kg)","Average of GHGE, processor gate (kg CO2e/kg)"),'Pivot Table_GHG'!$A$3,"SUB TYPE","Poultry, other"))</f>
        <v>2.8307692307692305</v>
      </c>
      <c r="S314" s="221">
        <f ca="1">IF($P314="PROXY",DSTDEV('literature entries'!$D:$AI,IF($J314=1,"ACTIVE     GHGE, FARM GATE (kg CO2e/kg)","GHGE, processor gate (kg CO2e/kg)"),INDIRECT($K314)),GETPIVOTDATA(IF($J314=1,"StdDev of ACTIVE     GHGE, FARM GATE (kg CO2e/kg)","StdDev of GHGE, processor gate (kg CO2e/kg)"),'Pivot Table_GHG'!$A$3,"SUB TYPE","Poultry, other"))</f>
        <v>1.1258001756541696</v>
      </c>
      <c r="T314" s="101"/>
      <c r="U314" s="102"/>
      <c r="W314" s="248" t="s">
        <v>2448</v>
      </c>
      <c r="X314" s="246">
        <f ca="1">IF($W314="DIRECT",M314,DCOUNT('literature entries'!$D:$AI,IF($J314=1,"ACTIVE     CED, FARM GATE (MJ/kg)","CED, processor gate (MJ/kg)"),INDIRECT($W314)))</f>
        <v>15</v>
      </c>
      <c r="Y314" s="246">
        <f ca="1">IF($W314="DIRECT","",DAVERAGE('literature entries'!$D:$AI,IF($J314=1,"ACTIVE     CED, FARM GATE (MJ/kg)","CED, processor gate (MJ/kg)"),INDIRECT($W314)))</f>
        <v>27.337984848484844</v>
      </c>
      <c r="Z314" s="246">
        <f ca="1">IF($W314="DIRECT",$O314,DSTDEV('literature entries'!$D:$AI,IF($J314=1,"ACTIVE     CED, FARM GATE (MJ/kg)","CED, processor gate (MJ/kg)"),INDIRECT($W314)))</f>
        <v>11.446373044126648</v>
      </c>
      <c r="AA314" s="246">
        <f t="shared" ca="1" si="41"/>
        <v>10.247824534987215</v>
      </c>
      <c r="AB314" s="254" t="s">
        <v>2448</v>
      </c>
      <c r="AC314" s="247">
        <f ca="1">IF($AB314="DIRECT",Q314,DCOUNT('literature entries'!$D:$AI,IF($J314=1,"ACTIVE     GHGE, FARM GATE (kg CO2e/kg)","GHGE, processor gate (kg CO2e/kg)"),INDIRECT($AB314)))</f>
        <v>32</v>
      </c>
      <c r="AD314" s="247">
        <f ca="1">IF($AB314="DIRECT","",DAVERAGE('literature entries'!$D:$AI,IF($J314=1,"ACTIVE     GHGE, FARM GATE (kg CO2e/kg)","GHGE, processor gate (kg CO2e/kg)"),INDIRECT($AB314)))</f>
        <v>4.1878483887317701</v>
      </c>
      <c r="AE314" s="247">
        <f ca="1">IF($AB314="DIRECT",$S314,DSTDEV('literature entries'!$D:$AI,IF($J314=1,"ACTIVE     GHGE, FARM GATE (kg CO2e/kg)","GHGE, processor gate (kg CO2e/kg)"),INDIRECT($AB314)))</f>
        <v>2.3000746274481916</v>
      </c>
      <c r="AF314" s="247">
        <f t="shared" ca="1" si="42"/>
        <v>1.5547316615788709</v>
      </c>
    </row>
    <row r="315" spans="1:32" s="21" customFormat="1" ht="17" thickBot="1" x14ac:dyDescent="0.25">
      <c r="A315" s="129">
        <v>6000302000</v>
      </c>
      <c r="B315" s="130" t="s">
        <v>2211</v>
      </c>
      <c r="C315" s="131" t="s">
        <v>2212</v>
      </c>
      <c r="D315" s="131" t="s">
        <v>2210</v>
      </c>
      <c r="E315" s="131">
        <v>66</v>
      </c>
      <c r="F315" s="126">
        <f t="shared" ca="1" si="34"/>
        <v>24.475427350427349</v>
      </c>
      <c r="G315" s="127">
        <f t="shared" ca="1" si="35"/>
        <v>2.8307692307692305</v>
      </c>
      <c r="H315" s="132">
        <v>1</v>
      </c>
      <c r="I315" s="133" t="s">
        <v>594</v>
      </c>
      <c r="J315" s="91">
        <v>1</v>
      </c>
      <c r="K315" s="216"/>
      <c r="L315" s="152" t="str">
        <f>IF(ISERROR(GETPIVOTDATA(IF($J315=1,"Count of ACTIVE     CED, FARM GATE (MJ/kg)","Count of CED, processor gate (MJ/kg)"),'Pivot Table_CED'!$A$3,"SUB TYPE","Poultry, other")),"PROXY",IF(GETPIVOTDATA(IF($J315=1,"Count of ACTIVE     CED, FARM GATE (MJ/kg)","Count of CED, processor gate (MJ/kg)"),'Pivot Table_CED'!$A$3,"SUB TYPE","Poultry, other")=0,"PROXY","DB value"))</f>
        <v>DB value</v>
      </c>
      <c r="M315" s="134">
        <f ca="1">IF($L315="PROXY",DCOUNT('literature entries'!$D:$AI,IF($J315=1,"ACTIVE     CED, FARM GATE (MJ/kg)","CED, processor gate (MJ/kg)"),INDIRECT($K315)),GETPIVOTDATA(IF($J315=1,"Count of ACTIVE     CED, FARM GATE (MJ/kg)","Count of CED, processor gate (MJ/kg)"),'Pivot Table_CED'!$A$3,"SUB TYPE","Poultry, other"))</f>
        <v>4</v>
      </c>
      <c r="N315" s="135">
        <f ca="1">IF($L315="PROXY",DAVERAGE('literature entries'!$D:$AI,IF($J315=1,"ACTIVE     CED, FARM GATE (MJ/kg)","CED, processor gate (MJ/kg)"),INDIRECT($K315)),GETPIVOTDATA(IF($J315=1,"Average of ACTIVE     CED, FARM GATE (MJ/kg)","Average of CED, processor gate (MJ/kg)"),'Pivot Table_CED'!$A$3,"SUB TYPE","Poultry, other"))</f>
        <v>24.475427350427349</v>
      </c>
      <c r="O315" s="135">
        <f ca="1">IF($L315="PROXY",DSTDEV('literature entries'!D:AI,IF($J315=1,"ACTIVE     CED, FARM GATE (MJ/kg)","CED, processor gate (MJ/kg)"),INDIRECT($K315)),GETPIVOTDATA(IF($J315=1,"StdDev of ACTIVE     CED, FARM GATE (MJ/kg)","StdDev of CED, processor gate (MJ/kg)"),'Pivot Table_CED'!$A$3,"SUB TYPE","Poultry, other"))</f>
        <v>14.332624486190154</v>
      </c>
      <c r="P315" s="152" t="str">
        <f>IF(ISERROR(GETPIVOTDATA(IF($J315=1,"Count of ACTIVE     GHGE, FARM GATE (kg CO2e/kg)","Count of GHGE, processor gate (kg CO2e/kg)"),'Pivot Table_GHG'!$A$3,"SUB TYPE","Poultry, other")),"PROXY",IF(GETPIVOTDATA(IF($J315=1,"Count of ACTIVE     GHGE, FARM GATE (kg CO2e/kg)","Count of GHGE, processor gate (kg CO2e/kg)"),'Pivot Table_GHG'!$A$3,"SUB TYPE","Poultry, other")=0,"PROXY","DB value"))</f>
        <v>DB value</v>
      </c>
      <c r="Q315" s="141">
        <f ca="1">IF($P315="PROXY",DCOUNT('literature entries'!$D:$AI,IF($J315=1,"ACTIVE     GHGE, FARM GATE (kg CO2e/kg)","GHGE, processor gate (kg CO2e/kg)"),INDIRECT($K315)),GETPIVOTDATA(IF($J315=1,"ACTIVE     GHGE, FARM GATE (kg CO2e/kg)","Count of GHGE, processor gate (kg CO2e/kg)"),'Pivot Table_GHG'!$A$3,"SUB TYPE","Poultry, other"))</f>
        <v>5</v>
      </c>
      <c r="R315" s="221">
        <f ca="1">IF($P315="PROXY",DAVERAGE('literature entries'!$D:$AI,IF($J315=1,"ACTIVE     GHGE, FARM GATE (kg CO2e/kg)","GHGE, processor gate (kg CO2e/kg)"),INDIRECT($K315)),GETPIVOTDATA(IF($J315=1,"Average of ACTIVE     GHGE, FARM GATE (kg CO2e/kg)","Average of GHGE, processor gate (kg CO2e/kg)"),'Pivot Table_GHG'!$A$3,"SUB TYPE","Poultry, other"))</f>
        <v>2.8307692307692305</v>
      </c>
      <c r="S315" s="221">
        <f ca="1">IF($P315="PROXY",DSTDEV('literature entries'!$D:$AI,IF($J315=1,"ACTIVE     GHGE, FARM GATE (kg CO2e/kg)","GHGE, processor gate (kg CO2e/kg)"),INDIRECT($K315)),GETPIVOTDATA(IF($J315=1,"StdDev of ACTIVE     GHGE, FARM GATE (kg CO2e/kg)","StdDev of GHGE, processor gate (kg CO2e/kg)"),'Pivot Table_GHG'!$A$3,"SUB TYPE","Poultry, other"))</f>
        <v>1.1258001756541696</v>
      </c>
      <c r="T315" s="101"/>
      <c r="U315" s="102"/>
      <c r="W315" s="248" t="s">
        <v>2448</v>
      </c>
      <c r="X315" s="246">
        <f ca="1">IF($W315="DIRECT",M315,DCOUNT('literature entries'!$D:$AI,IF($J315=1,"ACTIVE     CED, FARM GATE (MJ/kg)","CED, processor gate (MJ/kg)"),INDIRECT($W315)))</f>
        <v>15</v>
      </c>
      <c r="Y315" s="246">
        <f ca="1">IF($W315="DIRECT","",DAVERAGE('literature entries'!$D:$AI,IF($J315=1,"ACTIVE     CED, FARM GATE (MJ/kg)","CED, processor gate (MJ/kg)"),INDIRECT($W315)))</f>
        <v>27.337984848484844</v>
      </c>
      <c r="Z315" s="246">
        <f ca="1">IF($W315="DIRECT",$O315,DSTDEV('literature entries'!$D:$AI,IF($J315=1,"ACTIVE     CED, FARM GATE (MJ/kg)","CED, processor gate (MJ/kg)"),INDIRECT($W315)))</f>
        <v>11.446373044126648</v>
      </c>
      <c r="AA315" s="246">
        <f t="shared" ca="1" si="41"/>
        <v>10.247824534987215</v>
      </c>
      <c r="AB315" s="254" t="s">
        <v>2448</v>
      </c>
      <c r="AC315" s="247">
        <f ca="1">IF($AB315="DIRECT",Q315,DCOUNT('literature entries'!$D:$AI,IF($J315=1,"ACTIVE     GHGE, FARM GATE (kg CO2e/kg)","GHGE, processor gate (kg CO2e/kg)"),INDIRECT($AB315)))</f>
        <v>32</v>
      </c>
      <c r="AD315" s="247">
        <f ca="1">IF($AB315="DIRECT","",DAVERAGE('literature entries'!$D:$AI,IF($J315=1,"ACTIVE     GHGE, FARM GATE (kg CO2e/kg)","GHGE, processor gate (kg CO2e/kg)"),INDIRECT($AB315)))</f>
        <v>4.1878483887317701</v>
      </c>
      <c r="AE315" s="247">
        <f ca="1">IF($AB315="DIRECT",$S315,DSTDEV('literature entries'!$D:$AI,IF($J315=1,"ACTIVE     GHGE, FARM GATE (kg CO2e/kg)","GHGE, processor gate (kg CO2e/kg)"),INDIRECT($AB315)))</f>
        <v>2.3000746274481916</v>
      </c>
      <c r="AF315" s="247">
        <f t="shared" ca="1" si="42"/>
        <v>1.5547316615788709</v>
      </c>
    </row>
    <row r="316" spans="1:32" s="21" customFormat="1" ht="17" thickBot="1" x14ac:dyDescent="0.25">
      <c r="A316" s="129">
        <v>6000303000</v>
      </c>
      <c r="B316" s="130" t="s">
        <v>2215</v>
      </c>
      <c r="C316" s="131" t="s">
        <v>2216</v>
      </c>
      <c r="D316" s="131" t="s">
        <v>2217</v>
      </c>
      <c r="E316" s="131">
        <v>27</v>
      </c>
      <c r="F316" s="126">
        <f t="shared" ca="1" si="34"/>
        <v>24.475427350427349</v>
      </c>
      <c r="G316" s="127">
        <f t="shared" ca="1" si="35"/>
        <v>2.8307692307692305</v>
      </c>
      <c r="H316" s="132">
        <v>1</v>
      </c>
      <c r="I316" s="133" t="s">
        <v>594</v>
      </c>
      <c r="J316" s="91">
        <v>1</v>
      </c>
      <c r="K316" s="216"/>
      <c r="L316" s="152" t="str">
        <f>IF(ISERROR(GETPIVOTDATA(IF($J316=1,"Count of ACTIVE     CED, FARM GATE (MJ/kg)","Count of CED, processor gate (MJ/kg)"),'Pivot Table_CED'!$A$3,"SUB TYPE","Poultry, other")),"PROXY",IF(GETPIVOTDATA(IF($J316=1,"Count of ACTIVE     CED, FARM GATE (MJ/kg)","Count of CED, processor gate (MJ/kg)"),'Pivot Table_CED'!$A$3,"SUB TYPE","Poultry, other")=0,"PROXY","DB value"))</f>
        <v>DB value</v>
      </c>
      <c r="M316" s="134">
        <f ca="1">IF($L316="PROXY",DCOUNT('literature entries'!$D:$AI,IF($J316=1,"ACTIVE     CED, FARM GATE (MJ/kg)","CED, processor gate (MJ/kg)"),INDIRECT($K316)),GETPIVOTDATA(IF($J316=1,"Count of ACTIVE     CED, FARM GATE (MJ/kg)","Count of CED, processor gate (MJ/kg)"),'Pivot Table_CED'!$A$3,"SUB TYPE","Poultry, other"))</f>
        <v>4</v>
      </c>
      <c r="N316" s="135">
        <f ca="1">IF($L316="PROXY",DAVERAGE('literature entries'!$D:$AI,IF($J316=1,"ACTIVE     CED, FARM GATE (MJ/kg)","CED, processor gate (MJ/kg)"),INDIRECT($K316)),GETPIVOTDATA(IF($J316=1,"Average of ACTIVE     CED, FARM GATE (MJ/kg)","Average of CED, processor gate (MJ/kg)"),'Pivot Table_CED'!$A$3,"SUB TYPE","Poultry, other"))</f>
        <v>24.475427350427349</v>
      </c>
      <c r="O316" s="135">
        <f ca="1">IF($L316="PROXY",DSTDEV('literature entries'!D:AI,IF($J316=1,"ACTIVE     CED, FARM GATE (MJ/kg)","CED, processor gate (MJ/kg)"),INDIRECT($K316)),GETPIVOTDATA(IF($J316=1,"StdDev of ACTIVE     CED, FARM GATE (MJ/kg)","StdDev of CED, processor gate (MJ/kg)"),'Pivot Table_CED'!$A$3,"SUB TYPE","Poultry, other"))</f>
        <v>14.332624486190154</v>
      </c>
      <c r="P316" s="152" t="str">
        <f>IF(ISERROR(GETPIVOTDATA(IF($J316=1,"Count of ACTIVE     GHGE, FARM GATE (kg CO2e/kg)","Count of GHGE, processor gate (kg CO2e/kg)"),'Pivot Table_GHG'!$A$3,"SUB TYPE","Poultry, other")),"PROXY",IF(GETPIVOTDATA(IF($J316=1,"Count of ACTIVE     GHGE, FARM GATE (kg CO2e/kg)","Count of GHGE, processor gate (kg CO2e/kg)"),'Pivot Table_GHG'!$A$3,"SUB TYPE","Poultry, other")=0,"PROXY","DB value"))</f>
        <v>DB value</v>
      </c>
      <c r="Q316" s="141">
        <f ca="1">IF($P316="PROXY",DCOUNT('literature entries'!$D:$AI,IF($J316=1,"ACTIVE     GHGE, FARM GATE (kg CO2e/kg)","GHGE, processor gate (kg CO2e/kg)"),INDIRECT($K316)),GETPIVOTDATA(IF($J316=1,"ACTIVE     GHGE, FARM GATE (kg CO2e/kg)","Count of GHGE, processor gate (kg CO2e/kg)"),'Pivot Table_GHG'!$A$3,"SUB TYPE","Poultry, other"))</f>
        <v>5</v>
      </c>
      <c r="R316" s="221">
        <f ca="1">IF($P316="PROXY",DAVERAGE('literature entries'!$D:$AI,IF($J316=1,"ACTIVE     GHGE, FARM GATE (kg CO2e/kg)","GHGE, processor gate (kg CO2e/kg)"),INDIRECT($K316)),GETPIVOTDATA(IF($J316=1,"Average of ACTIVE     GHGE, FARM GATE (kg CO2e/kg)","Average of GHGE, processor gate (kg CO2e/kg)"),'Pivot Table_GHG'!$A$3,"SUB TYPE","Poultry, other"))</f>
        <v>2.8307692307692305</v>
      </c>
      <c r="S316" s="221">
        <f ca="1">IF($P316="PROXY",DSTDEV('literature entries'!$D:$AI,IF($J316=1,"ACTIVE     GHGE, FARM GATE (kg CO2e/kg)","GHGE, processor gate (kg CO2e/kg)"),INDIRECT($K316)),GETPIVOTDATA(IF($J316=1,"StdDev of ACTIVE     GHGE, FARM GATE (kg CO2e/kg)","StdDev of GHGE, processor gate (kg CO2e/kg)"),'Pivot Table_GHG'!$A$3,"SUB TYPE","Poultry, other"))</f>
        <v>1.1258001756541696</v>
      </c>
      <c r="T316" s="101"/>
      <c r="U316" s="102"/>
      <c r="W316" s="248" t="s">
        <v>2448</v>
      </c>
      <c r="X316" s="246">
        <f ca="1">IF($W316="DIRECT",M316,DCOUNT('literature entries'!$D:$AI,IF($J316=1,"ACTIVE     CED, FARM GATE (MJ/kg)","CED, processor gate (MJ/kg)"),INDIRECT($W316)))</f>
        <v>15</v>
      </c>
      <c r="Y316" s="246">
        <f ca="1">IF($W316="DIRECT","",DAVERAGE('literature entries'!$D:$AI,IF($J316=1,"ACTIVE     CED, FARM GATE (MJ/kg)","CED, processor gate (MJ/kg)"),INDIRECT($W316)))</f>
        <v>27.337984848484844</v>
      </c>
      <c r="Z316" s="246">
        <f ca="1">IF($W316="DIRECT",$O316,DSTDEV('literature entries'!$D:$AI,IF($J316=1,"ACTIVE     CED, FARM GATE (MJ/kg)","CED, processor gate (MJ/kg)"),INDIRECT($W316)))</f>
        <v>11.446373044126648</v>
      </c>
      <c r="AA316" s="246">
        <f t="shared" ca="1" si="41"/>
        <v>10.247824534987215</v>
      </c>
      <c r="AB316" s="254" t="s">
        <v>2448</v>
      </c>
      <c r="AC316" s="247">
        <f ca="1">IF($AB316="DIRECT",Q316,DCOUNT('literature entries'!$D:$AI,IF($J316=1,"ACTIVE     GHGE, FARM GATE (kg CO2e/kg)","GHGE, processor gate (kg CO2e/kg)"),INDIRECT($AB316)))</f>
        <v>32</v>
      </c>
      <c r="AD316" s="247">
        <f ca="1">IF($AB316="DIRECT","",DAVERAGE('literature entries'!$D:$AI,IF($J316=1,"ACTIVE     GHGE, FARM GATE (kg CO2e/kg)","GHGE, processor gate (kg CO2e/kg)"),INDIRECT($AB316)))</f>
        <v>4.1878483887317701</v>
      </c>
      <c r="AE316" s="247">
        <f ca="1">IF($AB316="DIRECT",$S316,DSTDEV('literature entries'!$D:$AI,IF($J316=1,"ACTIVE     GHGE, FARM GATE (kg CO2e/kg)","GHGE, processor gate (kg CO2e/kg)"),INDIRECT($AB316)))</f>
        <v>2.3000746274481916</v>
      </c>
      <c r="AF316" s="247">
        <f t="shared" ca="1" si="42"/>
        <v>1.5547316615788709</v>
      </c>
    </row>
    <row r="317" spans="1:32" s="21" customFormat="1" ht="17" thickBot="1" x14ac:dyDescent="0.25">
      <c r="A317" s="129">
        <v>6000304000</v>
      </c>
      <c r="B317" s="130" t="s">
        <v>2208</v>
      </c>
      <c r="C317" s="131" t="s">
        <v>2209</v>
      </c>
      <c r="D317" s="131" t="s">
        <v>2210</v>
      </c>
      <c r="E317" s="131">
        <v>107</v>
      </c>
      <c r="F317" s="126">
        <f t="shared" ca="1" si="34"/>
        <v>24.475427350427349</v>
      </c>
      <c r="G317" s="127">
        <f t="shared" ca="1" si="35"/>
        <v>2.8307692307692305</v>
      </c>
      <c r="H317" s="132">
        <v>1</v>
      </c>
      <c r="I317" s="133" t="s">
        <v>594</v>
      </c>
      <c r="J317" s="91">
        <v>1</v>
      </c>
      <c r="K317" s="216"/>
      <c r="L317" s="152" t="str">
        <f>IF(ISERROR(GETPIVOTDATA(IF($J317=1,"Count of ACTIVE     CED, FARM GATE (MJ/kg)","Count of CED, processor gate (MJ/kg)"),'Pivot Table_CED'!$A$3,"SUB TYPE","Poultry, other")),"PROXY",IF(GETPIVOTDATA(IF($J317=1,"Count of ACTIVE     CED, FARM GATE (MJ/kg)","Count of CED, processor gate (MJ/kg)"),'Pivot Table_CED'!$A$3,"SUB TYPE","Poultry, other")=0,"PROXY","DB value"))</f>
        <v>DB value</v>
      </c>
      <c r="M317" s="134">
        <f ca="1">IF($L317="PROXY",DCOUNT('literature entries'!$D:$AI,IF($J317=1,"ACTIVE     CED, FARM GATE (MJ/kg)","CED, processor gate (MJ/kg)"),INDIRECT($K317)),GETPIVOTDATA(IF($J317=1,"Count of ACTIVE     CED, FARM GATE (MJ/kg)","Count of CED, processor gate (MJ/kg)"),'Pivot Table_CED'!$A$3,"SUB TYPE","Poultry, other"))</f>
        <v>4</v>
      </c>
      <c r="N317" s="135">
        <f ca="1">IF($L317="PROXY",DAVERAGE('literature entries'!$D:$AI,IF($J317=1,"ACTIVE     CED, FARM GATE (MJ/kg)","CED, processor gate (MJ/kg)"),INDIRECT($K317)),GETPIVOTDATA(IF($J317=1,"Average of ACTIVE     CED, FARM GATE (MJ/kg)","Average of CED, processor gate (MJ/kg)"),'Pivot Table_CED'!$A$3,"SUB TYPE","Poultry, other"))</f>
        <v>24.475427350427349</v>
      </c>
      <c r="O317" s="135">
        <f ca="1">IF($L317="PROXY",DSTDEV('literature entries'!D:AI,IF($J317=1,"ACTIVE     CED, FARM GATE (MJ/kg)","CED, processor gate (MJ/kg)"),INDIRECT($K317)),GETPIVOTDATA(IF($J317=1,"StdDev of ACTIVE     CED, FARM GATE (MJ/kg)","StdDev of CED, processor gate (MJ/kg)"),'Pivot Table_CED'!$A$3,"SUB TYPE","Poultry, other"))</f>
        <v>14.332624486190154</v>
      </c>
      <c r="P317" s="152" t="str">
        <f>IF(ISERROR(GETPIVOTDATA(IF($J317=1,"Count of ACTIVE     GHGE, FARM GATE (kg CO2e/kg)","Count of GHGE, processor gate (kg CO2e/kg)"),'Pivot Table_GHG'!$A$3,"SUB TYPE","Poultry, other")),"PROXY",IF(GETPIVOTDATA(IF($J317=1,"Count of ACTIVE     GHGE, FARM GATE (kg CO2e/kg)","Count of GHGE, processor gate (kg CO2e/kg)"),'Pivot Table_GHG'!$A$3,"SUB TYPE","Poultry, other")=0,"PROXY","DB value"))</f>
        <v>DB value</v>
      </c>
      <c r="Q317" s="141">
        <f ca="1">IF($P317="PROXY",DCOUNT('literature entries'!$D:$AI,IF($J317=1,"ACTIVE     GHGE, FARM GATE (kg CO2e/kg)","GHGE, processor gate (kg CO2e/kg)"),INDIRECT($K317)),GETPIVOTDATA(IF($J317=1,"ACTIVE     GHGE, FARM GATE (kg CO2e/kg)","Count of GHGE, processor gate (kg CO2e/kg)"),'Pivot Table_GHG'!$A$3,"SUB TYPE","Poultry, other"))</f>
        <v>5</v>
      </c>
      <c r="R317" s="221">
        <f ca="1">IF($P317="PROXY",DAVERAGE('literature entries'!$D:$AI,IF($J317=1,"ACTIVE     GHGE, FARM GATE (kg CO2e/kg)","GHGE, processor gate (kg CO2e/kg)"),INDIRECT($K317)),GETPIVOTDATA(IF($J317=1,"Average of ACTIVE     GHGE, FARM GATE (kg CO2e/kg)","Average of GHGE, processor gate (kg CO2e/kg)"),'Pivot Table_GHG'!$A$3,"SUB TYPE","Poultry, other"))</f>
        <v>2.8307692307692305</v>
      </c>
      <c r="S317" s="221">
        <f ca="1">IF($P317="PROXY",DSTDEV('literature entries'!$D:$AI,IF($J317=1,"ACTIVE     GHGE, FARM GATE (kg CO2e/kg)","GHGE, processor gate (kg CO2e/kg)"),INDIRECT($K317)),GETPIVOTDATA(IF($J317=1,"StdDev of ACTIVE     GHGE, FARM GATE (kg CO2e/kg)","StdDev of GHGE, processor gate (kg CO2e/kg)"),'Pivot Table_GHG'!$A$3,"SUB TYPE","Poultry, other"))</f>
        <v>1.1258001756541696</v>
      </c>
      <c r="T317" s="101"/>
      <c r="U317" s="102"/>
      <c r="W317" s="248" t="s">
        <v>2448</v>
      </c>
      <c r="X317" s="246">
        <f ca="1">IF($W317="DIRECT",M317,DCOUNT('literature entries'!$D:$AI,IF($J317=1,"ACTIVE     CED, FARM GATE (MJ/kg)","CED, processor gate (MJ/kg)"),INDIRECT($W317)))</f>
        <v>15</v>
      </c>
      <c r="Y317" s="246">
        <f ca="1">IF($W317="DIRECT","",DAVERAGE('literature entries'!$D:$AI,IF($J317=1,"ACTIVE     CED, FARM GATE (MJ/kg)","CED, processor gate (MJ/kg)"),INDIRECT($W317)))</f>
        <v>27.337984848484844</v>
      </c>
      <c r="Z317" s="246">
        <f ca="1">IF($W317="DIRECT",$O317,DSTDEV('literature entries'!$D:$AI,IF($J317=1,"ACTIVE     CED, FARM GATE (MJ/kg)","CED, processor gate (MJ/kg)"),INDIRECT($W317)))</f>
        <v>11.446373044126648</v>
      </c>
      <c r="AA317" s="246">
        <f t="shared" ca="1" si="41"/>
        <v>10.247824534987215</v>
      </c>
      <c r="AB317" s="254" t="s">
        <v>2448</v>
      </c>
      <c r="AC317" s="247">
        <f ca="1">IF($AB317="DIRECT",Q317,DCOUNT('literature entries'!$D:$AI,IF($J317=1,"ACTIVE     GHGE, FARM GATE (kg CO2e/kg)","GHGE, processor gate (kg CO2e/kg)"),INDIRECT($AB317)))</f>
        <v>32</v>
      </c>
      <c r="AD317" s="247">
        <f ca="1">IF($AB317="DIRECT","",DAVERAGE('literature entries'!$D:$AI,IF($J317=1,"ACTIVE     GHGE, FARM GATE (kg CO2e/kg)","GHGE, processor gate (kg CO2e/kg)"),INDIRECT($AB317)))</f>
        <v>4.1878483887317701</v>
      </c>
      <c r="AE317" s="247">
        <f ca="1">IF($AB317="DIRECT",$S317,DSTDEV('literature entries'!$D:$AI,IF($J317=1,"ACTIVE     GHGE, FARM GATE (kg CO2e/kg)","GHGE, processor gate (kg CO2e/kg)"),INDIRECT($AB317)))</f>
        <v>2.3000746274481916</v>
      </c>
      <c r="AF317" s="247">
        <f t="shared" ca="1" si="42"/>
        <v>1.5547316615788709</v>
      </c>
    </row>
    <row r="318" spans="1:32" s="21" customFormat="1" ht="17" thickBot="1" x14ac:dyDescent="0.25">
      <c r="A318" s="129">
        <v>6000305000</v>
      </c>
      <c r="B318" s="130" t="s">
        <v>2218</v>
      </c>
      <c r="C318" s="131" t="s">
        <v>2209</v>
      </c>
      <c r="D318" s="131" t="s">
        <v>2210</v>
      </c>
      <c r="E318" s="131">
        <v>16</v>
      </c>
      <c r="F318" s="126">
        <f t="shared" ca="1" si="34"/>
        <v>24.475427350427349</v>
      </c>
      <c r="G318" s="127">
        <f t="shared" ca="1" si="35"/>
        <v>2.8307692307692305</v>
      </c>
      <c r="H318" s="132">
        <v>1</v>
      </c>
      <c r="I318" s="133" t="s">
        <v>594</v>
      </c>
      <c r="J318" s="91">
        <v>1</v>
      </c>
      <c r="K318" s="216"/>
      <c r="L318" s="152" t="str">
        <f>IF(ISERROR(GETPIVOTDATA(IF($J318=1,"Count of ACTIVE     CED, FARM GATE (MJ/kg)","Count of CED, processor gate (MJ/kg)"),'Pivot Table_CED'!$A$3,"SUB TYPE","Poultry, other")),"PROXY",IF(GETPIVOTDATA(IF($J318=1,"Count of ACTIVE     CED, FARM GATE (MJ/kg)","Count of CED, processor gate (MJ/kg)"),'Pivot Table_CED'!$A$3,"SUB TYPE","Poultry, other")=0,"PROXY","DB value"))</f>
        <v>DB value</v>
      </c>
      <c r="M318" s="134">
        <f ca="1">IF($L318="PROXY",DCOUNT('literature entries'!$D:$AI,IF($J318=1,"ACTIVE     CED, FARM GATE (MJ/kg)","CED, processor gate (MJ/kg)"),INDIRECT($K318)),GETPIVOTDATA(IF($J318=1,"Count of ACTIVE     CED, FARM GATE (MJ/kg)","Count of CED, processor gate (MJ/kg)"),'Pivot Table_CED'!$A$3,"SUB TYPE","Poultry, other"))</f>
        <v>4</v>
      </c>
      <c r="N318" s="135">
        <f ca="1">IF($L318="PROXY",DAVERAGE('literature entries'!$D:$AI,IF($J318=1,"ACTIVE     CED, FARM GATE (MJ/kg)","CED, processor gate (MJ/kg)"),INDIRECT($K318)),GETPIVOTDATA(IF($J318=1,"Average of ACTIVE     CED, FARM GATE (MJ/kg)","Average of CED, processor gate (MJ/kg)"),'Pivot Table_CED'!$A$3,"SUB TYPE","Poultry, other"))</f>
        <v>24.475427350427349</v>
      </c>
      <c r="O318" s="135">
        <f ca="1">IF($L318="PROXY",DSTDEV('literature entries'!D:AI,IF($J318=1,"ACTIVE     CED, FARM GATE (MJ/kg)","CED, processor gate (MJ/kg)"),INDIRECT($K318)),GETPIVOTDATA(IF($J318=1,"StdDev of ACTIVE     CED, FARM GATE (MJ/kg)","StdDev of CED, processor gate (MJ/kg)"),'Pivot Table_CED'!$A$3,"SUB TYPE","Poultry, other"))</f>
        <v>14.332624486190154</v>
      </c>
      <c r="P318" s="152" t="str">
        <f>IF(ISERROR(GETPIVOTDATA(IF($J318=1,"Count of ACTIVE     GHGE, FARM GATE (kg CO2e/kg)","Count of GHGE, processor gate (kg CO2e/kg)"),'Pivot Table_GHG'!$A$3,"SUB TYPE","Poultry, other")),"PROXY",IF(GETPIVOTDATA(IF($J318=1,"Count of ACTIVE     GHGE, FARM GATE (kg CO2e/kg)","Count of GHGE, processor gate (kg CO2e/kg)"),'Pivot Table_GHG'!$A$3,"SUB TYPE","Poultry, other")=0,"PROXY","DB value"))</f>
        <v>DB value</v>
      </c>
      <c r="Q318" s="141">
        <f ca="1">IF($P318="PROXY",DCOUNT('literature entries'!$D:$AI,IF($J318=1,"ACTIVE     GHGE, FARM GATE (kg CO2e/kg)","GHGE, processor gate (kg CO2e/kg)"),INDIRECT($K318)),GETPIVOTDATA(IF($J318=1,"ACTIVE     GHGE, FARM GATE (kg CO2e/kg)","Count of GHGE, processor gate (kg CO2e/kg)"),'Pivot Table_GHG'!$A$3,"SUB TYPE","Poultry, other"))</f>
        <v>5</v>
      </c>
      <c r="R318" s="221">
        <f ca="1">IF($P318="PROXY",DAVERAGE('literature entries'!$D:$AI,IF($J318=1,"ACTIVE     GHGE, FARM GATE (kg CO2e/kg)","GHGE, processor gate (kg CO2e/kg)"),INDIRECT($K318)),GETPIVOTDATA(IF($J318=1,"Average of ACTIVE     GHGE, FARM GATE (kg CO2e/kg)","Average of GHGE, processor gate (kg CO2e/kg)"),'Pivot Table_GHG'!$A$3,"SUB TYPE","Poultry, other"))</f>
        <v>2.8307692307692305</v>
      </c>
      <c r="S318" s="221">
        <f ca="1">IF($P318="PROXY",DSTDEV('literature entries'!$D:$AI,IF($J318=1,"ACTIVE     GHGE, FARM GATE (kg CO2e/kg)","GHGE, processor gate (kg CO2e/kg)"),INDIRECT($K318)),GETPIVOTDATA(IF($J318=1,"StdDev of ACTIVE     GHGE, FARM GATE (kg CO2e/kg)","StdDev of GHGE, processor gate (kg CO2e/kg)"),'Pivot Table_GHG'!$A$3,"SUB TYPE","Poultry, other"))</f>
        <v>1.1258001756541696</v>
      </c>
      <c r="T318" s="101"/>
      <c r="U318" s="102"/>
      <c r="W318" s="248" t="s">
        <v>2448</v>
      </c>
      <c r="X318" s="246">
        <f ca="1">IF($W318="DIRECT",M318,DCOUNT('literature entries'!$D:$AI,IF($J318=1,"ACTIVE     CED, FARM GATE (MJ/kg)","CED, processor gate (MJ/kg)"),INDIRECT($W318)))</f>
        <v>15</v>
      </c>
      <c r="Y318" s="246">
        <f ca="1">IF($W318="DIRECT","",DAVERAGE('literature entries'!$D:$AI,IF($J318=1,"ACTIVE     CED, FARM GATE (MJ/kg)","CED, processor gate (MJ/kg)"),INDIRECT($W318)))</f>
        <v>27.337984848484844</v>
      </c>
      <c r="Z318" s="246">
        <f ca="1">IF($W318="DIRECT",$O318,DSTDEV('literature entries'!$D:$AI,IF($J318=1,"ACTIVE     CED, FARM GATE (MJ/kg)","CED, processor gate (MJ/kg)"),INDIRECT($W318)))</f>
        <v>11.446373044126648</v>
      </c>
      <c r="AA318" s="246">
        <f t="shared" ca="1" si="41"/>
        <v>10.247824534987215</v>
      </c>
      <c r="AB318" s="254" t="s">
        <v>2448</v>
      </c>
      <c r="AC318" s="247">
        <f ca="1">IF($AB318="DIRECT",Q318,DCOUNT('literature entries'!$D:$AI,IF($J318=1,"ACTIVE     GHGE, FARM GATE (kg CO2e/kg)","GHGE, processor gate (kg CO2e/kg)"),INDIRECT($AB318)))</f>
        <v>32</v>
      </c>
      <c r="AD318" s="247">
        <f ca="1">IF($AB318="DIRECT","",DAVERAGE('literature entries'!$D:$AI,IF($J318=1,"ACTIVE     GHGE, FARM GATE (kg CO2e/kg)","GHGE, processor gate (kg CO2e/kg)"),INDIRECT($AB318)))</f>
        <v>4.1878483887317701</v>
      </c>
      <c r="AE318" s="247">
        <f ca="1">IF($AB318="DIRECT",$S318,DSTDEV('literature entries'!$D:$AI,IF($J318=1,"ACTIVE     GHGE, FARM GATE (kg CO2e/kg)","GHGE, processor gate (kg CO2e/kg)"),INDIRECT($AB318)))</f>
        <v>2.3000746274481916</v>
      </c>
      <c r="AF318" s="247">
        <f t="shared" ca="1" si="42"/>
        <v>1.5547316615788709</v>
      </c>
    </row>
    <row r="319" spans="1:32" s="21" customFormat="1" thickBot="1" x14ac:dyDescent="0.25">
      <c r="A319" s="129">
        <v>7000145000</v>
      </c>
      <c r="B319" s="130" t="s">
        <v>1969</v>
      </c>
      <c r="C319" s="131" t="s">
        <v>1970</v>
      </c>
      <c r="D319" s="131"/>
      <c r="E319" s="131">
        <v>33670</v>
      </c>
      <c r="F319" s="126">
        <f t="shared" ca="1" si="34"/>
        <v>23.001779999999997</v>
      </c>
      <c r="G319" s="127">
        <f t="shared" ca="1" si="35"/>
        <v>3.7540655999999992</v>
      </c>
      <c r="H319" s="132">
        <v>1.1399999999999999</v>
      </c>
      <c r="I319" s="132" t="s">
        <v>2724</v>
      </c>
      <c r="J319" s="91">
        <v>1</v>
      </c>
      <c r="K319" s="216"/>
      <c r="L319" s="152" t="str">
        <f>IF(ISERROR(GETPIVOTDATA(IF($J319=1,"Count of ACTIVE     CED, FARM GATE (MJ/kg)","Count of CED, processor gate (MJ/kg)"),'Pivot Table_CED'!$A$3,"SUB TYPE","Eggs, chicken")),"PROXY",IF(GETPIVOTDATA(IF($J319=1,"Count of ACTIVE     CED, FARM GATE (MJ/kg)","Count of CED, processor gate (MJ/kg)"),'Pivot Table_CED'!$A$3,"SUB TYPE","Eggs, chicken")=0,"PROXY","DB value"))</f>
        <v>DB value</v>
      </c>
      <c r="M319" s="134">
        <f ca="1">IF($L319="PROXY",DCOUNT('literature entries'!$D:$AI,IF($J319=1,"ACTIVE     CED, FARM GATE (MJ/kg)","CED, processor gate (MJ/kg)"),INDIRECT($K319)),GETPIVOTDATA(IF($J319=1,"Count of ACTIVE     CED, FARM GATE (MJ/kg)","Count of CED, processor gate (MJ/kg)"),'Pivot Table_CED'!$A$3,"SUB TYPE","Eggs, chicken"))</f>
        <v>10</v>
      </c>
      <c r="N319" s="135">
        <f ca="1">IF($L319="PROXY",DAVERAGE('literature entries'!$D:$AI,IF($J319=1,"ACTIVE     CED, FARM GATE (MJ/kg)","CED, processor gate (MJ/kg)"),INDIRECT($K319)),GETPIVOTDATA(IF($J319=1,"Average of ACTIVE     CED, FARM GATE (MJ/kg)","Average of CED, processor gate (MJ/kg)"),'Pivot Table_CED'!$A$3,"SUB TYPE","Eggs, chicken"))</f>
        <v>20.177</v>
      </c>
      <c r="O319" s="135">
        <f ca="1">IF($L319="PROXY",DSTDEV('literature entries'!D:AI,IF($J319=1,"ACTIVE     CED, FARM GATE (MJ/kg)","CED, processor gate (MJ/kg)"),INDIRECT($K319)),GETPIVOTDATA(IF($J319=1,"StdDev of ACTIVE     CED, FARM GATE (MJ/kg)","StdDev of CED, processor gate (MJ/kg)"),'Pivot Table_CED'!$A$3,"SUB TYPE","Eggs, chicken"))</f>
        <v>4.1586270437355752</v>
      </c>
      <c r="P319" s="152" t="str">
        <f>IF(ISERROR(GETPIVOTDATA(IF($J319=1,"Count of ACTIVE     GHGE, FARM GATE (kg CO2e/kg)","Count of GHGE, processor gate (kg CO2e/kg)"),'Pivot Table_GHG'!$A$3,"SUB TYPE","Eggs, chicken")),"PROXY",IF(GETPIVOTDATA(IF($J319=1,"Count of ACTIVE     GHGE, FARM GATE (kg CO2e/kg)","Count of GHGE, processor gate (kg CO2e/kg)"),'Pivot Table_GHG'!$A$3,"SUB TYPE","Eggs, chicken")=0,"PROXY","DB value"))</f>
        <v>DB value</v>
      </c>
      <c r="Q319" s="141">
        <f ca="1">IF($P319="PROXY",DCOUNT('literature entries'!$D:$AI,IF($J319=1,"ACTIVE     GHGE, FARM GATE (kg CO2e/kg)","GHGE, processor gate (kg CO2e/kg)"),INDIRECT($K319)),GETPIVOTDATA(IF($J319=1,"ACTIVE     GHGE, FARM GATE (kg CO2e/kg)","Count of GHGE, processor gate (kg CO2e/kg)"),'Pivot Table_GHG'!$A$3,"SUB TYPE","Eggs, chicken"))</f>
        <v>25</v>
      </c>
      <c r="R319" s="221">
        <f ca="1">IF($P319="PROXY",DAVERAGE('literature entries'!$D:$AI,IF($J319=1,"ACTIVE     GHGE, FARM GATE (kg CO2e/kg)","GHGE, processor gate (kg CO2e/kg)"),INDIRECT($K319)),GETPIVOTDATA(IF($J319=1,"Average of ACTIVE     GHGE, FARM GATE (kg CO2e/kg)","Average of GHGE, processor gate (kg CO2e/kg)"),'Pivot Table_GHG'!$A$3,"SUB TYPE","Eggs, chicken"))</f>
        <v>3.2930399999999995</v>
      </c>
      <c r="S319" s="221">
        <f ca="1">IF($P319="PROXY",DSTDEV('literature entries'!$D:$AI,IF($J319=1,"ACTIVE     GHGE, FARM GATE (kg CO2e/kg)","GHGE, processor gate (kg CO2e/kg)"),INDIRECT($K319)),GETPIVOTDATA(IF($J319=1,"StdDev of ACTIVE     GHGE, FARM GATE (kg CO2e/kg)","StdDev of GHGE, processor gate (kg CO2e/kg)"),'Pivot Table_GHG'!$A$3,"SUB TYPE","Eggs, chicken"))</f>
        <v>1.6360912128199545</v>
      </c>
      <c r="T319" s="101"/>
      <c r="U319" s="102"/>
      <c r="W319" s="248" t="str">
        <f ca="1">IF(L319="PROXY",IF(M319&gt;=5,K319,"need group"),IF(M319&gt;=5,"DIRECT","need group"))</f>
        <v>DIRECT</v>
      </c>
      <c r="X319" s="246">
        <f ca="1">IF($W319="DIRECT",M319,DCOUNT('literature entries'!$D:$AI,IF($J319=1,"ACTIVE     CED, FARM GATE (MJ/kg)","CED, processor gate (MJ/kg)"),INDIRECT($W319)))</f>
        <v>10</v>
      </c>
      <c r="Y319" s="246" t="str">
        <f ca="1">IF($W319="DIRECT","",DAVERAGE('literature entries'!$D:$AI,IF($J319=1,"ACTIVE     CED, FARM GATE (MJ/kg)","CED, processor gate (MJ/kg)"),INDIRECT($W319)))</f>
        <v/>
      </c>
      <c r="Z319" s="246">
        <f ca="1">IF($W319="DIRECT",$O319,DSTDEV('literature entries'!$D:$AI,IF($J319=1,"ACTIVE     CED, FARM GATE (MJ/kg)","CED, processor gate (MJ/kg)"),INDIRECT($W319)))</f>
        <v>4.1586270437355752</v>
      </c>
      <c r="AA319" s="246">
        <f t="shared" ca="1" si="41"/>
        <v>4.1586270437355752</v>
      </c>
      <c r="AB319" s="254" t="str">
        <f ca="1">IF(P319="PROXY",IF(Q319&gt;=5,K319,"need group"),IF(Q319&gt;=5,"DIRECT","need group"))</f>
        <v>DIRECT</v>
      </c>
      <c r="AC319" s="247">
        <f ca="1">IF($AB319="DIRECT",Q319,DCOUNT('literature entries'!$D:$AI,IF($J319=1,"ACTIVE     GHGE, FARM GATE (kg CO2e/kg)","GHGE, processor gate (kg CO2e/kg)"),INDIRECT($AB319)))</f>
        <v>25</v>
      </c>
      <c r="AD319" s="247" t="str">
        <f ca="1">IF($AB319="DIRECT","",DAVERAGE('literature entries'!$D:$AI,IF($J319=1,"ACTIVE     GHGE, FARM GATE (kg CO2e/kg)","GHGE, processor gate (kg CO2e/kg)"),INDIRECT($AB319)))</f>
        <v/>
      </c>
      <c r="AE319" s="247">
        <f ca="1">IF($AB319="DIRECT",$S319,DSTDEV('literature entries'!$D:$AI,IF($J319=1,"ACTIVE     GHGE, FARM GATE (kg CO2e/kg)","GHGE, processor gate (kg CO2e/kg)"),INDIRECT($AB319)))</f>
        <v>1.6360912128199545</v>
      </c>
      <c r="AF319" s="247">
        <f t="shared" ca="1" si="42"/>
        <v>1.6360912128199545</v>
      </c>
    </row>
    <row r="320" spans="1:32" s="21" customFormat="1" ht="17" thickBot="1" x14ac:dyDescent="0.25">
      <c r="A320" s="129">
        <v>7000146000</v>
      </c>
      <c r="B320" s="130" t="s">
        <v>1967</v>
      </c>
      <c r="C320" s="131" t="s">
        <v>1968</v>
      </c>
      <c r="D320" s="131"/>
      <c r="E320" s="131">
        <v>19255</v>
      </c>
      <c r="F320" s="126">
        <f t="shared" ca="1" si="34"/>
        <v>23.001779999999997</v>
      </c>
      <c r="G320" s="127">
        <f t="shared" ca="1" si="35"/>
        <v>3.7540655999999992</v>
      </c>
      <c r="H320" s="132">
        <v>1.1399999999999999</v>
      </c>
      <c r="I320" s="133" t="s">
        <v>2724</v>
      </c>
      <c r="J320" s="91">
        <v>1</v>
      </c>
      <c r="K320" s="216"/>
      <c r="L320" s="152" t="str">
        <f>IF(ISERROR(GETPIVOTDATA(IF($J320=1,"Count of ACTIVE     CED, FARM GATE (MJ/kg)","Count of CED, processor gate (MJ/kg)"),'Pivot Table_CED'!$A$3,"SUB TYPE","Eggs, chicken")),"PROXY",IF(GETPIVOTDATA(IF($J320=1,"Count of ACTIVE     CED, FARM GATE (MJ/kg)","Count of CED, processor gate (MJ/kg)"),'Pivot Table_CED'!$A$3,"SUB TYPE","Eggs, chicken")=0,"PROXY","DB value"))</f>
        <v>DB value</v>
      </c>
      <c r="M320" s="134">
        <f ca="1">IF($L320="PROXY",DCOUNT('literature entries'!$D:$AI,IF($J320=1,"ACTIVE     CED, FARM GATE (MJ/kg)","CED, processor gate (MJ/kg)"),INDIRECT($K320)),GETPIVOTDATA(IF($J320=1,"Count of ACTIVE     CED, FARM GATE (MJ/kg)","Count of CED, processor gate (MJ/kg)"),'Pivot Table_CED'!$A$3,"SUB TYPE","Eggs, chicken"))</f>
        <v>10</v>
      </c>
      <c r="N320" s="135">
        <f ca="1">IF($L320="PROXY",DAVERAGE('literature entries'!$D:$AI,IF($J320=1,"ACTIVE     CED, FARM GATE (MJ/kg)","CED, processor gate (MJ/kg)"),INDIRECT($K320)),GETPIVOTDATA(IF($J320=1,"Average of ACTIVE     CED, FARM GATE (MJ/kg)","Average of CED, processor gate (MJ/kg)"),'Pivot Table_CED'!$A$3,"SUB TYPE","Eggs, chicken"))</f>
        <v>20.177</v>
      </c>
      <c r="O320" s="135">
        <f ca="1">IF($L320="PROXY",DSTDEV('literature entries'!D:AI,IF($J320=1,"ACTIVE     CED, FARM GATE (MJ/kg)","CED, processor gate (MJ/kg)"),INDIRECT($K320)),GETPIVOTDATA(IF($J320=1,"StdDev of ACTIVE     CED, FARM GATE (MJ/kg)","StdDev of CED, processor gate (MJ/kg)"),'Pivot Table_CED'!$A$3,"SUB TYPE","Eggs, chicken"))</f>
        <v>4.1586270437355752</v>
      </c>
      <c r="P320" s="152" t="str">
        <f>IF(ISERROR(GETPIVOTDATA(IF($J320=1,"Count of ACTIVE     GHGE, FARM GATE (kg CO2e/kg)","Count of GHGE, processor gate (kg CO2e/kg)"),'Pivot Table_GHG'!$A$3,"SUB TYPE","Eggs, chicken")),"PROXY",IF(GETPIVOTDATA(IF($J320=1,"Count of ACTIVE     GHGE, FARM GATE (kg CO2e/kg)","Count of GHGE, processor gate (kg CO2e/kg)"),'Pivot Table_GHG'!$A$3,"SUB TYPE","Eggs, chicken")=0,"PROXY","DB value"))</f>
        <v>DB value</v>
      </c>
      <c r="Q320" s="141">
        <f ca="1">IF($P320="PROXY",DCOUNT('literature entries'!$D:$AI,IF($J320=1,"ACTIVE     GHGE, FARM GATE (kg CO2e/kg)","GHGE, processor gate (kg CO2e/kg)"),INDIRECT($K320)),GETPIVOTDATA(IF($J320=1,"ACTIVE     GHGE, FARM GATE (kg CO2e/kg)","Count of GHGE, processor gate (kg CO2e/kg)"),'Pivot Table_GHG'!$A$3,"SUB TYPE","Eggs, chicken"))</f>
        <v>25</v>
      </c>
      <c r="R320" s="221">
        <f ca="1">IF($P320="PROXY",DAVERAGE('literature entries'!$D:$AI,IF($J320=1,"ACTIVE     GHGE, FARM GATE (kg CO2e/kg)","GHGE, processor gate (kg CO2e/kg)"),INDIRECT($K320)),GETPIVOTDATA(IF($J320=1,"Average of ACTIVE     GHGE, FARM GATE (kg CO2e/kg)","Average of GHGE, processor gate (kg CO2e/kg)"),'Pivot Table_GHG'!$A$3,"SUB TYPE","Eggs, chicken"))</f>
        <v>3.2930399999999995</v>
      </c>
      <c r="S320" s="221">
        <f ca="1">IF($P320="PROXY",DSTDEV('literature entries'!$D:$AI,IF($J320=1,"ACTIVE     GHGE, FARM GATE (kg CO2e/kg)","GHGE, processor gate (kg CO2e/kg)"),INDIRECT($K320)),GETPIVOTDATA(IF($J320=1,"StdDev of ACTIVE     GHGE, FARM GATE (kg CO2e/kg)","StdDev of GHGE, processor gate (kg CO2e/kg)"),'Pivot Table_GHG'!$A$3,"SUB TYPE","Eggs, chicken"))</f>
        <v>1.6360912128199545</v>
      </c>
      <c r="T320" s="101"/>
      <c r="U320" s="102"/>
      <c r="W320" s="248" t="str">
        <f ca="1">IF(L320="PROXY",IF(M320&gt;=5,K320,"need group"),IF(M320&gt;=5,"DIRECT","need group"))</f>
        <v>DIRECT</v>
      </c>
      <c r="X320" s="246">
        <f ca="1">IF($W320="DIRECT",M320,DCOUNT('literature entries'!$D:$AI,IF($J320=1,"ACTIVE     CED, FARM GATE (MJ/kg)","CED, processor gate (MJ/kg)"),INDIRECT($W320)))</f>
        <v>10</v>
      </c>
      <c r="Y320" s="246" t="str">
        <f ca="1">IF($W320="DIRECT","",DAVERAGE('literature entries'!$D:$AI,IF($J320=1,"ACTIVE     CED, FARM GATE (MJ/kg)","CED, processor gate (MJ/kg)"),INDIRECT($W320)))</f>
        <v/>
      </c>
      <c r="Z320" s="246">
        <f ca="1">IF($W320="DIRECT",$O320,DSTDEV('literature entries'!$D:$AI,IF($J320=1,"ACTIVE     CED, FARM GATE (MJ/kg)","CED, processor gate (MJ/kg)"),INDIRECT($W320)))</f>
        <v>4.1586270437355752</v>
      </c>
      <c r="AA320" s="246">
        <f t="shared" ca="1" si="41"/>
        <v>4.1586270437355752</v>
      </c>
      <c r="AB320" s="254" t="str">
        <f ca="1">IF(P320="PROXY",IF(Q320&gt;=5,K320,"need group"),IF(Q320&gt;=5,"DIRECT","need group"))</f>
        <v>DIRECT</v>
      </c>
      <c r="AC320" s="247">
        <f ca="1">IF($AB320="DIRECT",Q320,DCOUNT('literature entries'!$D:$AI,IF($J320=1,"ACTIVE     GHGE, FARM GATE (kg CO2e/kg)","GHGE, processor gate (kg CO2e/kg)"),INDIRECT($AB320)))</f>
        <v>25</v>
      </c>
      <c r="AD320" s="247" t="str">
        <f ca="1">IF($AB320="DIRECT","",DAVERAGE('literature entries'!$D:$AI,IF($J320=1,"ACTIVE     GHGE, FARM GATE (kg CO2e/kg)","GHGE, processor gate (kg CO2e/kg)"),INDIRECT($AB320)))</f>
        <v/>
      </c>
      <c r="AE320" s="247">
        <f ca="1">IF($AB320="DIRECT",$S320,DSTDEV('literature entries'!$D:$AI,IF($J320=1,"ACTIVE     GHGE, FARM GATE (kg CO2e/kg)","GHGE, processor gate (kg CO2e/kg)"),INDIRECT($AB320)))</f>
        <v>1.6360912128199545</v>
      </c>
      <c r="AF320" s="247">
        <f t="shared" ca="1" si="42"/>
        <v>1.6360912128199545</v>
      </c>
    </row>
    <row r="321" spans="1:32" s="21" customFormat="1" ht="17" thickBot="1" x14ac:dyDescent="0.25">
      <c r="A321" s="129">
        <v>7000147000</v>
      </c>
      <c r="B321" s="130" t="s">
        <v>1971</v>
      </c>
      <c r="C321" s="131" t="s">
        <v>1972</v>
      </c>
      <c r="D321" s="131"/>
      <c r="E321" s="131">
        <v>17943</v>
      </c>
      <c r="F321" s="126">
        <f t="shared" ca="1" si="34"/>
        <v>23.001779999999997</v>
      </c>
      <c r="G321" s="127">
        <f t="shared" ca="1" si="35"/>
        <v>3.7540655999999992</v>
      </c>
      <c r="H321" s="132">
        <v>1.1399999999999999</v>
      </c>
      <c r="I321" s="133" t="s">
        <v>2724</v>
      </c>
      <c r="J321" s="91">
        <v>1</v>
      </c>
      <c r="K321" s="216"/>
      <c r="L321" s="152" t="str">
        <f>IF(ISERROR(GETPIVOTDATA(IF($J321=1,"Count of ACTIVE     CED, FARM GATE (MJ/kg)","Count of CED, processor gate (MJ/kg)"),'Pivot Table_CED'!$A$3,"SUB TYPE","Eggs, chicken")),"PROXY",IF(GETPIVOTDATA(IF($J321=1,"Count of ACTIVE     CED, FARM GATE (MJ/kg)","Count of CED, processor gate (MJ/kg)"),'Pivot Table_CED'!$A$3,"SUB TYPE","Eggs, chicken")=0,"PROXY","DB value"))</f>
        <v>DB value</v>
      </c>
      <c r="M321" s="134">
        <f ca="1">IF($L321="PROXY",DCOUNT('literature entries'!$D:$AI,IF($J321=1,"ACTIVE     CED, FARM GATE (MJ/kg)","CED, processor gate (MJ/kg)"),INDIRECT($K321)),GETPIVOTDATA(IF($J321=1,"Count of ACTIVE     CED, FARM GATE (MJ/kg)","Count of CED, processor gate (MJ/kg)"),'Pivot Table_CED'!$A$3,"SUB TYPE","Eggs, chicken"))</f>
        <v>10</v>
      </c>
      <c r="N321" s="135">
        <f ca="1">IF($L321="PROXY",DAVERAGE('literature entries'!$D:$AI,IF($J321=1,"ACTIVE     CED, FARM GATE (MJ/kg)","CED, processor gate (MJ/kg)"),INDIRECT($K321)),GETPIVOTDATA(IF($J321=1,"Average of ACTIVE     CED, FARM GATE (MJ/kg)","Average of CED, processor gate (MJ/kg)"),'Pivot Table_CED'!$A$3,"SUB TYPE","Eggs, chicken"))</f>
        <v>20.177</v>
      </c>
      <c r="O321" s="135">
        <f ca="1">IF($L321="PROXY",DSTDEV('literature entries'!D:AI,IF($J321=1,"ACTIVE     CED, FARM GATE (MJ/kg)","CED, processor gate (MJ/kg)"),INDIRECT($K321)),GETPIVOTDATA(IF($J321=1,"StdDev of ACTIVE     CED, FARM GATE (MJ/kg)","StdDev of CED, processor gate (MJ/kg)"),'Pivot Table_CED'!$A$3,"SUB TYPE","Eggs, chicken"))</f>
        <v>4.1586270437355752</v>
      </c>
      <c r="P321" s="152" t="str">
        <f>IF(ISERROR(GETPIVOTDATA(IF($J321=1,"Count of ACTIVE     GHGE, FARM GATE (kg CO2e/kg)","Count of GHGE, processor gate (kg CO2e/kg)"),'Pivot Table_GHG'!$A$3,"SUB TYPE","Eggs, chicken")),"PROXY",IF(GETPIVOTDATA(IF($J321=1,"Count of ACTIVE     GHGE, FARM GATE (kg CO2e/kg)","Count of GHGE, processor gate (kg CO2e/kg)"),'Pivot Table_GHG'!$A$3,"SUB TYPE","Eggs, chicken")=0,"PROXY","DB value"))</f>
        <v>DB value</v>
      </c>
      <c r="Q321" s="141">
        <f ca="1">IF($P321="PROXY",DCOUNT('literature entries'!$D:$AI,IF($J321=1,"ACTIVE     GHGE, FARM GATE (kg CO2e/kg)","GHGE, processor gate (kg CO2e/kg)"),INDIRECT($K321)),GETPIVOTDATA(IF($J321=1,"ACTIVE     GHGE, FARM GATE (kg CO2e/kg)","Count of GHGE, processor gate (kg CO2e/kg)"),'Pivot Table_GHG'!$A$3,"SUB TYPE","Eggs, chicken"))</f>
        <v>25</v>
      </c>
      <c r="R321" s="221">
        <f ca="1">IF($P321="PROXY",DAVERAGE('literature entries'!$D:$AI,IF($J321=1,"ACTIVE     GHGE, FARM GATE (kg CO2e/kg)","GHGE, processor gate (kg CO2e/kg)"),INDIRECT($K321)),GETPIVOTDATA(IF($J321=1,"Average of ACTIVE     GHGE, FARM GATE (kg CO2e/kg)","Average of GHGE, processor gate (kg CO2e/kg)"),'Pivot Table_GHG'!$A$3,"SUB TYPE","Eggs, chicken"))</f>
        <v>3.2930399999999995</v>
      </c>
      <c r="S321" s="221">
        <f ca="1">IF($P321="PROXY",DSTDEV('literature entries'!$D:$AI,IF($J321=1,"ACTIVE     GHGE, FARM GATE (kg CO2e/kg)","GHGE, processor gate (kg CO2e/kg)"),INDIRECT($K321)),GETPIVOTDATA(IF($J321=1,"StdDev of ACTIVE     GHGE, FARM GATE (kg CO2e/kg)","StdDev of GHGE, processor gate (kg CO2e/kg)"),'Pivot Table_GHG'!$A$3,"SUB TYPE","Eggs, chicken"))</f>
        <v>1.6360912128199545</v>
      </c>
      <c r="T321" s="101"/>
      <c r="U321" s="102"/>
      <c r="W321" s="248" t="str">
        <f ca="1">IF(L321="PROXY",IF(M321&gt;=5,K321,"need group"),IF(M321&gt;=5,"DIRECT","need group"))</f>
        <v>DIRECT</v>
      </c>
      <c r="X321" s="246">
        <f ca="1">IF($W321="DIRECT",M321,DCOUNT('literature entries'!$D:$AI,IF($J321=1,"ACTIVE     CED, FARM GATE (MJ/kg)","CED, processor gate (MJ/kg)"),INDIRECT($W321)))</f>
        <v>10</v>
      </c>
      <c r="Y321" s="246" t="str">
        <f ca="1">IF($W321="DIRECT","",DAVERAGE('literature entries'!$D:$AI,IF($J321=1,"ACTIVE     CED, FARM GATE (MJ/kg)","CED, processor gate (MJ/kg)"),INDIRECT($W321)))</f>
        <v/>
      </c>
      <c r="Z321" s="246">
        <f ca="1">IF($W321="DIRECT",$O321,DSTDEV('literature entries'!$D:$AI,IF($J321=1,"ACTIVE     CED, FARM GATE (MJ/kg)","CED, processor gate (MJ/kg)"),INDIRECT($W321)))</f>
        <v>4.1586270437355752</v>
      </c>
      <c r="AA321" s="246">
        <f t="shared" ca="1" si="41"/>
        <v>4.1586270437355752</v>
      </c>
      <c r="AB321" s="254" t="str">
        <f ca="1">IF(P321="PROXY",IF(Q321&gt;=5,K321,"need group"),IF(Q321&gt;=5,"DIRECT","need group"))</f>
        <v>DIRECT</v>
      </c>
      <c r="AC321" s="247">
        <f ca="1">IF($AB321="DIRECT",Q321,DCOUNT('literature entries'!$D:$AI,IF($J321=1,"ACTIVE     GHGE, FARM GATE (kg CO2e/kg)","GHGE, processor gate (kg CO2e/kg)"),INDIRECT($AB321)))</f>
        <v>25</v>
      </c>
      <c r="AD321" s="247" t="str">
        <f ca="1">IF($AB321="DIRECT","",DAVERAGE('literature entries'!$D:$AI,IF($J321=1,"ACTIVE     GHGE, FARM GATE (kg CO2e/kg)","GHGE, processor gate (kg CO2e/kg)"),INDIRECT($AB321)))</f>
        <v/>
      </c>
      <c r="AE321" s="247">
        <f ca="1">IF($AB321="DIRECT",$S321,DSTDEV('literature entries'!$D:$AI,IF($J321=1,"ACTIVE     GHGE, FARM GATE (kg CO2e/kg)","GHGE, processor gate (kg CO2e/kg)"),INDIRECT($AB321)))</f>
        <v>1.6360912128199545</v>
      </c>
      <c r="AF321" s="247">
        <f t="shared" ca="1" si="42"/>
        <v>1.6360912128199545</v>
      </c>
    </row>
    <row r="322" spans="1:32" s="21" customFormat="1" ht="17" thickBot="1" x14ac:dyDescent="0.25">
      <c r="A322" s="129">
        <v>8000157000</v>
      </c>
      <c r="B322" s="130" t="s">
        <v>1981</v>
      </c>
      <c r="C322" s="131" t="s">
        <v>1982</v>
      </c>
      <c r="D322" s="131" t="s">
        <v>1983</v>
      </c>
      <c r="E322" s="131">
        <v>1138</v>
      </c>
      <c r="F322" s="126">
        <f t="shared" ca="1" si="34"/>
        <v>22.35</v>
      </c>
      <c r="G322" s="127">
        <f t="shared" ca="1" si="35"/>
        <v>1.5708</v>
      </c>
      <c r="H322" s="132">
        <v>1</v>
      </c>
      <c r="I322" s="133" t="s">
        <v>594</v>
      </c>
      <c r="J322" s="91">
        <v>1</v>
      </c>
      <c r="K322" s="90"/>
      <c r="L322" s="152" t="str">
        <f>IF(ISERROR(GETPIVOTDATA(IF($J322=1,"Count of ACTIVE     CED, FARM GATE (MJ/kg)","Count of CED, processor gate (MJ/kg)"),'Pivot Table_CED'!$A$3,"SUB TYPE",$B322)),"PROXY",IF(GETPIVOTDATA(IF($J322=1,"Count of ACTIVE     CED, FARM GATE (MJ/kg)","Count of CED, processor gate (MJ/kg)"),'Pivot Table_CED'!$A$3,"SUB TYPE",$B322)=0,"PROXY","DB value"))</f>
        <v>DB value</v>
      </c>
      <c r="M322" s="134">
        <f ca="1">IF($L322="PROXY",DCOUNT('literature entries'!$D:$AI,IF($J322=1,"ACTIVE     CED, FARM GATE (MJ/kg)","CED, processor gate (MJ/kg)"),INDIRECT($K322)),GETPIVOTDATA(IF($J322=1,"Count of ACTIVE     CED, FARM GATE (MJ/kg)","Count of CED, processor gate (MJ/kg)"),'Pivot Table_CED'!$A$3,"SUB TYPE",$B322))</f>
        <v>2</v>
      </c>
      <c r="N322" s="135">
        <f ca="1">IF($L322="PROXY",DAVERAGE('literature entries'!$D:$AI,IF($J322=1,"ACTIVE     CED, FARM GATE (MJ/kg)","CED, processor gate (MJ/kg)"),INDIRECT($K322)),GETPIVOTDATA(IF($J322=1,"Average of ACTIVE     CED, FARM GATE (MJ/kg)","Average of CED, processor gate (MJ/kg)"),'Pivot Table_CED'!$A$3,"SUB TYPE",$B322))</f>
        <v>22.35</v>
      </c>
      <c r="O322" s="135">
        <f ca="1">IF($L322="PROXY",DSTDEV('literature entries'!D:AI,IF($J322=1,"ACTIVE     CED, FARM GATE (MJ/kg)","CED, processor gate (MJ/kg)"),INDIRECT($K322)),GETPIVOTDATA(IF($J322=1,"StdDev of ACTIVE     CED, FARM GATE (MJ/kg)","StdDev of CED, processor gate (MJ/kg)"),'Pivot Table_CED'!$A$3,"SUB TYPE",$B322))</f>
        <v>0</v>
      </c>
      <c r="P322" s="152" t="str">
        <f>IF(ISERROR(GETPIVOTDATA(IF($J322=1,"Count of ACTIVE     GHGE, FARM GATE (kg CO2e/kg)","Count of GHGE, processor gate (kg CO2e/kg)"),'Pivot Table_GHG'!$A$3,"SUB TYPE",$B322)),"PROXY",IF(GETPIVOTDATA(IF($J322=1,"Count of ACTIVE     GHGE, FARM GATE (kg CO2e/kg)","Count of GHGE, processor gate (kg CO2e/kg)"),'Pivot Table_GHG'!$A$3,"SUB TYPE",$B322)=0,"PROXY","DB value"))</f>
        <v>DB value</v>
      </c>
      <c r="Q322" s="141">
        <f ca="1">IF($P322="PROXY",DCOUNT('literature entries'!$D:$AI,IF($J322=1,"ACTIVE     GHGE, FARM GATE (kg CO2e/kg)","GHGE, processor gate (kg CO2e/kg)"),INDIRECT($K322)),GETPIVOTDATA(IF($J322=1,"ACTIVE     GHGE, FARM GATE (kg CO2e/kg)","Count of GHGE, processor gate (kg CO2e/kg)"),'Pivot Table_GHG'!$A$3,"SUB TYPE",$B322))</f>
        <v>2</v>
      </c>
      <c r="R322" s="221">
        <f ca="1">IF($P322="PROXY",DAVERAGE('literature entries'!$D:$AI,IF($J322=1,"ACTIVE     GHGE, FARM GATE (kg CO2e/kg)","GHGE, processor gate (kg CO2e/kg)"),INDIRECT($K322)),GETPIVOTDATA(IF($J322=1,"Average of ACTIVE     GHGE, FARM GATE (kg CO2e/kg)","Average of GHGE, processor gate (kg CO2e/kg)"),'Pivot Table_GHG'!$A$3,"SUB TYPE",$B322))</f>
        <v>1.5708</v>
      </c>
      <c r="S322" s="221">
        <f ca="1">IF($P322="PROXY",DSTDEV('literature entries'!$D:$AI,IF($J322=1,"ACTIVE     GHGE, FARM GATE (kg CO2e/kg)","GHGE, processor gate (kg CO2e/kg)"),INDIRECT($K322)),GETPIVOTDATA(IF($J322=1,"StdDev of ACTIVE     GHGE, FARM GATE (kg CO2e/kg)","StdDev of GHGE, processor gate (kg CO2e/kg)"),'Pivot Table_GHG'!$A$3,"SUB TYPE",$B322))</f>
        <v>0</v>
      </c>
      <c r="T322" s="101"/>
      <c r="U322" s="102"/>
      <c r="W322" s="248" t="s">
        <v>3285</v>
      </c>
      <c r="X322" s="246">
        <f ca="1">IF($W322="DIRECT",M322,DCOUNT('literature entries'!$D:$AI,IF($J322=1,"ACTIVE     CED, FARM GATE (MJ/kg)","CED, processor gate (MJ/kg)"),INDIRECT($W322)))</f>
        <v>54</v>
      </c>
      <c r="Y322" s="246">
        <f ca="1">IF($W322="DIRECT","",DAVERAGE('literature entries'!$D:$AI,IF($J322=1,"ACTIVE     CED, FARM GATE (MJ/kg)","CED, processor gate (MJ/kg)"),INDIRECT($W322)))</f>
        <v>172.82197669332314</v>
      </c>
      <c r="Z322" s="246">
        <f ca="1">IF($W322="DIRECT",$O322,DSTDEV('literature entries'!$D:$AI,IF($J322=1,"ACTIVE     CED, FARM GATE (MJ/kg)","CED, processor gate (MJ/kg)"),INDIRECT($W322)))</f>
        <v>229.32958832205563</v>
      </c>
      <c r="AA322" s="246">
        <f t="shared" ca="1" si="41"/>
        <v>29.657780781510784</v>
      </c>
      <c r="AB322" s="254" t="s">
        <v>3285</v>
      </c>
      <c r="AC322" s="247">
        <f ca="1">IF($AB322="DIRECT",Q322,DCOUNT('literature entries'!$D:$AI,IF($J322=1,"ACTIVE     GHGE, FARM GATE (kg CO2e/kg)","GHGE, processor gate (kg CO2e/kg)"),INDIRECT($AB322)))</f>
        <v>122</v>
      </c>
      <c r="AD322" s="247">
        <f ca="1">IF($AB322="DIRECT","",DAVERAGE('literature entries'!$D:$AI,IF($J322=1,"ACTIVE     GHGE, FARM GATE (kg CO2e/kg)","GHGE, processor gate (kg CO2e/kg)"),INDIRECT($AB322)))</f>
        <v>7.3009808971969452</v>
      </c>
      <c r="AE322" s="247">
        <f ca="1">IF($AB322="DIRECT",$S322,DSTDEV('literature entries'!$D:$AI,IF($J322=1,"ACTIVE     GHGE, FARM GATE (kg CO2e/kg)","GHGE, processor gate (kg CO2e/kg)"),INDIRECT($AB322)))</f>
        <v>14.003812762278329</v>
      </c>
      <c r="AF322" s="247">
        <f t="shared" ca="1" si="42"/>
        <v>3.0129087305833311</v>
      </c>
    </row>
    <row r="323" spans="1:32" s="21" customFormat="1" ht="17" thickBot="1" x14ac:dyDescent="0.25">
      <c r="A323" s="129">
        <v>8000158000</v>
      </c>
      <c r="B323" s="130" t="s">
        <v>1984</v>
      </c>
      <c r="C323" s="131" t="s">
        <v>1982</v>
      </c>
      <c r="D323" s="131" t="s">
        <v>1985</v>
      </c>
      <c r="E323" s="131">
        <v>338</v>
      </c>
      <c r="F323" s="126">
        <f t="shared" ca="1" si="34"/>
        <v>157.43202321950599</v>
      </c>
      <c r="G323" s="127">
        <f t="shared" ca="1" si="35"/>
        <v>5.7173231238780273</v>
      </c>
      <c r="H323" s="132">
        <v>1</v>
      </c>
      <c r="I323" s="133" t="s">
        <v>594</v>
      </c>
      <c r="J323" s="91">
        <v>1</v>
      </c>
      <c r="K323" s="90"/>
      <c r="L323" s="152" t="str">
        <f>IF(ISERROR(GETPIVOTDATA(IF($J323=1,"Count of ACTIVE     CED, FARM GATE (MJ/kg)","Count of CED, processor gate (MJ/kg)"),'Pivot Table_CED'!$A$3,"SUB TYPE",$B323)),"PROXY",IF(GETPIVOTDATA(IF($J323=1,"Count of ACTIVE     CED, FARM GATE (MJ/kg)","Count of CED, processor gate (MJ/kg)"),'Pivot Table_CED'!$A$3,"SUB TYPE",$B323)=0,"PROXY","DB value"))</f>
        <v>DB value</v>
      </c>
      <c r="M323" s="134">
        <f ca="1">IF($L323="PROXY",DCOUNT('literature entries'!$D:$AI,IF($J323=1,"ACTIVE     CED, FARM GATE (MJ/kg)","CED, processor gate (MJ/kg)"),INDIRECT($K323)),GETPIVOTDATA(IF($J323=1,"Count of ACTIVE     CED, FARM GATE (MJ/kg)","Count of CED, processor gate (MJ/kg)"),'Pivot Table_CED'!$A$3,"SUB TYPE",$B323))</f>
        <v>29</v>
      </c>
      <c r="N323" s="135">
        <f ca="1">IF($L323="PROXY",DAVERAGE('literature entries'!$D:$AI,IF($J323=1,"ACTIVE     CED, FARM GATE (MJ/kg)","CED, processor gate (MJ/kg)"),INDIRECT($K323)),GETPIVOTDATA(IF($J323=1,"Average of ACTIVE     CED, FARM GATE (MJ/kg)","Average of CED, processor gate (MJ/kg)"),'Pivot Table_CED'!$A$3,"SUB TYPE",$B323))</f>
        <v>157.43202321950599</v>
      </c>
      <c r="O323" s="135">
        <f ca="1">IF($L323="PROXY",DSTDEV('literature entries'!D:AI,IF($J323=1,"ACTIVE     CED, FARM GATE (MJ/kg)","CED, processor gate (MJ/kg)"),INDIRECT($K323)),GETPIVOTDATA(IF($J323=1,"StdDev of ACTIVE     CED, FARM GATE (MJ/kg)","StdDev of CED, processor gate (MJ/kg)"),'Pivot Table_CED'!$A$3,"SUB TYPE",$B323))</f>
        <v>186.79273651503158</v>
      </c>
      <c r="P323" s="152" t="str">
        <f>IF(ISERROR(GETPIVOTDATA(IF($J323=1,"Count of ACTIVE     GHGE, FARM GATE (kg CO2e/kg)","Count of GHGE, processor gate (kg CO2e/kg)"),'Pivot Table_GHG'!$A$3,"SUB TYPE",$B323)),"PROXY",IF(GETPIVOTDATA(IF($J323=1,"Count of ACTIVE     GHGE, FARM GATE (kg CO2e/kg)","Count of GHGE, processor gate (kg CO2e/kg)"),'Pivot Table_GHG'!$A$3,"SUB TYPE",$B323)=0,"PROXY","DB value"))</f>
        <v>DB value</v>
      </c>
      <c r="Q323" s="141">
        <f ca="1">IF($P323="PROXY",DCOUNT('literature entries'!$D:$AI,IF($J323=1,"ACTIVE     GHGE, FARM GATE (kg CO2e/kg)","GHGE, processor gate (kg CO2e/kg)"),INDIRECT($K323)),GETPIVOTDATA(IF($J323=1,"ACTIVE     GHGE, FARM GATE (kg CO2e/kg)","Count of GHGE, processor gate (kg CO2e/kg)"),'Pivot Table_GHG'!$A$3,"SUB TYPE",$B323))</f>
        <v>51</v>
      </c>
      <c r="R323" s="221">
        <f ca="1">IF($P323="PROXY",DAVERAGE('literature entries'!$D:$AI,IF($J323=1,"ACTIVE     GHGE, FARM GATE (kg CO2e/kg)","GHGE, processor gate (kg CO2e/kg)"),INDIRECT($K323)),GETPIVOTDATA(IF($J323=1,"Average of ACTIVE     GHGE, FARM GATE (kg CO2e/kg)","Average of GHGE, processor gate (kg CO2e/kg)"),'Pivot Table_GHG'!$A$3,"SUB TYPE",$B323))</f>
        <v>5.7173231238780273</v>
      </c>
      <c r="S323" s="221">
        <f ca="1">IF($P323="PROXY",DSTDEV('literature entries'!$D:$AI,IF($J323=1,"ACTIVE     GHGE, FARM GATE (kg CO2e/kg)","GHGE, processor gate (kg CO2e/kg)"),INDIRECT($K323)),GETPIVOTDATA(IF($J323=1,"StdDev of ACTIVE     GHGE, FARM GATE (kg CO2e/kg)","StdDev of GHGE, processor gate (kg CO2e/kg)"),'Pivot Table_GHG'!$A$3,"SUB TYPE",$B323))</f>
        <v>6.7983880096389653</v>
      </c>
      <c r="T323" s="101"/>
      <c r="U323" s="102"/>
      <c r="W323" s="248" t="str">
        <f t="shared" ref="W323:W329" ca="1" si="44">IF(L323="PROXY",IF(M323&gt;=5,K323,"need group"),IF(M323&gt;=5,"DIRECT","need group"))</f>
        <v>DIRECT</v>
      </c>
      <c r="X323" s="246">
        <f ca="1">IF($W323="DIRECT",M323,DCOUNT('literature entries'!$D:$AI,IF($J323=1,"ACTIVE     CED, FARM GATE (MJ/kg)","CED, processor gate (MJ/kg)"),INDIRECT($W323)))</f>
        <v>29</v>
      </c>
      <c r="Y323" s="246" t="str">
        <f ca="1">IF($W323="DIRECT","",DAVERAGE('literature entries'!$D:$AI,IF($J323=1,"ACTIVE     CED, FARM GATE (MJ/kg)","CED, processor gate (MJ/kg)"),INDIRECT($W323)))</f>
        <v/>
      </c>
      <c r="Z323" s="246">
        <f ca="1">IF($W323="DIRECT",$O323,DSTDEV('literature entries'!$D:$AI,IF($J323=1,"ACTIVE     CED, FARM GATE (MJ/kg)","CED, processor gate (MJ/kg)"),INDIRECT($W323)))</f>
        <v>186.79273651503158</v>
      </c>
      <c r="AA323" s="246">
        <f t="shared" ca="1" si="41"/>
        <v>186.79273651503158</v>
      </c>
      <c r="AB323" s="254" t="str">
        <f t="shared" ref="AB323:AB329" ca="1" si="45">IF(P323="PROXY",IF(Q323&gt;=5,K323,"need group"),IF(Q323&gt;=5,"DIRECT","need group"))</f>
        <v>DIRECT</v>
      </c>
      <c r="AC323" s="247">
        <f ca="1">IF($AB323="DIRECT",Q323,DCOUNT('literature entries'!$D:$AI,IF($J323=1,"ACTIVE     GHGE, FARM GATE (kg CO2e/kg)","GHGE, processor gate (kg CO2e/kg)"),INDIRECT($AB323)))</f>
        <v>51</v>
      </c>
      <c r="AD323" s="247" t="str">
        <f ca="1">IF($AB323="DIRECT","",DAVERAGE('literature entries'!$D:$AI,IF($J323=1,"ACTIVE     GHGE, FARM GATE (kg CO2e/kg)","GHGE, processor gate (kg CO2e/kg)"),INDIRECT($AB323)))</f>
        <v/>
      </c>
      <c r="AE323" s="247">
        <f ca="1">IF($AB323="DIRECT",$S323,DSTDEV('literature entries'!$D:$AI,IF($J323=1,"ACTIVE     GHGE, FARM GATE (kg CO2e/kg)","GHGE, processor gate (kg CO2e/kg)"),INDIRECT($AB323)))</f>
        <v>6.7983880096389653</v>
      </c>
      <c r="AF323" s="247">
        <f t="shared" ca="1" si="42"/>
        <v>6.7983880096389653</v>
      </c>
    </row>
    <row r="324" spans="1:32" s="21" customFormat="1" ht="17" thickBot="1" x14ac:dyDescent="0.25">
      <c r="A324" s="129">
        <v>8000159000</v>
      </c>
      <c r="B324" s="130" t="s">
        <v>3437</v>
      </c>
      <c r="C324" s="131" t="s">
        <v>1982</v>
      </c>
      <c r="D324" s="131" t="s">
        <v>1985</v>
      </c>
      <c r="E324" s="131">
        <v>1416</v>
      </c>
      <c r="F324" s="126">
        <f t="shared" ref="F324:F355" ca="1" si="46">N324*H324+T324</f>
        <v>32.179921839080464</v>
      </c>
      <c r="G324" s="127">
        <f t="shared" ref="G324:G355" ca="1" si="47">R324*H324+U324</f>
        <v>2.1477298850574713</v>
      </c>
      <c r="H324" s="132">
        <v>1</v>
      </c>
      <c r="I324" s="133" t="s">
        <v>594</v>
      </c>
      <c r="J324" s="91">
        <v>1</v>
      </c>
      <c r="K324" s="90"/>
      <c r="L324" s="152" t="str">
        <f>IF(ISERROR(GETPIVOTDATA(IF($J324=1,"Count of ACTIVE     CED, FARM GATE (MJ/kg)","Count of CED, processor gate (MJ/kg)"),'Pivot Table_CED'!$A$3,"SUB TYPE",$B324)),"PROXY",IF(GETPIVOTDATA(IF($J324=1,"Count of ACTIVE     CED, FARM GATE (MJ/kg)","Count of CED, processor gate (MJ/kg)"),'Pivot Table_CED'!$A$3,"SUB TYPE",$B324)=0,"PROXY","DB value"))</f>
        <v>DB value</v>
      </c>
      <c r="M324" s="134">
        <f ca="1">IF($L324="PROXY",DCOUNT('literature entries'!$D:$AI,IF($J324=1,"ACTIVE     CED, FARM GATE (MJ/kg)","CED, processor gate (MJ/kg)"),INDIRECT($K324)),GETPIVOTDATA(IF($J324=1,"Count of ACTIVE     CED, FARM GATE (MJ/kg)","Count of CED, processor gate (MJ/kg)"),'Pivot Table_CED'!$A$3,"SUB TYPE",$B324))</f>
        <v>12</v>
      </c>
      <c r="N324" s="135">
        <f ca="1">IF($L324="PROXY",DAVERAGE('literature entries'!$D:$AI,IF($J324=1,"ACTIVE     CED, FARM GATE (MJ/kg)","CED, processor gate (MJ/kg)"),INDIRECT($K324)),GETPIVOTDATA(IF($J324=1,"Average of ACTIVE     CED, FARM GATE (MJ/kg)","Average of CED, processor gate (MJ/kg)"),'Pivot Table_CED'!$A$3,"SUB TYPE",$B324))</f>
        <v>32.179921839080464</v>
      </c>
      <c r="O324" s="135">
        <f ca="1">IF($L324="PROXY",DSTDEV('literature entries'!D:AI,IF($J324=1,"ACTIVE     CED, FARM GATE (MJ/kg)","CED, processor gate (MJ/kg)"),INDIRECT($K324)),GETPIVOTDATA(IF($J324=1,"StdDev of ACTIVE     CED, FARM GATE (MJ/kg)","StdDev of CED, processor gate (MJ/kg)"),'Pivot Table_CED'!$A$3,"SUB TYPE",$B324))</f>
        <v>4.9375578262682183</v>
      </c>
      <c r="P324" s="152" t="str">
        <f>IF(ISERROR(GETPIVOTDATA(IF($J324=1,"Count of ACTIVE     GHGE, FARM GATE (kg CO2e/kg)","Count of GHGE, processor gate (kg CO2e/kg)"),'Pivot Table_GHG'!$A$3,"SUB TYPE",$B324)),"PROXY",IF(GETPIVOTDATA(IF($J324=1,"Count of ACTIVE     GHGE, FARM GATE (kg CO2e/kg)","Count of GHGE, processor gate (kg CO2e/kg)"),'Pivot Table_GHG'!$A$3,"SUB TYPE",$B324)=0,"PROXY","DB value"))</f>
        <v>DB value</v>
      </c>
      <c r="Q324" s="141">
        <f ca="1">IF($P324="PROXY",DCOUNT('literature entries'!$D:$AI,IF($J324=1,"ACTIVE     GHGE, FARM GATE (kg CO2e/kg)","GHGE, processor gate (kg CO2e/kg)"),INDIRECT($K324)),GETPIVOTDATA(IF($J324=1,"ACTIVE     GHGE, FARM GATE (kg CO2e/kg)","Count of GHGE, processor gate (kg CO2e/kg)"),'Pivot Table_GHG'!$A$3,"SUB TYPE",$B324))</f>
        <v>12</v>
      </c>
      <c r="R324" s="221">
        <f ca="1">IF($P324="PROXY",DAVERAGE('literature entries'!$D:$AI,IF($J324=1,"ACTIVE     GHGE, FARM GATE (kg CO2e/kg)","GHGE, processor gate (kg CO2e/kg)"),INDIRECT($K324)),GETPIVOTDATA(IF($J324=1,"Average of ACTIVE     GHGE, FARM GATE (kg CO2e/kg)","Average of GHGE, processor gate (kg CO2e/kg)"),'Pivot Table_GHG'!$A$3,"SUB TYPE",$B324))</f>
        <v>2.1477298850574713</v>
      </c>
      <c r="S324" s="221">
        <f ca="1">IF($P324="PROXY",DSTDEV('literature entries'!$D:$AI,IF($J324=1,"ACTIVE     GHGE, FARM GATE (kg CO2e/kg)","GHGE, processor gate (kg CO2e/kg)"),INDIRECT($K324)),GETPIVOTDATA(IF($J324=1,"StdDev of ACTIVE     GHGE, FARM GATE (kg CO2e/kg)","StdDev of GHGE, processor gate (kg CO2e/kg)"),'Pivot Table_GHG'!$A$3,"SUB TYPE",$B324))</f>
        <v>0.32953903852547989</v>
      </c>
      <c r="T324" s="101"/>
      <c r="U324" s="102"/>
      <c r="W324" s="248" t="str">
        <f t="shared" ca="1" si="44"/>
        <v>DIRECT</v>
      </c>
      <c r="X324" s="246">
        <f ca="1">IF($W324="DIRECT",M324,DCOUNT('literature entries'!$D:$AI,IF($J324=1,"ACTIVE     CED, FARM GATE (MJ/kg)","CED, processor gate (MJ/kg)"),INDIRECT($W324)))</f>
        <v>12</v>
      </c>
      <c r="Y324" s="246" t="str">
        <f ca="1">IF($W324="DIRECT","",DAVERAGE('literature entries'!$D:$AI,IF($J324=1,"ACTIVE     CED, FARM GATE (MJ/kg)","CED, processor gate (MJ/kg)"),INDIRECT($W324)))</f>
        <v/>
      </c>
      <c r="Z324" s="246">
        <f ca="1">IF($W324="DIRECT",$O324,DSTDEV('literature entries'!$D:$AI,IF($J324=1,"ACTIVE     CED, FARM GATE (MJ/kg)","CED, processor gate (MJ/kg)"),INDIRECT($W324)))</f>
        <v>4.9375578262682183</v>
      </c>
      <c r="AA324" s="246">
        <f t="shared" ca="1" si="41"/>
        <v>4.9375578262682183</v>
      </c>
      <c r="AB324" s="254" t="str">
        <f t="shared" ca="1" si="45"/>
        <v>DIRECT</v>
      </c>
      <c r="AC324" s="247">
        <f ca="1">IF($AB324="DIRECT",Q324,DCOUNT('literature entries'!$D:$AI,IF($J324=1,"ACTIVE     GHGE, FARM GATE (kg CO2e/kg)","GHGE, processor gate (kg CO2e/kg)"),INDIRECT($AB324)))</f>
        <v>12</v>
      </c>
      <c r="AD324" s="247" t="str">
        <f ca="1">IF($AB324="DIRECT","",DAVERAGE('literature entries'!$D:$AI,IF($J324=1,"ACTIVE     GHGE, FARM GATE (kg CO2e/kg)","GHGE, processor gate (kg CO2e/kg)"),INDIRECT($AB324)))</f>
        <v/>
      </c>
      <c r="AE324" s="247">
        <f ca="1">IF($AB324="DIRECT",$S324,DSTDEV('literature entries'!$D:$AI,IF($J324=1,"ACTIVE     GHGE, FARM GATE (kg CO2e/kg)","GHGE, processor gate (kg CO2e/kg)"),INDIRECT($AB324)))</f>
        <v>0.32953903852547989</v>
      </c>
      <c r="AF324" s="247">
        <f t="shared" ca="1" si="42"/>
        <v>0.32953903852547989</v>
      </c>
    </row>
    <row r="325" spans="1:32" s="21" customFormat="1" ht="17" thickBot="1" x14ac:dyDescent="0.25">
      <c r="A325" s="129">
        <v>8000160000</v>
      </c>
      <c r="B325" s="130" t="s">
        <v>1986</v>
      </c>
      <c r="C325" s="131" t="s">
        <v>1982</v>
      </c>
      <c r="D325" s="131" t="s">
        <v>1985</v>
      </c>
      <c r="E325" s="131">
        <v>3266</v>
      </c>
      <c r="F325" s="126">
        <f t="shared" ca="1" si="46"/>
        <v>130.89395530303031</v>
      </c>
      <c r="G325" s="127">
        <f t="shared" ca="1" si="47"/>
        <v>3.0214281754447705</v>
      </c>
      <c r="H325" s="132">
        <v>1</v>
      </c>
      <c r="I325" s="133" t="s">
        <v>594</v>
      </c>
      <c r="J325" s="91">
        <v>1</v>
      </c>
      <c r="K325" s="90"/>
      <c r="L325" s="152" t="str">
        <f>IF(ISERROR(GETPIVOTDATA(IF($J325=1,"Count of ACTIVE     CED, FARM GATE (MJ/kg)","Count of CED, processor gate (MJ/kg)"),'Pivot Table_CED'!$A$3,"SUB TYPE",$B325)),"PROXY",IF(GETPIVOTDATA(IF($J325=1,"Count of ACTIVE     CED, FARM GATE (MJ/kg)","Count of CED, processor gate (MJ/kg)"),'Pivot Table_CED'!$A$3,"SUB TYPE",$B325)=0,"PROXY","DB value"))</f>
        <v>DB value</v>
      </c>
      <c r="M325" s="134">
        <f ca="1">IF($L325="PROXY",DCOUNT('literature entries'!$D:$AI,IF($J325=1,"ACTIVE     CED, FARM GATE (MJ/kg)","CED, processor gate (MJ/kg)"),INDIRECT($K325)),GETPIVOTDATA(IF($J325=1,"Count of ACTIVE     CED, FARM GATE (MJ/kg)","Count of CED, processor gate (MJ/kg)"),'Pivot Table_CED'!$A$3,"SUB TYPE",$B325))</f>
        <v>14</v>
      </c>
      <c r="N325" s="135">
        <f ca="1">IF($L325="PROXY",DAVERAGE('literature entries'!$D:$AI,IF($J325=1,"ACTIVE     CED, FARM GATE (MJ/kg)","CED, processor gate (MJ/kg)"),INDIRECT($K325)),GETPIVOTDATA(IF($J325=1,"Average of ACTIVE     CED, FARM GATE (MJ/kg)","Average of CED, processor gate (MJ/kg)"),'Pivot Table_CED'!$A$3,"SUB TYPE",$B325))</f>
        <v>130.89395530303031</v>
      </c>
      <c r="O325" s="135">
        <f ca="1">IF($L325="PROXY",DSTDEV('literature entries'!D:AI,IF($J325=1,"ACTIVE     CED, FARM GATE (MJ/kg)","CED, processor gate (MJ/kg)"),INDIRECT($K325)),GETPIVOTDATA(IF($J325=1,"StdDev of ACTIVE     CED, FARM GATE (MJ/kg)","StdDev of CED, processor gate (MJ/kg)"),'Pivot Table_CED'!$A$3,"SUB TYPE",$B325))</f>
        <v>233.19558932677532</v>
      </c>
      <c r="P325" s="152" t="str">
        <f>IF(ISERROR(GETPIVOTDATA(IF($J325=1,"Count of ACTIVE     GHGE, FARM GATE (kg CO2e/kg)","Count of GHGE, processor gate (kg CO2e/kg)"),'Pivot Table_GHG'!$A$3,"SUB TYPE",$B325)),"PROXY",IF(GETPIVOTDATA(IF($J325=1,"Count of ACTIVE     GHGE, FARM GATE (kg CO2e/kg)","Count of GHGE, processor gate (kg CO2e/kg)"),'Pivot Table_GHG'!$A$3,"SUB TYPE",$B325)=0,"PROXY","DB value"))</f>
        <v>DB value</v>
      </c>
      <c r="Q325" s="141">
        <f ca="1">IF($P325="PROXY",DCOUNT('literature entries'!$D:$AI,IF($J325=1,"ACTIVE     GHGE, FARM GATE (kg CO2e/kg)","GHGE, processor gate (kg CO2e/kg)"),INDIRECT($K325)),GETPIVOTDATA(IF($J325=1,"ACTIVE     GHGE, FARM GATE (kg CO2e/kg)","Count of GHGE, processor gate (kg CO2e/kg)"),'Pivot Table_GHG'!$A$3,"SUB TYPE",$B325))</f>
        <v>50</v>
      </c>
      <c r="R325" s="221">
        <f ca="1">IF($P325="PROXY",DAVERAGE('literature entries'!$D:$AI,IF($J325=1,"ACTIVE     GHGE, FARM GATE (kg CO2e/kg)","GHGE, processor gate (kg CO2e/kg)"),INDIRECT($K325)),GETPIVOTDATA(IF($J325=1,"Average of ACTIVE     GHGE, FARM GATE (kg CO2e/kg)","Average of GHGE, processor gate (kg CO2e/kg)"),'Pivot Table_GHG'!$A$3,"SUB TYPE",$B325))</f>
        <v>3.0214281754447705</v>
      </c>
      <c r="S325" s="221">
        <f ca="1">IF($P325="PROXY",DSTDEV('literature entries'!$D:$AI,IF($J325=1,"ACTIVE     GHGE, FARM GATE (kg CO2e/kg)","GHGE, processor gate (kg CO2e/kg)"),INDIRECT($K325)),GETPIVOTDATA(IF($J325=1,"StdDev of ACTIVE     GHGE, FARM GATE (kg CO2e/kg)","StdDev of GHGE, processor gate (kg CO2e/kg)"),'Pivot Table_GHG'!$A$3,"SUB TYPE",$B325))</f>
        <v>6.6703451293251312</v>
      </c>
      <c r="T325" s="101"/>
      <c r="U325" s="102"/>
      <c r="W325" s="248" t="str">
        <f t="shared" ca="1" si="44"/>
        <v>DIRECT</v>
      </c>
      <c r="X325" s="246">
        <f ca="1">IF($W325="DIRECT",M325,DCOUNT('literature entries'!$D:$AI,IF($J325=1,"ACTIVE     CED, FARM GATE (MJ/kg)","CED, processor gate (MJ/kg)"),INDIRECT($W325)))</f>
        <v>14</v>
      </c>
      <c r="Y325" s="246" t="str">
        <f ca="1">IF($W325="DIRECT","",DAVERAGE('literature entries'!$D:$AI,IF($J325=1,"ACTIVE     CED, FARM GATE (MJ/kg)","CED, processor gate (MJ/kg)"),INDIRECT($W325)))</f>
        <v/>
      </c>
      <c r="Z325" s="246">
        <f ca="1">IF($W325="DIRECT",$O325,DSTDEV('literature entries'!$D:$AI,IF($J325=1,"ACTIVE     CED, FARM GATE (MJ/kg)","CED, processor gate (MJ/kg)"),INDIRECT($W325)))</f>
        <v>233.19558932677532</v>
      </c>
      <c r="AA325" s="246">
        <f t="shared" ca="1" si="41"/>
        <v>233.19558932677532</v>
      </c>
      <c r="AB325" s="254" t="str">
        <f t="shared" ca="1" si="45"/>
        <v>DIRECT</v>
      </c>
      <c r="AC325" s="247">
        <f ca="1">IF($AB325="DIRECT",Q325,DCOUNT('literature entries'!$D:$AI,IF($J325=1,"ACTIVE     GHGE, FARM GATE (kg CO2e/kg)","GHGE, processor gate (kg CO2e/kg)"),INDIRECT($AB325)))</f>
        <v>50</v>
      </c>
      <c r="AD325" s="247" t="str">
        <f ca="1">IF($AB325="DIRECT","",DAVERAGE('literature entries'!$D:$AI,IF($J325=1,"ACTIVE     GHGE, FARM GATE (kg CO2e/kg)","GHGE, processor gate (kg CO2e/kg)"),INDIRECT($AB325)))</f>
        <v/>
      </c>
      <c r="AE325" s="247">
        <f ca="1">IF($AB325="DIRECT",$S325,DSTDEV('literature entries'!$D:$AI,IF($J325=1,"ACTIVE     GHGE, FARM GATE (kg CO2e/kg)","GHGE, processor gate (kg CO2e/kg)"),INDIRECT($AB325)))</f>
        <v>6.6703451293251312</v>
      </c>
      <c r="AF325" s="247">
        <f t="shared" ca="1" si="42"/>
        <v>6.6703451293251312</v>
      </c>
    </row>
    <row r="326" spans="1:32" s="21" customFormat="1" ht="17" thickBot="1" x14ac:dyDescent="0.25">
      <c r="A326" s="129">
        <v>8000161000</v>
      </c>
      <c r="B326" s="130" t="s">
        <v>1987</v>
      </c>
      <c r="C326" s="131" t="s">
        <v>1988</v>
      </c>
      <c r="D326" s="131" t="s">
        <v>1985</v>
      </c>
      <c r="E326" s="131">
        <v>2372</v>
      </c>
      <c r="F326" s="126">
        <f t="shared" ca="1" si="46"/>
        <v>321.07141042570584</v>
      </c>
      <c r="G326" s="127">
        <f t="shared" ca="1" si="47"/>
        <v>30.657762954857823</v>
      </c>
      <c r="H326" s="132">
        <v>1</v>
      </c>
      <c r="I326" s="133" t="s">
        <v>594</v>
      </c>
      <c r="J326" s="91">
        <v>1</v>
      </c>
      <c r="K326" s="90"/>
      <c r="L326" s="152" t="str">
        <f>IF(ISERROR(GETPIVOTDATA(IF($J326=1,"Count of ACTIVE     CED, FARM GATE (MJ/kg)","Count of CED, processor gate (MJ/kg)"),'Pivot Table_CED'!$A$3,"SUB TYPE",$B326)),"PROXY",IF(GETPIVOTDATA(IF($J326=1,"Count of ACTIVE     CED, FARM GATE (MJ/kg)","Count of CED, processor gate (MJ/kg)"),'Pivot Table_CED'!$A$3,"SUB TYPE",$B326)=0,"PROXY","DB value"))</f>
        <v>DB value</v>
      </c>
      <c r="M326" s="134">
        <f ca="1">IF($L326="PROXY",DCOUNT('literature entries'!$D:$AI,IF($J326=1,"ACTIVE     CED, FARM GATE (MJ/kg)","CED, processor gate (MJ/kg)"),INDIRECT($K326)),GETPIVOTDATA(IF($J326=1,"Count of ACTIVE     CED, FARM GATE (MJ/kg)","Count of CED, processor gate (MJ/kg)"),'Pivot Table_CED'!$A$3,"SUB TYPE",$B326))</f>
        <v>9</v>
      </c>
      <c r="N326" s="135">
        <f ca="1">IF($L326="PROXY",DAVERAGE('literature entries'!$D:$AI,IF($J326=1,"ACTIVE     CED, FARM GATE (MJ/kg)","CED, processor gate (MJ/kg)"),INDIRECT($K326)),GETPIVOTDATA(IF($J326=1,"Average of ACTIVE     CED, FARM GATE (MJ/kg)","Average of CED, processor gate (MJ/kg)"),'Pivot Table_CED'!$A$3,"SUB TYPE",$B326))</f>
        <v>321.07141042570584</v>
      </c>
      <c r="O326" s="135">
        <f ca="1">IF($L326="PROXY",DSTDEV('literature entries'!D:AI,IF($J326=1,"ACTIVE     CED, FARM GATE (MJ/kg)","CED, processor gate (MJ/kg)"),INDIRECT($K326)),GETPIVOTDATA(IF($J326=1,"StdDev of ACTIVE     CED, FARM GATE (MJ/kg)","StdDev of CED, processor gate (MJ/kg)"),'Pivot Table_CED'!$A$3,"SUB TYPE",$B326))</f>
        <v>321.89075964329794</v>
      </c>
      <c r="P326" s="152" t="str">
        <f>IF(ISERROR(GETPIVOTDATA(IF($J326=1,"Count of ACTIVE     GHGE, FARM GATE (kg CO2e/kg)","Count of GHGE, processor gate (kg CO2e/kg)"),'Pivot Table_GHG'!$A$3,"SUB TYPE",$B326)),"PROXY",IF(GETPIVOTDATA(IF($J326=1,"Count of ACTIVE     GHGE, FARM GATE (kg CO2e/kg)","Count of GHGE, processor gate (kg CO2e/kg)"),'Pivot Table_GHG'!$A$3,"SUB TYPE",$B326)=0,"PROXY","DB value"))</f>
        <v>DB value</v>
      </c>
      <c r="Q326" s="141">
        <f ca="1">IF($P326="PROXY",DCOUNT('literature entries'!$D:$AI,IF($J326=1,"ACTIVE     GHGE, FARM GATE (kg CO2e/kg)","GHGE, processor gate (kg CO2e/kg)"),INDIRECT($K326)),GETPIVOTDATA(IF($J326=1,"ACTIVE     GHGE, FARM GATE (kg CO2e/kg)","Count of GHGE, processor gate (kg CO2e/kg)"),'Pivot Table_GHG'!$A$3,"SUB TYPE",$B326))</f>
        <v>14</v>
      </c>
      <c r="R326" s="221">
        <f ca="1">IF($P326="PROXY",DAVERAGE('literature entries'!$D:$AI,IF($J326=1,"ACTIVE     GHGE, FARM GATE (kg CO2e/kg)","GHGE, processor gate (kg CO2e/kg)"),INDIRECT($K326)),GETPIVOTDATA(IF($J326=1,"Average of ACTIVE     GHGE, FARM GATE (kg CO2e/kg)","Average of GHGE, processor gate (kg CO2e/kg)"),'Pivot Table_GHG'!$A$3,"SUB TYPE",$B326))</f>
        <v>30.657762954857823</v>
      </c>
      <c r="S326" s="221">
        <f ca="1">IF($P326="PROXY",DSTDEV('literature entries'!$D:$AI,IF($J326=1,"ACTIVE     GHGE, FARM GATE (kg CO2e/kg)","GHGE, processor gate (kg CO2e/kg)"),INDIRECT($K326)),GETPIVOTDATA(IF($J326=1,"StdDev of ACTIVE     GHGE, FARM GATE (kg CO2e/kg)","StdDev of GHGE, processor gate (kg CO2e/kg)"),'Pivot Table_GHG'!$A$3,"SUB TYPE",$B326))</f>
        <v>28.252177670870516</v>
      </c>
      <c r="T326" s="101"/>
      <c r="U326" s="102"/>
      <c r="W326" s="248" t="str">
        <f t="shared" ca="1" si="44"/>
        <v>DIRECT</v>
      </c>
      <c r="X326" s="246">
        <f ca="1">IF($W326="DIRECT",M326,DCOUNT('literature entries'!$D:$AI,IF($J326=1,"ACTIVE     CED, FARM GATE (MJ/kg)","CED, processor gate (MJ/kg)"),INDIRECT($W326)))</f>
        <v>9</v>
      </c>
      <c r="Y326" s="246" t="str">
        <f ca="1">IF($W326="DIRECT","",DAVERAGE('literature entries'!$D:$AI,IF($J326=1,"ACTIVE     CED, FARM GATE (MJ/kg)","CED, processor gate (MJ/kg)"),INDIRECT($W326)))</f>
        <v/>
      </c>
      <c r="Z326" s="246">
        <f ca="1">IF($W326="DIRECT",$O326,DSTDEV('literature entries'!$D:$AI,IF($J326=1,"ACTIVE     CED, FARM GATE (MJ/kg)","CED, processor gate (MJ/kg)"),INDIRECT($W326)))</f>
        <v>321.89075964329794</v>
      </c>
      <c r="AA326" s="246">
        <f t="shared" ca="1" si="41"/>
        <v>321.89075964329794</v>
      </c>
      <c r="AB326" s="254" t="str">
        <f t="shared" ca="1" si="45"/>
        <v>DIRECT</v>
      </c>
      <c r="AC326" s="247">
        <f ca="1">IF($AB326="DIRECT",Q326,DCOUNT('literature entries'!$D:$AI,IF($J326=1,"ACTIVE     GHGE, FARM GATE (kg CO2e/kg)","GHGE, processor gate (kg CO2e/kg)"),INDIRECT($AB326)))</f>
        <v>14</v>
      </c>
      <c r="AD326" s="247" t="str">
        <f ca="1">IF($AB326="DIRECT","",DAVERAGE('literature entries'!$D:$AI,IF($J326=1,"ACTIVE     GHGE, FARM GATE (kg CO2e/kg)","GHGE, processor gate (kg CO2e/kg)"),INDIRECT($AB326)))</f>
        <v/>
      </c>
      <c r="AE326" s="247">
        <f ca="1">IF($AB326="DIRECT",$S326,DSTDEV('literature entries'!$D:$AI,IF($J326=1,"ACTIVE     GHGE, FARM GATE (kg CO2e/kg)","GHGE, processor gate (kg CO2e/kg)"),INDIRECT($AB326)))</f>
        <v>28.252177670870516</v>
      </c>
      <c r="AF326" s="247">
        <f t="shared" ca="1" si="42"/>
        <v>28.252177670870516</v>
      </c>
    </row>
    <row r="327" spans="1:32" s="21" customFormat="1" ht="17" thickBot="1" x14ac:dyDescent="0.25">
      <c r="A327" s="129">
        <v>8000162000</v>
      </c>
      <c r="B327" s="130" t="s">
        <v>1989</v>
      </c>
      <c r="C327" s="131" t="s">
        <v>1990</v>
      </c>
      <c r="D327" s="131" t="s">
        <v>1985</v>
      </c>
      <c r="E327" s="131">
        <v>834</v>
      </c>
      <c r="F327" s="126">
        <f t="shared" ca="1" si="46"/>
        <v>172.82197669332314</v>
      </c>
      <c r="G327" s="127">
        <f t="shared" ca="1" si="47"/>
        <v>3.1429</v>
      </c>
      <c r="H327" s="132">
        <v>1</v>
      </c>
      <c r="I327" s="133" t="s">
        <v>594</v>
      </c>
      <c r="J327" s="91">
        <v>1</v>
      </c>
      <c r="K327" s="90" t="s">
        <v>3285</v>
      </c>
      <c r="L327" s="152" t="str">
        <f>IF(ISERROR(GETPIVOTDATA(IF($J327=1,"Count of ACTIVE     CED, FARM GATE (MJ/kg)","Count of CED, processor gate (MJ/kg)"),'Pivot Table_CED'!$A$3,"SUB TYPE",$B327)),"PROXY",IF(GETPIVOTDATA(IF($J327=1,"Count of ACTIVE     CED, FARM GATE (MJ/kg)","Count of CED, processor gate (MJ/kg)"),'Pivot Table_CED'!$A$3,"SUB TYPE",$B327)=0,"PROXY","DB value"))</f>
        <v>PROXY</v>
      </c>
      <c r="M327" s="134">
        <f ca="1">IF($L327="PROXY",DCOUNT('literature entries'!$D:$AI,IF($J327=1,"ACTIVE     CED, FARM GATE (MJ/kg)","CED, processor gate (MJ/kg)"),INDIRECT($K327)),GETPIVOTDATA(IF($J327=1,"Count of ACTIVE     CED, FARM GATE (MJ/kg)","Count of CED, processor gate (MJ/kg)"),'Pivot Table_CED'!$A$3,"SUB TYPE",$B327))</f>
        <v>54</v>
      </c>
      <c r="N327" s="135">
        <f ca="1">IF($L327="PROXY",DAVERAGE('literature entries'!$D:$AI,IF($J327=1,"ACTIVE     CED, FARM GATE (MJ/kg)","CED, processor gate (MJ/kg)"),INDIRECT($K327)),GETPIVOTDATA(IF($J327=1,"Average of ACTIVE     CED, FARM GATE (MJ/kg)","Average of CED, processor gate (MJ/kg)"),'Pivot Table_CED'!$A$3,"SUB TYPE",$B327))</f>
        <v>172.82197669332314</v>
      </c>
      <c r="O327" s="135">
        <f ca="1">IF($L327="PROXY",DSTDEV('literature entries'!D:AI,IF($J327=1,"ACTIVE     CED, FARM GATE (MJ/kg)","CED, processor gate (MJ/kg)"),INDIRECT($K327)),GETPIVOTDATA(IF($J327=1,"StdDev of ACTIVE     CED, FARM GATE (MJ/kg)","StdDev of CED, processor gate (MJ/kg)"),'Pivot Table_CED'!$A$3,"SUB TYPE",$B327))</f>
        <v>229.32958832205563</v>
      </c>
      <c r="P327" s="152" t="str">
        <f>IF(ISERROR(GETPIVOTDATA(IF($J327=1,"Count of ACTIVE     GHGE, FARM GATE (kg CO2e/kg)","Count of GHGE, processor gate (kg CO2e/kg)"),'Pivot Table_GHG'!$A$3,"SUB TYPE",$B327)),"PROXY",IF(GETPIVOTDATA(IF($J327=1,"Count of ACTIVE     GHGE, FARM GATE (kg CO2e/kg)","Count of GHGE, processor gate (kg CO2e/kg)"),'Pivot Table_GHG'!$A$3,"SUB TYPE",$B327)=0,"PROXY","DB value"))</f>
        <v>DB value</v>
      </c>
      <c r="Q327" s="141">
        <f ca="1">IF($P327="PROXY",DCOUNT('literature entries'!$D:$AI,IF($J327=1,"ACTIVE     GHGE, FARM GATE (kg CO2e/kg)","GHGE, processor gate (kg CO2e/kg)"),INDIRECT($K327)),GETPIVOTDATA(IF($J327=1,"ACTIVE     GHGE, FARM GATE (kg CO2e/kg)","Count of GHGE, processor gate (kg CO2e/kg)"),'Pivot Table_GHG'!$A$3,"SUB TYPE",$B327))</f>
        <v>5</v>
      </c>
      <c r="R327" s="221">
        <f ca="1">IF($P327="PROXY",DAVERAGE('literature entries'!$D:$AI,IF($J327=1,"ACTIVE     GHGE, FARM GATE (kg CO2e/kg)","GHGE, processor gate (kg CO2e/kg)"),INDIRECT($K327)),GETPIVOTDATA(IF($J327=1,"Average of ACTIVE     GHGE, FARM GATE (kg CO2e/kg)","Average of GHGE, processor gate (kg CO2e/kg)"),'Pivot Table_GHG'!$A$3,"SUB TYPE",$B327))</f>
        <v>3.1429</v>
      </c>
      <c r="S327" s="221">
        <f ca="1">IF($P327="PROXY",DSTDEV('literature entries'!$D:$AI,IF($J327=1,"ACTIVE     GHGE, FARM GATE (kg CO2e/kg)","GHGE, processor gate (kg CO2e/kg)"),INDIRECT($K327)),GETPIVOTDATA(IF($J327=1,"StdDev of ACTIVE     GHGE, FARM GATE (kg CO2e/kg)","StdDev of GHGE, processor gate (kg CO2e/kg)"),'Pivot Table_GHG'!$A$3,"SUB TYPE",$B327))</f>
        <v>2.6513501239934332</v>
      </c>
      <c r="T327" s="101"/>
      <c r="U327" s="102"/>
      <c r="W327" s="248" t="str">
        <f t="shared" ca="1" si="44"/>
        <v>all_fish</v>
      </c>
      <c r="X327" s="246">
        <f ca="1">IF($W327="DIRECT",M327,DCOUNT('literature entries'!$D:$AI,IF($J327=1,"ACTIVE     CED, FARM GATE (MJ/kg)","CED, processor gate (MJ/kg)"),INDIRECT($W327)))</f>
        <v>54</v>
      </c>
      <c r="Y327" s="246">
        <f ca="1">IF($W327="DIRECT","",DAVERAGE('literature entries'!$D:$AI,IF($J327=1,"ACTIVE     CED, FARM GATE (MJ/kg)","CED, processor gate (MJ/kg)"),INDIRECT($W327)))</f>
        <v>172.82197669332314</v>
      </c>
      <c r="Z327" s="246">
        <f ca="1">IF($W327="DIRECT",$O327,DSTDEV('literature entries'!$D:$AI,IF($J327=1,"ACTIVE     CED, FARM GATE (MJ/kg)","CED, processor gate (MJ/kg)"),INDIRECT($W327)))</f>
        <v>229.32958832205563</v>
      </c>
      <c r="AA327" s="246">
        <f t="shared" ca="1" si="41"/>
        <v>229.32958832205563</v>
      </c>
      <c r="AB327" s="254" t="str">
        <f t="shared" ca="1" si="45"/>
        <v>DIRECT</v>
      </c>
      <c r="AC327" s="247">
        <f ca="1">IF($AB327="DIRECT",Q327,DCOUNT('literature entries'!$D:$AI,IF($J327=1,"ACTIVE     GHGE, FARM GATE (kg CO2e/kg)","GHGE, processor gate (kg CO2e/kg)"),INDIRECT($AB327)))</f>
        <v>5</v>
      </c>
      <c r="AD327" s="247" t="str">
        <f ca="1">IF($AB327="DIRECT","",DAVERAGE('literature entries'!$D:$AI,IF($J327=1,"ACTIVE     GHGE, FARM GATE (kg CO2e/kg)","GHGE, processor gate (kg CO2e/kg)"),INDIRECT($AB327)))</f>
        <v/>
      </c>
      <c r="AE327" s="247">
        <f ca="1">IF($AB327="DIRECT",$S327,DSTDEV('literature entries'!$D:$AI,IF($J327=1,"ACTIVE     GHGE, FARM GATE (kg CO2e/kg)","GHGE, processor gate (kg CO2e/kg)"),INDIRECT($AB327)))</f>
        <v>2.6513501239934332</v>
      </c>
      <c r="AF327" s="247">
        <f t="shared" ca="1" si="42"/>
        <v>2.6513501239934332</v>
      </c>
    </row>
    <row r="328" spans="1:32" s="21" customFormat="1" ht="17" thickBot="1" x14ac:dyDescent="0.25">
      <c r="A328" s="129">
        <v>8601100000</v>
      </c>
      <c r="B328" s="130" t="s">
        <v>2339</v>
      </c>
      <c r="C328" s="131">
        <v>0</v>
      </c>
      <c r="D328" s="131"/>
      <c r="E328" s="131">
        <v>23667</v>
      </c>
      <c r="F328" s="126">
        <f t="shared" ca="1" si="46"/>
        <v>7.2234348031658029E-3</v>
      </c>
      <c r="G328" s="127">
        <f t="shared" ca="1" si="47"/>
        <v>4.6652447256372763E-4</v>
      </c>
      <c r="H328" s="132">
        <v>1</v>
      </c>
      <c r="I328" s="133" t="s">
        <v>594</v>
      </c>
      <c r="J328" s="91">
        <v>2</v>
      </c>
      <c r="K328" s="219"/>
      <c r="L328" s="152" t="str">
        <f>IF(ISERROR(GETPIVOTDATA(IF($J328=1,"Count of ACTIVE     CED, FARM GATE (MJ/kg)","Count of CED, processor gate (MJ/kg)"),'Pivot Table_CED'!$A$3,"SUB TYPE",$B328)),"PROXY",IF(GETPIVOTDATA(IF($J328=1,"Count of ACTIVE     CED, FARM GATE (MJ/kg)","Count of CED, processor gate (MJ/kg)"),'Pivot Table_CED'!$A$3,"SUB TYPE",$B328)=0,"PROXY","DB value"))</f>
        <v>DB value</v>
      </c>
      <c r="M328" s="134">
        <f ca="1">IF($L328="PROXY",DCOUNT('literature entries'!$D:$AI,IF($J328=1,"ACTIVE     CED, FARM GATE (MJ/kg)","CED, processor gate (MJ/kg)"),INDIRECT($K328)),GETPIVOTDATA(IF($J328=1,"Count of ACTIVE     CED, FARM GATE (MJ/kg)","Count of CED, processor gate (MJ/kg)"),'Pivot Table_CED'!$A$3,"SUB TYPE",$B328))</f>
        <v>12</v>
      </c>
      <c r="N328" s="135">
        <f ca="1">IF($L328="PROXY",DAVERAGE('literature entries'!$D:$AI,IF($J328=1,"ACTIVE     CED, FARM GATE (MJ/kg)","CED, processor gate (MJ/kg)"),INDIRECT($K328)),GETPIVOTDATA(IF($J328=1,"Average of ACTIVE     CED, FARM GATE (MJ/kg)","Average of CED, processor gate (MJ/kg)"),'Pivot Table_CED'!$A$3,"SUB TYPE",$B328))</f>
        <v>7.2234348031658029E-3</v>
      </c>
      <c r="O328" s="135">
        <f ca="1">IF($L328="PROXY",DSTDEV('literature entries'!D:AI,IF($J328=1,"ACTIVE     CED, FARM GATE (MJ/kg)","CED, processor gate (MJ/kg)"),INDIRECT($K328)),GETPIVOTDATA(IF($J328=1,"StdDev of ACTIVE     CED, FARM GATE (MJ/kg)","StdDev of CED, processor gate (MJ/kg)"),'Pivot Table_CED'!$A$3,"SUB TYPE",$B328))</f>
        <v>2.0428260692884307E-3</v>
      </c>
      <c r="P328" s="152" t="str">
        <f>IF(ISERROR(GETPIVOTDATA(IF($J328=1,"Count of ACTIVE     GHGE, FARM GATE (kg CO2e/kg)","Count of GHGE, processor gate (kg CO2e/kg)"),'Pivot Table_GHG'!$A$3,"SUB TYPE",$B328)),"PROXY",IF(GETPIVOTDATA(IF($J328=1,"Count of ACTIVE     GHGE, FARM GATE (kg CO2e/kg)","Count of GHGE, processor gate (kg CO2e/kg)"),'Pivot Table_GHG'!$A$3,"SUB TYPE",$B328)=0,"PROXY","DB value"))</f>
        <v>DB value</v>
      </c>
      <c r="Q328" s="141">
        <f ca="1">IF($P328="PROXY",DCOUNT('literature entries'!$D:$AI,IF($J328=1,"ACTIVE     GHGE, FARM GATE (kg CO2e/kg)","GHGE, processor gate (kg CO2e/kg)"),INDIRECT($K328)),GETPIVOTDATA(IF($J328=1,"ACTIVE     GHGE, FARM GATE (kg CO2e/kg)","Count of GHGE, processor gate (kg CO2e/kg)"),'Pivot Table_GHG'!$A$3,"SUB TYPE",$B328))</f>
        <v>12</v>
      </c>
      <c r="R328" s="221">
        <f ca="1">IF($P328="PROXY",DAVERAGE('literature entries'!$D:$AI,IF($J328=1,"ACTIVE     GHGE, FARM GATE (kg CO2e/kg)","GHGE, processor gate (kg CO2e/kg)"),INDIRECT($K328)),GETPIVOTDATA(IF($J328=1,"Average of ACTIVE     GHGE, FARM GATE (kg CO2e/kg)","Average of GHGE, processor gate (kg CO2e/kg)"),'Pivot Table_GHG'!$A$3,"SUB TYPE",$B328))</f>
        <v>4.6652447256372763E-4</v>
      </c>
      <c r="S328" s="221">
        <f ca="1">IF($P328="PROXY",DSTDEV('literature entries'!$D:$AI,IF($J328=1,"ACTIVE     GHGE, FARM GATE (kg CO2e/kg)","GHGE, processor gate (kg CO2e/kg)"),INDIRECT($K328)),GETPIVOTDATA(IF($J328=1,"StdDev of ACTIVE     GHGE, FARM GATE (kg CO2e/kg)","StdDev of GHGE, processor gate (kg CO2e/kg)"),'Pivot Table_GHG'!$A$3,"SUB TYPE",$B328))</f>
        <v>1.3263871323363659E-4</v>
      </c>
      <c r="T328" s="101"/>
      <c r="U328" s="102"/>
      <c r="W328" s="248" t="str">
        <f t="shared" ca="1" si="44"/>
        <v>DIRECT</v>
      </c>
      <c r="X328" s="246">
        <f ca="1">IF($W328="DIRECT",M328,DCOUNT('literature entries'!$D:$AI,IF($J328=1,"ACTIVE     CED, FARM GATE (MJ/kg)","CED, processor gate (MJ/kg)"),INDIRECT($W328)))</f>
        <v>12</v>
      </c>
      <c r="Y328" s="246" t="str">
        <f ca="1">IF($W328="DIRECT","",DAVERAGE('literature entries'!$D:$AI,IF($J328=1,"ACTIVE     CED, FARM GATE (MJ/kg)","CED, processor gate (MJ/kg)"),INDIRECT($W328)))</f>
        <v/>
      </c>
      <c r="Z328" s="246">
        <f ca="1">IF($W328="DIRECT",$O328,DSTDEV('literature entries'!$D:$AI,IF($J328=1,"ACTIVE     CED, FARM GATE (MJ/kg)","CED, processor gate (MJ/kg)"),INDIRECT($W328)))</f>
        <v>2.0428260692884307E-3</v>
      </c>
      <c r="AA328" s="246">
        <f t="shared" ca="1" si="41"/>
        <v>2.0428260692884307E-3</v>
      </c>
      <c r="AB328" s="254" t="str">
        <f t="shared" ca="1" si="45"/>
        <v>DIRECT</v>
      </c>
      <c r="AC328" s="247">
        <f ca="1">IF($AB328="DIRECT",Q328,DCOUNT('literature entries'!$D:$AI,IF($J328=1,"ACTIVE     GHGE, FARM GATE (kg CO2e/kg)","GHGE, processor gate (kg CO2e/kg)"),INDIRECT($AB328)))</f>
        <v>12</v>
      </c>
      <c r="AD328" s="247" t="str">
        <f ca="1">IF($AB328="DIRECT","",DAVERAGE('literature entries'!$D:$AI,IF($J328=1,"ACTIVE     GHGE, FARM GATE (kg CO2e/kg)","GHGE, processor gate (kg CO2e/kg)"),INDIRECT($AB328)))</f>
        <v/>
      </c>
      <c r="AE328" s="247">
        <f ca="1">IF($AB328="DIRECT",$S328,DSTDEV('literature entries'!$D:$AI,IF($J328=1,"ACTIVE     GHGE, FARM GATE (kg CO2e/kg)","GHGE, processor gate (kg CO2e/kg)"),INDIRECT($AB328)))</f>
        <v>1.3263871323363659E-4</v>
      </c>
      <c r="AF328" s="247">
        <f t="shared" ca="1" si="42"/>
        <v>1.3263871323363659E-4</v>
      </c>
    </row>
    <row r="329" spans="1:32" s="21" customFormat="1" ht="17" thickBot="1" x14ac:dyDescent="0.25">
      <c r="A329" s="129">
        <v>8601200000</v>
      </c>
      <c r="B329" s="130" t="s">
        <v>2338</v>
      </c>
      <c r="C329" s="131">
        <v>0</v>
      </c>
      <c r="D329" s="131"/>
      <c r="E329" s="131">
        <v>18473</v>
      </c>
      <c r="F329" s="126">
        <f t="shared" ca="1" si="46"/>
        <v>0.1330633338122082</v>
      </c>
      <c r="G329" s="127">
        <f t="shared" ca="1" si="47"/>
        <v>8.8904616115864227E-3</v>
      </c>
      <c r="H329" s="132">
        <v>1</v>
      </c>
      <c r="I329" s="133" t="s">
        <v>594</v>
      </c>
      <c r="J329" s="91">
        <v>2</v>
      </c>
      <c r="K329" s="219"/>
      <c r="L329" s="152" t="str">
        <f>IF(ISERROR(GETPIVOTDATA(IF($J329=1,"Count of ACTIVE     CED, FARM GATE (MJ/kg)","Count of CED, processor gate (MJ/kg)"),'Pivot Table_CED'!$A$3,"SUB TYPE",$B329)),"PROXY",IF(GETPIVOTDATA(IF($J329=1,"Count of ACTIVE     CED, FARM GATE (MJ/kg)","Count of CED, processor gate (MJ/kg)"),'Pivot Table_CED'!$A$3,"SUB TYPE",$B329)=0,"PROXY","DB value"))</f>
        <v>DB value</v>
      </c>
      <c r="M329" s="134">
        <f ca="1">IF($L329="PROXY",DCOUNT('literature entries'!$D:$AI,IF($J329=1,"ACTIVE     CED, FARM GATE (MJ/kg)","CED, processor gate (MJ/kg)"),INDIRECT($K329)),GETPIVOTDATA(IF($J329=1,"Count of ACTIVE     CED, FARM GATE (MJ/kg)","Count of CED, processor gate (MJ/kg)"),'Pivot Table_CED'!$A$3,"SUB TYPE",$B329))</f>
        <v>24</v>
      </c>
      <c r="N329" s="135">
        <f ca="1">IF($L329="PROXY",DAVERAGE('literature entries'!$D:$AI,IF($J329=1,"ACTIVE     CED, FARM GATE (MJ/kg)","CED, processor gate (MJ/kg)"),INDIRECT($K329)),GETPIVOTDATA(IF($J329=1,"Average of ACTIVE     CED, FARM GATE (MJ/kg)","Average of CED, processor gate (MJ/kg)"),'Pivot Table_CED'!$A$3,"SUB TYPE",$B329))</f>
        <v>0.1330633338122082</v>
      </c>
      <c r="O329" s="135">
        <f ca="1">IF($L329="PROXY",DSTDEV('literature entries'!D:AI,IF($J329=1,"ACTIVE     CED, FARM GATE (MJ/kg)","CED, processor gate (MJ/kg)"),INDIRECT($K329)),GETPIVOTDATA(IF($J329=1,"StdDev of ACTIVE     CED, FARM GATE (MJ/kg)","StdDev of CED, processor gate (MJ/kg)"),'Pivot Table_CED'!$A$3,"SUB TYPE",$B329))</f>
        <v>6.1505960514037068E-2</v>
      </c>
      <c r="P329" s="152" t="str">
        <f>IF(ISERROR(GETPIVOTDATA(IF($J329=1,"Count of ACTIVE     GHGE, FARM GATE (kg CO2e/kg)","Count of GHGE, processor gate (kg CO2e/kg)"),'Pivot Table_GHG'!$A$3,"SUB TYPE",$B329)),"PROXY",IF(GETPIVOTDATA(IF($J329=1,"Count of ACTIVE     GHGE, FARM GATE (kg CO2e/kg)","Count of GHGE, processor gate (kg CO2e/kg)"),'Pivot Table_GHG'!$A$3,"SUB TYPE",$B329)=0,"PROXY","DB value"))</f>
        <v>DB value</v>
      </c>
      <c r="Q329" s="141">
        <f ca="1">IF($P329="PROXY",DCOUNT('literature entries'!$D:$AI,IF($J329=1,"ACTIVE     GHGE, FARM GATE (kg CO2e/kg)","GHGE, processor gate (kg CO2e/kg)"),INDIRECT($K329)),GETPIVOTDATA(IF($J329=1,"ACTIVE     GHGE, FARM GATE (kg CO2e/kg)","Count of GHGE, processor gate (kg CO2e/kg)"),'Pivot Table_GHG'!$A$3,"SUB TYPE",$B329))</f>
        <v>24</v>
      </c>
      <c r="R329" s="221">
        <f ca="1">IF($P329="PROXY",DAVERAGE('literature entries'!$D:$AI,IF($J329=1,"ACTIVE     GHGE, FARM GATE (kg CO2e/kg)","GHGE, processor gate (kg CO2e/kg)"),INDIRECT($K329)),GETPIVOTDATA(IF($J329=1,"Average of ACTIVE     GHGE, FARM GATE (kg CO2e/kg)","Average of GHGE, processor gate (kg CO2e/kg)"),'Pivot Table_GHG'!$A$3,"SUB TYPE",$B329))</f>
        <v>8.8904616115864227E-3</v>
      </c>
      <c r="S329" s="221">
        <f ca="1">IF($P329="PROXY",DSTDEV('literature entries'!$D:$AI,IF($J329=1,"ACTIVE     GHGE, FARM GATE (kg CO2e/kg)","GHGE, processor gate (kg CO2e/kg)"),INDIRECT($K329)),GETPIVOTDATA(IF($J329=1,"StdDev of ACTIVE     GHGE, FARM GATE (kg CO2e/kg)","StdDev of GHGE, processor gate (kg CO2e/kg)"),'Pivot Table_GHG'!$A$3,"SUB TYPE",$B329))</f>
        <v>3.6804461408643384E-3</v>
      </c>
      <c r="T329" s="101"/>
      <c r="U329" s="102"/>
      <c r="W329" s="248" t="str">
        <f t="shared" ca="1" si="44"/>
        <v>DIRECT</v>
      </c>
      <c r="X329" s="246">
        <f ca="1">IF($W329="DIRECT",M329,DCOUNT('literature entries'!$D:$AI,IF($J329=1,"ACTIVE     CED, FARM GATE (MJ/kg)","CED, processor gate (MJ/kg)"),INDIRECT($W329)))</f>
        <v>24</v>
      </c>
      <c r="Y329" s="246" t="str">
        <f ca="1">IF($W329="DIRECT","",DAVERAGE('literature entries'!$D:$AI,IF($J329=1,"ACTIVE     CED, FARM GATE (MJ/kg)","CED, processor gate (MJ/kg)"),INDIRECT($W329)))</f>
        <v/>
      </c>
      <c r="Z329" s="246">
        <f ca="1">IF($W329="DIRECT",$O329,DSTDEV('literature entries'!$D:$AI,IF($J329=1,"ACTIVE     CED, FARM GATE (MJ/kg)","CED, processor gate (MJ/kg)"),INDIRECT($W329)))</f>
        <v>6.1505960514037068E-2</v>
      </c>
      <c r="AA329" s="246">
        <f t="shared" ca="1" si="41"/>
        <v>6.1505960514037068E-2</v>
      </c>
      <c r="AB329" s="254" t="str">
        <f t="shared" ca="1" si="45"/>
        <v>DIRECT</v>
      </c>
      <c r="AC329" s="247">
        <f ca="1">IF($AB329="DIRECT",Q329,DCOUNT('literature entries'!$D:$AI,IF($J329=1,"ACTIVE     GHGE, FARM GATE (kg CO2e/kg)","GHGE, processor gate (kg CO2e/kg)"),INDIRECT($AB329)))</f>
        <v>24</v>
      </c>
      <c r="AD329" s="247" t="str">
        <f ca="1">IF($AB329="DIRECT","",DAVERAGE('literature entries'!$D:$AI,IF($J329=1,"ACTIVE     GHGE, FARM GATE (kg CO2e/kg)","GHGE, processor gate (kg CO2e/kg)"),INDIRECT($AB329)))</f>
        <v/>
      </c>
      <c r="AE329" s="247">
        <f ca="1">IF($AB329="DIRECT",$S329,DSTDEV('literature entries'!$D:$AI,IF($J329=1,"ACTIVE     GHGE, FARM GATE (kg CO2e/kg)","GHGE, processor gate (kg CO2e/kg)"),INDIRECT($AB329)))</f>
        <v>3.6804461408643384E-3</v>
      </c>
      <c r="AF329" s="247">
        <f t="shared" ca="1" si="42"/>
        <v>3.6804461408643384E-3</v>
      </c>
    </row>
    <row r="330" spans="1:32" s="21" customFormat="1" ht="17" thickBot="1" x14ac:dyDescent="0.25">
      <c r="A330" s="129">
        <v>8602000000</v>
      </c>
      <c r="B330" s="130" t="s">
        <v>2340</v>
      </c>
      <c r="C330" s="131">
        <v>0</v>
      </c>
      <c r="D330" s="131"/>
      <c r="E330" s="131">
        <v>44148</v>
      </c>
      <c r="F330" s="126">
        <f t="shared" si="46"/>
        <v>0</v>
      </c>
      <c r="G330" s="127">
        <f t="shared" si="47"/>
        <v>0</v>
      </c>
      <c r="H330" s="132">
        <v>0</v>
      </c>
      <c r="I330" s="133" t="s">
        <v>594</v>
      </c>
      <c r="J330" s="91">
        <v>1</v>
      </c>
      <c r="K330" s="90"/>
      <c r="L330" s="152" t="str">
        <f>IF(ISERROR(GETPIVOTDATA(IF($J330=1,"Count of ACTIVE     CED, FARM GATE (MJ/kg)","Count of CED, processor gate (MJ/kg)"),'Pivot Table_CED'!$A$3,"SUB TYPE",$B330)),"PROXY",IF(GETPIVOTDATA(IF($J330=1,"Count of ACTIVE     CED, FARM GATE (MJ/kg)","Count of CED, processor gate (MJ/kg)"),'Pivot Table_CED'!$A$3,"SUB TYPE",$B330)=0,"PROXY","DB value"))</f>
        <v>PROXY</v>
      </c>
      <c r="M330" s="134">
        <v>0</v>
      </c>
      <c r="N330" s="135">
        <v>0</v>
      </c>
      <c r="O330" s="135">
        <v>0</v>
      </c>
      <c r="P330" s="152" t="str">
        <f>IF(ISERROR(GETPIVOTDATA(IF($J330=1,"Count of ACTIVE     GHGE, FARM GATE (kg CO2e/kg)","Count of GHGE, processor gate (kg CO2e/kg)"),'Pivot Table_GHG'!$A$3,"SUB TYPE",$B330)),"PROXY",IF(GETPIVOTDATA(IF($J330=1,"Count of ACTIVE     GHGE, FARM GATE (kg CO2e/kg)","Count of GHGE, processor gate (kg CO2e/kg)"),'Pivot Table_GHG'!$A$3,"SUB TYPE",$B330)=0,"PROXY","DB value"))</f>
        <v>PROXY</v>
      </c>
      <c r="Q330" s="141">
        <v>0</v>
      </c>
      <c r="R330" s="222">
        <v>0</v>
      </c>
      <c r="S330" s="221">
        <v>0</v>
      </c>
      <c r="T330" s="101"/>
      <c r="U330" s="102"/>
      <c r="W330" s="248" t="s">
        <v>3367</v>
      </c>
      <c r="X330" s="246"/>
      <c r="Y330" s="246"/>
      <c r="Z330" s="246"/>
      <c r="AA330" s="246"/>
      <c r="AB330" s="254" t="s">
        <v>3367</v>
      </c>
      <c r="AC330" s="247"/>
      <c r="AD330" s="247"/>
      <c r="AE330" s="247"/>
      <c r="AF330" s="247"/>
    </row>
    <row r="331" spans="1:32" s="21" customFormat="1" ht="17" thickBot="1" x14ac:dyDescent="0.25">
      <c r="A331" s="129">
        <v>9500006000</v>
      </c>
      <c r="B331" s="130" t="s">
        <v>1732</v>
      </c>
      <c r="C331" s="131" t="s">
        <v>1733</v>
      </c>
      <c r="D331" s="131"/>
      <c r="E331" s="131">
        <v>17</v>
      </c>
      <c r="F331" s="126">
        <f t="shared" ca="1" si="46"/>
        <v>2.5841213096774194</v>
      </c>
      <c r="G331" s="127">
        <f t="shared" ca="1" si="47"/>
        <v>0.39349345733333324</v>
      </c>
      <c r="H331" s="133">
        <v>1</v>
      </c>
      <c r="I331" s="133" t="s">
        <v>594</v>
      </c>
      <c r="J331" s="91">
        <v>1</v>
      </c>
      <c r="K331" s="90" t="s">
        <v>2702</v>
      </c>
      <c r="L331" s="152" t="str">
        <f>IF(ISERROR(GETPIVOTDATA(IF($J331=1,"Count of ACTIVE     CED, FARM GATE (MJ/kg)","Count of CED, processor gate (MJ/kg)"),'Pivot Table_CED'!$A$3,"SUB TYPE",$B331)),"PROXY",IF(GETPIVOTDATA(IF($J331=1,"Count of ACTIVE     CED, FARM GATE (MJ/kg)","Count of CED, processor gate (MJ/kg)"),'Pivot Table_CED'!$A$3,"SUB TYPE",$B331)=0,"PROXY","DB value"))</f>
        <v>PROXY</v>
      </c>
      <c r="M331" s="134">
        <f ca="1">IF($L331="PROXY",DCOUNT('literature entries'!$D:$AI,IF($J331=1,"ACTIVE     CED, FARM GATE (MJ/kg)","CED, processor gate (MJ/kg)"),INDIRECT($K331)),GETPIVOTDATA(IF($J331=1,"Count of ACTIVE     CED, FARM GATE (MJ/kg)","Count of CED, processor gate (MJ/kg)"),'Pivot Table_CED'!$A$3,"SUB TYPE",$B331))</f>
        <v>31</v>
      </c>
      <c r="N331" s="135">
        <f ca="1">IF($L331="PROXY",DAVERAGE('literature entries'!$D:$AI,IF($J331=1,"ACTIVE     CED, FARM GATE (MJ/kg)","CED, processor gate (MJ/kg)"),INDIRECT($K331)),GETPIVOTDATA(IF($J331=1,"Average of ACTIVE     CED, FARM GATE (MJ/kg)","Average of CED, processor gate (MJ/kg)"),'Pivot Table_CED'!$A$3,"SUB TYPE",$B331))</f>
        <v>2.5841213096774194</v>
      </c>
      <c r="O331" s="135">
        <f ca="1">IF($L331="PROXY",DSTDEV('literature entries'!D:AI,IF($J331=1,"ACTIVE     CED, FARM GATE (MJ/kg)","CED, processor gate (MJ/kg)"),INDIRECT($K331)),GETPIVOTDATA(IF($J331=1,"StdDev of ACTIVE     CED, FARM GATE (MJ/kg)","StdDev of CED, processor gate (MJ/kg)"),'Pivot Table_CED'!$A$3,"SUB TYPE",$B331))</f>
        <v>1.1854190703188778</v>
      </c>
      <c r="P331" s="152" t="str">
        <f>IF(ISERROR(GETPIVOTDATA(IF($J331=1,"Count of ACTIVE     GHGE, FARM GATE (kg CO2e/kg)","Count of GHGE, processor gate (kg CO2e/kg)"),'Pivot Table_GHG'!$A$3,"SUB TYPE",$B331)),"PROXY",IF(GETPIVOTDATA(IF($J331=1,"Count of ACTIVE     GHGE, FARM GATE (kg CO2e/kg)","Count of GHGE, processor gate (kg CO2e/kg)"),'Pivot Table_GHG'!$A$3,"SUB TYPE",$B331)=0,"PROXY","DB value"))</f>
        <v>PROXY</v>
      </c>
      <c r="Q331" s="141">
        <f ca="1">IF($P331="PROXY",DCOUNT('literature entries'!$D:$AI,IF($J331=1,"ACTIVE     GHGE, FARM GATE (kg CO2e/kg)","GHGE, processor gate (kg CO2e/kg)"),INDIRECT($K331)),GETPIVOTDATA(IF($J331=1,"ACTIVE     GHGE, FARM GATE (kg CO2e/kg)","Count of GHGE, processor gate (kg CO2e/kg)"),'Pivot Table_GHG'!$A$3,"SUB TYPE",$B331))</f>
        <v>45</v>
      </c>
      <c r="R331" s="221">
        <f ca="1">IF($P331="PROXY",DAVERAGE('literature entries'!$D:$AI,IF($J331=1,"ACTIVE     GHGE, FARM GATE (kg CO2e/kg)","GHGE, processor gate (kg CO2e/kg)"),INDIRECT($K331)),GETPIVOTDATA(IF($J331=1,"Average of ACTIVE     GHGE, FARM GATE (kg CO2e/kg)","Average of GHGE, processor gate (kg CO2e/kg)"),'Pivot Table_GHG'!$A$3,"SUB TYPE",$B331))</f>
        <v>0.39349345733333324</v>
      </c>
      <c r="S331" s="221">
        <f ca="1">IF($P331="PROXY",DSTDEV('literature entries'!$D:$AI,IF($J331=1,"ACTIVE     GHGE, FARM GATE (kg CO2e/kg)","GHGE, processor gate (kg CO2e/kg)"),INDIRECT($K331)),GETPIVOTDATA(IF($J331=1,"StdDev of ACTIVE     GHGE, FARM GATE (kg CO2e/kg)","StdDev of GHGE, processor gate (kg CO2e/kg)"),'Pivot Table_GHG'!$A$3,"SUB TYPE",$B331))</f>
        <v>0.20361467618492471</v>
      </c>
      <c r="T331" s="92"/>
      <c r="U331" s="93"/>
      <c r="W331" s="248" t="str">
        <f ca="1">IF(L331="PROXY",IF(M331&gt;=5,K331,"need group"),IF(M331&gt;=5,"DIRECT","need group"))</f>
        <v>grains</v>
      </c>
      <c r="X331" s="246">
        <f ca="1">IF($W331="DIRECT",M331,DCOUNT('literature entries'!$D:$AI,IF($J331=1,"ACTIVE     CED, FARM GATE (MJ/kg)","CED, processor gate (MJ/kg)"),INDIRECT($W331)))</f>
        <v>31</v>
      </c>
      <c r="Y331" s="246">
        <f ca="1">IF($W331="DIRECT","",DAVERAGE('literature entries'!$D:$AI,IF($J331=1,"ACTIVE     CED, FARM GATE (MJ/kg)","CED, processor gate (MJ/kg)"),INDIRECT($W331)))</f>
        <v>2.5841213096774194</v>
      </c>
      <c r="Z331" s="246">
        <f ca="1">IF($W331="DIRECT",$O331,DSTDEV('literature entries'!$D:$AI,IF($J331=1,"ACTIVE     CED, FARM GATE (MJ/kg)","CED, processor gate (MJ/kg)"),INDIRECT($W331)))</f>
        <v>1.1854190703188778</v>
      </c>
      <c r="AA331" s="246">
        <f t="shared" ref="AA331:AA357" ca="1" si="48">IF($W331="DIRECT",$O331,$Z331/$Y331*$N331)</f>
        <v>1.1854190703188778</v>
      </c>
      <c r="AB331" s="254" t="str">
        <f ca="1">IF(P331="PROXY",IF(Q331&gt;=5,K331,"need group"),IF(Q331&gt;=5,"DIRECT","need group"))</f>
        <v>grains</v>
      </c>
      <c r="AC331" s="247">
        <f ca="1">IF($AB331="DIRECT",Q331,DCOUNT('literature entries'!$D:$AI,IF($J331=1,"ACTIVE     GHGE, FARM GATE (kg CO2e/kg)","GHGE, processor gate (kg CO2e/kg)"),INDIRECT($AB331)))</f>
        <v>45</v>
      </c>
      <c r="AD331" s="247">
        <f ca="1">IF($AB331="DIRECT","",DAVERAGE('literature entries'!$D:$AI,IF($J331=1,"ACTIVE     GHGE, FARM GATE (kg CO2e/kg)","GHGE, processor gate (kg CO2e/kg)"),INDIRECT($AB331)))</f>
        <v>0.39349345733333324</v>
      </c>
      <c r="AE331" s="247">
        <f ca="1">IF($AB331="DIRECT",$S331,DSTDEV('literature entries'!$D:$AI,IF($J331=1,"ACTIVE     GHGE, FARM GATE (kg CO2e/kg)","GHGE, processor gate (kg CO2e/kg)"),INDIRECT($AB331)))</f>
        <v>0.20361467618492471</v>
      </c>
      <c r="AF331" s="247">
        <f t="shared" ref="AF331:AF357" ca="1" si="49">IF($AB331="DIRECT",$S331,$AE331/$AD331*$R331)</f>
        <v>0.20361467618492474</v>
      </c>
    </row>
    <row r="332" spans="1:32" s="21" customFormat="1" ht="17" thickBot="1" x14ac:dyDescent="0.25">
      <c r="A332" s="129">
        <v>9500016000</v>
      </c>
      <c r="B332" s="130" t="s">
        <v>1755</v>
      </c>
      <c r="C332" s="131" t="s">
        <v>1756</v>
      </c>
      <c r="D332" s="131"/>
      <c r="E332" s="131">
        <v>75</v>
      </c>
      <c r="F332" s="126">
        <f t="shared" ca="1" si="46"/>
        <v>16.924999999999997</v>
      </c>
      <c r="G332" s="127">
        <f t="shared" ca="1" si="47"/>
        <v>0.84599999999999997</v>
      </c>
      <c r="H332" s="132">
        <v>2.5</v>
      </c>
      <c r="I332" s="133" t="s">
        <v>2735</v>
      </c>
      <c r="J332" s="91">
        <v>1</v>
      </c>
      <c r="K332" s="90"/>
      <c r="L332" s="152" t="str">
        <f>IF(ISERROR(GETPIVOTDATA(IF($J332=1,"Count of ACTIVE     CED, FARM GATE (MJ/kg)","Count of CED, processor gate (MJ/kg)"),'Pivot Table_CED'!$A$3,"SUB TYPE",$B332)),"PROXY",IF(GETPIVOTDATA(IF($J332=1,"Count of ACTIVE     CED, FARM GATE (MJ/kg)","Count of CED, processor gate (MJ/kg)"),'Pivot Table_CED'!$A$3,"SUB TYPE",$B332)=0,"PROXY","DB value"))</f>
        <v>DB value</v>
      </c>
      <c r="M332" s="134">
        <f ca="1">IF($L332="PROXY",DCOUNT('literature entries'!$D:$AI,IF($J332=1,"ACTIVE     CED, FARM GATE (MJ/kg)","CED, processor gate (MJ/kg)"),INDIRECT($K332)),GETPIVOTDATA(IF($J332=1,"Count of ACTIVE     CED, FARM GATE (MJ/kg)","Count of CED, processor gate (MJ/kg)"),'Pivot Table_CED'!$A$3,"SUB TYPE",$B332))</f>
        <v>1</v>
      </c>
      <c r="N332" s="135">
        <f ca="1">IF($L332="PROXY",DAVERAGE('literature entries'!$D:$AI,IF($J332=1,"ACTIVE     CED, FARM GATE (MJ/kg)","CED, processor gate (MJ/kg)"),INDIRECT($K332)),GETPIVOTDATA(IF($J332=1,"Average of ACTIVE     CED, FARM GATE (MJ/kg)","Average of CED, processor gate (MJ/kg)"),'Pivot Table_CED'!$A$3,"SUB TYPE",$B332))</f>
        <v>6.77</v>
      </c>
      <c r="O332" s="135">
        <f ca="1">IF($L332="PROXY",DSTDEV('literature entries'!D:AI,IF($J332=1,"ACTIVE     CED, FARM GATE (MJ/kg)","CED, processor gate (MJ/kg)"),INDIRECT($K332)),GETPIVOTDATA(IF($J332=1,"StdDev of ACTIVE     CED, FARM GATE (MJ/kg)","StdDev of CED, processor gate (MJ/kg)"),'Pivot Table_CED'!$A$3,"SUB TYPE",$B332))</f>
        <v>0</v>
      </c>
      <c r="P332" s="152" t="str">
        <f>IF(ISERROR(GETPIVOTDATA(IF($J332=1,"Count of ACTIVE     GHGE, FARM GATE (kg CO2e/kg)","Count of GHGE, processor gate (kg CO2e/kg)"),'Pivot Table_GHG'!$A$3,"SUB TYPE",$B332)),"PROXY",IF(GETPIVOTDATA(IF($J332=1,"Count of ACTIVE     GHGE, FARM GATE (kg CO2e/kg)","Count of GHGE, processor gate (kg CO2e/kg)"),'Pivot Table_GHG'!$A$3,"SUB TYPE",$B332)=0,"PROXY","DB value"))</f>
        <v>DB value</v>
      </c>
      <c r="Q332" s="141">
        <f ca="1">IF($P332="PROXY",DCOUNT('literature entries'!$D:$AI,IF($J332=1,"ACTIVE     GHGE, FARM GATE (kg CO2e/kg)","GHGE, processor gate (kg CO2e/kg)"),INDIRECT($K332)),GETPIVOTDATA(IF($J332=1,"ACTIVE     GHGE, FARM GATE (kg CO2e/kg)","Count of GHGE, processor gate (kg CO2e/kg)"),'Pivot Table_GHG'!$A$3,"SUB TYPE",$B332))</f>
        <v>2</v>
      </c>
      <c r="R332" s="221">
        <f ca="1">IF($P332="PROXY",DAVERAGE('literature entries'!$D:$AI,IF($J332=1,"ACTIVE     GHGE, FARM GATE (kg CO2e/kg)","GHGE, processor gate (kg CO2e/kg)"),INDIRECT($K332)),GETPIVOTDATA(IF($J332=1,"Average of ACTIVE     GHGE, FARM GATE (kg CO2e/kg)","Average of GHGE, processor gate (kg CO2e/kg)"),'Pivot Table_GHG'!$A$3,"SUB TYPE",$B332))</f>
        <v>0.33839999999999998</v>
      </c>
      <c r="S332" s="221">
        <f ca="1">IF($P332="PROXY",DSTDEV('literature entries'!$D:$AI,IF($J332=1,"ACTIVE     GHGE, FARM GATE (kg CO2e/kg)","GHGE, processor gate (kg CO2e/kg)"),INDIRECT($K332)),GETPIVOTDATA(IF($J332=1,"StdDev of ACTIVE     GHGE, FARM GATE (kg CO2e/kg)","StdDev of GHGE, processor gate (kg CO2e/kg)"),'Pivot Table_GHG'!$A$3,"SUB TYPE",$B332))</f>
        <v>0.20025264043203023</v>
      </c>
      <c r="T332" s="101"/>
      <c r="U332" s="102"/>
      <c r="W332" s="248" t="s">
        <v>3361</v>
      </c>
      <c r="X332" s="246">
        <f ca="1">IF($W332="DIRECT",M332,DCOUNT('literature entries'!$D:$AI,IF($J332=1,"ACTIVE     CED, FARM GATE (MJ/kg)","CED, processor gate (MJ/kg)"),INDIRECT($W332)))</f>
        <v>60</v>
      </c>
      <c r="Y332" s="246">
        <f ca="1">IF($W332="DIRECT","",DAVERAGE('literature entries'!$D:$AI,IF($J332=1,"ACTIVE     CED, FARM GATE (MJ/kg)","CED, processor gate (MJ/kg)"),INDIRECT($W332)))</f>
        <v>3.4907536756076811</v>
      </c>
      <c r="Z332" s="246">
        <f ca="1">IF($W332="DIRECT",$O332,DSTDEV('literature entries'!$D:$AI,IF($J332=1,"ACTIVE     CED, FARM GATE (MJ/kg)","CED, processor gate (MJ/kg)"),INDIRECT($W332)))</f>
        <v>2.8914615487691551</v>
      </c>
      <c r="AA332" s="246">
        <f t="shared" ca="1" si="48"/>
        <v>5.6077273002539965</v>
      </c>
      <c r="AB332" s="254" t="s">
        <v>3361</v>
      </c>
      <c r="AC332" s="247">
        <f ca="1">IF($AB332="DIRECT",Q332,DCOUNT('literature entries'!$D:$AI,IF($J332=1,"ACTIVE     GHGE, FARM GATE (kg CO2e/kg)","GHGE, processor gate (kg CO2e/kg)"),INDIRECT($AB332)))</f>
        <v>130</v>
      </c>
      <c r="AD332" s="247">
        <f ca="1">IF($AB332="DIRECT","",DAVERAGE('literature entries'!$D:$AI,IF($J332=1,"ACTIVE     GHGE, FARM GATE (kg CO2e/kg)","GHGE, processor gate (kg CO2e/kg)"),INDIRECT($AB332)))</f>
        <v>0.57143231537198591</v>
      </c>
      <c r="AE332" s="247">
        <f ca="1">IF($AB332="DIRECT",$S332,DSTDEV('literature entries'!$D:$AI,IF($J332=1,"ACTIVE     GHGE, FARM GATE (kg CO2e/kg)","GHGE, processor gate (kg CO2e/kg)"),INDIRECT($AB332)))</f>
        <v>0.97567296151555694</v>
      </c>
      <c r="AF332" s="247">
        <f t="shared" ca="1" si="49"/>
        <v>0.57778974218833745</v>
      </c>
    </row>
    <row r="333" spans="1:32" s="21" customFormat="1" ht="17" thickBot="1" x14ac:dyDescent="0.25">
      <c r="A333" s="129">
        <v>9500054000</v>
      </c>
      <c r="B333" s="130" t="s">
        <v>1831</v>
      </c>
      <c r="C333" s="131" t="s">
        <v>1760</v>
      </c>
      <c r="D333" s="131" t="s">
        <v>1832</v>
      </c>
      <c r="E333" s="131">
        <v>1557</v>
      </c>
      <c r="F333" s="126">
        <f t="shared" ca="1" si="46"/>
        <v>1.2147600000000001</v>
      </c>
      <c r="G333" s="127">
        <f t="shared" ca="1" si="47"/>
        <v>6.379399999999999E-2</v>
      </c>
      <c r="H333" s="132">
        <v>1.1459999999999999</v>
      </c>
      <c r="I333" s="133" t="s">
        <v>2724</v>
      </c>
      <c r="J333" s="91">
        <v>1</v>
      </c>
      <c r="K333" s="90" t="s">
        <v>659</v>
      </c>
      <c r="L333" s="152" t="str">
        <f>IF(ISERROR(GETPIVOTDATA(IF($J333=1,"Count of ACTIVE     CED, FARM GATE (MJ/kg)","Count of CED, processor gate (MJ/kg)"),'Pivot Table_CED'!$A$3,"SUB TYPE",$B333)),"PROXY",IF(GETPIVOTDATA(IF($J333=1,"Count of ACTIVE     CED, FARM GATE (MJ/kg)","Count of CED, processor gate (MJ/kg)"),'Pivot Table_CED'!$A$3,"SUB TYPE",$B333)=0,"PROXY","DB value"))</f>
        <v>PROXY</v>
      </c>
      <c r="M333" s="134">
        <f ca="1">IF($L333="PROXY",DCOUNT('literature entries'!$D:$AI,IF($J333=1,"ACTIVE     CED, FARM GATE (MJ/kg)","CED, processor gate (MJ/kg)"),INDIRECT($K333)),GETPIVOTDATA(IF($J333=1,"Count of ACTIVE     CED, FARM GATE (MJ/kg)","Count of CED, processor gate (MJ/kg)"),'Pivot Table_CED'!$A$3,"SUB TYPE",$B333))</f>
        <v>3</v>
      </c>
      <c r="N333" s="135">
        <f ca="1">IF($L333="PROXY",DAVERAGE('literature entries'!$D:$AI,IF($J333=1,"ACTIVE     CED, FARM GATE (MJ/kg)","CED, processor gate (MJ/kg)"),INDIRECT($K333)),GETPIVOTDATA(IF($J333=1,"Average of ACTIVE     CED, FARM GATE (MJ/kg)","Average of CED, processor gate (MJ/kg)"),'Pivot Table_CED'!$A$3,"SUB TYPE",$B333))</f>
        <v>1.06</v>
      </c>
      <c r="O333" s="135">
        <f ca="1">IF($L333="PROXY",DSTDEV('literature entries'!D:AI,IF($J333=1,"ACTIVE     CED, FARM GATE (MJ/kg)","CED, processor gate (MJ/kg)"),INDIRECT($K333)),GETPIVOTDATA(IF($J333=1,"StdDev of ACTIVE     CED, FARM GATE (MJ/kg)","StdDev of CED, processor gate (MJ/kg)"),'Pivot Table_CED'!$A$3,"SUB TYPE",$B333))</f>
        <v>0.28583211855912843</v>
      </c>
      <c r="P333" s="152" t="str">
        <f>IF(ISERROR(GETPIVOTDATA(IF($J333=1,"Count of ACTIVE     GHGE, FARM GATE (kg CO2e/kg)","Count of GHGE, processor gate (kg CO2e/kg)"),'Pivot Table_GHG'!$A$3,"SUB TYPE",$B333)),"PROXY",IF(GETPIVOTDATA(IF($J333=1,"Count of ACTIVE     GHGE, FARM GATE (kg CO2e/kg)","Count of GHGE, processor gate (kg CO2e/kg)"),'Pivot Table_GHG'!$A$3,"SUB TYPE",$B333)=0,"PROXY","DB value"))</f>
        <v>PROXY</v>
      </c>
      <c r="Q333" s="141">
        <f ca="1">IF($P333="PROXY",DCOUNT('literature entries'!$D:$AI,IF($J333=1,"ACTIVE     GHGE, FARM GATE (kg CO2e/kg)","GHGE, processor gate (kg CO2e/kg)"),INDIRECT($K333)),GETPIVOTDATA(IF($J333=1,"ACTIVE     GHGE, FARM GATE (kg CO2e/kg)","Count of GHGE, processor gate (kg CO2e/kg)"),'Pivot Table_GHG'!$A$3,"SUB TYPE",$B333))</f>
        <v>3</v>
      </c>
      <c r="R333" s="221">
        <f ca="1">IF($P333="PROXY",DAVERAGE('literature entries'!$D:$AI,IF($J333=1,"ACTIVE     GHGE, FARM GATE (kg CO2e/kg)","GHGE, processor gate (kg CO2e/kg)"),INDIRECT($K333)),GETPIVOTDATA(IF($J333=1,"Average of ACTIVE     GHGE, FARM GATE (kg CO2e/kg)","Average of GHGE, processor gate (kg CO2e/kg)"),'Pivot Table_GHG'!$A$3,"SUB TYPE",$B333))</f>
        <v>5.5666666666666663E-2</v>
      </c>
      <c r="S333" s="221">
        <f ca="1">IF($P333="PROXY",DSTDEV('literature entries'!$D:$AI,IF($J333=1,"ACTIVE     GHGE, FARM GATE (kg CO2e/kg)","GHGE, processor gate (kg CO2e/kg)"),INDIRECT($K333)),GETPIVOTDATA(IF($J333=1,"StdDev of ACTIVE     GHGE, FARM GATE (kg CO2e/kg)","StdDev of GHGE, processor gate (kg CO2e/kg)"),'Pivot Table_GHG'!$A$3,"SUB TYPE",$B333))</f>
        <v>3.7287173844813334E-3</v>
      </c>
      <c r="T333" s="101"/>
      <c r="U333" s="102"/>
      <c r="W333" s="248" t="s">
        <v>2457</v>
      </c>
      <c r="X333" s="246">
        <f ca="1">IF($W333="DIRECT",M333,DCOUNT('literature entries'!$D:$AI,IF($J333=1,"ACTIVE     CED, FARM GATE (MJ/kg)","CED, processor gate (MJ/kg)"),INDIRECT($W333)))</f>
        <v>10</v>
      </c>
      <c r="Y333" s="246">
        <f ca="1">IF($W333="DIRECT","",DAVERAGE('literature entries'!$D:$AI,IF($J333=1,"ACTIVE     CED, FARM GATE (MJ/kg)","CED, processor gate (MJ/kg)"),INDIRECT($W333)))</f>
        <v>2.5657274700000001</v>
      </c>
      <c r="Z333" s="246">
        <f ca="1">IF($W333="DIRECT",$O333,DSTDEV('literature entries'!$D:$AI,IF($J333=1,"ACTIVE     CED, FARM GATE (MJ/kg)","CED, processor gate (MJ/kg)"),INDIRECT($W333)))</f>
        <v>1.5197673074222315</v>
      </c>
      <c r="AA333" s="246">
        <f t="shared" ca="1" si="48"/>
        <v>0.62787391283906135</v>
      </c>
      <c r="AB333" s="254" t="s">
        <v>2457</v>
      </c>
      <c r="AC333" s="247">
        <f ca="1">IF($AB333="DIRECT",Q333,DCOUNT('literature entries'!$D:$AI,IF($J333=1,"ACTIVE     GHGE, FARM GATE (kg CO2e/kg)","GHGE, processor gate (kg CO2e/kg)"),INDIRECT($AB333)))</f>
        <v>22</v>
      </c>
      <c r="AD333" s="247">
        <f ca="1">IF($AB333="DIRECT","",DAVERAGE('literature entries'!$D:$AI,IF($J333=1,"ACTIVE     GHGE, FARM GATE (kg CO2e/kg)","GHGE, processor gate (kg CO2e/kg)"),INDIRECT($AB333)))</f>
        <v>0.18561974136363635</v>
      </c>
      <c r="AE333" s="247">
        <f ca="1">IF($AB333="DIRECT",$S333,DSTDEV('literature entries'!$D:$AI,IF($J333=1,"ACTIVE     GHGE, FARM GATE (kg CO2e/kg)","GHGE, processor gate (kg CO2e/kg)"),INDIRECT($AB333)))</f>
        <v>9.7833632177637575E-2</v>
      </c>
      <c r="AF333" s="247">
        <f t="shared" ca="1" si="49"/>
        <v>2.9339940629228418E-2</v>
      </c>
    </row>
    <row r="334" spans="1:32" s="21" customFormat="1" ht="17" thickBot="1" x14ac:dyDescent="0.25">
      <c r="A334" s="129">
        <v>9500109000</v>
      </c>
      <c r="B334" s="130" t="s">
        <v>1914</v>
      </c>
      <c r="C334" s="131" t="s">
        <v>1915</v>
      </c>
      <c r="D334" s="131"/>
      <c r="E334" s="131">
        <v>11588</v>
      </c>
      <c r="F334" s="126">
        <f t="shared" ca="1" si="46"/>
        <v>86.121886109000002</v>
      </c>
      <c r="G334" s="127">
        <f t="shared" ca="1" si="47"/>
        <v>11.250181571428572</v>
      </c>
      <c r="H334" s="132">
        <v>1</v>
      </c>
      <c r="I334" s="133" t="s">
        <v>594</v>
      </c>
      <c r="J334" s="91">
        <v>1</v>
      </c>
      <c r="K334" s="219"/>
      <c r="L334" s="152" t="str">
        <f>IF(ISERROR(GETPIVOTDATA(IF($J334=1,"Count of ACTIVE     CED, FARM GATE (MJ/kg)","Count of CED, processor gate (MJ/kg)"),'Pivot Table_CED'!$A$3,"SUB TYPE",$B334)),"PROXY",IF(GETPIVOTDATA(IF($J334=1,"Count of ACTIVE     CED, FARM GATE (MJ/kg)","Count of CED, processor gate (MJ/kg)"),'Pivot Table_CED'!$A$3,"SUB TYPE",$B334)=0,"PROXY","DB value"))</f>
        <v>DB value</v>
      </c>
      <c r="M334" s="134">
        <f ca="1">IF($L334="PROXY",DCOUNT('literature entries'!$D:$AI,IF($J334=1,"ACTIVE     CED, FARM GATE (MJ/kg)","CED, processor gate (MJ/kg)"),INDIRECT($K334)),GETPIVOTDATA(IF($J334=1,"Count of ACTIVE     CED, FARM GATE (MJ/kg)","Count of CED, processor gate (MJ/kg)"),'Pivot Table_CED'!$A$3,"SUB TYPE",$B334))</f>
        <v>4</v>
      </c>
      <c r="N334" s="135">
        <f ca="1">IF($L334="PROXY",DAVERAGE('literature entries'!$D:$AI,IF($J334=1,"ACTIVE     CED, FARM GATE (MJ/kg)","CED, processor gate (MJ/kg)"),INDIRECT($K334)),GETPIVOTDATA(IF($J334=1,"Average of ACTIVE     CED, FARM GATE (MJ/kg)","Average of CED, processor gate (MJ/kg)"),'Pivot Table_CED'!$A$3,"SUB TYPE",$B334))</f>
        <v>86.121886109000002</v>
      </c>
      <c r="O334" s="135">
        <f ca="1">IF($L334="PROXY",DSTDEV('literature entries'!D:AI,IF($J334=1,"ACTIVE     CED, FARM GATE (MJ/kg)","CED, processor gate (MJ/kg)"),INDIRECT($K334)),GETPIVOTDATA(IF($J334=1,"StdDev of ACTIVE     CED, FARM GATE (MJ/kg)","StdDev of CED, processor gate (MJ/kg)"),'Pivot Table_CED'!$A$3,"SUB TYPE",$B334))</f>
        <v>107.36616934726111</v>
      </c>
      <c r="P334" s="152" t="str">
        <f>IF(ISERROR(GETPIVOTDATA(IF($J334=1,"Count of ACTIVE     GHGE, FARM GATE (kg CO2e/kg)","Count of GHGE, processor gate (kg CO2e/kg)"),'Pivot Table_GHG'!$A$3,"SUB TYPE",$B334)),"PROXY",IF(GETPIVOTDATA(IF($J334=1,"Count of ACTIVE     GHGE, FARM GATE (kg CO2e/kg)","Count of GHGE, processor gate (kg CO2e/kg)"),'Pivot Table_GHG'!$A$3,"SUB TYPE",$B334)=0,"PROXY","DB value"))</f>
        <v>DB value</v>
      </c>
      <c r="Q334" s="141">
        <f ca="1">IF($P334="PROXY",DCOUNT('literature entries'!$D:$AI,IF($J334=1,"ACTIVE     GHGE, FARM GATE (kg CO2e/kg)","GHGE, processor gate (kg CO2e/kg)"),INDIRECT($K334)),GETPIVOTDATA(IF($J334=1,"ACTIVE     GHGE, FARM GATE (kg CO2e/kg)","Count of GHGE, processor gate (kg CO2e/kg)"),'Pivot Table_GHG'!$A$3,"SUB TYPE",$B334))</f>
        <v>7</v>
      </c>
      <c r="R334" s="221">
        <f ca="1">IF($P334="PROXY",DAVERAGE('literature entries'!$D:$AI,IF($J334=1,"ACTIVE     GHGE, FARM GATE (kg CO2e/kg)","GHGE, processor gate (kg CO2e/kg)"),INDIRECT($K334)),GETPIVOTDATA(IF($J334=1,"Average of ACTIVE     GHGE, FARM GATE (kg CO2e/kg)","Average of GHGE, processor gate (kg CO2e/kg)"),'Pivot Table_GHG'!$A$3,"SUB TYPE",$B334))</f>
        <v>11.250181571428572</v>
      </c>
      <c r="S334" s="221">
        <f ca="1">IF($P334="PROXY",DSTDEV('literature entries'!$D:$AI,IF($J334=1,"ACTIVE     GHGE, FARM GATE (kg CO2e/kg)","GHGE, processor gate (kg CO2e/kg)"),INDIRECT($K334)),GETPIVOTDATA(IF($J334=1,"StdDev of ACTIVE     GHGE, FARM GATE (kg CO2e/kg)","StdDev of GHGE, processor gate (kg CO2e/kg)"),'Pivot Table_GHG'!$A$3,"SUB TYPE",$B334))</f>
        <v>14.144379387981161</v>
      </c>
      <c r="T334" s="101"/>
      <c r="U334" s="102"/>
      <c r="W334" s="248" t="s">
        <v>3365</v>
      </c>
      <c r="X334" s="246">
        <f ca="1">IF($W334="DIRECT",M334,DCOUNT('literature entries'!$D:$AI,IF($J334=1,"ACTIVE     CED, FARM GATE (MJ/kg)","CED, processor gate (MJ/kg)"),INDIRECT($W334)))</f>
        <v>8</v>
      </c>
      <c r="Y334" s="246">
        <f ca="1">IF($W334="DIRECT","",DAVERAGE('literature entries'!$D:$AI,IF($J334=1,"ACTIVE     CED, FARM GATE (MJ/kg)","CED, processor gate (MJ/kg)"),INDIRECT($W334)))</f>
        <v>71.418696412253354</v>
      </c>
      <c r="Z334" s="246">
        <f ca="1">IF($W334="DIRECT",$O334,DSTDEV('literature entries'!$D:$AI,IF($J334=1,"ACTIVE     CED, FARM GATE (MJ/kg)","CED, processor gate (MJ/kg)"),INDIRECT($W334)))</f>
        <v>72.490517224642574</v>
      </c>
      <c r="AA334" s="246">
        <f t="shared" ca="1" si="48"/>
        <v>87.414366013715863</v>
      </c>
      <c r="AB334" s="254" t="str">
        <f ca="1">IF(P334="PROXY",IF(Q334&gt;=5,K334,"need group"),IF(Q334&gt;=5,"DIRECT","need group"))</f>
        <v>DIRECT</v>
      </c>
      <c r="AC334" s="247">
        <f ca="1">IF($AB334="DIRECT",Q334,DCOUNT('literature entries'!$D:$AI,IF($J334=1,"ACTIVE     GHGE, FARM GATE (kg CO2e/kg)","GHGE, processor gate (kg CO2e/kg)"),INDIRECT($AB334)))</f>
        <v>7</v>
      </c>
      <c r="AD334" s="247" t="str">
        <f ca="1">IF($AB334="DIRECT","",DAVERAGE('literature entries'!$D:$AI,IF($J334=1,"ACTIVE     GHGE, FARM GATE (kg CO2e/kg)","GHGE, processor gate (kg CO2e/kg)"),INDIRECT($AB334)))</f>
        <v/>
      </c>
      <c r="AE334" s="247">
        <f ca="1">IF($AB334="DIRECT",$S334,DSTDEV('literature entries'!$D:$AI,IF($J334=1,"ACTIVE     GHGE, FARM GATE (kg CO2e/kg)","GHGE, processor gate (kg CO2e/kg)"),INDIRECT($AB334)))</f>
        <v>14.144379387981161</v>
      </c>
      <c r="AF334" s="247">
        <f t="shared" ca="1" si="49"/>
        <v>14.144379387981161</v>
      </c>
    </row>
    <row r="335" spans="1:32" s="21" customFormat="1" ht="17" thickBot="1" x14ac:dyDescent="0.25">
      <c r="A335" s="129">
        <v>9500110000</v>
      </c>
      <c r="B335" s="130" t="s">
        <v>1916</v>
      </c>
      <c r="C335" s="131" t="s">
        <v>1917</v>
      </c>
      <c r="D335" s="131"/>
      <c r="E335" s="131">
        <v>16565</v>
      </c>
      <c r="F335" s="126">
        <f t="shared" ca="1" si="46"/>
        <v>3.7453566333333335</v>
      </c>
      <c r="G335" s="127">
        <f t="shared" ca="1" si="47"/>
        <v>33.647091000000003</v>
      </c>
      <c r="H335" s="132">
        <v>1</v>
      </c>
      <c r="I335" s="133" t="s">
        <v>594</v>
      </c>
      <c r="J335" s="91">
        <v>2</v>
      </c>
      <c r="K335" s="90"/>
      <c r="L335" s="152" t="str">
        <f>IF(ISERROR(GETPIVOTDATA(IF($J335=1,"Count of ACTIVE     CED, FARM GATE (MJ/kg)","Count of CED, processor gate (MJ/kg)"),'Pivot Table_CED'!$A$3,"SUB TYPE",$B335)),"PROXY",IF(GETPIVOTDATA(IF($J335=1,"Count of ACTIVE     CED, FARM GATE (MJ/kg)","Count of CED, processor gate (MJ/kg)"),'Pivot Table_CED'!$A$3,"SUB TYPE",$B335)=0,"PROXY","DB value"))</f>
        <v>DB value</v>
      </c>
      <c r="M335" s="134">
        <f ca="1">IF($L335="PROXY",DCOUNT('literature entries'!$D:$AI,IF($J335=1,"ACTIVE     CED, FARM GATE (MJ/kg)","CED, processor gate (MJ/kg)"),INDIRECT($K335)),GETPIVOTDATA(IF($J335=1,"Count of ACTIVE     CED, FARM GATE (MJ/kg)","Count of CED, processor gate (MJ/kg)"),'Pivot Table_CED'!$A$3,"SUB TYPE",$B335))</f>
        <v>3</v>
      </c>
      <c r="N335" s="135">
        <f ca="1">IF($L335="PROXY",DAVERAGE('literature entries'!$D:$AI,IF($J335=1,"ACTIVE     CED, FARM GATE (MJ/kg)","CED, processor gate (MJ/kg)"),INDIRECT($K335)),GETPIVOTDATA(IF($J335=1,"Average of ACTIVE     CED, FARM GATE (MJ/kg)","Average of CED, processor gate (MJ/kg)"),'Pivot Table_CED'!$A$3,"SUB TYPE",$B335))</f>
        <v>3.7453566333333335</v>
      </c>
      <c r="O335" s="135">
        <f ca="1">IF($L335="PROXY",DSTDEV('literature entries'!D:AI,IF($J335=1,"ACTIVE     CED, FARM GATE (MJ/kg)","CED, processor gate (MJ/kg)"),INDIRECT($K335)),GETPIVOTDATA(IF($J335=1,"StdDev of ACTIVE     CED, FARM GATE (MJ/kg)","StdDev of CED, processor gate (MJ/kg)"),'Pivot Table_CED'!$A$3,"SUB TYPE",$B335))</f>
        <v>0.21151079717178042</v>
      </c>
      <c r="P335" s="152" t="str">
        <f>IF(ISERROR(GETPIVOTDATA(IF($J335=1,"Count of ACTIVE     GHGE, FARM GATE (kg CO2e/kg)","Count of GHGE, processor gate (kg CO2e/kg)"),'Pivot Table_GHG'!$A$3,"SUB TYPE",$B335)),"PROXY",IF(GETPIVOTDATA(IF($J335=1,"Count of ACTIVE     GHGE, FARM GATE (kg CO2e/kg)","Count of GHGE, processor gate (kg CO2e/kg)"),'Pivot Table_GHG'!$A$3,"SUB TYPE",$B335)=0,"PROXY","DB value"))</f>
        <v>DB value</v>
      </c>
      <c r="Q335" s="141">
        <f ca="1">IF($P335="PROXY",DCOUNT('literature entries'!$D:$AI,IF($J335=1,"ACTIVE     GHGE, FARM GATE (kg CO2e/kg)","GHGE, processor gate (kg CO2e/kg)"),INDIRECT($K335)),GETPIVOTDATA(IF($J335=1,"ACTIVE     GHGE, FARM GATE (kg CO2e/kg)","Count of GHGE, processor gate (kg CO2e/kg)"),'Pivot Table_GHG'!$A$3,"SUB TYPE",$B335))</f>
        <v>3</v>
      </c>
      <c r="R335" s="221">
        <f ca="1">IF($P335="PROXY",DAVERAGE('literature entries'!$D:$AI,IF($J335=1,"ACTIVE     GHGE, FARM GATE (kg CO2e/kg)","GHGE, processor gate (kg CO2e/kg)"),INDIRECT($K335)),GETPIVOTDATA(IF($J335=1,"Average of ACTIVE     GHGE, FARM GATE (kg CO2e/kg)","Average of GHGE, processor gate (kg CO2e/kg)"),'Pivot Table_GHG'!$A$3,"SUB TYPE",$B335))</f>
        <v>33.647091000000003</v>
      </c>
      <c r="S335" s="221">
        <f ca="1">IF($P335="PROXY",DSTDEV('literature entries'!$D:$AI,IF($J335=1,"ACTIVE     GHGE, FARM GATE (kg CO2e/kg)","GHGE, processor gate (kg CO2e/kg)"),INDIRECT($K335)),GETPIVOTDATA(IF($J335=1,"StdDev of ACTIVE     GHGE, FARM GATE (kg CO2e/kg)","StdDev of GHGE, processor gate (kg CO2e/kg)"),'Pivot Table_GHG'!$A$3,"SUB TYPE",$B335))</f>
        <v>14.543723820780452</v>
      </c>
      <c r="T335" s="101"/>
      <c r="U335" s="102"/>
      <c r="W335" s="248" t="s">
        <v>3365</v>
      </c>
      <c r="X335" s="246">
        <f ca="1">IF($W335="DIRECT",M335,DCOUNT('literature entries'!$D:$AI,IF($J335=1,"ACTIVE     CED, FARM GATE (MJ/kg)","CED, processor gate (MJ/kg)"),INDIRECT($W335)))</f>
        <v>9</v>
      </c>
      <c r="Y335" s="246">
        <f ca="1">IF($W335="DIRECT","",DAVERAGE('literature entries'!$D:$AI,IF($J335=1,"ACTIVE     CED, FARM GATE (MJ/kg)","CED, processor gate (MJ/kg)"),INDIRECT($W335)))</f>
        <v>40.585858261850497</v>
      </c>
      <c r="Z335" s="246">
        <f ca="1">IF($W335="DIRECT",$O335,DSTDEV('literature entries'!$D:$AI,IF($J335=1,"ACTIVE     CED, FARM GATE (MJ/kg)","CED, processor gate (MJ/kg)"),INDIRECT($W335)))</f>
        <v>29.424950608067736</v>
      </c>
      <c r="AA335" s="246">
        <f t="shared" ca="1" si="48"/>
        <v>2.7154023264557505</v>
      </c>
      <c r="AB335" s="254" t="s">
        <v>3365</v>
      </c>
      <c r="AC335" s="247">
        <f ca="1">IF($AB335="DIRECT",Q335,DCOUNT('literature entries'!$D:$AI,IF($J335=1,"ACTIVE     GHGE, FARM GATE (kg CO2e/kg)","GHGE, processor gate (kg CO2e/kg)"),INDIRECT($AB335)))</f>
        <v>11</v>
      </c>
      <c r="AD335" s="247">
        <f ca="1">IF($AB335="DIRECT","",DAVERAGE('literature entries'!$D:$AI,IF($J335=1,"ACTIVE     GHGE, FARM GATE (kg CO2e/kg)","GHGE, processor gate (kg CO2e/kg)"),INDIRECT($AB335)))</f>
        <v>12.625449282606285</v>
      </c>
      <c r="AE335" s="247">
        <f ca="1">IF($AB335="DIRECT",$S335,DSTDEV('literature entries'!$D:$AI,IF($J335=1,"ACTIVE     GHGE, FARM GATE (kg CO2e/kg)","GHGE, processor gate (kg CO2e/kg)"),INDIRECT($AB335)))</f>
        <v>15.203290536210559</v>
      </c>
      <c r="AF335" s="247">
        <f t="shared" ca="1" si="49"/>
        <v>40.517092795743771</v>
      </c>
    </row>
    <row r="336" spans="1:32" s="21" customFormat="1" ht="17" thickBot="1" x14ac:dyDescent="0.25">
      <c r="A336" s="129">
        <v>9500115000</v>
      </c>
      <c r="B336" s="130" t="s">
        <v>1928</v>
      </c>
      <c r="C336" s="131" t="s">
        <v>1784</v>
      </c>
      <c r="D336" s="131"/>
      <c r="E336" s="131">
        <v>15557</v>
      </c>
      <c r="F336" s="126">
        <f t="shared" ca="1" si="46"/>
        <v>64.580789580789585</v>
      </c>
      <c r="G336" s="127">
        <f t="shared" ca="1" si="47"/>
        <v>6.2790801790801787</v>
      </c>
      <c r="H336" s="136">
        <v>1</v>
      </c>
      <c r="I336" s="133" t="s">
        <v>628</v>
      </c>
      <c r="J336" s="91">
        <v>2</v>
      </c>
      <c r="K336" s="219"/>
      <c r="L336" s="152" t="str">
        <f>IF(ISERROR(GETPIVOTDATA(IF($J336=1,"Count of ACTIVE     CED, FARM GATE (MJ/kg)","Count of CED, processor gate (MJ/kg)"),'Pivot Table_CED'!$A$3,"SUB TYPE",$B336)),"PROXY",IF(GETPIVOTDATA(IF($J336=1,"Count of ACTIVE     CED, FARM GATE (MJ/kg)","Count of CED, processor gate (MJ/kg)"),'Pivot Table_CED'!$A$3,"SUB TYPE",$B336)=0,"PROXY","DB value"))</f>
        <v>DB value</v>
      </c>
      <c r="M336" s="134">
        <f ca="1">IF($L336="PROXY",DCOUNT('literature entries'!$D:$AI,IF($J336=1,"ACTIVE     CED, FARM GATE (MJ/kg)","CED, processor gate (MJ/kg)"),INDIRECT($K336)),GETPIVOTDATA(IF($J336=1,"Count of ACTIVE     CED, FARM GATE (MJ/kg)","Count of CED, processor gate (MJ/kg)"),'Pivot Table_CED'!$A$3,"SUB TYPE",$B336))</f>
        <v>3</v>
      </c>
      <c r="N336" s="135">
        <f ca="1">IF($L336="PROXY",DAVERAGE('literature entries'!$D:$AI,IF($J336=1,"ACTIVE     CED, FARM GATE (MJ/kg)","CED, processor gate (MJ/kg)"),INDIRECT($K336)),GETPIVOTDATA(IF($J336=1,"Average of ACTIVE     CED, FARM GATE (MJ/kg)","Average of CED, processor gate (MJ/kg)"),'Pivot Table_CED'!$A$3,"SUB TYPE",$B336))</f>
        <v>64.580789580789585</v>
      </c>
      <c r="O336" s="135">
        <f ca="1">IF($L336="PROXY",DSTDEV('literature entries'!D:AI,IF($J336=1,"ACTIVE     CED, FARM GATE (MJ/kg)","CED, processor gate (MJ/kg)"),INDIRECT($K336)),GETPIVOTDATA(IF($J336=1,"StdDev of ACTIVE     CED, FARM GATE (MJ/kg)","StdDev of CED, processor gate (MJ/kg)"),'Pivot Table_CED'!$A$3,"SUB TYPE",$B336))</f>
        <v>17.37880716914858</v>
      </c>
      <c r="P336" s="152" t="str">
        <f>IF(ISERROR(GETPIVOTDATA(IF($J336=1,"Count of ACTIVE     GHGE, FARM GATE (kg CO2e/kg)","Count of GHGE, processor gate (kg CO2e/kg)"),'Pivot Table_GHG'!$A$3,"SUB TYPE",$B336)),"PROXY",IF(GETPIVOTDATA(IF($J336=1,"Count of ACTIVE     GHGE, FARM GATE (kg CO2e/kg)","Count of GHGE, processor gate (kg CO2e/kg)"),'Pivot Table_GHG'!$A$3,"SUB TYPE",$B336)=0,"PROXY","DB value"))</f>
        <v>DB value</v>
      </c>
      <c r="Q336" s="141">
        <f ca="1">IF($P336="PROXY",DCOUNT('literature entries'!$D:$AI,IF($J336=1,"ACTIVE     GHGE, FARM GATE (kg CO2e/kg)","GHGE, processor gate (kg CO2e/kg)"),INDIRECT($K336)),GETPIVOTDATA(IF($J336=1,"ACTIVE     GHGE, FARM GATE (kg CO2e/kg)","Count of GHGE, processor gate (kg CO2e/kg)"),'Pivot Table_GHG'!$A$3,"SUB TYPE",$B336))</f>
        <v>3</v>
      </c>
      <c r="R336" s="221">
        <f ca="1">IF($P336="PROXY",DAVERAGE('literature entries'!$D:$AI,IF($J336=1,"ACTIVE     GHGE, FARM GATE (kg CO2e/kg)","GHGE, processor gate (kg CO2e/kg)"),INDIRECT($K336)),GETPIVOTDATA(IF($J336=1,"Average of ACTIVE     GHGE, FARM GATE (kg CO2e/kg)","Average of GHGE, processor gate (kg CO2e/kg)"),'Pivot Table_GHG'!$A$3,"SUB TYPE",$B336))</f>
        <v>6.2790801790801787</v>
      </c>
      <c r="S336" s="221">
        <f ca="1">IF($P336="PROXY",DSTDEV('literature entries'!$D:$AI,IF($J336=1,"ACTIVE     GHGE, FARM GATE (kg CO2e/kg)","GHGE, processor gate (kg CO2e/kg)"),INDIRECT($K336)),GETPIVOTDATA(IF($J336=1,"StdDev of ACTIVE     GHGE, FARM GATE (kg CO2e/kg)","StdDev of GHGE, processor gate (kg CO2e/kg)"),'Pivot Table_GHG'!$A$3,"SUB TYPE",$B336))</f>
        <v>3.8858726748846881</v>
      </c>
      <c r="T336" s="101"/>
      <c r="U336" s="102"/>
      <c r="W336" s="248" t="s">
        <v>3365</v>
      </c>
      <c r="X336" s="246">
        <f ca="1">IF($W336="DIRECT",M336,DCOUNT('literature entries'!$D:$AI,IF($J336=1,"ACTIVE     CED, FARM GATE (MJ/kg)","CED, processor gate (MJ/kg)"),INDIRECT($W336)))</f>
        <v>9</v>
      </c>
      <c r="Y336" s="246">
        <f ca="1">IF($W336="DIRECT","",DAVERAGE('literature entries'!$D:$AI,IF($J336=1,"ACTIVE     CED, FARM GATE (MJ/kg)","CED, processor gate (MJ/kg)"),INDIRECT($W336)))</f>
        <v>40.585858261850497</v>
      </c>
      <c r="Z336" s="246">
        <f ca="1">IF($W336="DIRECT",$O336,DSTDEV('literature entries'!$D:$AI,IF($J336=1,"ACTIVE     CED, FARM GATE (MJ/kg)","CED, processor gate (MJ/kg)"),INDIRECT($W336)))</f>
        <v>29.424950608067736</v>
      </c>
      <c r="AA336" s="246">
        <f t="shared" ca="1" si="48"/>
        <v>46.821396048459611</v>
      </c>
      <c r="AB336" s="254" t="s">
        <v>3365</v>
      </c>
      <c r="AC336" s="247">
        <f ca="1">IF($AB336="DIRECT",Q336,DCOUNT('literature entries'!$D:$AI,IF($J336=1,"ACTIVE     GHGE, FARM GATE (kg CO2e/kg)","GHGE, processor gate (kg CO2e/kg)"),INDIRECT($AB336)))</f>
        <v>11</v>
      </c>
      <c r="AD336" s="247">
        <f ca="1">IF($AB336="DIRECT","",DAVERAGE('literature entries'!$D:$AI,IF($J336=1,"ACTIVE     GHGE, FARM GATE (kg CO2e/kg)","GHGE, processor gate (kg CO2e/kg)"),INDIRECT($AB336)))</f>
        <v>12.625449282606285</v>
      </c>
      <c r="AE336" s="247">
        <f ca="1">IF($AB336="DIRECT",$S336,DSTDEV('literature entries'!$D:$AI,IF($J336=1,"ACTIVE     GHGE, FARM GATE (kg CO2e/kg)","GHGE, processor gate (kg CO2e/kg)"),INDIRECT($AB336)))</f>
        <v>15.203290536210559</v>
      </c>
      <c r="AF336" s="247">
        <f t="shared" ca="1" si="49"/>
        <v>7.5611313408254821</v>
      </c>
    </row>
    <row r="337" spans="1:32" s="21" customFormat="1" ht="17" thickBot="1" x14ac:dyDescent="0.25">
      <c r="A337" s="129">
        <v>9500116000</v>
      </c>
      <c r="B337" s="130" t="s">
        <v>1926</v>
      </c>
      <c r="C337" s="131" t="s">
        <v>1927</v>
      </c>
      <c r="D337" s="131"/>
      <c r="E337" s="131">
        <v>9445</v>
      </c>
      <c r="F337" s="126">
        <f t="shared" ca="1" si="46"/>
        <v>181.25</v>
      </c>
      <c r="G337" s="127">
        <f t="shared" ca="1" si="47"/>
        <v>19.2</v>
      </c>
      <c r="H337" s="136">
        <v>1</v>
      </c>
      <c r="I337" s="133" t="s">
        <v>628</v>
      </c>
      <c r="J337" s="91">
        <v>2</v>
      </c>
      <c r="K337" s="219"/>
      <c r="L337" s="152" t="str">
        <f>IF(ISERROR(GETPIVOTDATA(IF($J337=1,"Count of ACTIVE     CED, FARM GATE (MJ/kg)","Count of CED, processor gate (MJ/kg)"),'Pivot Table_CED'!$A$3,"SUB TYPE",$B337)),"PROXY",IF(GETPIVOTDATA(IF($J337=1,"Count of ACTIVE     CED, FARM GATE (MJ/kg)","Count of CED, processor gate (MJ/kg)"),'Pivot Table_CED'!$A$3,"SUB TYPE",$B337)=0,"PROXY","DB value"))</f>
        <v>DB value</v>
      </c>
      <c r="M337" s="134">
        <f ca="1">IF($L337="PROXY",DCOUNT('literature entries'!$D:$AI,IF($J337=1,"ACTIVE     CED, FARM GATE (MJ/kg)","CED, processor gate (MJ/kg)"),INDIRECT($K337)),GETPIVOTDATA(IF($J337=1,"Count of ACTIVE     CED, FARM GATE (MJ/kg)","Count of CED, processor gate (MJ/kg)"),'Pivot Table_CED'!$A$3,"SUB TYPE",$B337))</f>
        <v>2</v>
      </c>
      <c r="N337" s="135">
        <f ca="1">IF($L337="PROXY",DAVERAGE('literature entries'!$D:$AI,IF($J337=1,"ACTIVE     CED, FARM GATE (MJ/kg)","CED, processor gate (MJ/kg)"),INDIRECT($K337)),GETPIVOTDATA(IF($J337=1,"Average of ACTIVE     CED, FARM GATE (MJ/kg)","Average of CED, processor gate (MJ/kg)"),'Pivot Table_CED'!$A$3,"SUB TYPE",$B337))</f>
        <v>181.25</v>
      </c>
      <c r="O337" s="135">
        <f ca="1">IF($L337="PROXY",DSTDEV('literature entries'!D:AI,IF($J337=1,"ACTIVE     CED, FARM GATE (MJ/kg)","CED, processor gate (MJ/kg)"),INDIRECT($K337)),GETPIVOTDATA(IF($J337=1,"StdDev of ACTIVE     CED, FARM GATE (MJ/kg)","StdDev of CED, processor gate (MJ/kg)"),'Pivot Table_CED'!$A$3,"SUB TYPE",$B337))</f>
        <v>8.8388347648318444</v>
      </c>
      <c r="P337" s="152" t="str">
        <f>IF(ISERROR(GETPIVOTDATA(IF($J337=1,"Count of ACTIVE     GHGE, FARM GATE (kg CO2e/kg)","Count of GHGE, processor gate (kg CO2e/kg)"),'Pivot Table_GHG'!$A$3,"SUB TYPE",$B337)),"PROXY",IF(GETPIVOTDATA(IF($J337=1,"Count of ACTIVE     GHGE, FARM GATE (kg CO2e/kg)","Count of GHGE, processor gate (kg CO2e/kg)"),'Pivot Table_GHG'!$A$3,"SUB TYPE",$B337)=0,"PROXY","DB value"))</f>
        <v>DB value</v>
      </c>
      <c r="Q337" s="141">
        <f ca="1">IF($P337="PROXY",DCOUNT('literature entries'!$D:$AI,IF($J337=1,"ACTIVE     GHGE, FARM GATE (kg CO2e/kg)","GHGE, processor gate (kg CO2e/kg)"),INDIRECT($K337)),GETPIVOTDATA(IF($J337=1,"ACTIVE     GHGE, FARM GATE (kg CO2e/kg)","Count of GHGE, processor gate (kg CO2e/kg)"),'Pivot Table_GHG'!$A$3,"SUB TYPE",$B337))</f>
        <v>2</v>
      </c>
      <c r="R337" s="221">
        <f ca="1">IF($P337="PROXY",DAVERAGE('literature entries'!$D:$AI,IF($J337=1,"ACTIVE     GHGE, FARM GATE (kg CO2e/kg)","GHGE, processor gate (kg CO2e/kg)"),INDIRECT($K337)),GETPIVOTDATA(IF($J337=1,"Average of ACTIVE     GHGE, FARM GATE (kg CO2e/kg)","Average of GHGE, processor gate (kg CO2e/kg)"),'Pivot Table_GHG'!$A$3,"SUB TYPE",$B337))</f>
        <v>19.2</v>
      </c>
      <c r="S337" s="221">
        <f ca="1">IF($P337="PROXY",DSTDEV('literature entries'!$D:$AI,IF($J337=1,"ACTIVE     GHGE, FARM GATE (kg CO2e/kg)","GHGE, processor gate (kg CO2e/kg)"),INDIRECT($K337)),GETPIVOTDATA(IF($J337=1,"StdDev of ACTIVE     GHGE, FARM GATE (kg CO2e/kg)","StdDev of GHGE, processor gate (kg CO2e/kg)"),'Pivot Table_GHG'!$A$3,"SUB TYPE",$B337))</f>
        <v>11.101576464628796</v>
      </c>
      <c r="T337" s="101"/>
      <c r="U337" s="102"/>
      <c r="W337" s="248" t="s">
        <v>3365</v>
      </c>
      <c r="X337" s="246">
        <f ca="1">IF($W337="DIRECT",M337,DCOUNT('literature entries'!$D:$AI,IF($J337=1,"ACTIVE     CED, FARM GATE (MJ/kg)","CED, processor gate (MJ/kg)"),INDIRECT($W337)))</f>
        <v>9</v>
      </c>
      <c r="Y337" s="246">
        <f ca="1">IF($W337="DIRECT","",DAVERAGE('literature entries'!$D:$AI,IF($J337=1,"ACTIVE     CED, FARM GATE (MJ/kg)","CED, processor gate (MJ/kg)"),INDIRECT($W337)))</f>
        <v>40.585858261850497</v>
      </c>
      <c r="Z337" s="246">
        <f ca="1">IF($W337="DIRECT",$O337,DSTDEV('literature entries'!$D:$AI,IF($J337=1,"ACTIVE     CED, FARM GATE (MJ/kg)","CED, processor gate (MJ/kg)"),INDIRECT($W337)))</f>
        <v>29.424950608067736</v>
      </c>
      <c r="AA337" s="246">
        <f t="shared" ca="1" si="48"/>
        <v>131.4071582102132</v>
      </c>
      <c r="AB337" s="254" t="s">
        <v>3365</v>
      </c>
      <c r="AC337" s="247">
        <f ca="1">IF($AB337="DIRECT",Q337,DCOUNT('literature entries'!$D:$AI,IF($J337=1,"ACTIVE     GHGE, FARM GATE (kg CO2e/kg)","GHGE, processor gate (kg CO2e/kg)"),INDIRECT($AB337)))</f>
        <v>11</v>
      </c>
      <c r="AD337" s="247">
        <f ca="1">IF($AB337="DIRECT","",DAVERAGE('literature entries'!$D:$AI,IF($J337=1,"ACTIVE     GHGE, FARM GATE (kg CO2e/kg)","GHGE, processor gate (kg CO2e/kg)"),INDIRECT($AB337)))</f>
        <v>12.625449282606285</v>
      </c>
      <c r="AE337" s="247">
        <f ca="1">IF($AB337="DIRECT",$S337,DSTDEV('literature entries'!$D:$AI,IF($J337=1,"ACTIVE     GHGE, FARM GATE (kg CO2e/kg)","GHGE, processor gate (kg CO2e/kg)"),INDIRECT($AB337)))</f>
        <v>15.203290536210559</v>
      </c>
      <c r="AF337" s="247">
        <f t="shared" ca="1" si="49"/>
        <v>23.120221052045192</v>
      </c>
    </row>
    <row r="338" spans="1:32" s="21" customFormat="1" ht="17" thickBot="1" x14ac:dyDescent="0.25">
      <c r="A338" s="129">
        <v>9500177000</v>
      </c>
      <c r="B338" s="130" t="s">
        <v>2016</v>
      </c>
      <c r="C338" s="131" t="s">
        <v>1760</v>
      </c>
      <c r="D338" s="131"/>
      <c r="E338" s="131">
        <v>5</v>
      </c>
      <c r="F338" s="126">
        <f t="shared" ca="1" si="46"/>
        <v>2.5657274700000001</v>
      </c>
      <c r="G338" s="127">
        <f t="shared" ca="1" si="47"/>
        <v>0.18561974136363635</v>
      </c>
      <c r="H338" s="132">
        <v>1</v>
      </c>
      <c r="I338" s="133" t="s">
        <v>594</v>
      </c>
      <c r="J338" s="91">
        <v>1</v>
      </c>
      <c r="K338" s="90" t="s">
        <v>2457</v>
      </c>
      <c r="L338" s="152" t="str">
        <f>IF(ISERROR(GETPIVOTDATA(IF($J338=1,"Count of ACTIVE     CED, FARM GATE (MJ/kg)","Count of CED, processor gate (MJ/kg)"),'Pivot Table_CED'!$A$3,"SUB TYPE",$B338)),"PROXY",IF(GETPIVOTDATA(IF($J338=1,"Count of ACTIVE     CED, FARM GATE (MJ/kg)","Count of CED, processor gate (MJ/kg)"),'Pivot Table_CED'!$A$3,"SUB TYPE",$B338)=0,"PROXY","DB value"))</f>
        <v>PROXY</v>
      </c>
      <c r="M338" s="134">
        <f ca="1">IF($L338="PROXY",DCOUNT('literature entries'!$D:$AI,IF($J338=1,"ACTIVE     CED, FARM GATE (MJ/kg)","CED, processor gate (MJ/kg)"),INDIRECT($K338)),GETPIVOTDATA(IF($J338=1,"Count of ACTIVE     CED, FARM GATE (MJ/kg)","Count of CED, processor gate (MJ/kg)"),'Pivot Table_CED'!$A$3,"SUB TYPE",$B338))</f>
        <v>10</v>
      </c>
      <c r="N338" s="135">
        <f ca="1">IF($L338="PROXY",DAVERAGE('literature entries'!$D:$AI,IF($J338=1,"ACTIVE     CED, FARM GATE (MJ/kg)","CED, processor gate (MJ/kg)"),INDIRECT($K338)),GETPIVOTDATA(IF($J338=1,"Average of ACTIVE     CED, FARM GATE (MJ/kg)","Average of CED, processor gate (MJ/kg)"),'Pivot Table_CED'!$A$3,"SUB TYPE",$B338))</f>
        <v>2.5657274700000001</v>
      </c>
      <c r="O338" s="135">
        <f ca="1">IF($L338="PROXY",DSTDEV('literature entries'!D:AI,IF($J338=1,"ACTIVE     CED, FARM GATE (MJ/kg)","CED, processor gate (MJ/kg)"),INDIRECT($K338)),GETPIVOTDATA(IF($J338=1,"StdDev of ACTIVE     CED, FARM GATE (MJ/kg)","StdDev of CED, processor gate (MJ/kg)"),'Pivot Table_CED'!$A$3,"SUB TYPE",$B338))</f>
        <v>1.5197673074222315</v>
      </c>
      <c r="P338" s="152" t="str">
        <f>IF(ISERROR(GETPIVOTDATA(IF($J338=1,"Count of ACTIVE     GHGE, FARM GATE (kg CO2e/kg)","Count of GHGE, processor gate (kg CO2e/kg)"),'Pivot Table_GHG'!$A$3,"SUB TYPE",$B338)),"PROXY",IF(GETPIVOTDATA(IF($J338=1,"Count of ACTIVE     GHGE, FARM GATE (kg CO2e/kg)","Count of GHGE, processor gate (kg CO2e/kg)"),'Pivot Table_GHG'!$A$3,"SUB TYPE",$B338)=0,"PROXY","DB value"))</f>
        <v>PROXY</v>
      </c>
      <c r="Q338" s="141">
        <f ca="1">IF($P338="PROXY",DCOUNT('literature entries'!$D:$AI,IF($J338=1,"ACTIVE     GHGE, FARM GATE (kg CO2e/kg)","GHGE, processor gate (kg CO2e/kg)"),INDIRECT($K338)),GETPIVOTDATA(IF($J338=1,"ACTIVE     GHGE, FARM GATE (kg CO2e/kg)","Count of GHGE, processor gate (kg CO2e/kg)"),'Pivot Table_GHG'!$A$3,"SUB TYPE",$B338))</f>
        <v>22</v>
      </c>
      <c r="R338" s="221">
        <f ca="1">IF($P338="PROXY",DAVERAGE('literature entries'!$D:$AI,IF($J338=1,"ACTIVE     GHGE, FARM GATE (kg CO2e/kg)","GHGE, processor gate (kg CO2e/kg)"),INDIRECT($K338)),GETPIVOTDATA(IF($J338=1,"Average of ACTIVE     GHGE, FARM GATE (kg CO2e/kg)","Average of GHGE, processor gate (kg CO2e/kg)"),'Pivot Table_GHG'!$A$3,"SUB TYPE",$B338))</f>
        <v>0.18561974136363635</v>
      </c>
      <c r="S338" s="221">
        <f ca="1">IF($P338="PROXY",DSTDEV('literature entries'!$D:$AI,IF($J338=1,"ACTIVE     GHGE, FARM GATE (kg CO2e/kg)","GHGE, processor gate (kg CO2e/kg)"),INDIRECT($K338)),GETPIVOTDATA(IF($J338=1,"StdDev of ACTIVE     GHGE, FARM GATE (kg CO2e/kg)","StdDev of GHGE, processor gate (kg CO2e/kg)"),'Pivot Table_GHG'!$A$3,"SUB TYPE",$B338))</f>
        <v>9.7833632177637575E-2</v>
      </c>
      <c r="T338" s="101"/>
      <c r="U338" s="102"/>
      <c r="W338" s="248" t="str">
        <f ca="1">IF(L338="PROXY",IF(M338&gt;=5,K338,"need group"),IF(M338&gt;=5,"DIRECT","need group"))</f>
        <v>greens</v>
      </c>
      <c r="X338" s="246">
        <f ca="1">IF($W338="DIRECT",M338,DCOUNT('literature entries'!$D:$AI,IF($J338=1,"ACTIVE     CED, FARM GATE (MJ/kg)","CED, processor gate (MJ/kg)"),INDIRECT($W338)))</f>
        <v>10</v>
      </c>
      <c r="Y338" s="246">
        <f ca="1">IF($W338="DIRECT","",DAVERAGE('literature entries'!$D:$AI,IF($J338=1,"ACTIVE     CED, FARM GATE (MJ/kg)","CED, processor gate (MJ/kg)"),INDIRECT($W338)))</f>
        <v>2.5657274700000001</v>
      </c>
      <c r="Z338" s="246">
        <f ca="1">IF($W338="DIRECT",$O338,DSTDEV('literature entries'!$D:$AI,IF($J338=1,"ACTIVE     CED, FARM GATE (MJ/kg)","CED, processor gate (MJ/kg)"),INDIRECT($W338)))</f>
        <v>1.5197673074222315</v>
      </c>
      <c r="AA338" s="246">
        <f t="shared" ca="1" si="48"/>
        <v>1.5197673074222315</v>
      </c>
      <c r="AB338" s="254" t="str">
        <f ca="1">IF(P338="PROXY",IF(Q338&gt;=5,K338,"need group"),IF(Q338&gt;=5,"DIRECT","need group"))</f>
        <v>greens</v>
      </c>
      <c r="AC338" s="247">
        <f ca="1">IF($AB338="DIRECT",Q338,DCOUNT('literature entries'!$D:$AI,IF($J338=1,"ACTIVE     GHGE, FARM GATE (kg CO2e/kg)","GHGE, processor gate (kg CO2e/kg)"),INDIRECT($AB338)))</f>
        <v>22</v>
      </c>
      <c r="AD338" s="247">
        <f ca="1">IF($AB338="DIRECT","",DAVERAGE('literature entries'!$D:$AI,IF($J338=1,"ACTIVE     GHGE, FARM GATE (kg CO2e/kg)","GHGE, processor gate (kg CO2e/kg)"),INDIRECT($AB338)))</f>
        <v>0.18561974136363635</v>
      </c>
      <c r="AE338" s="247">
        <f ca="1">IF($AB338="DIRECT",$S338,DSTDEV('literature entries'!$D:$AI,IF($J338=1,"ACTIVE     GHGE, FARM GATE (kg CO2e/kg)","GHGE, processor gate (kg CO2e/kg)"),INDIRECT($AB338)))</f>
        <v>9.7833632177637575E-2</v>
      </c>
      <c r="AF338" s="247">
        <f t="shared" ca="1" si="49"/>
        <v>9.7833632177637575E-2</v>
      </c>
    </row>
    <row r="339" spans="1:32" s="21" customFormat="1" ht="17" thickBot="1" x14ac:dyDescent="0.25">
      <c r="A339" s="129">
        <v>9500186000</v>
      </c>
      <c r="B339" s="130" t="s">
        <v>588</v>
      </c>
      <c r="C339" s="131" t="s">
        <v>2033</v>
      </c>
      <c r="D339" s="131"/>
      <c r="E339" s="131">
        <v>22697</v>
      </c>
      <c r="F339" s="126">
        <f t="shared" ca="1" si="46"/>
        <v>3.4499999999999997</v>
      </c>
      <c r="G339" s="127">
        <f t="shared" ca="1" si="47"/>
        <v>2.44</v>
      </c>
      <c r="H339" s="132">
        <v>1</v>
      </c>
      <c r="I339" s="133" t="s">
        <v>2724</v>
      </c>
      <c r="J339" s="91">
        <v>2</v>
      </c>
      <c r="K339" s="90"/>
      <c r="L339" s="152" t="str">
        <f>IF(ISERROR(GETPIVOTDATA(IF($J339=1,"Count of ACTIVE     CED, FARM GATE (MJ/kg)","Count of CED, processor gate (MJ/kg)"),'Pivot Table_CED'!$A$3,"SUB TYPE",$B339)),"PROXY",IF(GETPIVOTDATA(IF($J339=1,"Count of ACTIVE     CED, FARM GATE (MJ/kg)","Count of CED, processor gate (MJ/kg)"),'Pivot Table_CED'!$A$3,"SUB TYPE",$B339)=0,"PROXY","DB value"))</f>
        <v>DB value</v>
      </c>
      <c r="M339" s="134">
        <f ca="1">IF($L339="PROXY",DCOUNT('literature entries'!$D:$AI,IF($J339=1,"ACTIVE     CED, FARM GATE (MJ/kg)","CED, processor gate (MJ/kg)"),INDIRECT($K339)),GETPIVOTDATA(IF($J339=1,"Count of ACTIVE     CED, FARM GATE (MJ/kg)","Count of CED, processor gate (MJ/kg)"),'Pivot Table_CED'!$A$3,"SUB TYPE",$B339))</f>
        <v>2</v>
      </c>
      <c r="N339" s="135">
        <f ca="1">IF($L339="PROXY",DAVERAGE('literature entries'!$D:$AI,IF($J339=1,"ACTIVE     CED, FARM GATE (MJ/kg)","CED, processor gate (MJ/kg)"),INDIRECT($K339)),GETPIVOTDATA(IF($J339=1,"Average of ACTIVE     CED, FARM GATE (MJ/kg)","Average of CED, processor gate (MJ/kg)"),'Pivot Table_CED'!$A$3,"SUB TYPE",$B339))</f>
        <v>3.4499999999999997</v>
      </c>
      <c r="O339" s="135">
        <f ca="1">IF($L339="PROXY",DSTDEV('literature entries'!D:AI,IF($J339=1,"ACTIVE     CED, FARM GATE (MJ/kg)","CED, processor gate (MJ/kg)"),INDIRECT($K339)),GETPIVOTDATA(IF($J339=1,"StdDev of ACTIVE     CED, FARM GATE (MJ/kg)","StdDev of CED, processor gate (MJ/kg)"),'Pivot Table_CED'!$A$3,"SUB TYPE",$B339))</f>
        <v>3.0405591591021546</v>
      </c>
      <c r="P339" s="152" t="str">
        <f>IF(ISERROR(GETPIVOTDATA(IF($J339=1,"Count of ACTIVE     GHGE, FARM GATE (kg CO2e/kg)","Count of GHGE, processor gate (kg CO2e/kg)"),'Pivot Table_GHG'!$A$3,"SUB TYPE",$B339)),"PROXY",IF(GETPIVOTDATA(IF($J339=1,"Count of ACTIVE     GHGE, FARM GATE (kg CO2e/kg)","Count of GHGE, processor gate (kg CO2e/kg)"),'Pivot Table_GHG'!$A$3,"SUB TYPE",$B339)=0,"PROXY","DB value"))</f>
        <v>DB value</v>
      </c>
      <c r="Q339" s="141">
        <f ca="1">IF($P339="PROXY",DCOUNT('literature entries'!$D:$AI,IF($J339=1,"ACTIVE     GHGE, FARM GATE (kg CO2e/kg)","GHGE, processor gate (kg CO2e/kg)"),INDIRECT($K339)),GETPIVOTDATA(IF($J339=1,"ACTIVE     GHGE, FARM GATE (kg CO2e/kg)","Count of GHGE, processor gate (kg CO2e/kg)"),'Pivot Table_GHG'!$A$3,"SUB TYPE",$B339))</f>
        <v>1</v>
      </c>
      <c r="R339" s="221">
        <f ca="1">IF($P339="PROXY",DAVERAGE('literature entries'!$D:$AI,IF($J339=1,"ACTIVE     GHGE, FARM GATE (kg CO2e/kg)","GHGE, processor gate (kg CO2e/kg)"),INDIRECT($K339)),GETPIVOTDATA(IF($J339=1,"Average of ACTIVE     GHGE, FARM GATE (kg CO2e/kg)","Average of GHGE, processor gate (kg CO2e/kg)"),'Pivot Table_GHG'!$A$3,"SUB TYPE",$B339))</f>
        <v>2.44</v>
      </c>
      <c r="S339" s="221" t="e">
        <f ca="1">IF($P339="PROXY",DSTDEV('literature entries'!$D:$AI,IF($J339=1,"ACTIVE     GHGE, FARM GATE (kg CO2e/kg)","GHGE, processor gate (kg CO2e/kg)"),INDIRECT($K339)),GETPIVOTDATA(IF($J339=1,"StdDev of ACTIVE     GHGE, FARM GATE (kg CO2e/kg)","StdDev of GHGE, processor gate (kg CO2e/kg)"),'Pivot Table_GHG'!$A$3,"SUB TYPE",$B339))</f>
        <v>#DIV/0!</v>
      </c>
      <c r="T339" s="101"/>
      <c r="U339" s="102"/>
      <c r="W339" s="248" t="s">
        <v>3364</v>
      </c>
      <c r="X339" s="246">
        <f ca="1">IF($W339="DIRECT",M339,DCOUNT('literature entries'!$D:$AI,IF($J339=1,"ACTIVE     CED, FARM GATE (MJ/kg)","CED, processor gate (MJ/kg)"),INDIRECT($W339)))</f>
        <v>14</v>
      </c>
      <c r="Y339" s="246">
        <f ca="1">IF($W339="DIRECT","",DAVERAGE('literature entries'!$D:$AI,IF($J339=1,"ACTIVE     CED, FARM GATE (MJ/kg)","CED, processor gate (MJ/kg)"),INDIRECT($W339)))</f>
        <v>8.8453455837076262</v>
      </c>
      <c r="Z339" s="246">
        <f ca="1">IF($W339="DIRECT",$O339,DSTDEV('literature entries'!$D:$AI,IF($J339=1,"ACTIVE     CED, FARM GATE (MJ/kg)","CED, processor gate (MJ/kg)"),INDIRECT($W339)))</f>
        <v>17.468328408482019</v>
      </c>
      <c r="AA339" s="246">
        <f t="shared" ca="1" si="48"/>
        <v>6.8132705996549543</v>
      </c>
      <c r="AB339" s="254" t="s">
        <v>3364</v>
      </c>
      <c r="AC339" s="247">
        <f ca="1">IF($AB339="DIRECT",Q339,DCOUNT('literature entries'!$D:$AI,IF($J339=1,"ACTIVE     GHGE, FARM GATE (kg CO2e/kg)","GHGE, processor gate (kg CO2e/kg)"),INDIRECT($AB339)))</f>
        <v>13</v>
      </c>
      <c r="AD339" s="247">
        <f ca="1">IF($AB339="DIRECT","",DAVERAGE('literature entries'!$D:$AI,IF($J339=1,"ACTIVE     GHGE, FARM GATE (kg CO2e/kg)","GHGE, processor gate (kg CO2e/kg)"),INDIRECT($AB339)))</f>
        <v>1.0611859137782504</v>
      </c>
      <c r="AE339" s="247">
        <f ca="1">IF($AB339="DIRECT",$S339,DSTDEV('literature entries'!$D:$AI,IF($J339=1,"ACTIVE     GHGE, FARM GATE (kg CO2e/kg)","GHGE, processor gate (kg CO2e/kg)"),INDIRECT($AB339)))</f>
        <v>1.8055997061726943</v>
      </c>
      <c r="AF339" s="247">
        <f t="shared" ca="1" si="49"/>
        <v>4.1516413154933742</v>
      </c>
    </row>
    <row r="340" spans="1:32" s="21" customFormat="1" ht="17" thickBot="1" x14ac:dyDescent="0.25">
      <c r="A340" s="129">
        <v>9500186100</v>
      </c>
      <c r="B340" s="130" t="s">
        <v>1807</v>
      </c>
      <c r="C340" s="131" t="s">
        <v>1808</v>
      </c>
      <c r="D340" s="131" t="s">
        <v>1809</v>
      </c>
      <c r="E340" s="131">
        <v>1</v>
      </c>
      <c r="F340" s="126">
        <f t="shared" ca="1" si="46"/>
        <v>3.4499999999999997</v>
      </c>
      <c r="G340" s="127">
        <f t="shared" ca="1" si="47"/>
        <v>2.44</v>
      </c>
      <c r="H340" s="132">
        <v>1</v>
      </c>
      <c r="I340" s="133" t="s">
        <v>594</v>
      </c>
      <c r="J340" s="91">
        <v>2</v>
      </c>
      <c r="K340" s="90" t="s">
        <v>1339</v>
      </c>
      <c r="L340" s="152" t="str">
        <f>IF(ISERROR(GETPIVOTDATA(IF($J340=1,"Count of ACTIVE     CED, FARM GATE (MJ/kg)","Count of CED, processor gate (MJ/kg)"),'Pivot Table_CED'!$A$3,"SUB TYPE",$B340)),"PROXY",IF(GETPIVOTDATA(IF($J340=1,"Count of ACTIVE     CED, FARM GATE (MJ/kg)","Count of CED, processor gate (MJ/kg)"),'Pivot Table_CED'!$A$3,"SUB TYPE",$B340)=0,"PROXY","DB value"))</f>
        <v>PROXY</v>
      </c>
      <c r="M340" s="134">
        <f ca="1">IF($L340="PROXY",DCOUNT('literature entries'!$D:$AI,IF($J340=1,"ACTIVE     CED, FARM GATE (MJ/kg)","CED, processor gate (MJ/kg)"),INDIRECT($K340)),GETPIVOTDATA(IF($J340=1,"Count of ACTIVE     CED, FARM GATE (MJ/kg)","Count of CED, processor gate (MJ/kg)"),'Pivot Table_CED'!$A$3,"SUB TYPE",$B340))</f>
        <v>2</v>
      </c>
      <c r="N340" s="135">
        <f ca="1">IF($L340="PROXY",DAVERAGE('literature entries'!$D:$AI,IF($J340=1,"ACTIVE     CED, FARM GATE (MJ/kg)","CED, processor gate (MJ/kg)"),INDIRECT($K340)),GETPIVOTDATA(IF($J340=1,"Average of ACTIVE     CED, FARM GATE (MJ/kg)","Average of CED, processor gate (MJ/kg)"),'Pivot Table_CED'!$A$3,"SUB TYPE",$B340))</f>
        <v>3.4499999999999997</v>
      </c>
      <c r="O340" s="135">
        <f ca="1">IF($L340="PROXY",DSTDEV('literature entries'!D:AI,IF($J340=1,"ACTIVE     CED, FARM GATE (MJ/kg)","CED, processor gate (MJ/kg)"),INDIRECT($K340)),GETPIVOTDATA(IF($J340=1,"StdDev of ACTIVE     CED, FARM GATE (MJ/kg)","StdDev of CED, processor gate (MJ/kg)"),'Pivot Table_CED'!$A$3,"SUB TYPE",$B340))</f>
        <v>3.0405591591021546</v>
      </c>
      <c r="P340" s="152" t="str">
        <f>IF(ISERROR(GETPIVOTDATA(IF($J340=1,"Count of ACTIVE     GHGE, FARM GATE (kg CO2e/kg)","Count of GHGE, processor gate (kg CO2e/kg)"),'Pivot Table_GHG'!$A$3,"SUB TYPE",$B340)),"PROXY",IF(GETPIVOTDATA(IF($J340=1,"Count of ACTIVE     GHGE, FARM GATE (kg CO2e/kg)","Count of GHGE, processor gate (kg CO2e/kg)"),'Pivot Table_GHG'!$A$3,"SUB TYPE",$B340)=0,"PROXY","DB value"))</f>
        <v>PROXY</v>
      </c>
      <c r="Q340" s="141">
        <f ca="1">IF($P340="PROXY",DCOUNT('literature entries'!$D:$AI,IF($J340=1,"ACTIVE     GHGE, FARM GATE (kg CO2e/kg)","GHGE, processor gate (kg CO2e/kg)"),INDIRECT($K340)),GETPIVOTDATA(IF($J340=1,"ACTIVE     GHGE, FARM GATE (kg CO2e/kg)","Count of GHGE, processor gate (kg CO2e/kg)"),'Pivot Table_GHG'!$A$3,"SUB TYPE",$B340))</f>
        <v>1</v>
      </c>
      <c r="R340" s="221">
        <f ca="1">IF($P340="PROXY",DAVERAGE('literature entries'!$D:$AI,IF($J340=1,"ACTIVE     GHGE, FARM GATE (kg CO2e/kg)","GHGE, processor gate (kg CO2e/kg)"),INDIRECT($K340)),GETPIVOTDATA(IF($J340=1,"Average of ACTIVE     GHGE, FARM GATE (kg CO2e/kg)","Average of GHGE, processor gate (kg CO2e/kg)"),'Pivot Table_GHG'!$A$3,"SUB TYPE",$B340))</f>
        <v>2.44</v>
      </c>
      <c r="S340" s="221" t="e">
        <f ca="1">IF($P340="PROXY",DSTDEV('literature entries'!$D:$AI,IF($J340=1,"ACTIVE     GHGE, FARM GATE (kg CO2e/kg)","GHGE, processor gate (kg CO2e/kg)"),INDIRECT($K340)),GETPIVOTDATA(IF($J340=1,"StdDev of ACTIVE     GHGE, FARM GATE (kg CO2e/kg)","StdDev of GHGE, processor gate (kg CO2e/kg)"),'Pivot Table_GHG'!$A$3,"SUB TYPE",$B340))</f>
        <v>#DIV/0!</v>
      </c>
      <c r="T340" s="101"/>
      <c r="U340" s="102"/>
      <c r="W340" s="248" t="s">
        <v>3364</v>
      </c>
      <c r="X340" s="246">
        <f ca="1">IF($W340="DIRECT",M340,DCOUNT('literature entries'!$D:$AI,IF($J340=1,"ACTIVE     CED, FARM GATE (MJ/kg)","CED, processor gate (MJ/kg)"),INDIRECT($W340)))</f>
        <v>14</v>
      </c>
      <c r="Y340" s="246">
        <f ca="1">IF($W340="DIRECT","",DAVERAGE('literature entries'!$D:$AI,IF($J340=1,"ACTIVE     CED, FARM GATE (MJ/kg)","CED, processor gate (MJ/kg)"),INDIRECT($W340)))</f>
        <v>8.8453455837076262</v>
      </c>
      <c r="Z340" s="246">
        <f ca="1">IF($W340="DIRECT",$O340,DSTDEV('literature entries'!$D:$AI,IF($J340=1,"ACTIVE     CED, FARM GATE (MJ/kg)","CED, processor gate (MJ/kg)"),INDIRECT($W340)))</f>
        <v>17.468328408482019</v>
      </c>
      <c r="AA340" s="246">
        <f t="shared" ca="1" si="48"/>
        <v>6.8132705996549543</v>
      </c>
      <c r="AB340" s="254" t="s">
        <v>3364</v>
      </c>
      <c r="AC340" s="247">
        <f ca="1">IF($AB340="DIRECT",Q340,DCOUNT('literature entries'!$D:$AI,IF($J340=1,"ACTIVE     GHGE, FARM GATE (kg CO2e/kg)","GHGE, processor gate (kg CO2e/kg)"),INDIRECT($AB340)))</f>
        <v>13</v>
      </c>
      <c r="AD340" s="247">
        <f ca="1">IF($AB340="DIRECT","",DAVERAGE('literature entries'!$D:$AI,IF($J340=1,"ACTIVE     GHGE, FARM GATE (kg CO2e/kg)","GHGE, processor gate (kg CO2e/kg)"),INDIRECT($AB340)))</f>
        <v>1.0611859137782504</v>
      </c>
      <c r="AE340" s="247">
        <f ca="1">IF($AB340="DIRECT",$S340,DSTDEV('literature entries'!$D:$AI,IF($J340=1,"ACTIVE     GHGE, FARM GATE (kg CO2e/kg)","GHGE, processor gate (kg CO2e/kg)"),INDIRECT($AB340)))</f>
        <v>1.8055997061726943</v>
      </c>
      <c r="AF340" s="247">
        <f t="shared" ca="1" si="49"/>
        <v>4.1516413154933742</v>
      </c>
    </row>
    <row r="341" spans="1:32" s="21" customFormat="1" ht="17" thickBot="1" x14ac:dyDescent="0.25">
      <c r="A341" s="129">
        <v>9500188000</v>
      </c>
      <c r="B341" s="130" t="s">
        <v>2862</v>
      </c>
      <c r="C341" s="131" t="s">
        <v>2036</v>
      </c>
      <c r="D341" s="131"/>
      <c r="E341" s="131">
        <v>3551</v>
      </c>
      <c r="F341" s="126">
        <f t="shared" ca="1" si="46"/>
        <v>2.7020649299999997</v>
      </c>
      <c r="G341" s="127">
        <f t="shared" ca="1" si="47"/>
        <v>2.35</v>
      </c>
      <c r="H341" s="132">
        <v>1</v>
      </c>
      <c r="I341" s="133" t="s">
        <v>594</v>
      </c>
      <c r="J341" s="91">
        <v>1</v>
      </c>
      <c r="K341" s="90" t="s">
        <v>2011</v>
      </c>
      <c r="L341" s="152" t="str">
        <f>IF(ISERROR(GETPIVOTDATA(IF($J341=1,"Count of ACTIVE     CED, FARM GATE (MJ/kg)","Count of CED, processor gate (MJ/kg)"),'Pivot Table_CED'!$A$3,"SUB TYPE",$B341)),"PROXY",IF(GETPIVOTDATA(IF($J341=1,"Count of ACTIVE     CED, FARM GATE (MJ/kg)","Count of CED, processor gate (MJ/kg)"),'Pivot Table_CED'!$A$3,"SUB TYPE",$B341)=0,"PROXY","DB value"))</f>
        <v>PROXY</v>
      </c>
      <c r="M341" s="134">
        <f ca="1">IF($L341="PROXY",DCOUNT('literature entries'!$D:$AI,IF($J341=1,"ACTIVE     CED, FARM GATE (MJ/kg)","CED, processor gate (MJ/kg)"),INDIRECT($K341)),GETPIVOTDATA(IF($J341=1,"Count of ACTIVE     CED, FARM GATE (MJ/kg)","Count of CED, processor gate (MJ/kg)"),'Pivot Table_CED'!$A$3,"SUB TYPE",$B341))</f>
        <v>1</v>
      </c>
      <c r="N341" s="135">
        <f ca="1">IF($L341="PROXY",DAVERAGE('literature entries'!$D:$AI,IF($J341=1,"ACTIVE     CED, FARM GATE (MJ/kg)","CED, processor gate (MJ/kg)"),INDIRECT($K341)),GETPIVOTDATA(IF($J341=1,"Average of ACTIVE     CED, FARM GATE (MJ/kg)","Average of CED, processor gate (MJ/kg)"),'Pivot Table_CED'!$A$3,"SUB TYPE",$B341))</f>
        <v>2.7020649299999997</v>
      </c>
      <c r="O341" s="135" t="e">
        <f ca="1">IF($L341="PROXY",DSTDEV('literature entries'!D:AI,IF($J341=1,"ACTIVE     CED, FARM GATE (MJ/kg)","CED, processor gate (MJ/kg)"),INDIRECT($K341)),GETPIVOTDATA(IF($J341=1,"StdDev of ACTIVE     CED, FARM GATE (MJ/kg)","StdDev of CED, processor gate (MJ/kg)"),'Pivot Table_CED'!$A$3,"SUB TYPE",$B341))</f>
        <v>#DIV/0!</v>
      </c>
      <c r="P341" s="152" t="str">
        <f>IF(ISERROR(GETPIVOTDATA(IF($J341=1,"Count of ACTIVE     GHGE, FARM GATE (kg CO2e/kg)","Count of GHGE, processor gate (kg CO2e/kg)"),'Pivot Table_GHG'!$A$3,"SUB TYPE",$B341)),"PROXY",IF(GETPIVOTDATA(IF($J341=1,"Count of ACTIVE     GHGE, FARM GATE (kg CO2e/kg)","Count of GHGE, processor gate (kg CO2e/kg)"),'Pivot Table_GHG'!$A$3,"SUB TYPE",$B341)=0,"PROXY","DB value"))</f>
        <v>DB value</v>
      </c>
      <c r="Q341" s="141">
        <f ca="1">IF($P341="PROXY",DCOUNT('literature entries'!$D:$AI,IF($J341=1,"ACTIVE     GHGE, FARM GATE (kg CO2e/kg)","GHGE, processor gate (kg CO2e/kg)"),INDIRECT($K341)),GETPIVOTDATA(IF($J341=1,"ACTIVE     GHGE, FARM GATE (kg CO2e/kg)","Count of GHGE, processor gate (kg CO2e/kg)"),'Pivot Table_GHG'!$A$3,"SUB TYPE",$B341))</f>
        <v>1</v>
      </c>
      <c r="R341" s="221">
        <f ca="1">IF($P341="PROXY",DAVERAGE('literature entries'!$D:$AI,IF($J341=1,"ACTIVE     GHGE, FARM GATE (kg CO2e/kg)","GHGE, processor gate (kg CO2e/kg)"),INDIRECT($K341)),GETPIVOTDATA(IF($J341=1,"Average of ACTIVE     GHGE, FARM GATE (kg CO2e/kg)","Average of GHGE, processor gate (kg CO2e/kg)"),'Pivot Table_GHG'!$A$3,"SUB TYPE",$B341))</f>
        <v>2.35</v>
      </c>
      <c r="S341" s="221" t="e">
        <f ca="1">IF($P341="PROXY",DSTDEV('literature entries'!$D:$AI,IF($J341=1,"ACTIVE     GHGE, FARM GATE (kg CO2e/kg)","GHGE, processor gate (kg CO2e/kg)"),INDIRECT($K341)),GETPIVOTDATA(IF($J341=1,"StdDev of ACTIVE     GHGE, FARM GATE (kg CO2e/kg)","StdDev of GHGE, processor gate (kg CO2e/kg)"),'Pivot Table_GHG'!$A$3,"SUB TYPE",$B341))</f>
        <v>#DIV/0!</v>
      </c>
      <c r="T341" s="101"/>
      <c r="U341" s="102"/>
      <c r="W341" s="248" t="s">
        <v>2453</v>
      </c>
      <c r="X341" s="246">
        <f ca="1">IF($W341="DIRECT",M341,DCOUNT('literature entries'!$D:$AI,IF($J341=1,"ACTIVE     CED, FARM GATE (MJ/kg)","CED, processor gate (MJ/kg)"),INDIRECT($W341)))</f>
        <v>9</v>
      </c>
      <c r="Y341" s="246">
        <f ca="1">IF($W341="DIRECT","",DAVERAGE('literature entries'!$D:$AI,IF($J341=1,"ACTIVE     CED, FARM GATE (MJ/kg)","CED, processor gate (MJ/kg)"),INDIRECT($W341)))</f>
        <v>6.2256158484065454</v>
      </c>
      <c r="Z341" s="246">
        <f ca="1">IF($W341="DIRECT",$O341,DSTDEV('literature entries'!$D:$AI,IF($J341=1,"ACTIVE     CED, FARM GATE (MJ/kg)","CED, processor gate (MJ/kg)"),INDIRECT($W341)))</f>
        <v>3.4581080763456375</v>
      </c>
      <c r="AA341" s="246">
        <f t="shared" ca="1" si="48"/>
        <v>1.5009009204502919</v>
      </c>
      <c r="AB341" s="254" t="s">
        <v>2453</v>
      </c>
      <c r="AC341" s="247">
        <f ca="1">IF($AB341="DIRECT",Q341,DCOUNT('literature entries'!$D:$AI,IF($J341=1,"ACTIVE     GHGE, FARM GATE (kg CO2e/kg)","GHGE, processor gate (kg CO2e/kg)"),INDIRECT($AB341)))</f>
        <v>19</v>
      </c>
      <c r="AD341" s="247">
        <f ca="1">IF($AB341="DIRECT","",DAVERAGE('literature entries'!$D:$AI,IF($J341=1,"ACTIVE     GHGE, FARM GATE (kg CO2e/kg)","GHGE, processor gate (kg CO2e/kg)"),INDIRECT($AB341)))</f>
        <v>0.57597001083945576</v>
      </c>
      <c r="AE341" s="247">
        <f ca="1">IF($AB341="DIRECT",$S341,DSTDEV('literature entries'!$D:$AI,IF($J341=1,"ACTIVE     GHGE, FARM GATE (kg CO2e/kg)","GHGE, processor gate (kg CO2e/kg)"),INDIRECT($AB341)))</f>
        <v>0.40302432016659151</v>
      </c>
      <c r="AF341" s="247">
        <f t="shared" ca="1" si="49"/>
        <v>1.6443688639467793</v>
      </c>
    </row>
    <row r="342" spans="1:32" s="21" customFormat="1" ht="17" thickBot="1" x14ac:dyDescent="0.25">
      <c r="A342" s="129">
        <v>9500218000</v>
      </c>
      <c r="B342" s="130" t="s">
        <v>2069</v>
      </c>
      <c r="C342" s="131" t="s">
        <v>2070</v>
      </c>
      <c r="D342" s="131"/>
      <c r="E342" s="131">
        <v>1794</v>
      </c>
      <c r="F342" s="126">
        <f t="shared" ca="1" si="46"/>
        <v>94.33578496979321</v>
      </c>
      <c r="G342" s="127">
        <f t="shared" ca="1" si="47"/>
        <v>9.186061885999468</v>
      </c>
      <c r="H342" s="132">
        <v>1.36</v>
      </c>
      <c r="I342" s="133" t="s">
        <v>2737</v>
      </c>
      <c r="J342" s="91">
        <v>2</v>
      </c>
      <c r="K342" s="219" t="s">
        <v>3301</v>
      </c>
      <c r="L342" s="152" t="str">
        <f>IF(ISERROR(GETPIVOTDATA(IF($J342=1,"Count of ACTIVE     CED, FARM GATE (MJ/kg)","Count of CED, processor gate (MJ/kg)"),'Pivot Table_CED'!$A$3,"SUB TYPE",$B342)),"PROXY",IF(GETPIVOTDATA(IF($J342=1,"Count of ACTIVE     CED, FARM GATE (MJ/kg)","Count of CED, processor gate (MJ/kg)"),'Pivot Table_CED'!$A$3,"SUB TYPE",$B342)=0,"PROXY","DB value"))</f>
        <v>PROXY</v>
      </c>
      <c r="M342" s="134">
        <f ca="1">IF($L342="PROXY",DCOUNT('literature entries'!$D:$AI,IF($J342=1,"ACTIVE     CED, FARM GATE (MJ/kg)","CED, processor gate (MJ/kg)"),INDIRECT($K342)),GETPIVOTDATA(IF($J342=1,"Count of ACTIVE     CED, FARM GATE (MJ/kg)","Count of CED, processor gate (MJ/kg)"),'Pivot Table_CED'!$A$3,"SUB TYPE",$B342))</f>
        <v>1</v>
      </c>
      <c r="N342" s="135">
        <f ca="1">IF($L342="PROXY",DAVERAGE('literature entries'!$D:$AI,IF($J342=1,"ACTIVE     CED, FARM GATE (MJ/kg)","CED, processor gate (MJ/kg)"),INDIRECT($K342)),GETPIVOTDATA(IF($J342=1,"Average of ACTIVE     CED, FARM GATE (MJ/kg)","Average of CED, processor gate (MJ/kg)"),'Pivot Table_CED'!$A$3,"SUB TYPE",$B342))</f>
        <v>69.364547771906771</v>
      </c>
      <c r="O342" s="135" t="e">
        <f ca="1">IF($L342="PROXY",DSTDEV('literature entries'!D:AI,IF($J342=1,"ACTIVE     CED, FARM GATE (MJ/kg)","CED, processor gate (MJ/kg)"),INDIRECT($K342)),GETPIVOTDATA(IF($J342=1,"StdDev of ACTIVE     CED, FARM GATE (MJ/kg)","StdDev of CED, processor gate (MJ/kg)"),'Pivot Table_CED'!$A$3,"SUB TYPE",$B342))</f>
        <v>#DIV/0!</v>
      </c>
      <c r="P342" s="152" t="str">
        <f>IF(ISERROR(GETPIVOTDATA(IF($J342=1,"Count of ACTIVE     GHGE, FARM GATE (kg CO2e/kg)","Count of GHGE, processor gate (kg CO2e/kg)"),'Pivot Table_GHG'!$A$3,"SUB TYPE",$B342)),"PROXY",IF(GETPIVOTDATA(IF($J342=1,"Count of ACTIVE     GHGE, FARM GATE (kg CO2e/kg)","Count of GHGE, processor gate (kg CO2e/kg)"),'Pivot Table_GHG'!$A$3,"SUB TYPE",$B342)=0,"PROXY","DB value"))</f>
        <v>PROXY</v>
      </c>
      <c r="Q342" s="141">
        <f ca="1">IF($P342="PROXY",DCOUNT('literature entries'!$D:$AI,IF($J342=1,"ACTIVE     GHGE, FARM GATE (kg CO2e/kg)","GHGE, processor gate (kg CO2e/kg)"),INDIRECT($K342)),GETPIVOTDATA(IF($J342=1,"ACTIVE     GHGE, FARM GATE (kg CO2e/kg)","Count of GHGE, processor gate (kg CO2e/kg)"),'Pivot Table_GHG'!$A$3,"SUB TYPE",$B342))</f>
        <v>1</v>
      </c>
      <c r="R342" s="221">
        <f ca="1">IF($P342="PROXY",DAVERAGE('literature entries'!$D:$AI,IF($J342=1,"ACTIVE     GHGE, FARM GATE (kg CO2e/kg)","GHGE, processor gate (kg CO2e/kg)"),INDIRECT($K342)),GETPIVOTDATA(IF($J342=1,"Average of ACTIVE     GHGE, FARM GATE (kg CO2e/kg)","Average of GHGE, processor gate (kg CO2e/kg)"),'Pivot Table_GHG'!$A$3,"SUB TYPE",$B342))</f>
        <v>6.7544572691172551</v>
      </c>
      <c r="S342" s="221" t="e">
        <f ca="1">IF($P342="PROXY",DSTDEV('literature entries'!$D:$AI,IF($J342=1,"ACTIVE     GHGE, FARM GATE (kg CO2e/kg)","GHGE, processor gate (kg CO2e/kg)"),INDIRECT($K342)),GETPIVOTDATA(IF($J342=1,"StdDev of ACTIVE     GHGE, FARM GATE (kg CO2e/kg)","StdDev of GHGE, processor gate (kg CO2e/kg)"),'Pivot Table_GHG'!$A$3,"SUB TYPE",$B342))</f>
        <v>#DIV/0!</v>
      </c>
      <c r="T342" s="101"/>
      <c r="U342" s="102"/>
      <c r="W342" s="248" t="s">
        <v>3364</v>
      </c>
      <c r="X342" s="246">
        <f ca="1">IF($W342="DIRECT",M342,DCOUNT('literature entries'!$D:$AI,IF($J342=1,"ACTIVE     CED, FARM GATE (MJ/kg)","CED, processor gate (MJ/kg)"),INDIRECT($W342)))</f>
        <v>14</v>
      </c>
      <c r="Y342" s="246">
        <f ca="1">IF($W342="DIRECT","",DAVERAGE('literature entries'!$D:$AI,IF($J342=1,"ACTIVE     CED, FARM GATE (MJ/kg)","CED, processor gate (MJ/kg)"),INDIRECT($W342)))</f>
        <v>8.8453455837076262</v>
      </c>
      <c r="Z342" s="246">
        <f ca="1">IF($W342="DIRECT",$O342,DSTDEV('literature entries'!$D:$AI,IF($J342=1,"ACTIVE     CED, FARM GATE (MJ/kg)","CED, processor gate (MJ/kg)"),INDIRECT($W342)))</f>
        <v>17.468328408482019</v>
      </c>
      <c r="AA342" s="246">
        <f t="shared" ca="1" si="48"/>
        <v>136.98534318628813</v>
      </c>
      <c r="AB342" s="254" t="s">
        <v>3364</v>
      </c>
      <c r="AC342" s="247">
        <f ca="1">IF($AB342="DIRECT",Q342,DCOUNT('literature entries'!$D:$AI,IF($J342=1,"ACTIVE     GHGE, FARM GATE (kg CO2e/kg)","GHGE, processor gate (kg CO2e/kg)"),INDIRECT($AB342)))</f>
        <v>13</v>
      </c>
      <c r="AD342" s="247">
        <f ca="1">IF($AB342="DIRECT","",DAVERAGE('literature entries'!$D:$AI,IF($J342=1,"ACTIVE     GHGE, FARM GATE (kg CO2e/kg)","GHGE, processor gate (kg CO2e/kg)"),INDIRECT($AB342)))</f>
        <v>1.0611859137782504</v>
      </c>
      <c r="AE342" s="247">
        <f ca="1">IF($AB342="DIRECT",$S342,DSTDEV('literature entries'!$D:$AI,IF($J342=1,"ACTIVE     GHGE, FARM GATE (kg CO2e/kg)","GHGE, processor gate (kg CO2e/kg)"),INDIRECT($AB342)))</f>
        <v>1.8055997061726943</v>
      </c>
      <c r="AF342" s="247">
        <f t="shared" ca="1" si="49"/>
        <v>11.492657320574486</v>
      </c>
    </row>
    <row r="343" spans="1:32" s="21" customFormat="1" ht="17" thickBot="1" x14ac:dyDescent="0.25">
      <c r="A343" s="129">
        <v>9500219000</v>
      </c>
      <c r="B343" s="130" t="s">
        <v>2068</v>
      </c>
      <c r="C343" s="131" t="s">
        <v>1943</v>
      </c>
      <c r="D343" s="131"/>
      <c r="E343" s="131">
        <v>2293</v>
      </c>
      <c r="F343" s="126">
        <f t="shared" ca="1" si="46"/>
        <v>69.364547771906771</v>
      </c>
      <c r="G343" s="127">
        <f t="shared" ca="1" si="47"/>
        <v>6.7544572691172551</v>
      </c>
      <c r="H343" s="132">
        <v>1</v>
      </c>
      <c r="I343" s="133" t="s">
        <v>2724</v>
      </c>
      <c r="J343" s="91">
        <v>2</v>
      </c>
      <c r="K343" s="219"/>
      <c r="L343" s="152" t="str">
        <f>IF(ISERROR(GETPIVOTDATA(IF($J343=1,"Count of ACTIVE     CED, FARM GATE (MJ/kg)","Count of CED, processor gate (MJ/kg)"),'Pivot Table_CED'!$A$3,"SUB TYPE",$B343)),"PROXY",IF(GETPIVOTDATA(IF($J343=1,"Count of ACTIVE     CED, FARM GATE (MJ/kg)","Count of CED, processor gate (MJ/kg)"),'Pivot Table_CED'!$A$3,"SUB TYPE",$B343)=0,"PROXY","DB value"))</f>
        <v>DB value</v>
      </c>
      <c r="M343" s="134">
        <f ca="1">IF($L343="PROXY",DCOUNT('literature entries'!$D:$AI,IF($J343=1,"ACTIVE     CED, FARM GATE (MJ/kg)","CED, processor gate (MJ/kg)"),INDIRECT($K343)),GETPIVOTDATA(IF($J343=1,"Count of ACTIVE     CED, FARM GATE (MJ/kg)","Count of CED, processor gate (MJ/kg)"),'Pivot Table_CED'!$A$3,"SUB TYPE",$B343))</f>
        <v>1</v>
      </c>
      <c r="N343" s="135">
        <f ca="1">IF($L343="PROXY",DAVERAGE('literature entries'!$D:$AI,IF($J343=1,"ACTIVE     CED, FARM GATE (MJ/kg)","CED, processor gate (MJ/kg)"),INDIRECT($K343)),GETPIVOTDATA(IF($J343=1,"Average of ACTIVE     CED, FARM GATE (MJ/kg)","Average of CED, processor gate (MJ/kg)"),'Pivot Table_CED'!$A$3,"SUB TYPE",$B343))</f>
        <v>69.364547771906771</v>
      </c>
      <c r="O343" s="135">
        <f ca="1">IF($L343="PROXY",DSTDEV('literature entries'!D:AI,IF($J343=1,"ACTIVE     CED, FARM GATE (MJ/kg)","CED, processor gate (MJ/kg)"),INDIRECT($K343)),GETPIVOTDATA(IF($J343=1,"StdDev of ACTIVE     CED, FARM GATE (MJ/kg)","StdDev of CED, processor gate (MJ/kg)"),'Pivot Table_CED'!$A$3,"SUB TYPE",$B343))</f>
        <v>0</v>
      </c>
      <c r="P343" s="152" t="str">
        <f>IF(ISERROR(GETPIVOTDATA(IF($J343=1,"Count of ACTIVE     GHGE, FARM GATE (kg CO2e/kg)","Count of GHGE, processor gate (kg CO2e/kg)"),'Pivot Table_GHG'!$A$3,"SUB TYPE",$B343)),"PROXY",IF(GETPIVOTDATA(IF($J343=1,"Count of ACTIVE     GHGE, FARM GATE (kg CO2e/kg)","Count of GHGE, processor gate (kg CO2e/kg)"),'Pivot Table_GHG'!$A$3,"SUB TYPE",$B343)=0,"PROXY","DB value"))</f>
        <v>DB value</v>
      </c>
      <c r="Q343" s="141">
        <f ca="1">IF($P343="PROXY",DCOUNT('literature entries'!$D:$AI,IF($J343=1,"ACTIVE     GHGE, FARM GATE (kg CO2e/kg)","GHGE, processor gate (kg CO2e/kg)"),INDIRECT($K343)),GETPIVOTDATA(IF($J343=1,"ACTIVE     GHGE, FARM GATE (kg CO2e/kg)","Count of GHGE, processor gate (kg CO2e/kg)"),'Pivot Table_GHG'!$A$3,"SUB TYPE",$B343))</f>
        <v>1</v>
      </c>
      <c r="R343" s="221">
        <f ca="1">IF($P343="PROXY",DAVERAGE('literature entries'!$D:$AI,IF($J343=1,"ACTIVE     GHGE, FARM GATE (kg CO2e/kg)","GHGE, processor gate (kg CO2e/kg)"),INDIRECT($K343)),GETPIVOTDATA(IF($J343=1,"Average of ACTIVE     GHGE, FARM GATE (kg CO2e/kg)","Average of GHGE, processor gate (kg CO2e/kg)"),'Pivot Table_GHG'!$A$3,"SUB TYPE",$B343))</f>
        <v>6.7544572691172551</v>
      </c>
      <c r="S343" s="221" t="e">
        <f ca="1">IF($P343="PROXY",DSTDEV('literature entries'!$D:$AI,IF($J343=1,"ACTIVE     GHGE, FARM GATE (kg CO2e/kg)","GHGE, processor gate (kg CO2e/kg)"),INDIRECT($K343)),GETPIVOTDATA(IF($J343=1,"StdDev of ACTIVE     GHGE, FARM GATE (kg CO2e/kg)","StdDev of GHGE, processor gate (kg CO2e/kg)"),'Pivot Table_GHG'!$A$3,"SUB TYPE",$B343))</f>
        <v>#DIV/0!</v>
      </c>
      <c r="T343" s="239"/>
      <c r="U343" s="241"/>
      <c r="W343" s="248" t="s">
        <v>3364</v>
      </c>
      <c r="X343" s="246">
        <f ca="1">IF($W343="DIRECT",M343,DCOUNT('literature entries'!$D:$AI,IF($J343=1,"ACTIVE     CED, FARM GATE (MJ/kg)","CED, processor gate (MJ/kg)"),INDIRECT($W343)))</f>
        <v>14</v>
      </c>
      <c r="Y343" s="246">
        <f ca="1">IF($W343="DIRECT","",DAVERAGE('literature entries'!$D:$AI,IF($J343=1,"ACTIVE     CED, FARM GATE (MJ/kg)","CED, processor gate (MJ/kg)"),INDIRECT($W343)))</f>
        <v>8.8453455837076262</v>
      </c>
      <c r="Z343" s="246">
        <f ca="1">IF($W343="DIRECT",$O343,DSTDEV('literature entries'!$D:$AI,IF($J343=1,"ACTIVE     CED, FARM GATE (MJ/kg)","CED, processor gate (MJ/kg)"),INDIRECT($W343)))</f>
        <v>17.468328408482019</v>
      </c>
      <c r="AA343" s="246">
        <f t="shared" ca="1" si="48"/>
        <v>136.98534318628813</v>
      </c>
      <c r="AB343" s="254" t="s">
        <v>3364</v>
      </c>
      <c r="AC343" s="247">
        <f ca="1">IF($AB343="DIRECT",Q343,DCOUNT('literature entries'!$D:$AI,IF($J343=1,"ACTIVE     GHGE, FARM GATE (kg CO2e/kg)","GHGE, processor gate (kg CO2e/kg)"),INDIRECT($AB343)))</f>
        <v>13</v>
      </c>
      <c r="AD343" s="247">
        <f ca="1">IF($AB343="DIRECT","",DAVERAGE('literature entries'!$D:$AI,IF($J343=1,"ACTIVE     GHGE, FARM GATE (kg CO2e/kg)","GHGE, processor gate (kg CO2e/kg)"),INDIRECT($AB343)))</f>
        <v>1.0611859137782504</v>
      </c>
      <c r="AE343" s="247">
        <f ca="1">IF($AB343="DIRECT",$S343,DSTDEV('literature entries'!$D:$AI,IF($J343=1,"ACTIVE     GHGE, FARM GATE (kg CO2e/kg)","GHGE, processor gate (kg CO2e/kg)"),INDIRECT($AB343)))</f>
        <v>1.8055997061726943</v>
      </c>
      <c r="AF343" s="247">
        <f t="shared" ca="1" si="49"/>
        <v>11.492657320574486</v>
      </c>
    </row>
    <row r="344" spans="1:32" s="21" customFormat="1" ht="17" thickBot="1" x14ac:dyDescent="0.25">
      <c r="A344" s="129">
        <v>9500244000</v>
      </c>
      <c r="B344" s="130" t="s">
        <v>2114</v>
      </c>
      <c r="C344" s="131" t="s">
        <v>1731</v>
      </c>
      <c r="D344" s="131"/>
      <c r="E344" s="131">
        <v>3570</v>
      </c>
      <c r="F344" s="126">
        <f t="shared" ca="1" si="46"/>
        <v>10.070841533333335</v>
      </c>
      <c r="G344" s="127">
        <f t="shared" ca="1" si="47"/>
        <v>7.2205906750000004</v>
      </c>
      <c r="H344" s="132">
        <v>1</v>
      </c>
      <c r="I344" s="133" t="s">
        <v>594</v>
      </c>
      <c r="J344" s="91">
        <v>2</v>
      </c>
      <c r="K344" s="90"/>
      <c r="L344" s="152" t="str">
        <f>IF(ISERROR(GETPIVOTDATA(IF($J344=1,"Count of ACTIVE     CED, FARM GATE (MJ/kg)","Count of CED, processor gate (MJ/kg)"),'Pivot Table_CED'!$A$3,"SUB TYPE",$B344)),"PROXY",IF(GETPIVOTDATA(IF($J344=1,"Count of ACTIVE     CED, FARM GATE (MJ/kg)","Count of CED, processor gate (MJ/kg)"),'Pivot Table_CED'!$A$3,"SUB TYPE",$B344)=0,"PROXY","DB value"))</f>
        <v>DB value</v>
      </c>
      <c r="M344" s="134">
        <f ca="1">IF($L344="PROXY",DCOUNT('literature entries'!$D:$AI,IF($J344=1,"ACTIVE     CED, FARM GATE (MJ/kg)","CED, processor gate (MJ/kg)"),INDIRECT($K344)),GETPIVOTDATA(IF($J344=1,"Count of ACTIVE     CED, FARM GATE (MJ/kg)","Count of CED, processor gate (MJ/kg)"),'Pivot Table_CED'!$A$3,"SUB TYPE",$B344))</f>
        <v>3</v>
      </c>
      <c r="N344" s="135">
        <f ca="1">IF($L344="PROXY",DAVERAGE('literature entries'!$D:$AI,IF($J344=1,"ACTIVE     CED, FARM GATE (MJ/kg)","CED, processor gate (MJ/kg)"),INDIRECT($K344)),GETPIVOTDATA(IF($J344=1,"Average of ACTIVE     CED, FARM GATE (MJ/kg)","Average of CED, processor gate (MJ/kg)"),'Pivot Table_CED'!$A$3,"SUB TYPE",$B344))</f>
        <v>10.070841533333335</v>
      </c>
      <c r="O344" s="135">
        <f ca="1">IF($L344="PROXY",DSTDEV('literature entries'!D:AI,IF($J344=1,"ACTIVE     CED, FARM GATE (MJ/kg)","CED, processor gate (MJ/kg)"),INDIRECT($K344)),GETPIVOTDATA(IF($J344=1,"StdDev of ACTIVE     CED, FARM GATE (MJ/kg)","StdDev of CED, processor gate (MJ/kg)"),'Pivot Table_CED'!$A$3,"SUB TYPE",$B344))</f>
        <v>0.84357648566144217</v>
      </c>
      <c r="P344" s="152" t="str">
        <f>IF(ISERROR(GETPIVOTDATA(IF($J344=1,"Count of ACTIVE     GHGE, FARM GATE (kg CO2e/kg)","Count of GHGE, processor gate (kg CO2e/kg)"),'Pivot Table_GHG'!$A$3,"SUB TYPE",$B344)),"PROXY",IF(GETPIVOTDATA(IF($J344=1,"Count of ACTIVE     GHGE, FARM GATE (kg CO2e/kg)","Count of GHGE, processor gate (kg CO2e/kg)"),'Pivot Table_GHG'!$A$3,"SUB TYPE",$B344)=0,"PROXY","DB value"))</f>
        <v>DB value</v>
      </c>
      <c r="Q344" s="141">
        <f ca="1">IF($P344="PROXY",DCOUNT('literature entries'!$D:$AI,IF($J344=1,"ACTIVE     GHGE, FARM GATE (kg CO2e/kg)","GHGE, processor gate (kg CO2e/kg)"),INDIRECT($K344)),GETPIVOTDATA(IF($J344=1,"ACTIVE     GHGE, FARM GATE (kg CO2e/kg)","Count of GHGE, processor gate (kg CO2e/kg)"),'Pivot Table_GHG'!$A$3,"SUB TYPE",$B344))</f>
        <v>4</v>
      </c>
      <c r="R344" s="221">
        <f ca="1">IF($P344="PROXY",DAVERAGE('literature entries'!$D:$AI,IF($J344=1,"ACTIVE     GHGE, FARM GATE (kg CO2e/kg)","GHGE, processor gate (kg CO2e/kg)"),INDIRECT($K344)),GETPIVOTDATA(IF($J344=1,"Average of ACTIVE     GHGE, FARM GATE (kg CO2e/kg)","Average of GHGE, processor gate (kg CO2e/kg)"),'Pivot Table_GHG'!$A$3,"SUB TYPE",$B344))</f>
        <v>7.2205906750000004</v>
      </c>
      <c r="S344" s="221">
        <f ca="1">IF($P344="PROXY",DSTDEV('literature entries'!$D:$AI,IF($J344=1,"ACTIVE     GHGE, FARM GATE (kg CO2e/kg)","GHGE, processor gate (kg CO2e/kg)"),INDIRECT($K344)),GETPIVOTDATA(IF($J344=1,"StdDev of ACTIVE     GHGE, FARM GATE (kg CO2e/kg)","StdDev of GHGE, processor gate (kg CO2e/kg)"),'Pivot Table_GHG'!$A$3,"SUB TYPE",$B344))</f>
        <v>3.0679869566568918</v>
      </c>
      <c r="T344" s="101"/>
      <c r="U344" s="102"/>
      <c r="W344" s="248" t="s">
        <v>3354</v>
      </c>
      <c r="X344" s="246">
        <f ca="1">IF($W344="DIRECT",M344,DCOUNT('literature entries'!$D:$AI,IF($J344=1,"ACTIVE     CED, FARM GATE (MJ/kg)","CED, processor gate (MJ/kg)"),INDIRECT($W344)))</f>
        <v>16</v>
      </c>
      <c r="Y344" s="246">
        <f ca="1">IF($W344="DIRECT","",DAVERAGE('literature entries'!$D:$AI,IF($J344=1,"ACTIVE     CED, FARM GATE (MJ/kg)","CED, processor gate (MJ/kg)"),INDIRECT($W344)))</f>
        <v>11.873325197282607</v>
      </c>
      <c r="Z344" s="246">
        <f ca="1">IF($W344="DIRECT",$O344,DSTDEV('literature entries'!$D:$AI,IF($J344=1,"ACTIVE     CED, FARM GATE (MJ/kg)","CED, processor gate (MJ/kg)"),INDIRECT($W344)))</f>
        <v>5.663275464099641</v>
      </c>
      <c r="AA344" s="246">
        <f t="shared" ca="1" si="48"/>
        <v>4.8035363986842849</v>
      </c>
      <c r="AB344" s="254" t="s">
        <v>3354</v>
      </c>
      <c r="AC344" s="247">
        <f ca="1">IF($AB344="DIRECT",Q344,DCOUNT('literature entries'!$D:$AI,IF($J344=1,"ACTIVE     GHGE, FARM GATE (kg CO2e/kg)","GHGE, processor gate (kg CO2e/kg)"),INDIRECT($AB344)))</f>
        <v>19</v>
      </c>
      <c r="AD344" s="247">
        <f ca="1">IF($AB344="DIRECT","",DAVERAGE('literature entries'!$D:$AI,IF($J344=1,"ACTIVE     GHGE, FARM GATE (kg CO2e/kg)","GHGE, processor gate (kg CO2e/kg)"),INDIRECT($AB344)))</f>
        <v>3.6074757576297722</v>
      </c>
      <c r="AE344" s="247">
        <f ca="1">IF($AB344="DIRECT",$S344,DSTDEV('literature entries'!$D:$AI,IF($J344=1,"ACTIVE     GHGE, FARM GATE (kg CO2e/kg)","GHGE, processor gate (kg CO2e/kg)"),INDIRECT($AB344)))</f>
        <v>2.5306182127862726</v>
      </c>
      <c r="AF344" s="247">
        <f t="shared" ca="1" si="49"/>
        <v>5.065192255438852</v>
      </c>
    </row>
    <row r="345" spans="1:32" s="21" customFormat="1" ht="17" thickBot="1" x14ac:dyDescent="0.25">
      <c r="A345" s="129">
        <v>9500263000</v>
      </c>
      <c r="B345" s="130" t="s">
        <v>2140</v>
      </c>
      <c r="C345" s="131" t="s">
        <v>2141</v>
      </c>
      <c r="D345" s="131"/>
      <c r="E345" s="131">
        <v>5671</v>
      </c>
      <c r="F345" s="126">
        <f t="shared" ca="1" si="46"/>
        <v>1.0900000000000001</v>
      </c>
      <c r="G345" s="127">
        <f t="shared" ca="1" si="47"/>
        <v>0.374</v>
      </c>
      <c r="H345" s="132">
        <v>1</v>
      </c>
      <c r="I345" s="133" t="s">
        <v>2724</v>
      </c>
      <c r="J345" s="91">
        <v>1</v>
      </c>
      <c r="K345" s="90"/>
      <c r="L345" s="152" t="str">
        <f>IF(ISERROR(GETPIVOTDATA(IF($J345=1,"Count of ACTIVE     CED, FARM GATE (MJ/kg)","Count of CED, processor gate (MJ/kg)"),'Pivot Table_CED'!$A$3,"SUB TYPE",$B345)),"PROXY",IF(GETPIVOTDATA(IF($J345=1,"Count of ACTIVE     CED, FARM GATE (MJ/kg)","Count of CED, processor gate (MJ/kg)"),'Pivot Table_CED'!$A$3,"SUB TYPE",$B345)=0,"PROXY","DB value"))</f>
        <v>DB value</v>
      </c>
      <c r="M345" s="134">
        <f ca="1">IF($L345="PROXY",DCOUNT('literature entries'!$D:$AI,IF($J345=1,"ACTIVE     CED, FARM GATE (MJ/kg)","CED, processor gate (MJ/kg)"),INDIRECT($K345)),GETPIVOTDATA(IF($J345=1,"Count of ACTIVE     CED, FARM GATE (MJ/kg)","Count of CED, processor gate (MJ/kg)"),'Pivot Table_CED'!$A$3,"SUB TYPE",$B345))</f>
        <v>1</v>
      </c>
      <c r="N345" s="135">
        <f ca="1">IF($L345="PROXY",DAVERAGE('literature entries'!$D:$AI,IF($J345=1,"ACTIVE     CED, FARM GATE (MJ/kg)","CED, processor gate (MJ/kg)"),INDIRECT($K345)),GETPIVOTDATA(IF($J345=1,"Average of ACTIVE     CED, FARM GATE (MJ/kg)","Average of CED, processor gate (MJ/kg)"),'Pivot Table_CED'!$A$3,"SUB TYPE",$B345))</f>
        <v>1.0900000000000001</v>
      </c>
      <c r="O345" s="135">
        <f ca="1">IF($L345="PROXY",DSTDEV('literature entries'!D:AI,IF($J345=1,"ACTIVE     CED, FARM GATE (MJ/kg)","CED, processor gate (MJ/kg)"),INDIRECT($K345)),GETPIVOTDATA(IF($J345=1,"StdDev of ACTIVE     CED, FARM GATE (MJ/kg)","StdDev of CED, processor gate (MJ/kg)"),'Pivot Table_CED'!$A$3,"SUB TYPE",$B345))</f>
        <v>0</v>
      </c>
      <c r="P345" s="152" t="str">
        <f>IF(ISERROR(GETPIVOTDATA(IF($J345=1,"Count of ACTIVE     GHGE, FARM GATE (kg CO2e/kg)","Count of GHGE, processor gate (kg CO2e/kg)"),'Pivot Table_GHG'!$A$3,"SUB TYPE",$B345)),"PROXY",IF(GETPIVOTDATA(IF($J345=1,"Count of ACTIVE     GHGE, FARM GATE (kg CO2e/kg)","Count of GHGE, processor gate (kg CO2e/kg)"),'Pivot Table_GHG'!$A$3,"SUB TYPE",$B345)=0,"PROXY","DB value"))</f>
        <v>DB value</v>
      </c>
      <c r="Q345" s="141">
        <f ca="1">IF($P345="PROXY",DCOUNT('literature entries'!$D:$AI,IF($J345=1,"ACTIVE     GHGE, FARM GATE (kg CO2e/kg)","GHGE, processor gate (kg CO2e/kg)"),INDIRECT($K345)),GETPIVOTDATA(IF($J345=1,"ACTIVE     GHGE, FARM GATE (kg CO2e/kg)","Count of GHGE, processor gate (kg CO2e/kg)"),'Pivot Table_GHG'!$A$3,"SUB TYPE",$B345))</f>
        <v>5</v>
      </c>
      <c r="R345" s="221">
        <f ca="1">IF($P345="PROXY",DAVERAGE('literature entries'!$D:$AI,IF($J345=1,"ACTIVE     GHGE, FARM GATE (kg CO2e/kg)","GHGE, processor gate (kg CO2e/kg)"),INDIRECT($K345)),GETPIVOTDATA(IF($J345=1,"Average of ACTIVE     GHGE, FARM GATE (kg CO2e/kg)","Average of GHGE, processor gate (kg CO2e/kg)"),'Pivot Table_GHG'!$A$3,"SUB TYPE",$B345))</f>
        <v>0.374</v>
      </c>
      <c r="S345" s="221">
        <f ca="1">IF($P345="PROXY",DSTDEV('literature entries'!$D:$AI,IF($J345=1,"ACTIVE     GHGE, FARM GATE (kg CO2e/kg)","GHGE, processor gate (kg CO2e/kg)"),INDIRECT($K345)),GETPIVOTDATA(IF($J345=1,"StdDev of ACTIVE     GHGE, FARM GATE (kg CO2e/kg)","StdDev of GHGE, processor gate (kg CO2e/kg)"),'Pivot Table_GHG'!$A$3,"SUB TYPE",$B345))</f>
        <v>0.13798007102476806</v>
      </c>
      <c r="T345" s="101"/>
      <c r="U345" s="102"/>
      <c r="W345" s="248" t="s">
        <v>3355</v>
      </c>
      <c r="X345" s="246">
        <f ca="1">IF($W345="DIRECT",M345,DCOUNT('literature entries'!$D:$AI,IF($J345=1,"ACTIVE     CED, FARM GATE (MJ/kg)","CED, processor gate (MJ/kg)"),INDIRECT($W345)))</f>
        <v>19</v>
      </c>
      <c r="Y345" s="246">
        <f ca="1">IF($W345="DIRECT","",DAVERAGE('literature entries'!$D:$AI,IF($J345=1,"ACTIVE     CED, FARM GATE (MJ/kg)","CED, processor gate (MJ/kg)"),INDIRECT($W345)))</f>
        <v>3.1899535894736837</v>
      </c>
      <c r="Z345" s="246">
        <f ca="1">IF($W345="DIRECT",$O345,DSTDEV('literature entries'!$D:$AI,IF($J345=1,"ACTIVE     CED, FARM GATE (MJ/kg)","CED, processor gate (MJ/kg)"),INDIRECT($W345)))</f>
        <v>1.8390624775878359</v>
      </c>
      <c r="AA345" s="246">
        <f t="shared" ca="1" si="48"/>
        <v>0.62840353138224814</v>
      </c>
      <c r="AB345" s="254" t="str">
        <f ca="1">IF(P345="PROXY",IF(Q345&gt;=5,K345,"need group"),IF(Q345&gt;=5,"DIRECT","need group"))</f>
        <v>DIRECT</v>
      </c>
      <c r="AC345" s="247">
        <f ca="1">IF($AB345="DIRECT",Q345,DCOUNT('literature entries'!$D:$AI,IF($J345=1,"ACTIVE     GHGE, FARM GATE (kg CO2e/kg)","GHGE, processor gate (kg CO2e/kg)"),INDIRECT($AB345)))</f>
        <v>5</v>
      </c>
      <c r="AD345" s="247" t="str">
        <f ca="1">IF($AB345="DIRECT","",DAVERAGE('literature entries'!$D:$AI,IF($J345=1,"ACTIVE     GHGE, FARM GATE (kg CO2e/kg)","GHGE, processor gate (kg CO2e/kg)"),INDIRECT($AB345)))</f>
        <v/>
      </c>
      <c r="AE345" s="247">
        <f ca="1">IF($AB345="DIRECT",$S345,DSTDEV('literature entries'!$D:$AI,IF($J345=1,"ACTIVE     GHGE, FARM GATE (kg CO2e/kg)","GHGE, processor gate (kg CO2e/kg)"),INDIRECT($AB345)))</f>
        <v>0.13798007102476806</v>
      </c>
      <c r="AF345" s="247">
        <f t="shared" ca="1" si="49"/>
        <v>0.13798007102476806</v>
      </c>
    </row>
    <row r="346" spans="1:32" s="21" customFormat="1" ht="17" thickBot="1" x14ac:dyDescent="0.25">
      <c r="A346" s="129">
        <v>9500264000</v>
      </c>
      <c r="B346" s="130" t="s">
        <v>2142</v>
      </c>
      <c r="C346" s="131" t="s">
        <v>2143</v>
      </c>
      <c r="D346" s="131"/>
      <c r="E346" s="131">
        <v>6125</v>
      </c>
      <c r="F346" s="126">
        <f t="shared" ca="1" si="46"/>
        <v>2.9633449999999999</v>
      </c>
      <c r="G346" s="127">
        <f t="shared" ca="1" si="47"/>
        <v>1.1323333333333332</v>
      </c>
      <c r="H346" s="132">
        <v>1</v>
      </c>
      <c r="I346" s="133" t="s">
        <v>628</v>
      </c>
      <c r="J346" s="91">
        <v>2</v>
      </c>
      <c r="K346" s="90" t="s">
        <v>3286</v>
      </c>
      <c r="L346" s="152" t="str">
        <f>IF(ISERROR(GETPIVOTDATA(IF($J346=1,"Count of ACTIVE     CED, FARM GATE (MJ/kg)","Count of CED, processor gate (MJ/kg)"),'Pivot Table_CED'!$A$3,"SUB TYPE",$B346)),"PROXY",IF(GETPIVOTDATA(IF($J346=1,"Count of ACTIVE     CED, FARM GATE (MJ/kg)","Count of CED, processor gate (MJ/kg)"),'Pivot Table_CED'!$A$3,"SUB TYPE",$B346)=0,"PROXY","DB value"))</f>
        <v>PROXY</v>
      </c>
      <c r="M346" s="134">
        <f ca="1">IF($L346="PROXY",DCOUNT('literature entries'!$D:$AI,IF($J346=1,"ACTIVE     CED, FARM GATE (MJ/kg)","CED, processor gate (MJ/kg)"),INDIRECT($K346)),GETPIVOTDATA(IF($J346=1,"Count of ACTIVE     CED, FARM GATE (MJ/kg)","Count of CED, processor gate (MJ/kg)"),'Pivot Table_CED'!$A$3,"SUB TYPE",$B346))</f>
        <v>1</v>
      </c>
      <c r="N346" s="135">
        <f ca="1">IF($L346="PROXY",DAVERAGE('literature entries'!$D:$AI,IF($J346=1,"ACTIVE     CED, FARM GATE (MJ/kg)","CED, processor gate (MJ/kg)"),INDIRECT($K346)),GETPIVOTDATA(IF($J346=1,"Average of ACTIVE     CED, FARM GATE (MJ/kg)","Average of CED, processor gate (MJ/kg)"),'Pivot Table_CED'!$A$3,"SUB TYPE",$B346))</f>
        <v>2.9633449999999999</v>
      </c>
      <c r="O346" s="135" t="e">
        <f ca="1">IF($L346="PROXY",DSTDEV('literature entries'!D:AI,IF($J346=1,"ACTIVE     CED, FARM GATE (MJ/kg)","CED, processor gate (MJ/kg)"),INDIRECT($K346)),GETPIVOTDATA(IF($J346=1,"StdDev of ACTIVE     CED, FARM GATE (MJ/kg)","StdDev of CED, processor gate (MJ/kg)"),'Pivot Table_CED'!$A$3,"SUB TYPE",$B346))</f>
        <v>#DIV/0!</v>
      </c>
      <c r="P346" s="152" t="str">
        <f>IF(ISERROR(GETPIVOTDATA(IF($J346=1,"Count of ACTIVE     GHGE, FARM GATE (kg CO2e/kg)","Count of GHGE, processor gate (kg CO2e/kg)"),'Pivot Table_GHG'!$A$3,"SUB TYPE",$B346)),"PROXY",IF(GETPIVOTDATA(IF($J346=1,"Count of ACTIVE     GHGE, FARM GATE (kg CO2e/kg)","Count of GHGE, processor gate (kg CO2e/kg)"),'Pivot Table_GHG'!$A$3,"SUB TYPE",$B346)=0,"PROXY","DB value"))</f>
        <v>DB value</v>
      </c>
      <c r="Q346" s="141">
        <f ca="1">IF($P346="PROXY",DCOUNT('literature entries'!$D:$AI,IF($J346=1,"ACTIVE     GHGE, FARM GATE (kg CO2e/kg)","GHGE, processor gate (kg CO2e/kg)"),INDIRECT($K346)),GETPIVOTDATA(IF($J346=1,"ACTIVE     GHGE, FARM GATE (kg CO2e/kg)","Count of GHGE, processor gate (kg CO2e/kg)"),'Pivot Table_GHG'!$A$3,"SUB TYPE",$B346))</f>
        <v>3</v>
      </c>
      <c r="R346" s="221">
        <f ca="1">IF($P346="PROXY",DAVERAGE('literature entries'!$D:$AI,IF($J346=1,"ACTIVE     GHGE, FARM GATE (kg CO2e/kg)","GHGE, processor gate (kg CO2e/kg)"),INDIRECT($K346)),GETPIVOTDATA(IF($J346=1,"Average of ACTIVE     GHGE, FARM GATE (kg CO2e/kg)","Average of GHGE, processor gate (kg CO2e/kg)"),'Pivot Table_GHG'!$A$3,"SUB TYPE",$B346))</f>
        <v>1.1323333333333332</v>
      </c>
      <c r="S346" s="221">
        <f ca="1">IF($P346="PROXY",DSTDEV('literature entries'!$D:$AI,IF($J346=1,"ACTIVE     GHGE, FARM GATE (kg CO2e/kg)","GHGE, processor gate (kg CO2e/kg)"),INDIRECT($K346)),GETPIVOTDATA(IF($J346=1,"StdDev of ACTIVE     GHGE, FARM GATE (kg CO2e/kg)","StdDev of GHGE, processor gate (kg CO2e/kg)"),'Pivot Table_GHG'!$A$3,"SUB TYPE",$B346))</f>
        <v>0.40241313762516906</v>
      </c>
      <c r="T346" s="101"/>
      <c r="U346" s="102"/>
      <c r="W346" s="258" t="s">
        <v>3355</v>
      </c>
      <c r="X346" s="246">
        <f ca="1">IF($W346="DIRECT",M346,DCOUNT('literature entries'!$D:$AI,"ACTIVE     CED, FARM GATE (MJ/kg)",INDIRECT($W346)))</f>
        <v>19</v>
      </c>
      <c r="Y346" s="246">
        <f ca="1">IF($W346="DIRECT","",DAVERAGE('literature entries'!$D:$AI,"ACTIVE     CED, FARM GATE (MJ/kg)",INDIRECT($W346)))</f>
        <v>3.1899535894736837</v>
      </c>
      <c r="Z346" s="246">
        <f ca="1">IF($W346="DIRECT",$O346,DSTDEV('literature entries'!$D:$AI,"ACTIVE     CED, FARM GATE (MJ/kg)",INDIRECT($W346)))</f>
        <v>1.8390624775878359</v>
      </c>
      <c r="AA346" s="246">
        <f t="shared" ca="1" si="48"/>
        <v>1.7084187731228697</v>
      </c>
      <c r="AB346" s="258" t="s">
        <v>3355</v>
      </c>
      <c r="AC346" s="247">
        <f ca="1">IF($AB346="DIRECT",Q346,DCOUNT('literature entries'!$D:$AI,"ACTIVE     GHGE, FARM GATE (kg CO2e/kg)",INDIRECT($AB346)))</f>
        <v>29</v>
      </c>
      <c r="AD346" s="247">
        <f ca="1">IF($AB346="DIRECT","",DAVERAGE('literature entries'!$D:$AI,"ACTIVE     GHGE, FARM GATE (kg CO2e/kg)",INDIRECT($AB346)))</f>
        <v>0.73083219793103427</v>
      </c>
      <c r="AE346" s="247">
        <f ca="1">IF($AB346="DIRECT",$S346,DSTDEV('literature entries'!$D:$AI,"ACTIVE     GHGE, FARM GATE (kg CO2e/kg)",INDIRECT($AB346)))</f>
        <v>0.90386671550847975</v>
      </c>
      <c r="AF346" s="247">
        <f t="shared" ca="1" si="49"/>
        <v>1.4004287355677643</v>
      </c>
    </row>
    <row r="347" spans="1:32" s="21" customFormat="1" ht="17" thickBot="1" x14ac:dyDescent="0.25">
      <c r="A347" s="129">
        <v>9500265000</v>
      </c>
      <c r="B347" s="130" t="s">
        <v>2144</v>
      </c>
      <c r="C347" s="131" t="s">
        <v>1731</v>
      </c>
      <c r="D347" s="131"/>
      <c r="E347" s="131">
        <v>23737</v>
      </c>
      <c r="F347" s="126">
        <f t="shared" ca="1" si="46"/>
        <v>3.1583665999999999</v>
      </c>
      <c r="G347" s="127">
        <f t="shared" ca="1" si="47"/>
        <v>4.6559032</v>
      </c>
      <c r="H347" s="136">
        <v>1</v>
      </c>
      <c r="I347" s="133" t="s">
        <v>628</v>
      </c>
      <c r="J347" s="91">
        <v>2</v>
      </c>
      <c r="K347" s="90"/>
      <c r="L347" s="152" t="str">
        <f>IF(ISERROR(GETPIVOTDATA(IF($J347=1,"Count of ACTIVE     CED, FARM GATE (MJ/kg)","Count of CED, processor gate (MJ/kg)"),'Pivot Table_CED'!$A$3,"SUB TYPE",$B347)),"PROXY",IF(GETPIVOTDATA(IF($J347=1,"Count of ACTIVE     CED, FARM GATE (MJ/kg)","Count of CED, processor gate (MJ/kg)"),'Pivot Table_CED'!$A$3,"SUB TYPE",$B347)=0,"PROXY","DB value"))</f>
        <v>DB value</v>
      </c>
      <c r="M347" s="134">
        <f ca="1">IF($L347="PROXY",DCOUNT('literature entries'!$D:$AI,IF($J347=1,"ACTIVE     CED, FARM GATE (MJ/kg)","CED, processor gate (MJ/kg)"),INDIRECT($K347)),GETPIVOTDATA(IF($J347=1,"Count of ACTIVE     CED, FARM GATE (MJ/kg)","Count of CED, processor gate (MJ/kg)"),'Pivot Table_CED'!$A$3,"SUB TYPE",$B347))</f>
        <v>1</v>
      </c>
      <c r="N347" s="135">
        <f ca="1">IF($L347="PROXY",DAVERAGE('literature entries'!$D:$AI,IF($J347=1,"ACTIVE     CED, FARM GATE (MJ/kg)","CED, processor gate (MJ/kg)"),INDIRECT($K347)),GETPIVOTDATA(IF($J347=1,"Average of ACTIVE     CED, FARM GATE (MJ/kg)","Average of CED, processor gate (MJ/kg)"),'Pivot Table_CED'!$A$3,"SUB TYPE",$B347))</f>
        <v>3.1583665999999999</v>
      </c>
      <c r="O347" s="135">
        <f ca="1">IF($L347="PROXY",DSTDEV('literature entries'!D:AI,IF($J347=1,"ACTIVE     CED, FARM GATE (MJ/kg)","CED, processor gate (MJ/kg)"),INDIRECT($K347)),GETPIVOTDATA(IF($J347=1,"StdDev of ACTIVE     CED, FARM GATE (MJ/kg)","StdDev of CED, processor gate (MJ/kg)"),'Pivot Table_CED'!$A$3,"SUB TYPE",$B347))</f>
        <v>0</v>
      </c>
      <c r="P347" s="152" t="str">
        <f>IF(ISERROR(GETPIVOTDATA(IF($J347=1,"Count of ACTIVE     GHGE, FARM GATE (kg CO2e/kg)","Count of GHGE, processor gate (kg CO2e/kg)"),'Pivot Table_GHG'!$A$3,"SUB TYPE",$B347)),"PROXY",IF(GETPIVOTDATA(IF($J347=1,"Count of ACTIVE     GHGE, FARM GATE (kg CO2e/kg)","Count of GHGE, processor gate (kg CO2e/kg)"),'Pivot Table_GHG'!$A$3,"SUB TYPE",$B347)=0,"PROXY","DB value"))</f>
        <v>DB value</v>
      </c>
      <c r="Q347" s="141">
        <f ca="1">IF($P347="PROXY",DCOUNT('literature entries'!$D:$AI,IF($J347=1,"ACTIVE     GHGE, FARM GATE (kg CO2e/kg)","GHGE, processor gate (kg CO2e/kg)"),INDIRECT($K347)),GETPIVOTDATA(IF($J347=1,"ACTIVE     GHGE, FARM GATE (kg CO2e/kg)","Count of GHGE, processor gate (kg CO2e/kg)"),'Pivot Table_GHG'!$A$3,"SUB TYPE",$B347))</f>
        <v>2</v>
      </c>
      <c r="R347" s="221">
        <f ca="1">IF($P347="PROXY",DAVERAGE('literature entries'!$D:$AI,IF($J347=1,"ACTIVE     GHGE, FARM GATE (kg CO2e/kg)","GHGE, processor gate (kg CO2e/kg)"),INDIRECT($K347)),GETPIVOTDATA(IF($J347=1,"Average of ACTIVE     GHGE, FARM GATE (kg CO2e/kg)","Average of GHGE, processor gate (kg CO2e/kg)"),'Pivot Table_GHG'!$A$3,"SUB TYPE",$B347))</f>
        <v>4.6559032</v>
      </c>
      <c r="S347" s="221">
        <f ca="1">IF($P347="PROXY",DSTDEV('literature entries'!$D:$AI,IF($J347=1,"ACTIVE     GHGE, FARM GATE (kg CO2e/kg)","GHGE, processor gate (kg CO2e/kg)"),INDIRECT($K347)),GETPIVOTDATA(IF($J347=1,"StdDev of ACTIVE     GHGE, FARM GATE (kg CO2e/kg)","StdDev of GHGE, processor gate (kg CO2e/kg)"),'Pivot Table_GHG'!$A$3,"SUB TYPE",$B347))</f>
        <v>0.41421862693567491</v>
      </c>
      <c r="T347" s="101"/>
      <c r="U347" s="102"/>
      <c r="W347" s="248" t="s">
        <v>3354</v>
      </c>
      <c r="X347" s="246">
        <f ca="1">IF($W347="DIRECT",M347,DCOUNT('literature entries'!$D:$AI,IF($J347=1,"ACTIVE     CED, FARM GATE (MJ/kg)","CED, processor gate (MJ/kg)"),INDIRECT($W347)))</f>
        <v>16</v>
      </c>
      <c r="Y347" s="246">
        <f ca="1">IF($W347="DIRECT","",DAVERAGE('literature entries'!$D:$AI,IF($J347=1,"ACTIVE     CED, FARM GATE (MJ/kg)","CED, processor gate (MJ/kg)"),INDIRECT($W347)))</f>
        <v>11.873325197282607</v>
      </c>
      <c r="Z347" s="246">
        <f ca="1">IF($W347="DIRECT",$O347,DSTDEV('literature entries'!$D:$AI,IF($J347=1,"ACTIVE     CED, FARM GATE (MJ/kg)","CED, processor gate (MJ/kg)"),INDIRECT($W347)))</f>
        <v>5.663275464099641</v>
      </c>
      <c r="AA347" s="246">
        <f t="shared" ca="1" si="48"/>
        <v>1.5064608923964662</v>
      </c>
      <c r="AB347" s="254" t="s">
        <v>3354</v>
      </c>
      <c r="AC347" s="247">
        <f ca="1">IF($AB347="DIRECT",Q347,DCOUNT('literature entries'!$D:$AI,IF($J347=1,"ACTIVE     GHGE, FARM GATE (kg CO2e/kg)","GHGE, processor gate (kg CO2e/kg)"),INDIRECT($AB347)))</f>
        <v>19</v>
      </c>
      <c r="AD347" s="247">
        <f ca="1">IF($AB347="DIRECT","",DAVERAGE('literature entries'!$D:$AI,IF($J347=1,"ACTIVE     GHGE, FARM GATE (kg CO2e/kg)","GHGE, processor gate (kg CO2e/kg)"),INDIRECT($AB347)))</f>
        <v>3.6074757576297722</v>
      </c>
      <c r="AE347" s="247">
        <f ca="1">IF($AB347="DIRECT",$S347,DSTDEV('literature entries'!$D:$AI,IF($J347=1,"ACTIVE     GHGE, FARM GATE (kg CO2e/kg)","GHGE, processor gate (kg CO2e/kg)"),INDIRECT($AB347)))</f>
        <v>2.5306182127862726</v>
      </c>
      <c r="AF347" s="247">
        <f t="shared" ca="1" si="49"/>
        <v>3.2660824982594607</v>
      </c>
    </row>
    <row r="348" spans="1:32" s="21" customFormat="1" ht="17" thickBot="1" x14ac:dyDescent="0.25">
      <c r="A348" s="129">
        <v>9500275000</v>
      </c>
      <c r="B348" s="130" t="s">
        <v>2163</v>
      </c>
      <c r="C348" s="131" t="s">
        <v>1782</v>
      </c>
      <c r="D348" s="131" t="s">
        <v>2164</v>
      </c>
      <c r="E348" s="131">
        <v>3490</v>
      </c>
      <c r="F348" s="126">
        <f t="shared" ca="1" si="46"/>
        <v>1.5507451766666669</v>
      </c>
      <c r="G348" s="127">
        <f t="shared" ca="1" si="47"/>
        <v>0.22093143666666668</v>
      </c>
      <c r="H348" s="132">
        <v>1</v>
      </c>
      <c r="I348" s="133" t="s">
        <v>594</v>
      </c>
      <c r="J348" s="91">
        <v>1</v>
      </c>
      <c r="K348" s="90" t="s">
        <v>893</v>
      </c>
      <c r="L348" s="152" t="str">
        <f>IF(ISERROR(GETPIVOTDATA(IF($J348=1,"Count of ACTIVE     CED, FARM GATE (MJ/kg)","Count of CED, processor gate (MJ/kg)"),'Pivot Table_CED'!$A$3,"SUB TYPE",$B348)),"PROXY",IF(GETPIVOTDATA(IF($J348=1,"Count of ACTIVE     CED, FARM GATE (MJ/kg)","Count of CED, processor gate (MJ/kg)"),'Pivot Table_CED'!$A$3,"SUB TYPE",$B348)=0,"PROXY","DB value"))</f>
        <v>PROXY</v>
      </c>
      <c r="M348" s="134">
        <f ca="1">IF($L348="PROXY",DCOUNT('literature entries'!$D:$AI,IF($J348=1,"ACTIVE     CED, FARM GATE (MJ/kg)","CED, processor gate (MJ/kg)"),INDIRECT($K348)),GETPIVOTDATA(IF($J348=1,"Count of ACTIVE     CED, FARM GATE (MJ/kg)","Count of CED, processor gate (MJ/kg)"),'Pivot Table_CED'!$A$3,"SUB TYPE",$B348))</f>
        <v>3</v>
      </c>
      <c r="N348" s="135">
        <f ca="1">IF($L348="PROXY",DAVERAGE('literature entries'!$D:$AI,IF($J348=1,"ACTIVE     CED, FARM GATE (MJ/kg)","CED, processor gate (MJ/kg)"),INDIRECT($K348)),GETPIVOTDATA(IF($J348=1,"Average of ACTIVE     CED, FARM GATE (MJ/kg)","Average of CED, processor gate (MJ/kg)"),'Pivot Table_CED'!$A$3,"SUB TYPE",$B348))</f>
        <v>1.5507451766666669</v>
      </c>
      <c r="O348" s="135">
        <f ca="1">IF($L348="PROXY",DSTDEV('literature entries'!D:AI,IF($J348=1,"ACTIVE     CED, FARM GATE (MJ/kg)","CED, processor gate (MJ/kg)"),INDIRECT($K348)),GETPIVOTDATA(IF($J348=1,"StdDev of ACTIVE     CED, FARM GATE (MJ/kg)","StdDev of CED, processor gate (MJ/kg)"),'Pivot Table_CED'!$A$3,"SUB TYPE",$B348))</f>
        <v>1.545573713255328</v>
      </c>
      <c r="P348" s="152" t="str">
        <f>IF(ISERROR(GETPIVOTDATA(IF($J348=1,"Count of ACTIVE     GHGE, FARM GATE (kg CO2e/kg)","Count of GHGE, processor gate (kg CO2e/kg)"),'Pivot Table_GHG'!$A$3,"SUB TYPE",$B348)),"PROXY",IF(GETPIVOTDATA(IF($J348=1,"Count of ACTIVE     GHGE, FARM GATE (kg CO2e/kg)","Count of GHGE, processor gate (kg CO2e/kg)"),'Pivot Table_GHG'!$A$3,"SUB TYPE",$B348)=0,"PROXY","DB value"))</f>
        <v>PROXY</v>
      </c>
      <c r="Q348" s="141">
        <f ca="1">IF($P348="PROXY",DCOUNT('literature entries'!$D:$AI,IF($J348=1,"ACTIVE     GHGE, FARM GATE (kg CO2e/kg)","GHGE, processor gate (kg CO2e/kg)"),INDIRECT($K348)),GETPIVOTDATA(IF($J348=1,"ACTIVE     GHGE, FARM GATE (kg CO2e/kg)","Count of GHGE, processor gate (kg CO2e/kg)"),'Pivot Table_GHG'!$A$3,"SUB TYPE",$B348))</f>
        <v>3</v>
      </c>
      <c r="R348" s="221">
        <f ca="1">IF($P348="PROXY",DAVERAGE('literature entries'!$D:$AI,IF($J348=1,"ACTIVE     GHGE, FARM GATE (kg CO2e/kg)","GHGE, processor gate (kg CO2e/kg)"),INDIRECT($K348)),GETPIVOTDATA(IF($J348=1,"Average of ACTIVE     GHGE, FARM GATE (kg CO2e/kg)","Average of GHGE, processor gate (kg CO2e/kg)"),'Pivot Table_GHG'!$A$3,"SUB TYPE",$B348))</f>
        <v>0.22093143666666668</v>
      </c>
      <c r="S348" s="221">
        <f ca="1">IF($P348="PROXY",DSTDEV('literature entries'!$D:$AI,IF($J348=1,"ACTIVE     GHGE, FARM GATE (kg CO2e/kg)","GHGE, processor gate (kg CO2e/kg)"),INDIRECT($K348)),GETPIVOTDATA(IF($J348=1,"StdDev of ACTIVE     GHGE, FARM GATE (kg CO2e/kg)","StdDev of GHGE, processor gate (kg CO2e/kg)"),'Pivot Table_GHG'!$A$3,"SUB TYPE",$B348))</f>
        <v>8.3542949461742316E-2</v>
      </c>
      <c r="T348" s="101"/>
      <c r="U348" s="102"/>
      <c r="W348" s="248" t="s">
        <v>2457</v>
      </c>
      <c r="X348" s="246">
        <f ca="1">IF($W348="DIRECT",M348,DCOUNT('literature entries'!$D:$AI,IF($J348=1,"ACTIVE     CED, FARM GATE (MJ/kg)","CED, processor gate (MJ/kg)"),INDIRECT($W348)))</f>
        <v>10</v>
      </c>
      <c r="Y348" s="246">
        <f ca="1">IF($W348="DIRECT","",DAVERAGE('literature entries'!$D:$AI,IF($J348=1,"ACTIVE     CED, FARM GATE (MJ/kg)","CED, processor gate (MJ/kg)"),INDIRECT($W348)))</f>
        <v>2.5657274700000001</v>
      </c>
      <c r="Z348" s="246">
        <f ca="1">IF($W348="DIRECT",$O348,DSTDEV('literature entries'!$D:$AI,IF($J348=1,"ACTIVE     CED, FARM GATE (MJ/kg)","CED, processor gate (MJ/kg)"),INDIRECT($W348)))</f>
        <v>1.5197673074222315</v>
      </c>
      <c r="AA348" s="246">
        <f t="shared" ca="1" si="48"/>
        <v>0.91855890744339763</v>
      </c>
      <c r="AB348" s="254" t="s">
        <v>2457</v>
      </c>
      <c r="AC348" s="247">
        <f ca="1">IF($AB348="DIRECT",Q348,DCOUNT('literature entries'!$D:$AI,IF($J348=1,"ACTIVE     GHGE, FARM GATE (kg CO2e/kg)","GHGE, processor gate (kg CO2e/kg)"),INDIRECT($AB348)))</f>
        <v>22</v>
      </c>
      <c r="AD348" s="247">
        <f ca="1">IF($AB348="DIRECT","",DAVERAGE('literature entries'!$D:$AI,IF($J348=1,"ACTIVE     GHGE, FARM GATE (kg CO2e/kg)","GHGE, processor gate (kg CO2e/kg)"),INDIRECT($AB348)))</f>
        <v>0.18561974136363635</v>
      </c>
      <c r="AE348" s="247">
        <f ca="1">IF($AB348="DIRECT",$S348,DSTDEV('literature entries'!$D:$AI,IF($J348=1,"ACTIVE     GHGE, FARM GATE (kg CO2e/kg)","GHGE, processor gate (kg CO2e/kg)"),INDIRECT($AB348)))</f>
        <v>9.7833632177637575E-2</v>
      </c>
      <c r="AF348" s="247">
        <f t="shared" ca="1" si="49"/>
        <v>0.11644518386102046</v>
      </c>
    </row>
    <row r="349" spans="1:32" s="21" customFormat="1" ht="17" thickBot="1" x14ac:dyDescent="0.25">
      <c r="A349" s="129">
        <v>9500276000</v>
      </c>
      <c r="B349" s="130" t="s">
        <v>2165</v>
      </c>
      <c r="C349" s="131" t="s">
        <v>1731</v>
      </c>
      <c r="D349" s="131"/>
      <c r="E349" s="131">
        <v>4</v>
      </c>
      <c r="F349" s="126">
        <f t="shared" ca="1" si="46"/>
        <v>11.899959666666668</v>
      </c>
      <c r="G349" s="127">
        <f t="shared" ca="1" si="47"/>
        <v>2.7294392999999997</v>
      </c>
      <c r="H349" s="132">
        <v>1</v>
      </c>
      <c r="I349" s="133" t="s">
        <v>594</v>
      </c>
      <c r="J349" s="91">
        <v>2</v>
      </c>
      <c r="K349" s="90" t="s">
        <v>3303</v>
      </c>
      <c r="L349" s="152" t="str">
        <f>IF(ISERROR(GETPIVOTDATA(IF($J349=1,"Count of ACTIVE     CED, FARM GATE (MJ/kg)","Count of CED, processor gate (MJ/kg)"),'Pivot Table_CED'!$A$3,"SUB TYPE",$B349)),"PROXY",IF(GETPIVOTDATA(IF($J349=1,"Count of ACTIVE     CED, FARM GATE (MJ/kg)","Count of CED, processor gate (MJ/kg)"),'Pivot Table_CED'!$A$3,"SUB TYPE",$B349)=0,"PROXY","DB value"))</f>
        <v>PROXY</v>
      </c>
      <c r="M349" s="134">
        <f ca="1">IF($L349="PROXY",DCOUNT('literature entries'!$D:$AI,IF($J349=1,"ACTIVE     CED, FARM GATE (MJ/kg)","CED, processor gate (MJ/kg)"),INDIRECT($K349)),GETPIVOTDATA(IF($J349=1,"Count of ACTIVE     CED, FARM GATE (MJ/kg)","Count of CED, processor gate (MJ/kg)"),'Pivot Table_CED'!$A$3,"SUB TYPE",$B349))</f>
        <v>3</v>
      </c>
      <c r="N349" s="135">
        <f ca="1">IF($L349="PROXY",DAVERAGE('literature entries'!$D:$AI,IF($J349=1,"ACTIVE     CED, FARM GATE (MJ/kg)","CED, processor gate (MJ/kg)"),INDIRECT($K349)),GETPIVOTDATA(IF($J349=1,"Average of ACTIVE     CED, FARM GATE (MJ/kg)","Average of CED, processor gate (MJ/kg)"),'Pivot Table_CED'!$A$3,"SUB TYPE",$B349))</f>
        <v>11.899959666666668</v>
      </c>
      <c r="O349" s="135">
        <f ca="1">IF($L349="PROXY",DSTDEV('literature entries'!D:AI,IF($J349=1,"ACTIVE     CED, FARM GATE (MJ/kg)","CED, processor gate (MJ/kg)"),INDIRECT($K349)),GETPIVOTDATA(IF($J349=1,"StdDev of ACTIVE     CED, FARM GATE (MJ/kg)","StdDev of CED, processor gate (MJ/kg)"),'Pivot Table_CED'!$A$3,"SUB TYPE",$B349))</f>
        <v>0.99604112952745805</v>
      </c>
      <c r="P349" s="152" t="str">
        <f>IF(ISERROR(GETPIVOTDATA(IF($J349=1,"Count of ACTIVE     GHGE, FARM GATE (kg CO2e/kg)","Count of GHGE, processor gate (kg CO2e/kg)"),'Pivot Table_GHG'!$A$3,"SUB TYPE",$B349)),"PROXY",IF(GETPIVOTDATA(IF($J349=1,"Count of ACTIVE     GHGE, FARM GATE (kg CO2e/kg)","Count of GHGE, processor gate (kg CO2e/kg)"),'Pivot Table_GHG'!$A$3,"SUB TYPE",$B349)=0,"PROXY","DB value"))</f>
        <v>PROXY</v>
      </c>
      <c r="Q349" s="141">
        <f ca="1">IF($P349="PROXY",DCOUNT('literature entries'!$D:$AI,IF($J349=1,"ACTIVE     GHGE, FARM GATE (kg CO2e/kg)","GHGE, processor gate (kg CO2e/kg)"),INDIRECT($K349)),GETPIVOTDATA(IF($J349=1,"ACTIVE     GHGE, FARM GATE (kg CO2e/kg)","Count of GHGE, processor gate (kg CO2e/kg)"),'Pivot Table_GHG'!$A$3,"SUB TYPE",$B349))</f>
        <v>3</v>
      </c>
      <c r="R349" s="221">
        <f ca="1">IF($P349="PROXY",DAVERAGE('literature entries'!$D:$AI,IF($J349=1,"ACTIVE     GHGE, FARM GATE (kg CO2e/kg)","GHGE, processor gate (kg CO2e/kg)"),INDIRECT($K349)),GETPIVOTDATA(IF($J349=1,"Average of ACTIVE     GHGE, FARM GATE (kg CO2e/kg)","Average of GHGE, processor gate (kg CO2e/kg)"),'Pivot Table_GHG'!$A$3,"SUB TYPE",$B349))</f>
        <v>2.7294392999999997</v>
      </c>
      <c r="S349" s="221">
        <f ca="1">IF($P349="PROXY",DSTDEV('literature entries'!$D:$AI,IF($J349=1,"ACTIVE     GHGE, FARM GATE (kg CO2e/kg)","GHGE, processor gate (kg CO2e/kg)"),INDIRECT($K349)),GETPIVOTDATA(IF($J349=1,"StdDev of ACTIVE     GHGE, FARM GATE (kg CO2e/kg)","StdDev of GHGE, processor gate (kg CO2e/kg)"),'Pivot Table_GHG'!$A$3,"SUB TYPE",$B349))</f>
        <v>0.98128140597347435</v>
      </c>
      <c r="T349" s="101"/>
      <c r="U349" s="102"/>
      <c r="W349" s="248" t="s">
        <v>3354</v>
      </c>
      <c r="X349" s="246">
        <f ca="1">IF($W349="DIRECT",M349,DCOUNT('literature entries'!$D:$AI,IF($J349=1,"ACTIVE     CED, FARM GATE (MJ/kg)","CED, processor gate (MJ/kg)"),INDIRECT($W349)))</f>
        <v>16</v>
      </c>
      <c r="Y349" s="246">
        <f ca="1">IF($W349="DIRECT","",DAVERAGE('literature entries'!$D:$AI,IF($J349=1,"ACTIVE     CED, FARM GATE (MJ/kg)","CED, processor gate (MJ/kg)"),INDIRECT($W349)))</f>
        <v>11.873325197282607</v>
      </c>
      <c r="Z349" s="246">
        <f ca="1">IF($W349="DIRECT",$O349,DSTDEV('literature entries'!$D:$AI,IF($J349=1,"ACTIVE     CED, FARM GATE (MJ/kg)","CED, processor gate (MJ/kg)"),INDIRECT($W349)))</f>
        <v>5.663275464099641</v>
      </c>
      <c r="AA349" s="246">
        <f t="shared" ca="1" si="48"/>
        <v>5.6759794315608021</v>
      </c>
      <c r="AB349" s="254" t="s">
        <v>3354</v>
      </c>
      <c r="AC349" s="247">
        <f ca="1">IF($AB349="DIRECT",Q349,DCOUNT('literature entries'!$D:$AI,IF($J349=1,"ACTIVE     GHGE, FARM GATE (kg CO2e/kg)","GHGE, processor gate (kg CO2e/kg)"),INDIRECT($AB349)))</f>
        <v>19</v>
      </c>
      <c r="AD349" s="247">
        <f ca="1">IF($AB349="DIRECT","",DAVERAGE('literature entries'!$D:$AI,IF($J349=1,"ACTIVE     GHGE, FARM GATE (kg CO2e/kg)","GHGE, processor gate (kg CO2e/kg)"),INDIRECT($AB349)))</f>
        <v>3.6074757576297722</v>
      </c>
      <c r="AE349" s="247">
        <f ca="1">IF($AB349="DIRECT",$S349,DSTDEV('literature entries'!$D:$AI,IF($J349=1,"ACTIVE     GHGE, FARM GATE (kg CO2e/kg)","GHGE, processor gate (kg CO2e/kg)"),INDIRECT($AB349)))</f>
        <v>2.5306182127862726</v>
      </c>
      <c r="AF349" s="247">
        <f t="shared" ca="1" si="49"/>
        <v>1.9146819735838909</v>
      </c>
    </row>
    <row r="350" spans="1:32" s="21" customFormat="1" ht="17" thickBot="1" x14ac:dyDescent="0.25">
      <c r="A350" s="129">
        <v>9500306000</v>
      </c>
      <c r="B350" s="130" t="s">
        <v>2219</v>
      </c>
      <c r="C350" s="131" t="s">
        <v>2220</v>
      </c>
      <c r="D350" s="131"/>
      <c r="E350" s="131">
        <v>2</v>
      </c>
      <c r="F350" s="126">
        <f t="shared" ca="1" si="46"/>
        <v>2.5841213096774194</v>
      </c>
      <c r="G350" s="127">
        <f t="shared" ca="1" si="47"/>
        <v>0.39349345733333324</v>
      </c>
      <c r="H350" s="132">
        <v>1</v>
      </c>
      <c r="I350" s="133" t="s">
        <v>594</v>
      </c>
      <c r="J350" s="91">
        <v>1</v>
      </c>
      <c r="K350" s="90" t="s">
        <v>2702</v>
      </c>
      <c r="L350" s="152" t="str">
        <f>IF(ISERROR(GETPIVOTDATA(IF($J350=1,"Count of ACTIVE     CED, FARM GATE (MJ/kg)","Count of CED, processor gate (MJ/kg)"),'Pivot Table_CED'!$A$3,"SUB TYPE",$B350)),"PROXY",IF(GETPIVOTDATA(IF($J350=1,"Count of ACTIVE     CED, FARM GATE (MJ/kg)","Count of CED, processor gate (MJ/kg)"),'Pivot Table_CED'!$A$3,"SUB TYPE",$B350)=0,"PROXY","DB value"))</f>
        <v>PROXY</v>
      </c>
      <c r="M350" s="134">
        <f ca="1">IF($L350="PROXY",DCOUNT('literature entries'!$D:$AI,IF($J350=1,"ACTIVE     CED, FARM GATE (MJ/kg)","CED, processor gate (MJ/kg)"),INDIRECT($K350)),GETPIVOTDATA(IF($J350=1,"Count of ACTIVE     CED, FARM GATE (MJ/kg)","Count of CED, processor gate (MJ/kg)"),'Pivot Table_CED'!$A$3,"SUB TYPE",$B350))</f>
        <v>31</v>
      </c>
      <c r="N350" s="135">
        <f ca="1">IF($L350="PROXY",DAVERAGE('literature entries'!$D:$AI,IF($J350=1,"ACTIVE     CED, FARM GATE (MJ/kg)","CED, processor gate (MJ/kg)"),INDIRECT($K350)),GETPIVOTDATA(IF($J350=1,"Average of ACTIVE     CED, FARM GATE (MJ/kg)","Average of CED, processor gate (MJ/kg)"),'Pivot Table_CED'!$A$3,"SUB TYPE",$B350))</f>
        <v>2.5841213096774194</v>
      </c>
      <c r="O350" s="135">
        <f ca="1">IF($L350="PROXY",DSTDEV('literature entries'!D:AI,IF($J350=1,"ACTIVE     CED, FARM GATE (MJ/kg)","CED, processor gate (MJ/kg)"),INDIRECT($K350)),GETPIVOTDATA(IF($J350=1,"StdDev of ACTIVE     CED, FARM GATE (MJ/kg)","StdDev of CED, processor gate (MJ/kg)"),'Pivot Table_CED'!$A$3,"SUB TYPE",$B350))</f>
        <v>1.1854190703188778</v>
      </c>
      <c r="P350" s="152" t="str">
        <f>IF(ISERROR(GETPIVOTDATA(IF($J350=1,"Count of ACTIVE     GHGE, FARM GATE (kg CO2e/kg)","Count of GHGE, processor gate (kg CO2e/kg)"),'Pivot Table_GHG'!$A$3,"SUB TYPE",$B350)),"PROXY",IF(GETPIVOTDATA(IF($J350=1,"Count of ACTIVE     GHGE, FARM GATE (kg CO2e/kg)","Count of GHGE, processor gate (kg CO2e/kg)"),'Pivot Table_GHG'!$A$3,"SUB TYPE",$B350)=0,"PROXY","DB value"))</f>
        <v>PROXY</v>
      </c>
      <c r="Q350" s="141">
        <f ca="1">IF($P350="PROXY",DCOUNT('literature entries'!$D:$AI,IF($J350=1,"ACTIVE     GHGE, FARM GATE (kg CO2e/kg)","GHGE, processor gate (kg CO2e/kg)"),INDIRECT($K350)),GETPIVOTDATA(IF($J350=1,"ACTIVE     GHGE, FARM GATE (kg CO2e/kg)","Count of GHGE, processor gate (kg CO2e/kg)"),'Pivot Table_GHG'!$A$3,"SUB TYPE",$B350))</f>
        <v>45</v>
      </c>
      <c r="R350" s="221">
        <f ca="1">IF($P350="PROXY",DAVERAGE('literature entries'!$D:$AI,IF($J350=1,"ACTIVE     GHGE, FARM GATE (kg CO2e/kg)","GHGE, processor gate (kg CO2e/kg)"),INDIRECT($K350)),GETPIVOTDATA(IF($J350=1,"Average of ACTIVE     GHGE, FARM GATE (kg CO2e/kg)","Average of GHGE, processor gate (kg CO2e/kg)"),'Pivot Table_GHG'!$A$3,"SUB TYPE",$B350))</f>
        <v>0.39349345733333324</v>
      </c>
      <c r="S350" s="221">
        <f ca="1">IF($P350="PROXY",DSTDEV('literature entries'!$D:$AI,IF($J350=1,"ACTIVE     GHGE, FARM GATE (kg CO2e/kg)","GHGE, processor gate (kg CO2e/kg)"),INDIRECT($K350)),GETPIVOTDATA(IF($J350=1,"StdDev of ACTIVE     GHGE, FARM GATE (kg CO2e/kg)","StdDev of GHGE, processor gate (kg CO2e/kg)"),'Pivot Table_GHG'!$A$3,"SUB TYPE",$B350))</f>
        <v>0.20361467618492471</v>
      </c>
      <c r="T350" s="101"/>
      <c r="U350" s="102"/>
      <c r="W350" s="248" t="str">
        <f ca="1">IF(L350="PROXY",IF(M350&gt;=5,K350,"need group"),IF(M350&gt;=5,"DIRECT","need group"))</f>
        <v>grains</v>
      </c>
      <c r="X350" s="246">
        <f ca="1">IF($W350="DIRECT",M350,DCOUNT('literature entries'!$D:$AI,IF($J350=1,"ACTIVE     CED, FARM GATE (MJ/kg)","CED, processor gate (MJ/kg)"),INDIRECT($W350)))</f>
        <v>31</v>
      </c>
      <c r="Y350" s="246">
        <f ca="1">IF($W350="DIRECT","",DAVERAGE('literature entries'!$D:$AI,IF($J350=1,"ACTIVE     CED, FARM GATE (MJ/kg)","CED, processor gate (MJ/kg)"),INDIRECT($W350)))</f>
        <v>2.5841213096774194</v>
      </c>
      <c r="Z350" s="246">
        <f ca="1">IF($W350="DIRECT",$O350,DSTDEV('literature entries'!$D:$AI,IF($J350=1,"ACTIVE     CED, FARM GATE (MJ/kg)","CED, processor gate (MJ/kg)"),INDIRECT($W350)))</f>
        <v>1.1854190703188778</v>
      </c>
      <c r="AA350" s="246">
        <f t="shared" ca="1" si="48"/>
        <v>1.1854190703188778</v>
      </c>
      <c r="AB350" s="254" t="str">
        <f ca="1">IF(P350="PROXY",IF(Q350&gt;=5,K350,"need group"),IF(Q350&gt;=5,"DIRECT","need group"))</f>
        <v>grains</v>
      </c>
      <c r="AC350" s="247">
        <f ca="1">IF($AB350="DIRECT",Q350,DCOUNT('literature entries'!$D:$AI,IF($J350=1,"ACTIVE     GHGE, FARM GATE (kg CO2e/kg)","GHGE, processor gate (kg CO2e/kg)"),INDIRECT($AB350)))</f>
        <v>45</v>
      </c>
      <c r="AD350" s="247">
        <f ca="1">IF($AB350="DIRECT","",DAVERAGE('literature entries'!$D:$AI,IF($J350=1,"ACTIVE     GHGE, FARM GATE (kg CO2e/kg)","GHGE, processor gate (kg CO2e/kg)"),INDIRECT($AB350)))</f>
        <v>0.39349345733333324</v>
      </c>
      <c r="AE350" s="247">
        <f ca="1">IF($AB350="DIRECT",$S350,DSTDEV('literature entries'!$D:$AI,IF($J350=1,"ACTIVE     GHGE, FARM GATE (kg CO2e/kg)","GHGE, processor gate (kg CO2e/kg)"),INDIRECT($AB350)))</f>
        <v>0.20361467618492471</v>
      </c>
      <c r="AF350" s="247">
        <f t="shared" ca="1" si="49"/>
        <v>0.20361467618492474</v>
      </c>
    </row>
    <row r="351" spans="1:32" s="21" customFormat="1" ht="17" thickBot="1" x14ac:dyDescent="0.25">
      <c r="A351" s="129">
        <v>9500335000</v>
      </c>
      <c r="B351" s="130" t="s">
        <v>2249</v>
      </c>
      <c r="C351" s="131" t="s">
        <v>2250</v>
      </c>
      <c r="D351" s="131" t="s">
        <v>2251</v>
      </c>
      <c r="E351" s="131">
        <v>19067</v>
      </c>
      <c r="F351" s="126">
        <f t="shared" ca="1" si="46"/>
        <v>2.5657274700000001</v>
      </c>
      <c r="G351" s="127">
        <f t="shared" ca="1" si="47"/>
        <v>0.18561974136363635</v>
      </c>
      <c r="H351" s="132">
        <v>1</v>
      </c>
      <c r="I351" s="133" t="s">
        <v>2724</v>
      </c>
      <c r="J351" s="91">
        <v>1</v>
      </c>
      <c r="K351" s="227" t="s">
        <v>2457</v>
      </c>
      <c r="L351" s="152" t="str">
        <f>IF(ISERROR(GETPIVOTDATA(IF($J351=1,"Count of ACTIVE     CED, FARM GATE (MJ/kg)","Count of CED, processor gate (MJ/kg)"),'Pivot Table_CED'!$A$3,"SUB TYPE",$B351)),"PROXY",IF(GETPIVOTDATA(IF($J351=1,"Count of ACTIVE     CED, FARM GATE (MJ/kg)","Count of CED, processor gate (MJ/kg)"),'Pivot Table_CED'!$A$3,"SUB TYPE",$B351)=0,"PROXY","DB value"))</f>
        <v>PROXY</v>
      </c>
      <c r="M351" s="134">
        <f ca="1">IF($L351="PROXY",DCOUNT('literature entries'!$D:$AI,IF($J351=1,"ACTIVE     CED, FARM GATE (MJ/kg)","CED, processor gate (MJ/kg)"),INDIRECT($K351)),GETPIVOTDATA(IF($J351=1,"Count of ACTIVE     CED, FARM GATE (MJ/kg)","Count of CED, processor gate (MJ/kg)"),'Pivot Table_CED'!$A$3,"SUB TYPE",$B351))</f>
        <v>10</v>
      </c>
      <c r="N351" s="135">
        <f ca="1">IF($L351="PROXY",DAVERAGE('literature entries'!$D:$AI,IF($J351=1,"ACTIVE     CED, FARM GATE (MJ/kg)","CED, processor gate (MJ/kg)"),INDIRECT($K351)),GETPIVOTDATA(IF($J351=1,"Average of ACTIVE     CED, FARM GATE (MJ/kg)","Average of CED, processor gate (MJ/kg)"),'Pivot Table_CED'!$A$3,"SUB TYPE",$B351))</f>
        <v>2.5657274700000001</v>
      </c>
      <c r="O351" s="135">
        <f ca="1">IF($L351="PROXY",DSTDEV('literature entries'!D:AI,IF($J351=1,"ACTIVE     CED, FARM GATE (MJ/kg)","CED, processor gate (MJ/kg)"),INDIRECT($K351)),GETPIVOTDATA(IF($J351=1,"StdDev of ACTIVE     CED, FARM GATE (MJ/kg)","StdDev of CED, processor gate (MJ/kg)"),'Pivot Table_CED'!$A$3,"SUB TYPE",$B351))</f>
        <v>1.5197673074222315</v>
      </c>
      <c r="P351" s="152" t="str">
        <f>IF(ISERROR(GETPIVOTDATA(IF($J351=1,"Count of ACTIVE     GHGE, FARM GATE (kg CO2e/kg)","Count of GHGE, processor gate (kg CO2e/kg)"),'Pivot Table_GHG'!$A$3,"SUB TYPE",$B351)),"PROXY",IF(GETPIVOTDATA(IF($J351=1,"Count of ACTIVE     GHGE, FARM GATE (kg CO2e/kg)","Count of GHGE, processor gate (kg CO2e/kg)"),'Pivot Table_GHG'!$A$3,"SUB TYPE",$B351)=0,"PROXY","DB value"))</f>
        <v>PROXY</v>
      </c>
      <c r="Q351" s="141">
        <f ca="1">IF($P351="PROXY",DCOUNT('literature entries'!$D:$AI,IF($J351=1,"ACTIVE     GHGE, FARM GATE (kg CO2e/kg)","GHGE, processor gate (kg CO2e/kg)"),INDIRECT($K351)),GETPIVOTDATA(IF($J351=1,"ACTIVE     GHGE, FARM GATE (kg CO2e/kg)","Count of GHGE, processor gate (kg CO2e/kg)"),'Pivot Table_GHG'!$A$3,"SUB TYPE",$B351))</f>
        <v>22</v>
      </c>
      <c r="R351" s="221">
        <f ca="1">IF($P351="PROXY",DAVERAGE('literature entries'!$D:$AI,IF($J351=1,"ACTIVE     GHGE, FARM GATE (kg CO2e/kg)","GHGE, processor gate (kg CO2e/kg)"),INDIRECT($K351)),GETPIVOTDATA(IF($J351=1,"Average of ACTIVE     GHGE, FARM GATE (kg CO2e/kg)","Average of GHGE, processor gate (kg CO2e/kg)"),'Pivot Table_GHG'!$A$3,"SUB TYPE",$B351))</f>
        <v>0.18561974136363635</v>
      </c>
      <c r="S351" s="221">
        <f ca="1">IF($P351="PROXY",DSTDEV('literature entries'!$D:$AI,IF($J351=1,"ACTIVE     GHGE, FARM GATE (kg CO2e/kg)","GHGE, processor gate (kg CO2e/kg)"),INDIRECT($K351)),GETPIVOTDATA(IF($J351=1,"StdDev of ACTIVE     GHGE, FARM GATE (kg CO2e/kg)","StdDev of GHGE, processor gate (kg CO2e/kg)"),'Pivot Table_GHG'!$A$3,"SUB TYPE",$B351))</f>
        <v>9.7833632177637575E-2</v>
      </c>
      <c r="T351" s="101"/>
      <c r="U351" s="102"/>
      <c r="W351" s="248" t="str">
        <f ca="1">IF(L351="PROXY",IF(M351&gt;=5,K351,"need group"),IF(M351&gt;=5,"DIRECT","need group"))</f>
        <v>greens</v>
      </c>
      <c r="X351" s="246">
        <f ca="1">IF($W351="DIRECT",M351,DCOUNT('literature entries'!$D:$AI,IF($J351=1,"ACTIVE     CED, FARM GATE (MJ/kg)","CED, processor gate (MJ/kg)"),INDIRECT($W351)))</f>
        <v>10</v>
      </c>
      <c r="Y351" s="246">
        <f ca="1">IF($W351="DIRECT","",DAVERAGE('literature entries'!$D:$AI,IF($J351=1,"ACTIVE     CED, FARM GATE (MJ/kg)","CED, processor gate (MJ/kg)"),INDIRECT($W351)))</f>
        <v>2.5657274700000001</v>
      </c>
      <c r="Z351" s="246">
        <f ca="1">IF($W351="DIRECT",$O351,DSTDEV('literature entries'!$D:$AI,IF($J351=1,"ACTIVE     CED, FARM GATE (MJ/kg)","CED, processor gate (MJ/kg)"),INDIRECT($W351)))</f>
        <v>1.5197673074222315</v>
      </c>
      <c r="AA351" s="246">
        <f t="shared" ca="1" si="48"/>
        <v>1.5197673074222315</v>
      </c>
      <c r="AB351" s="254" t="str">
        <f ca="1">IF(P351="PROXY",IF(Q351&gt;=5,K351,"need group"),IF(Q351&gt;=5,"DIRECT","need group"))</f>
        <v>greens</v>
      </c>
      <c r="AC351" s="247">
        <f ca="1">IF($AB351="DIRECT",Q351,DCOUNT('literature entries'!$D:$AI,IF($J351=1,"ACTIVE     GHGE, FARM GATE (kg CO2e/kg)","GHGE, processor gate (kg CO2e/kg)"),INDIRECT($AB351)))</f>
        <v>22</v>
      </c>
      <c r="AD351" s="247">
        <f ca="1">IF($AB351="DIRECT","",DAVERAGE('literature entries'!$D:$AI,IF($J351=1,"ACTIVE     GHGE, FARM GATE (kg CO2e/kg)","GHGE, processor gate (kg CO2e/kg)"),INDIRECT($AB351)))</f>
        <v>0.18561974136363635</v>
      </c>
      <c r="AE351" s="247">
        <f ca="1">IF($AB351="DIRECT",$S351,DSTDEV('literature entries'!$D:$AI,IF($J351=1,"ACTIVE     GHGE, FARM GATE (kg CO2e/kg)","GHGE, processor gate (kg CO2e/kg)"),INDIRECT($AB351)))</f>
        <v>9.7833632177637575E-2</v>
      </c>
      <c r="AF351" s="247">
        <f t="shared" ca="1" si="49"/>
        <v>9.7833632177637575E-2</v>
      </c>
    </row>
    <row r="352" spans="1:32" s="21" customFormat="1" ht="17" thickBot="1" x14ac:dyDescent="0.25">
      <c r="A352" s="129">
        <v>9500362000</v>
      </c>
      <c r="B352" s="130" t="s">
        <v>2287</v>
      </c>
      <c r="C352" s="131" t="s">
        <v>2288</v>
      </c>
      <c r="D352" s="131" t="s">
        <v>1828</v>
      </c>
      <c r="E352" s="131">
        <v>49995</v>
      </c>
      <c r="F352" s="126">
        <f t="shared" ca="1" si="46"/>
        <v>5.1456238000000001</v>
      </c>
      <c r="G352" s="127">
        <f t="shared" ca="1" si="47"/>
        <v>0.69992868499999994</v>
      </c>
      <c r="H352" s="132">
        <v>1</v>
      </c>
      <c r="I352" s="133" t="s">
        <v>594</v>
      </c>
      <c r="J352" s="91">
        <v>2</v>
      </c>
      <c r="K352" s="90"/>
      <c r="L352" s="152" t="str">
        <f>IF(ISERROR(GETPIVOTDATA(IF($J352=1,"Count of ACTIVE     CED, FARM GATE (MJ/kg)","Count of CED, processor gate (MJ/kg)"),'Pivot Table_CED'!$A$3,"SUB TYPE",$B352)),"PROXY",IF(GETPIVOTDATA(IF($J352=1,"Count of ACTIVE     CED, FARM GATE (MJ/kg)","Count of CED, processor gate (MJ/kg)"),'Pivot Table_CED'!$A$3,"SUB TYPE",$B352)=0,"PROXY","DB value"))</f>
        <v>DB value</v>
      </c>
      <c r="M352" s="134">
        <f ca="1">IF($L352="PROXY",DCOUNT('literature entries'!$D:$AI,IF($J352=1,"ACTIVE     CED, FARM GATE (MJ/kg)","CED, processor gate (MJ/kg)"),INDIRECT($K352)),GETPIVOTDATA(IF($J352=1,"Count of ACTIVE     CED, FARM GATE (MJ/kg)","Count of CED, processor gate (MJ/kg)"),'Pivot Table_CED'!$A$3,"SUB TYPE",$B352))</f>
        <v>2</v>
      </c>
      <c r="N352" s="135">
        <f ca="1">IF($L352="PROXY",DAVERAGE('literature entries'!$D:$AI,IF($J352=1,"ACTIVE     CED, FARM GATE (MJ/kg)","CED, processor gate (MJ/kg)"),INDIRECT($K352)),GETPIVOTDATA(IF($J352=1,"Average of ACTIVE     CED, FARM GATE (MJ/kg)","Average of CED, processor gate (MJ/kg)"),'Pivot Table_CED'!$A$3,"SUB TYPE",$B352))</f>
        <v>5.1456238000000001</v>
      </c>
      <c r="O352" s="135">
        <f ca="1">IF($L352="PROXY",DSTDEV('literature entries'!D:AI,IF($J352=1,"ACTIVE     CED, FARM GATE (MJ/kg)","CED, processor gate (MJ/kg)"),INDIRECT($K352)),GETPIVOTDATA(IF($J352=1,"StdDev of ACTIVE     CED, FARM GATE (MJ/kg)","StdDev of CED, processor gate (MJ/kg)"),'Pivot Table_CED'!$A$3,"SUB TYPE",$B352))</f>
        <v>2.3044946581697427</v>
      </c>
      <c r="P352" s="152" t="str">
        <f>IF(ISERROR(GETPIVOTDATA(IF($J352=1,"Count of ACTIVE     GHGE, FARM GATE (kg CO2e/kg)","Count of GHGE, processor gate (kg CO2e/kg)"),'Pivot Table_GHG'!$A$3,"SUB TYPE",$B352)),"PROXY",IF(GETPIVOTDATA(IF($J352=1,"Count of ACTIVE     GHGE, FARM GATE (kg CO2e/kg)","Count of GHGE, processor gate (kg CO2e/kg)"),'Pivot Table_GHG'!$A$3,"SUB TYPE",$B352)=0,"PROXY","DB value"))</f>
        <v>DB value</v>
      </c>
      <c r="Q352" s="141">
        <f ca="1">IF($P352="PROXY",DCOUNT('literature entries'!$D:$AI,IF($J352=1,"ACTIVE     GHGE, FARM GATE (kg CO2e/kg)","GHGE, processor gate (kg CO2e/kg)"),INDIRECT($K352)),GETPIVOTDATA(IF($J352=1,"ACTIVE     GHGE, FARM GATE (kg CO2e/kg)","Count of GHGE, processor gate (kg CO2e/kg)"),'Pivot Table_GHG'!$A$3,"SUB TYPE",$B352))</f>
        <v>2</v>
      </c>
      <c r="R352" s="221">
        <f ca="1">IF($P352="PROXY",DAVERAGE('literature entries'!$D:$AI,IF($J352=1,"ACTIVE     GHGE, FARM GATE (kg CO2e/kg)","GHGE, processor gate (kg CO2e/kg)"),INDIRECT($K352)),GETPIVOTDATA(IF($J352=1,"Average of ACTIVE     GHGE, FARM GATE (kg CO2e/kg)","Average of GHGE, processor gate (kg CO2e/kg)"),'Pivot Table_GHG'!$A$3,"SUB TYPE",$B352))</f>
        <v>0.69992868499999994</v>
      </c>
      <c r="S352" s="221">
        <f ca="1">IF($P352="PROXY",DSTDEV('literature entries'!$D:$AI,IF($J352=1,"ACTIVE     GHGE, FARM GATE (kg CO2e/kg)","GHGE, processor gate (kg CO2e/kg)"),INDIRECT($K352)),GETPIVOTDATA(IF($J352=1,"StdDev of ACTIVE     GHGE, FARM GATE (kg CO2e/kg)","StdDev of GHGE, processor gate (kg CO2e/kg)"),'Pivot Table_GHG'!$A$3,"SUB TYPE",$B352))</f>
        <v>4.6487059486040455E-2</v>
      </c>
      <c r="T352" s="101"/>
      <c r="U352" s="102"/>
      <c r="W352" s="248" t="s">
        <v>3364</v>
      </c>
      <c r="X352" s="246">
        <f ca="1">IF($W352="DIRECT",M352,DCOUNT('literature entries'!$D:$AI,IF($J352=1,"ACTIVE     CED, FARM GATE (MJ/kg)","CED, processor gate (MJ/kg)"),INDIRECT($W352)))</f>
        <v>14</v>
      </c>
      <c r="Y352" s="246">
        <f ca="1">IF($W352="DIRECT","",DAVERAGE('literature entries'!$D:$AI,IF($J352=1,"ACTIVE     CED, FARM GATE (MJ/kg)","CED, processor gate (MJ/kg)"),INDIRECT($W352)))</f>
        <v>8.8453455837076262</v>
      </c>
      <c r="Z352" s="246">
        <f ca="1">IF($W352="DIRECT",$O352,DSTDEV('literature entries'!$D:$AI,IF($J352=1,"ACTIVE     CED, FARM GATE (MJ/kg)","CED, processor gate (MJ/kg)"),INDIRECT($W352)))</f>
        <v>17.468328408482019</v>
      </c>
      <c r="AA352" s="246">
        <f t="shared" ca="1" si="48"/>
        <v>10.161891986499946</v>
      </c>
      <c r="AB352" s="254" t="s">
        <v>3364</v>
      </c>
      <c r="AC352" s="247">
        <f ca="1">IF($AB352="DIRECT",Q352,DCOUNT('literature entries'!$D:$AI,IF($J352=1,"ACTIVE     GHGE, FARM GATE (kg CO2e/kg)","GHGE, processor gate (kg CO2e/kg)"),INDIRECT($AB352)))</f>
        <v>13</v>
      </c>
      <c r="AD352" s="247">
        <f ca="1">IF($AB352="DIRECT","",DAVERAGE('literature entries'!$D:$AI,IF($J352=1,"ACTIVE     GHGE, FARM GATE (kg CO2e/kg)","GHGE, processor gate (kg CO2e/kg)"),INDIRECT($AB352)))</f>
        <v>1.0611859137782504</v>
      </c>
      <c r="AE352" s="247">
        <f ca="1">IF($AB352="DIRECT",$S352,DSTDEV('literature entries'!$D:$AI,IF($J352=1,"ACTIVE     GHGE, FARM GATE (kg CO2e/kg)","GHGE, processor gate (kg CO2e/kg)"),INDIRECT($AB352)))</f>
        <v>1.8055997061726943</v>
      </c>
      <c r="AF352" s="247">
        <f t="shared" ca="1" si="49"/>
        <v>1.1909232977643227</v>
      </c>
    </row>
    <row r="353" spans="1:32" s="21" customFormat="1" ht="17" thickBot="1" x14ac:dyDescent="0.25">
      <c r="A353" s="129">
        <v>9500363000</v>
      </c>
      <c r="B353" s="130" t="s">
        <v>2285</v>
      </c>
      <c r="C353" s="131" t="s">
        <v>1830</v>
      </c>
      <c r="D353" s="131" t="s">
        <v>2286</v>
      </c>
      <c r="E353" s="131">
        <v>7615</v>
      </c>
      <c r="F353" s="126">
        <f t="shared" ca="1" si="46"/>
        <v>5.0787000000000004</v>
      </c>
      <c r="G353" s="127">
        <f t="shared" ca="1" si="47"/>
        <v>0.48759999999999998</v>
      </c>
      <c r="H353" s="132">
        <v>1</v>
      </c>
      <c r="I353" s="133" t="s">
        <v>594</v>
      </c>
      <c r="J353" s="91">
        <v>2</v>
      </c>
      <c r="K353" s="90"/>
      <c r="L353" s="152" t="str">
        <f>IF(ISERROR(GETPIVOTDATA(IF($J353=1,"Count of ACTIVE     CED, FARM GATE (MJ/kg)","Count of CED, processor gate (MJ/kg)"),'Pivot Table_CED'!$A$3,"SUB TYPE",$B353)),"PROXY",IF(GETPIVOTDATA(IF($J353=1,"Count of ACTIVE     CED, FARM GATE (MJ/kg)","Count of CED, processor gate (MJ/kg)"),'Pivot Table_CED'!$A$3,"SUB TYPE",$B353)=0,"PROXY","DB value"))</f>
        <v>DB value</v>
      </c>
      <c r="M353" s="134">
        <f ca="1">IF($L353="PROXY",DCOUNT('literature entries'!$D:$AI,IF($J353=1,"ACTIVE     CED, FARM GATE (MJ/kg)","CED, processor gate (MJ/kg)"),INDIRECT($K353)),GETPIVOTDATA(IF($J353=1,"Count of ACTIVE     CED, FARM GATE (MJ/kg)","Count of CED, processor gate (MJ/kg)"),'Pivot Table_CED'!$A$3,"SUB TYPE",$B353))</f>
        <v>1</v>
      </c>
      <c r="N353" s="135">
        <f ca="1">IF($L353="PROXY",DAVERAGE('literature entries'!$D:$AI,IF($J353=1,"ACTIVE     CED, FARM GATE (MJ/kg)","CED, processor gate (MJ/kg)"),INDIRECT($K353)),GETPIVOTDATA(IF($J353=1,"Average of ACTIVE     CED, FARM GATE (MJ/kg)","Average of CED, processor gate (MJ/kg)"),'Pivot Table_CED'!$A$3,"SUB TYPE",$B353))</f>
        <v>5.0787000000000004</v>
      </c>
      <c r="O353" s="135">
        <f ca="1">IF($L353="PROXY",DSTDEV('literature entries'!D:AI,IF($J353=1,"ACTIVE     CED, FARM GATE (MJ/kg)","CED, processor gate (MJ/kg)"),INDIRECT($K353)),GETPIVOTDATA(IF($J353=1,"StdDev of ACTIVE     CED, FARM GATE (MJ/kg)","StdDev of CED, processor gate (MJ/kg)"),'Pivot Table_CED'!$A$3,"SUB TYPE",$B353))</f>
        <v>0</v>
      </c>
      <c r="P353" s="152" t="str">
        <f>IF(ISERROR(GETPIVOTDATA(IF($J353=1,"Count of ACTIVE     GHGE, FARM GATE (kg CO2e/kg)","Count of GHGE, processor gate (kg CO2e/kg)"),'Pivot Table_GHG'!$A$3,"SUB TYPE",$B353)),"PROXY",IF(GETPIVOTDATA(IF($J353=1,"Count of ACTIVE     GHGE, FARM GATE (kg CO2e/kg)","Count of GHGE, processor gate (kg CO2e/kg)"),'Pivot Table_GHG'!$A$3,"SUB TYPE",$B353)=0,"PROXY","DB value"))</f>
        <v>DB value</v>
      </c>
      <c r="Q353" s="141">
        <f ca="1">IF($P353="PROXY",DCOUNT('literature entries'!$D:$AI,IF($J353=1,"ACTIVE     GHGE, FARM GATE (kg CO2e/kg)","GHGE, processor gate (kg CO2e/kg)"),INDIRECT($K353)),GETPIVOTDATA(IF($J353=1,"ACTIVE     GHGE, FARM GATE (kg CO2e/kg)","Count of GHGE, processor gate (kg CO2e/kg)"),'Pivot Table_GHG'!$A$3,"SUB TYPE",$B353))</f>
        <v>1</v>
      </c>
      <c r="R353" s="221">
        <f ca="1">IF($P353="PROXY",DAVERAGE('literature entries'!$D:$AI,IF($J353=1,"ACTIVE     GHGE, FARM GATE (kg CO2e/kg)","GHGE, processor gate (kg CO2e/kg)"),INDIRECT($K353)),GETPIVOTDATA(IF($J353=1,"Average of ACTIVE     GHGE, FARM GATE (kg CO2e/kg)","Average of GHGE, processor gate (kg CO2e/kg)"),'Pivot Table_GHG'!$A$3,"SUB TYPE",$B353))</f>
        <v>0.48759999999999998</v>
      </c>
      <c r="S353" s="221" t="e">
        <f ca="1">IF($P353="PROXY",DSTDEV('literature entries'!$D:$AI,IF($J353=1,"ACTIVE     GHGE, FARM GATE (kg CO2e/kg)","GHGE, processor gate (kg CO2e/kg)"),INDIRECT($K353)),GETPIVOTDATA(IF($J353=1,"StdDev of ACTIVE     GHGE, FARM GATE (kg CO2e/kg)","StdDev of GHGE, processor gate (kg CO2e/kg)"),'Pivot Table_GHG'!$A$3,"SUB TYPE",$B353))</f>
        <v>#DIV/0!</v>
      </c>
      <c r="T353" s="101"/>
      <c r="U353" s="102"/>
      <c r="W353" s="248" t="s">
        <v>3364</v>
      </c>
      <c r="X353" s="246">
        <f ca="1">IF($W353="DIRECT",M353,DCOUNT('literature entries'!$D:$AI,IF($J353=1,"ACTIVE     CED, FARM GATE (MJ/kg)","CED, processor gate (MJ/kg)"),INDIRECT($W353)))</f>
        <v>14</v>
      </c>
      <c r="Y353" s="246">
        <f ca="1">IF($W353="DIRECT","",DAVERAGE('literature entries'!$D:$AI,IF($J353=1,"ACTIVE     CED, FARM GATE (MJ/kg)","CED, processor gate (MJ/kg)"),INDIRECT($W353)))</f>
        <v>8.8453455837076262</v>
      </c>
      <c r="Z353" s="246">
        <f ca="1">IF($W353="DIRECT",$O353,DSTDEV('literature entries'!$D:$AI,IF($J353=1,"ACTIVE     CED, FARM GATE (MJ/kg)","CED, processor gate (MJ/kg)"),INDIRECT($W353)))</f>
        <v>17.468328408482019</v>
      </c>
      <c r="AA353" s="246">
        <f t="shared" ca="1" si="48"/>
        <v>10.029726781005108</v>
      </c>
      <c r="AB353" s="254" t="s">
        <v>3364</v>
      </c>
      <c r="AC353" s="247">
        <f ca="1">IF($AB353="DIRECT",Q353,DCOUNT('literature entries'!$D:$AI,IF($J353=1,"ACTIVE     GHGE, FARM GATE (kg CO2e/kg)","GHGE, processor gate (kg CO2e/kg)"),INDIRECT($AB353)))</f>
        <v>13</v>
      </c>
      <c r="AD353" s="247">
        <f ca="1">IF($AB353="DIRECT","",DAVERAGE('literature entries'!$D:$AI,IF($J353=1,"ACTIVE     GHGE, FARM GATE (kg CO2e/kg)","GHGE, processor gate (kg CO2e/kg)"),INDIRECT($AB353)))</f>
        <v>1.0611859137782504</v>
      </c>
      <c r="AE353" s="247">
        <f ca="1">IF($AB353="DIRECT",$S353,DSTDEV('literature entries'!$D:$AI,IF($J353=1,"ACTIVE     GHGE, FARM GATE (kg CO2e/kg)","GHGE, processor gate (kg CO2e/kg)"),INDIRECT($AB353)))</f>
        <v>1.8055997061726943</v>
      </c>
      <c r="AF353" s="247">
        <f t="shared" ca="1" si="49"/>
        <v>0.8296476661617086</v>
      </c>
    </row>
    <row r="354" spans="1:32" s="21" customFormat="1" ht="17" thickBot="1" x14ac:dyDescent="0.25">
      <c r="A354" s="129">
        <v>9500372000</v>
      </c>
      <c r="B354" s="130" t="s">
        <v>2305</v>
      </c>
      <c r="C354" s="131" t="s">
        <v>2306</v>
      </c>
      <c r="D354" s="131"/>
      <c r="E354" s="131">
        <v>7481</v>
      </c>
      <c r="F354" s="126">
        <f t="shared" ca="1" si="46"/>
        <v>53.431428571428569</v>
      </c>
      <c r="G354" s="127">
        <f t="shared" ca="1" si="47"/>
        <v>3.8202857142857143</v>
      </c>
      <c r="H354" s="132">
        <v>1</v>
      </c>
      <c r="I354" s="133" t="s">
        <v>594</v>
      </c>
      <c r="J354" s="91">
        <v>2</v>
      </c>
      <c r="K354" s="219"/>
      <c r="L354" s="152" t="str">
        <f>IF(ISERROR(GETPIVOTDATA(IF($J354=1,"Count of ACTIVE     CED, FARM GATE (MJ/kg)","Count of CED, processor gate (MJ/kg)"),'Pivot Table_CED'!$A$3,"SUB TYPE",$B354)),"PROXY",IF(GETPIVOTDATA(IF($J354=1,"Count of ACTIVE     CED, FARM GATE (MJ/kg)","Count of CED, processor gate (MJ/kg)"),'Pivot Table_CED'!$A$3,"SUB TYPE",$B354)=0,"PROXY","DB value"))</f>
        <v>DB value</v>
      </c>
      <c r="M354" s="134">
        <f ca="1">IF($L354="PROXY",DCOUNT('literature entries'!$D:$AI,IF($J354=1,"ACTIVE     CED, FARM GATE (MJ/kg)","CED, processor gate (MJ/kg)"),INDIRECT($K354)),GETPIVOTDATA(IF($J354=1,"Count of ACTIVE     CED, FARM GATE (MJ/kg)","Count of CED, processor gate (MJ/kg)"),'Pivot Table_CED'!$A$3,"SUB TYPE",$B354))</f>
        <v>3</v>
      </c>
      <c r="N354" s="135">
        <f ca="1">IF($L354="PROXY",DAVERAGE('literature entries'!$D:$AI,IF($J354=1,"ACTIVE     CED, FARM GATE (MJ/kg)","CED, processor gate (MJ/kg)"),INDIRECT($K354)),GETPIVOTDATA(IF($J354=1,"Average of ACTIVE     CED, FARM GATE (MJ/kg)","Average of CED, processor gate (MJ/kg)"),'Pivot Table_CED'!$A$3,"SUB TYPE",$B354))</f>
        <v>53.431428571428569</v>
      </c>
      <c r="O354" s="135">
        <f ca="1">IF($L354="PROXY",DSTDEV('literature entries'!D:AI,IF($J354=1,"ACTIVE     CED, FARM GATE (MJ/kg)","CED, processor gate (MJ/kg)"),INDIRECT($K354)),GETPIVOTDATA(IF($J354=1,"StdDev of ACTIVE     CED, FARM GATE (MJ/kg)","StdDev of CED, processor gate (MJ/kg)"),'Pivot Table_CED'!$A$3,"SUB TYPE",$B354))</f>
        <v>3.7764068874516132</v>
      </c>
      <c r="P354" s="152" t="str">
        <f>IF(ISERROR(GETPIVOTDATA(IF($J354=1,"Count of ACTIVE     GHGE, FARM GATE (kg CO2e/kg)","Count of GHGE, processor gate (kg CO2e/kg)"),'Pivot Table_GHG'!$A$3,"SUB TYPE",$B354)),"PROXY",IF(GETPIVOTDATA(IF($J354=1,"Count of ACTIVE     GHGE, FARM GATE (kg CO2e/kg)","Count of GHGE, processor gate (kg CO2e/kg)"),'Pivot Table_GHG'!$A$3,"SUB TYPE",$B354)=0,"PROXY","DB value"))</f>
        <v>DB value</v>
      </c>
      <c r="Q354" s="141">
        <f ca="1">IF($P354="PROXY",DCOUNT('literature entries'!$D:$AI,IF($J354=1,"ACTIVE     GHGE, FARM GATE (kg CO2e/kg)","GHGE, processor gate (kg CO2e/kg)"),INDIRECT($K354)),GETPIVOTDATA(IF($J354=1,"ACTIVE     GHGE, FARM GATE (kg CO2e/kg)","Count of GHGE, processor gate (kg CO2e/kg)"),'Pivot Table_GHG'!$A$3,"SUB TYPE",$B354))</f>
        <v>5</v>
      </c>
      <c r="R354" s="221">
        <f ca="1">IF($P354="PROXY",DAVERAGE('literature entries'!$D:$AI,IF($J354=1,"ACTIVE     GHGE, FARM GATE (kg CO2e/kg)","GHGE, processor gate (kg CO2e/kg)"),INDIRECT($K354)),GETPIVOTDATA(IF($J354=1,"Average of ACTIVE     GHGE, FARM GATE (kg CO2e/kg)","Average of GHGE, processor gate (kg CO2e/kg)"),'Pivot Table_GHG'!$A$3,"SUB TYPE",$B354))</f>
        <v>3.8202857142857143</v>
      </c>
      <c r="S354" s="221">
        <f ca="1">IF($P354="PROXY",DSTDEV('literature entries'!$D:$AI,IF($J354=1,"ACTIVE     GHGE, FARM GATE (kg CO2e/kg)","GHGE, processor gate (kg CO2e/kg)"),INDIRECT($K354)),GETPIVOTDATA(IF($J354=1,"StdDev of ACTIVE     GHGE, FARM GATE (kg CO2e/kg)","StdDev of GHGE, processor gate (kg CO2e/kg)"),'Pivot Table_GHG'!$A$3,"SUB TYPE",$B354))</f>
        <v>2.4468664675874909</v>
      </c>
      <c r="T354" s="101"/>
      <c r="U354" s="102"/>
      <c r="W354" s="248" t="s">
        <v>3365</v>
      </c>
      <c r="X354" s="246">
        <f ca="1">IF($W354="DIRECT",M354,DCOUNT('literature entries'!$D:$AI,IF($J354=1,"ACTIVE     CED, FARM GATE (MJ/kg)","CED, processor gate (MJ/kg)"),INDIRECT($W354)))</f>
        <v>9</v>
      </c>
      <c r="Y354" s="246">
        <f ca="1">IF($W354="DIRECT","",DAVERAGE('literature entries'!$D:$AI,IF($J354=1,"ACTIVE     CED, FARM GATE (MJ/kg)","CED, processor gate (MJ/kg)"),INDIRECT($W354)))</f>
        <v>40.585858261850497</v>
      </c>
      <c r="Z354" s="246">
        <f ca="1">IF($W354="DIRECT",$O354,DSTDEV('literature entries'!$D:$AI,IF($J354=1,"ACTIVE     CED, FARM GATE (MJ/kg)","CED, processor gate (MJ/kg)"),INDIRECT($W354)))</f>
        <v>29.424950608067736</v>
      </c>
      <c r="AA354" s="246">
        <f t="shared" ca="1" si="48"/>
        <v>38.738053449287833</v>
      </c>
      <c r="AB354" s="254" t="str">
        <f ca="1">IF(P354="PROXY",IF(Q354&gt;=5,K354,"need group"),IF(Q354&gt;=5,"DIRECT","need group"))</f>
        <v>DIRECT</v>
      </c>
      <c r="AC354" s="247">
        <f ca="1">IF($AB354="DIRECT",Q354,DCOUNT('literature entries'!$D:$AI,IF($J354=1,"ACTIVE     GHGE, FARM GATE (kg CO2e/kg)","GHGE, processor gate (kg CO2e/kg)"),INDIRECT($AB354)))</f>
        <v>5</v>
      </c>
      <c r="AD354" s="247" t="str">
        <f ca="1">IF($AB354="DIRECT","",DAVERAGE('literature entries'!$D:$AI,IF($J354=1,"ACTIVE     GHGE, FARM GATE (kg CO2e/kg)","GHGE, processor gate (kg CO2e/kg)"),INDIRECT($AB354)))</f>
        <v/>
      </c>
      <c r="AE354" s="247">
        <f ca="1">IF($AB354="DIRECT",$S354,DSTDEV('literature entries'!$D:$AI,IF($J354=1,"ACTIVE     GHGE, FARM GATE (kg CO2e/kg)","GHGE, processor gate (kg CO2e/kg)"),INDIRECT($AB354)))</f>
        <v>2.4468664675874909</v>
      </c>
      <c r="AF354" s="247">
        <f t="shared" ca="1" si="49"/>
        <v>2.4468664675874909</v>
      </c>
    </row>
    <row r="355" spans="1:32" s="21" customFormat="1" thickBot="1" x14ac:dyDescent="0.25">
      <c r="A355" s="129">
        <v>9500373000</v>
      </c>
      <c r="B355" s="130" t="s">
        <v>2307</v>
      </c>
      <c r="C355" s="131" t="s">
        <v>2308</v>
      </c>
      <c r="D355" s="131"/>
      <c r="E355" s="131">
        <v>4160</v>
      </c>
      <c r="F355" s="126">
        <f t="shared" ca="1" si="46"/>
        <v>154.95114285714286</v>
      </c>
      <c r="G355" s="127">
        <f t="shared" ca="1" si="47"/>
        <v>11.078828571428572</v>
      </c>
      <c r="H355" s="136">
        <v>2.9</v>
      </c>
      <c r="I355" s="136" t="s">
        <v>3310</v>
      </c>
      <c r="J355" s="91">
        <v>2</v>
      </c>
      <c r="K355" s="219" t="s">
        <v>3309</v>
      </c>
      <c r="L355" s="152" t="str">
        <f>IF(ISERROR(GETPIVOTDATA(IF($J355=1,"Count of ACTIVE     CED, FARM GATE (MJ/kg)","Count of CED, processor gate (MJ/kg)"),'Pivot Table_CED'!$A$3,"SUB TYPE",$B355)),"PROXY",IF(GETPIVOTDATA(IF($J355=1,"Count of ACTIVE     CED, FARM GATE (MJ/kg)","Count of CED, processor gate (MJ/kg)"),'Pivot Table_CED'!$A$3,"SUB TYPE",$B355)=0,"PROXY","DB value"))</f>
        <v>PROXY</v>
      </c>
      <c r="M355" s="134">
        <f ca="1">IF($L355="PROXY",DCOUNT('literature entries'!$D:$AI,IF($J355=1,"ACTIVE     CED, FARM GATE (MJ/kg)","CED, processor gate (MJ/kg)"),INDIRECT($K355)),GETPIVOTDATA(IF($J355=1,"Count of ACTIVE     CED, FARM GATE (MJ/kg)","Count of CED, processor gate (MJ/kg)"),'Pivot Table_CED'!$A$3,"SUB TYPE",$B355))</f>
        <v>3</v>
      </c>
      <c r="N355" s="135">
        <f ca="1">IF($L355="PROXY",DAVERAGE('literature entries'!$D:$AI,IF($J355=1,"ACTIVE     CED, FARM GATE (MJ/kg)","CED, processor gate (MJ/kg)"),INDIRECT($K355)),GETPIVOTDATA(IF($J355=1,"Average of ACTIVE     CED, FARM GATE (MJ/kg)","Average of CED, processor gate (MJ/kg)"),'Pivot Table_CED'!$A$3,"SUB TYPE",$B355))</f>
        <v>53.431428571428569</v>
      </c>
      <c r="O355" s="135">
        <f ca="1">IF($L355="PROXY",DSTDEV('literature entries'!D:AI,IF($J355=1,"ACTIVE     CED, FARM GATE (MJ/kg)","CED, processor gate (MJ/kg)"),INDIRECT($K355)),GETPIVOTDATA(IF($J355=1,"StdDev of ACTIVE     CED, FARM GATE (MJ/kg)","StdDev of CED, processor gate (MJ/kg)"),'Pivot Table_CED'!$A$3,"SUB TYPE",$B355))</f>
        <v>3.7764068874515941</v>
      </c>
      <c r="P355" s="152" t="str">
        <f>IF(ISERROR(GETPIVOTDATA(IF($J355=1,"Count of ACTIVE     GHGE, FARM GATE (kg CO2e/kg)","Count of GHGE, processor gate (kg CO2e/kg)"),'Pivot Table_GHG'!$A$3,"SUB TYPE",$B355)),"PROXY",IF(GETPIVOTDATA(IF($J355=1,"Count of ACTIVE     GHGE, FARM GATE (kg CO2e/kg)","Count of GHGE, processor gate (kg CO2e/kg)"),'Pivot Table_GHG'!$A$3,"SUB TYPE",$B355)=0,"PROXY","DB value"))</f>
        <v>PROXY</v>
      </c>
      <c r="Q355" s="141">
        <f ca="1">IF($P355="PROXY",DCOUNT('literature entries'!$D:$AI,IF($J355=1,"ACTIVE     GHGE, FARM GATE (kg CO2e/kg)","GHGE, processor gate (kg CO2e/kg)"),INDIRECT($K355)),GETPIVOTDATA(IF($J355=1,"ACTIVE     GHGE, FARM GATE (kg CO2e/kg)","Count of GHGE, processor gate (kg CO2e/kg)"),'Pivot Table_GHG'!$A$3,"SUB TYPE",$B355))</f>
        <v>5</v>
      </c>
      <c r="R355" s="221">
        <f ca="1">IF($P355="PROXY",DAVERAGE('literature entries'!$D:$AI,IF($J355=1,"ACTIVE     GHGE, FARM GATE (kg CO2e/kg)","GHGE, processor gate (kg CO2e/kg)"),INDIRECT($K355)),GETPIVOTDATA(IF($J355=1,"Average of ACTIVE     GHGE, FARM GATE (kg CO2e/kg)","Average of GHGE, processor gate (kg CO2e/kg)"),'Pivot Table_GHG'!$A$3,"SUB TYPE",$B355))</f>
        <v>3.8202857142857143</v>
      </c>
      <c r="S355" s="221">
        <f ca="1">IF($P355="PROXY",DSTDEV('literature entries'!$D:$AI,IF($J355=1,"ACTIVE     GHGE, FARM GATE (kg CO2e/kg)","GHGE, processor gate (kg CO2e/kg)"),INDIRECT($K355)),GETPIVOTDATA(IF($J355=1,"StdDev of ACTIVE     GHGE, FARM GATE (kg CO2e/kg)","StdDev of GHGE, processor gate (kg CO2e/kg)"),'Pivot Table_GHG'!$A$3,"SUB TYPE",$B355))</f>
        <v>2.4468664675874909</v>
      </c>
      <c r="T355" s="101"/>
      <c r="U355" s="102"/>
      <c r="W355" s="248" t="s">
        <v>3365</v>
      </c>
      <c r="X355" s="246">
        <f ca="1">IF($W355="DIRECT",M355,DCOUNT('literature entries'!$D:$AI,IF($J355=1,"ACTIVE     CED, FARM GATE (MJ/kg)","CED, processor gate (MJ/kg)"),INDIRECT($W355)))</f>
        <v>9</v>
      </c>
      <c r="Y355" s="246">
        <f ca="1">IF($W355="DIRECT","",DAVERAGE('literature entries'!$D:$AI,IF($J355=1,"ACTIVE     CED, FARM GATE (MJ/kg)","CED, processor gate (MJ/kg)"),INDIRECT($W355)))</f>
        <v>40.585858261850497</v>
      </c>
      <c r="Z355" s="246">
        <f ca="1">IF($W355="DIRECT",$O355,DSTDEV('literature entries'!$D:$AI,IF($J355=1,"ACTIVE     CED, FARM GATE (MJ/kg)","CED, processor gate (MJ/kg)"),INDIRECT($W355)))</f>
        <v>29.424950608067736</v>
      </c>
      <c r="AA355" s="246">
        <f t="shared" ca="1" si="48"/>
        <v>38.738053449287833</v>
      </c>
      <c r="AB355" s="254" t="str">
        <f ca="1">IF(P355="PROXY",IF(Q355&gt;=5,K355,"need group"),IF(Q355&gt;=5,"DIRECT","need group"))</f>
        <v>tea</v>
      </c>
      <c r="AC355" s="247">
        <f ca="1">IF($AB355="DIRECT",Q355,DCOUNT('literature entries'!$D:$AI,IF($J355=1,"ACTIVE     GHGE, FARM GATE (kg CO2e/kg)","GHGE, processor gate (kg CO2e/kg)"),INDIRECT($AB355)))</f>
        <v>5</v>
      </c>
      <c r="AD355" s="247">
        <f ca="1">IF($AB355="DIRECT","",DAVERAGE('literature entries'!$D:$AI,IF($J355=1,"ACTIVE     GHGE, FARM GATE (kg CO2e/kg)","GHGE, processor gate (kg CO2e/kg)"),INDIRECT($AB355)))</f>
        <v>3.8202857142857143</v>
      </c>
      <c r="AE355" s="247">
        <f ca="1">IF($AB355="DIRECT",$S355,DSTDEV('literature entries'!$D:$AI,IF($J355=1,"ACTIVE     GHGE, FARM GATE (kg CO2e/kg)","GHGE, processor gate (kg CO2e/kg)"),INDIRECT($AB355)))</f>
        <v>2.4468664675874909</v>
      </c>
      <c r="AF355" s="247">
        <f t="shared" ca="1" si="49"/>
        <v>2.4468664675874909</v>
      </c>
    </row>
    <row r="356" spans="1:32" s="21" customFormat="1" ht="17" thickBot="1" x14ac:dyDescent="0.25">
      <c r="A356" s="129">
        <v>9500390000</v>
      </c>
      <c r="B356" s="130" t="s">
        <v>2333</v>
      </c>
      <c r="C356" s="131" t="s">
        <v>2334</v>
      </c>
      <c r="D356" s="131"/>
      <c r="E356" s="131">
        <v>30618</v>
      </c>
      <c r="F356" s="231">
        <f ca="1">N356*H356+T356+5.282</f>
        <v>7.9856947234500009</v>
      </c>
      <c r="G356" s="232">
        <f ca="1">R356*H356+U356+0.97907912608</f>
        <v>1.3185882869971126</v>
      </c>
      <c r="H356" s="132">
        <v>1.5</v>
      </c>
      <c r="I356" s="133" t="s">
        <v>594</v>
      </c>
      <c r="J356" s="91">
        <v>1</v>
      </c>
      <c r="K356" s="216" t="s">
        <v>848</v>
      </c>
      <c r="L356" s="152" t="str">
        <f>IF(ISERROR(GETPIVOTDATA(IF($J356=1,"Count of ACTIVE     CED, FARM GATE (MJ/kg)","Count of CED, processor gate (MJ/kg)"),'Pivot Table_CED'!$A$3,"SUB TYPE",$B356)),"PROXY",IF(GETPIVOTDATA(IF($J356=1,"Count of ACTIVE     CED, FARM GATE (MJ/kg)","Count of CED, processor gate (MJ/kg)"),'Pivot Table_CED'!$A$3,"SUB TYPE",$B356)=0,"PROXY","DB value"))</f>
        <v>PROXY</v>
      </c>
      <c r="M356" s="134">
        <f ca="1">IF($L356="PROXY",DCOUNT('literature entries'!$D:$AI,IF($J356=1,"ACTIVE     CED, FARM GATE (MJ/kg)","CED, processor gate (MJ/kg)"),INDIRECT($K356)),GETPIVOTDATA(IF($J356=1,"Count of ACTIVE     CED, FARM GATE (MJ/kg)","Count of CED, processor gate (MJ/kg)"),'Pivot Table_CED'!$A$3,"SUB TYPE",$B356))</f>
        <v>18</v>
      </c>
      <c r="N356" s="135">
        <f ca="1">IF($L356="PROXY",DAVERAGE('literature entries'!$D:$AI,IF($J356=1,"ACTIVE     CED, FARM GATE (MJ/kg)","CED, processor gate (MJ/kg)"),INDIRECT($K356)),GETPIVOTDATA(IF($J356=1,"Average of ACTIVE     CED, FARM GATE (MJ/kg)","Average of CED, processor gate (MJ/kg)"),'Pivot Table_CED'!$A$3,"SUB TYPE",$B356))</f>
        <v>1.4371666666666671</v>
      </c>
      <c r="O356" s="135">
        <f ca="1">IF($L356="PROXY",DSTDEV('literature entries'!D:AI,IF($J356=1,"ACTIVE     CED, FARM GATE (MJ/kg)","CED, processor gate (MJ/kg)"),INDIRECT($K356)),GETPIVOTDATA(IF($J356=1,"StdDev of ACTIVE     CED, FARM GATE (MJ/kg)","StdDev of CED, processor gate (MJ/kg)"),'Pivot Table_CED'!$A$3,"SUB TYPE",$B356))</f>
        <v>1.3479662458681962</v>
      </c>
      <c r="P356" s="152" t="str">
        <f>IF(ISERROR(GETPIVOTDATA(IF($J356=1,"Count of ACTIVE     GHGE, FARM GATE (kg CO2e/kg)","Count of GHGE, processor gate (kg CO2e/kg)"),'Pivot Table_GHG'!$A$3,"SUB TYPE",$B356)),"PROXY",IF(GETPIVOTDATA(IF($J356=1,"Count of ACTIVE     GHGE, FARM GATE (kg CO2e/kg)","Count of GHGE, processor gate (kg CO2e/kg)"),'Pivot Table_GHG'!$A$3,"SUB TYPE",$B356)=0,"PROXY","DB value"))</f>
        <v>PROXY</v>
      </c>
      <c r="Q356" s="141">
        <f ca="1">IF($P356="PROXY",DCOUNT('literature entries'!$D:$AI,IF($J356=1,"ACTIVE     GHGE, FARM GATE (kg CO2e/kg)","GHGE, processor gate (kg CO2e/kg)"),INDIRECT($K356)),GETPIVOTDATA(IF($J356=1,"ACTIVE     GHGE, FARM GATE (kg CO2e/kg)","Count of GHGE, processor gate (kg CO2e/kg)"),'Pivot Table_GHG'!$A$3,"SUB TYPE",$B356))</f>
        <v>36</v>
      </c>
      <c r="R356" s="223">
        <f ca="1">IF($P356="PROXY",DAVERAGE('literature entries'!$D:$AI,IF($J356=1,"ACTIVE     GHGE, FARM GATE (kg CO2e/kg)","GHGE, processor gate (kg CO2e/kg)"),INDIRECT($K356)),GETPIVOTDATA(IF($J356=1,"Average of ACTIVE     GHGE, FARM GATE (kg CO2e/kg)","Average of GHGE, processor gate (kg CO2e/kg)"),'Pivot Table_GHG'!$A$3,"SUB TYPE",$B356))</f>
        <v>0.20576432077140835</v>
      </c>
      <c r="S356" s="221">
        <f ca="1">IF($P356="PROXY",DSTDEV('literature entries'!$D:$AI,IF($J356=1,"ACTIVE     GHGE, FARM GATE (kg CO2e/kg)","GHGE, processor gate (kg CO2e/kg)"),INDIRECT($K356)),GETPIVOTDATA(IF($J356=1,"StdDev of ACTIVE     GHGE, FARM GATE (kg CO2e/kg)","StdDev of GHGE, processor gate (kg CO2e/kg)"),'Pivot Table_GHG'!$A$3,"SUB TYPE",$B356))</f>
        <v>0.21608589641208981</v>
      </c>
      <c r="T356" s="101">
        <v>0.54794472345</v>
      </c>
      <c r="U356" s="102">
        <v>3.0862679760000001E-2</v>
      </c>
      <c r="W356" s="248" t="str">
        <f ca="1">IF(L356="PROXY",IF(M356&gt;=5,K356,"need group"),IF(M356&gt;=5,"DIRECT","need group"))</f>
        <v>apple</v>
      </c>
      <c r="X356" s="246">
        <f ca="1">IF($W356="DIRECT",M356,DCOUNT('literature entries'!$D:$AI,IF($J356=1,"ACTIVE     CED, FARM GATE (MJ/kg)","CED, processor gate (MJ/kg)"),INDIRECT($W356)))</f>
        <v>18</v>
      </c>
      <c r="Y356" s="246">
        <f ca="1">IF($W356="DIRECT","",DAVERAGE('literature entries'!$D:$AI,IF($J356=1,"ACTIVE     CED, FARM GATE (MJ/kg)","CED, processor gate (MJ/kg)"),INDIRECT($W356)))</f>
        <v>1.4371666666666671</v>
      </c>
      <c r="Z356" s="246">
        <f ca="1">IF($W356="DIRECT",$O356,DSTDEV('literature entries'!$D:$AI,IF($J356=1,"ACTIVE     CED, FARM GATE (MJ/kg)","CED, processor gate (MJ/kg)"),INDIRECT($W356)))</f>
        <v>1.3479662458681962</v>
      </c>
      <c r="AA356" s="246">
        <f t="shared" ca="1" si="48"/>
        <v>1.3479662458681962</v>
      </c>
      <c r="AB356" s="254" t="str">
        <f ca="1">IF(P356="PROXY",IF(Q356&gt;=5,K356,"need group"),IF(Q356&gt;=5,"DIRECT","need group"))</f>
        <v>apple</v>
      </c>
      <c r="AC356" s="247">
        <f ca="1">IF($AB356="DIRECT",Q356,DCOUNT('literature entries'!$D:$AI,IF($J356=1,"ACTIVE     GHGE, FARM GATE (kg CO2e/kg)","GHGE, processor gate (kg CO2e/kg)"),INDIRECT($AB356)))</f>
        <v>36</v>
      </c>
      <c r="AD356" s="247">
        <f ca="1">IF($AB356="DIRECT","",DAVERAGE('literature entries'!$D:$AI,IF($J356=1,"ACTIVE     GHGE, FARM GATE (kg CO2e/kg)","GHGE, processor gate (kg CO2e/kg)"),INDIRECT($AB356)))</f>
        <v>0.20576432077140835</v>
      </c>
      <c r="AE356" s="247">
        <f ca="1">IF($AB356="DIRECT",$S356,DSTDEV('literature entries'!$D:$AI,IF($J356=1,"ACTIVE     GHGE, FARM GATE (kg CO2e/kg)","GHGE, processor gate (kg CO2e/kg)"),INDIRECT($AB356)))</f>
        <v>0.21608589641208981</v>
      </c>
      <c r="AF356" s="247">
        <f t="shared" ca="1" si="49"/>
        <v>0.21608589641208981</v>
      </c>
    </row>
    <row r="357" spans="1:32" s="21" customFormat="1" ht="17" thickBot="1" x14ac:dyDescent="0.25">
      <c r="A357" s="144">
        <v>9500397000</v>
      </c>
      <c r="B357" s="145" t="s">
        <v>2336</v>
      </c>
      <c r="C357" s="146" t="s">
        <v>2337</v>
      </c>
      <c r="D357" s="146"/>
      <c r="E357" s="146">
        <v>961</v>
      </c>
      <c r="F357" s="126">
        <f ca="1">N357*H357+T357</f>
        <v>1.8486928571428569</v>
      </c>
      <c r="G357" s="127">
        <f ca="1">R357*H357+U357</f>
        <v>0.27742000000000006</v>
      </c>
      <c r="H357" s="148">
        <v>1.3</v>
      </c>
      <c r="I357" s="149" t="s">
        <v>2724</v>
      </c>
      <c r="J357" s="150">
        <v>1</v>
      </c>
      <c r="K357" s="147" t="s">
        <v>2455</v>
      </c>
      <c r="L357" s="152" t="str">
        <f>IF(ISERROR(GETPIVOTDATA(IF($J357=1,"Count of ACTIVE     CED, FARM GATE (MJ/kg)","Count of CED, processor gate (MJ/kg)"),'Pivot Table_CED'!$A$3,"SUB TYPE",$B357)),"PROXY",IF(GETPIVOTDATA(IF($J357=1,"Count of ACTIVE     CED, FARM GATE (MJ/kg)","Count of CED, processor gate (MJ/kg)"),'Pivot Table_CED'!$A$3,"SUB TYPE",$B357)=0,"PROXY","DB value"))</f>
        <v>PROXY</v>
      </c>
      <c r="M357" s="134">
        <f ca="1">IF($L357="PROXY",DCOUNT('literature entries'!$D:$AI,IF($J357=1,"ACTIVE     CED, FARM GATE (MJ/kg)","CED, processor gate (MJ/kg)"),INDIRECT($K357)),GETPIVOTDATA(IF($J357=1,"Count of ACTIVE     CED, FARM GATE (MJ/kg)","Count of CED, processor gate (MJ/kg)"),'Pivot Table_CED'!$A$3,"SUB TYPE",$B357))</f>
        <v>14</v>
      </c>
      <c r="N357" s="135">
        <f ca="1">IF($L357="PROXY",DAVERAGE('literature entries'!$D:$AI,IF($J357=1,"ACTIVE     CED, FARM GATE (MJ/kg)","CED, processor gate (MJ/kg)"),INDIRECT($K357)),GETPIVOTDATA(IF($J357=1,"Average of ACTIVE     CED, FARM GATE (MJ/kg)","Average of CED, processor gate (MJ/kg)"),'Pivot Table_CED'!$A$3,"SUB TYPE",$B357))</f>
        <v>1.4220714285714284</v>
      </c>
      <c r="O357" s="135">
        <f ca="1">IF($L357="PROXY",DSTDEV('literature entries'!D:AI,IF($J357=1,"ACTIVE     CED, FARM GATE (MJ/kg)","CED, processor gate (MJ/kg)"),INDIRECT($K357)),GETPIVOTDATA(IF($J357=1,"StdDev of ACTIVE     CED, FARM GATE (MJ/kg)","StdDev of CED, processor gate (MJ/kg)"),'Pivot Table_CED'!$A$3,"SUB TYPE",$B357))</f>
        <v>0.57442043892896122</v>
      </c>
      <c r="P357" s="152" t="str">
        <f>IF(ISERROR(GETPIVOTDATA(IF($J357=1,"Count of ACTIVE     GHGE, FARM GATE (kg CO2e/kg)","Count of GHGE, processor gate (kg CO2e/kg)"),'Pivot Table_GHG'!$A$3,"SUB TYPE",$B357)),"PROXY",IF(GETPIVOTDATA(IF($J357=1,"Count of ACTIVE     GHGE, FARM GATE (kg CO2e/kg)","Count of GHGE, processor gate (kg CO2e/kg)"),'Pivot Table_GHG'!$A$3,"SUB TYPE",$B357)=0,"PROXY","DB value"))</f>
        <v>PROXY</v>
      </c>
      <c r="Q357" s="141">
        <f ca="1">IF($P357="PROXY",DCOUNT('literature entries'!$D:$AI,IF($J357=1,"ACTIVE     GHGE, FARM GATE (kg CO2e/kg)","GHGE, processor gate (kg CO2e/kg)"),INDIRECT($K357)),GETPIVOTDATA(IF($J357=1,"ACTIVE     GHGE, FARM GATE (kg CO2e/kg)","Count of GHGE, processor gate (kg CO2e/kg)"),'Pivot Table_GHG'!$A$3,"SUB TYPE",$B357))</f>
        <v>25</v>
      </c>
      <c r="R357" s="221">
        <f ca="1">IF($P357="PROXY",DAVERAGE('literature entries'!$D:$AI,IF($J357=1,"ACTIVE     GHGE, FARM GATE (kg CO2e/kg)","GHGE, processor gate (kg CO2e/kg)"),INDIRECT($K357)),GETPIVOTDATA(IF($J357=1,"Average of ACTIVE     GHGE, FARM GATE (kg CO2e/kg)","Average of GHGE, processor gate (kg CO2e/kg)"),'Pivot Table_GHG'!$A$3,"SUB TYPE",$B357))</f>
        <v>0.21340000000000003</v>
      </c>
      <c r="S357" s="221">
        <f ca="1">IF($P357="PROXY",DSTDEV('literature entries'!$D:$AI,IF($J357=1,"ACTIVE     GHGE, FARM GATE (kg CO2e/kg)","GHGE, processor gate (kg CO2e/kg)"),INDIRECT($K357)),GETPIVOTDATA(IF($J357=1,"StdDev of ACTIVE     GHGE, FARM GATE (kg CO2e/kg)","StdDev of GHGE, processor gate (kg CO2e/kg)"),'Pivot Table_GHG'!$A$3,"SUB TYPE",$B357))</f>
        <v>0.17992035274902424</v>
      </c>
      <c r="T357" s="109"/>
      <c r="U357" s="110"/>
      <c r="W357" s="248" t="str">
        <f ca="1">IF(L357="PROXY",IF(M357&gt;=5,K357,"need group"),IF(M357&gt;=5,"DIRECT","need group"))</f>
        <v>roots</v>
      </c>
      <c r="X357" s="246">
        <f ca="1">IF($W357="DIRECT",M357,DCOUNT('literature entries'!$D:$AI,IF($J357=1,"ACTIVE     CED, FARM GATE (MJ/kg)","CED, processor gate (MJ/kg)"),INDIRECT($W357)))</f>
        <v>14</v>
      </c>
      <c r="Y357" s="246">
        <f ca="1">IF($W357="DIRECT","",DAVERAGE('literature entries'!$D:$AI,IF($J357=1,"ACTIVE     CED, FARM GATE (MJ/kg)","CED, processor gate (MJ/kg)"),INDIRECT($W357)))</f>
        <v>1.4220714285714284</v>
      </c>
      <c r="Z357" s="246">
        <f ca="1">IF($W357="DIRECT",$O357,DSTDEV('literature entries'!$D:$AI,IF($J357=1,"ACTIVE     CED, FARM GATE (MJ/kg)","CED, processor gate (MJ/kg)"),INDIRECT($W357)))</f>
        <v>0.57442043892896122</v>
      </c>
      <c r="AA357" s="246">
        <f t="shared" ca="1" si="48"/>
        <v>0.57442043892896122</v>
      </c>
      <c r="AB357" s="254" t="str">
        <f ca="1">IF(P357="PROXY",IF(Q357&gt;=5,K357,"need group"),IF(Q357&gt;=5,"DIRECT","need group"))</f>
        <v>roots</v>
      </c>
      <c r="AC357" s="247">
        <f ca="1">IF($AB357="DIRECT",Q357,DCOUNT('literature entries'!$D:$AI,IF($J357=1,"ACTIVE     GHGE, FARM GATE (kg CO2e/kg)","GHGE, processor gate (kg CO2e/kg)"),INDIRECT($AB357)))</f>
        <v>25</v>
      </c>
      <c r="AD357" s="247">
        <f ca="1">IF($AB357="DIRECT","",DAVERAGE('literature entries'!$D:$AI,IF($J357=1,"ACTIVE     GHGE, FARM GATE (kg CO2e/kg)","GHGE, processor gate (kg CO2e/kg)"),INDIRECT($AB357)))</f>
        <v>0.21340000000000003</v>
      </c>
      <c r="AE357" s="247">
        <f ca="1">IF($AB357="DIRECT",$S357,DSTDEV('literature entries'!$D:$AI,IF($J357=1,"ACTIVE     GHGE, FARM GATE (kg CO2e/kg)","GHGE, processor gate (kg CO2e/kg)"),INDIRECT($AB357)))</f>
        <v>0.17992035274902424</v>
      </c>
      <c r="AF357" s="247">
        <f t="shared" ca="1" si="49"/>
        <v>0.17992035274902424</v>
      </c>
    </row>
    <row r="358" spans="1:32" x14ac:dyDescent="0.2">
      <c r="A358" s="5"/>
      <c r="B358" s="5"/>
      <c r="C358" s="5"/>
      <c r="D358" s="5"/>
      <c r="E358" s="5"/>
      <c r="K358" s="5"/>
    </row>
    <row r="359" spans="1:32" x14ac:dyDescent="0.2">
      <c r="A359" s="5"/>
      <c r="B359" s="5"/>
      <c r="C359" s="5"/>
      <c r="D359" s="5"/>
      <c r="E359" s="5"/>
      <c r="K359" s="5"/>
      <c r="L359" s="153"/>
      <c r="P359" s="153"/>
    </row>
    <row r="360" spans="1:32" x14ac:dyDescent="0.2">
      <c r="A360" s="5"/>
      <c r="B360" s="5"/>
      <c r="C360" s="5"/>
      <c r="D360" s="5"/>
      <c r="E360" s="5"/>
      <c r="K360" s="5"/>
      <c r="L360" s="154"/>
      <c r="P360" s="154"/>
    </row>
    <row r="361" spans="1:32" x14ac:dyDescent="0.2">
      <c r="A361" s="5"/>
      <c r="B361" s="5"/>
      <c r="C361" s="5"/>
      <c r="D361" s="5"/>
      <c r="E361" s="5"/>
      <c r="K361" s="5"/>
    </row>
    <row r="362" spans="1:32" x14ac:dyDescent="0.2">
      <c r="A362" s="5"/>
      <c r="B362" s="5"/>
      <c r="C362" s="5"/>
      <c r="D362" s="5"/>
      <c r="E362" s="5"/>
      <c r="K362" s="5"/>
    </row>
    <row r="363" spans="1:32" x14ac:dyDescent="0.2">
      <c r="A363" s="5"/>
      <c r="B363" s="5"/>
      <c r="C363" s="5"/>
      <c r="D363" s="5"/>
      <c r="E363" s="5"/>
      <c r="K363" s="5"/>
    </row>
    <row r="364" spans="1:32" x14ac:dyDescent="0.2">
      <c r="A364" s="5"/>
      <c r="B364" s="5"/>
      <c r="C364" s="5"/>
      <c r="D364" s="5"/>
      <c r="E364" s="5"/>
      <c r="K364" s="5"/>
    </row>
    <row r="365" spans="1:32" x14ac:dyDescent="0.2">
      <c r="A365" s="5"/>
      <c r="B365" s="5"/>
      <c r="C365" s="5"/>
      <c r="D365" s="5"/>
      <c r="E365" s="5"/>
      <c r="K365" s="5"/>
    </row>
    <row r="366" spans="1:32" x14ac:dyDescent="0.2">
      <c r="A366" s="5"/>
      <c r="B366" s="5"/>
      <c r="C366" s="5"/>
      <c r="D366" s="5"/>
      <c r="E366" s="5"/>
      <c r="K366" s="5"/>
    </row>
    <row r="367" spans="1:32" x14ac:dyDescent="0.2">
      <c r="A367" s="5"/>
      <c r="B367" s="5"/>
      <c r="C367" s="5"/>
      <c r="D367" s="5"/>
      <c r="E367" s="5"/>
      <c r="K367" s="5"/>
    </row>
    <row r="368" spans="1:32" x14ac:dyDescent="0.2">
      <c r="A368" s="5"/>
      <c r="B368" s="5"/>
      <c r="C368" s="5"/>
      <c r="D368" s="5"/>
      <c r="E368" s="5"/>
      <c r="K368" s="5"/>
    </row>
    <row r="369" spans="1:16" x14ac:dyDescent="0.2">
      <c r="A369" s="5"/>
      <c r="B369" s="5"/>
      <c r="C369" s="5"/>
      <c r="D369" s="5"/>
      <c r="E369" s="5"/>
      <c r="K369" s="5"/>
    </row>
    <row r="370" spans="1:16" x14ac:dyDescent="0.2">
      <c r="A370" s="5"/>
      <c r="B370" s="5"/>
      <c r="C370" s="5"/>
      <c r="D370" s="5"/>
      <c r="E370" s="5"/>
      <c r="K370" s="5"/>
    </row>
    <row r="371" spans="1:16" x14ac:dyDescent="0.2">
      <c r="A371" s="5"/>
      <c r="B371" s="5"/>
      <c r="C371" s="5"/>
      <c r="D371" s="5"/>
      <c r="E371" s="5"/>
      <c r="K371" s="5"/>
      <c r="L371" s="155"/>
      <c r="P371" s="155"/>
    </row>
    <row r="372" spans="1:16" x14ac:dyDescent="0.2">
      <c r="A372" s="5"/>
      <c r="B372" s="5"/>
      <c r="C372" s="5"/>
      <c r="D372" s="5"/>
      <c r="E372" s="5"/>
      <c r="K372" s="5"/>
      <c r="L372" s="155"/>
      <c r="P372" s="155"/>
    </row>
    <row r="373" spans="1:16" x14ac:dyDescent="0.2">
      <c r="A373" s="5"/>
      <c r="B373" s="5"/>
      <c r="C373" s="5"/>
      <c r="D373" s="5"/>
      <c r="E373" s="5"/>
      <c r="K373" s="5"/>
      <c r="L373" s="155"/>
      <c r="P373" s="155"/>
    </row>
    <row r="374" spans="1:16" x14ac:dyDescent="0.2">
      <c r="A374" s="5"/>
      <c r="B374" s="5"/>
      <c r="C374" s="5"/>
      <c r="D374" s="5"/>
      <c r="E374" s="5"/>
      <c r="K374" s="5"/>
    </row>
    <row r="375" spans="1:16" x14ac:dyDescent="0.2">
      <c r="A375" s="5"/>
      <c r="B375" s="5"/>
      <c r="C375" s="5"/>
      <c r="D375" s="5"/>
      <c r="E375" s="5"/>
      <c r="K375" s="5"/>
    </row>
    <row r="376" spans="1:16" x14ac:dyDescent="0.2">
      <c r="A376" s="5"/>
      <c r="B376" s="5"/>
      <c r="C376" s="5"/>
      <c r="D376" s="5"/>
      <c r="E376" s="5"/>
      <c r="K376" s="5"/>
    </row>
    <row r="377" spans="1:16" x14ac:dyDescent="0.2">
      <c r="A377" s="5"/>
      <c r="B377" s="5"/>
      <c r="C377" s="5"/>
      <c r="D377" s="5"/>
      <c r="E377" s="5"/>
      <c r="K377" s="5"/>
    </row>
    <row r="378" spans="1:16" x14ac:dyDescent="0.2">
      <c r="A378" s="5"/>
      <c r="B378" s="5"/>
      <c r="C378" s="5"/>
      <c r="D378" s="5"/>
      <c r="E378" s="5"/>
      <c r="K378" s="5"/>
    </row>
    <row r="379" spans="1:16" x14ac:dyDescent="0.2">
      <c r="A379" s="5"/>
      <c r="B379" s="5"/>
      <c r="C379" s="5"/>
      <c r="D379" s="5"/>
      <c r="E379" s="5"/>
      <c r="K379" s="5"/>
    </row>
    <row r="380" spans="1:16" x14ac:dyDescent="0.2">
      <c r="A380" s="5"/>
      <c r="B380" s="5"/>
      <c r="C380" s="5"/>
      <c r="D380" s="5"/>
      <c r="E380" s="5"/>
      <c r="K380" s="5"/>
    </row>
    <row r="381" spans="1:16" x14ac:dyDescent="0.2">
      <c r="A381" s="5"/>
      <c r="B381" s="5"/>
      <c r="C381" s="5"/>
      <c r="D381" s="5"/>
      <c r="E381" s="5"/>
      <c r="K381" s="5"/>
    </row>
    <row r="382" spans="1:16" x14ac:dyDescent="0.2">
      <c r="A382" s="5"/>
      <c r="B382" s="5"/>
      <c r="C382" s="5"/>
      <c r="D382" s="5"/>
      <c r="E382" s="5"/>
      <c r="K382" s="5"/>
    </row>
    <row r="383" spans="1:16" x14ac:dyDescent="0.2">
      <c r="A383" s="5"/>
      <c r="B383" s="5"/>
      <c r="C383" s="5"/>
      <c r="D383" s="5"/>
      <c r="E383" s="5"/>
      <c r="K383" s="5"/>
    </row>
    <row r="384" spans="1:16" x14ac:dyDescent="0.2">
      <c r="A384" s="5"/>
      <c r="B384" s="5"/>
      <c r="C384" s="5"/>
      <c r="D384" s="5"/>
      <c r="E384" s="5"/>
      <c r="K384" s="5"/>
    </row>
    <row r="385" spans="1:14" x14ac:dyDescent="0.2">
      <c r="A385" s="5"/>
      <c r="B385" s="5"/>
      <c r="C385" s="5"/>
      <c r="D385" s="5"/>
      <c r="E385" s="5"/>
      <c r="K385" s="5"/>
    </row>
    <row r="386" spans="1:14" x14ac:dyDescent="0.2">
      <c r="A386" s="5"/>
      <c r="B386" s="5"/>
      <c r="C386" s="5"/>
      <c r="D386" s="5"/>
      <c r="E386" s="5"/>
      <c r="K386" s="5"/>
    </row>
    <row r="387" spans="1:14" x14ac:dyDescent="0.2">
      <c r="A387" s="5"/>
      <c r="B387" s="5"/>
      <c r="C387" s="5"/>
      <c r="D387" s="5"/>
      <c r="E387" s="5"/>
      <c r="K387" s="5"/>
      <c r="N387" s="29"/>
    </row>
    <row r="388" spans="1:14" x14ac:dyDescent="0.2">
      <c r="A388" s="5"/>
      <c r="B388" s="5"/>
      <c r="C388" s="5"/>
      <c r="D388" s="5"/>
      <c r="E388" s="5"/>
      <c r="K388" s="5"/>
      <c r="N388" s="29"/>
    </row>
    <row r="389" spans="1:14" x14ac:dyDescent="0.2">
      <c r="A389" s="5"/>
      <c r="B389" s="5"/>
      <c r="C389" s="5"/>
      <c r="D389" s="5"/>
      <c r="E389" s="5"/>
      <c r="K389" s="5"/>
    </row>
    <row r="390" spans="1:14" x14ac:dyDescent="0.2">
      <c r="A390" s="5"/>
      <c r="C390" s="5"/>
      <c r="D390" s="5"/>
      <c r="E390" s="5"/>
      <c r="H390" s="5"/>
      <c r="K390" s="5"/>
    </row>
    <row r="391" spans="1:14" x14ac:dyDescent="0.2">
      <c r="A391" s="5"/>
      <c r="C391" s="5"/>
      <c r="D391" s="5"/>
      <c r="E391" s="5"/>
      <c r="H391" s="5"/>
      <c r="I391" s="86"/>
      <c r="K391" s="5"/>
    </row>
    <row r="392" spans="1:14" x14ac:dyDescent="0.2">
      <c r="A392" s="5"/>
      <c r="B392" s="5"/>
      <c r="C392" s="5"/>
      <c r="D392" s="5"/>
      <c r="E392" s="5"/>
      <c r="K392" s="5"/>
    </row>
    <row r="393" spans="1:14" x14ac:dyDescent="0.2">
      <c r="A393" s="5"/>
      <c r="B393" s="5"/>
      <c r="C393" s="5"/>
      <c r="D393" s="5"/>
      <c r="E393" s="5"/>
      <c r="K393" s="5"/>
    </row>
    <row r="394" spans="1:14" x14ac:dyDescent="0.2">
      <c r="A394" s="5"/>
      <c r="B394" s="5"/>
      <c r="C394" s="5"/>
      <c r="D394" s="5"/>
      <c r="E394" s="5"/>
      <c r="K394" s="5"/>
    </row>
    <row r="395" spans="1:14" x14ac:dyDescent="0.2">
      <c r="A395" s="5"/>
      <c r="B395" s="5"/>
      <c r="C395" s="5"/>
      <c r="D395" s="5"/>
      <c r="E395" s="5"/>
      <c r="K395" s="5"/>
    </row>
    <row r="396" spans="1:14" x14ac:dyDescent="0.2">
      <c r="A396" s="5"/>
      <c r="B396" s="5"/>
      <c r="C396" s="5"/>
      <c r="D396" s="5"/>
      <c r="E396" s="5"/>
      <c r="K396" s="5"/>
    </row>
    <row r="397" spans="1:14" x14ac:dyDescent="0.2">
      <c r="A397" s="5"/>
      <c r="B397" s="5"/>
      <c r="C397" s="5"/>
      <c r="D397" s="5"/>
      <c r="E397" s="5"/>
      <c r="K397" s="5"/>
    </row>
    <row r="398" spans="1:14" x14ac:dyDescent="0.2">
      <c r="A398" s="5"/>
      <c r="B398" s="5"/>
      <c r="C398" s="5"/>
      <c r="D398" s="5"/>
      <c r="E398" s="5"/>
      <c r="K398" s="5"/>
    </row>
    <row r="399" spans="1:14" x14ac:dyDescent="0.2">
      <c r="A399" s="5"/>
      <c r="B399" s="5"/>
      <c r="C399" s="5"/>
      <c r="D399" s="5"/>
      <c r="E399" s="5"/>
      <c r="K399" s="5"/>
    </row>
    <row r="400" spans="1:14" x14ac:dyDescent="0.2">
      <c r="A400" s="5"/>
      <c r="B400" s="5"/>
      <c r="C400" s="5"/>
      <c r="D400" s="5"/>
      <c r="E400" s="5"/>
      <c r="K400" s="5"/>
    </row>
    <row r="401" spans="1:11" x14ac:dyDescent="0.2">
      <c r="A401" s="5"/>
      <c r="B401" s="5"/>
      <c r="C401" s="5"/>
      <c r="D401" s="5"/>
      <c r="E401" s="5"/>
      <c r="K401" s="5"/>
    </row>
    <row r="402" spans="1:11" x14ac:dyDescent="0.2">
      <c r="A402" s="5"/>
      <c r="B402" s="5"/>
      <c r="C402" s="5"/>
      <c r="D402" s="5"/>
      <c r="E402" s="5"/>
      <c r="K402" s="5"/>
    </row>
    <row r="403" spans="1:11" x14ac:dyDescent="0.2">
      <c r="A403" s="5"/>
      <c r="B403" s="5"/>
      <c r="C403" s="5"/>
      <c r="D403" s="5"/>
      <c r="E403" s="5"/>
      <c r="K403" s="5"/>
    </row>
    <row r="404" spans="1:11" x14ac:dyDescent="0.2">
      <c r="A404" s="5"/>
      <c r="B404" s="5"/>
      <c r="C404" s="5"/>
      <c r="D404" s="5"/>
      <c r="E404" s="5"/>
      <c r="K404" s="5"/>
    </row>
    <row r="405" spans="1:11" x14ac:dyDescent="0.2">
      <c r="A405" s="5"/>
      <c r="B405" s="5"/>
      <c r="C405" s="5"/>
      <c r="D405" s="5"/>
      <c r="E405" s="5"/>
      <c r="K405" s="5"/>
    </row>
    <row r="406" spans="1:11" x14ac:dyDescent="0.2">
      <c r="A406" s="5"/>
      <c r="B406" s="5"/>
      <c r="C406" s="5"/>
      <c r="D406" s="5"/>
      <c r="E406" s="5"/>
      <c r="K406" s="5"/>
    </row>
    <row r="407" spans="1:11" x14ac:dyDescent="0.2">
      <c r="A407" s="5"/>
      <c r="B407" s="5"/>
      <c r="C407" s="5"/>
      <c r="D407" s="5"/>
      <c r="E407" s="5"/>
      <c r="K407" s="5"/>
    </row>
    <row r="408" spans="1:11" x14ac:dyDescent="0.2">
      <c r="A408" s="5"/>
      <c r="B408" s="5"/>
      <c r="C408" s="5"/>
      <c r="D408" s="5"/>
      <c r="E408" s="5"/>
      <c r="K408" s="5"/>
    </row>
    <row r="409" spans="1:11" x14ac:dyDescent="0.2">
      <c r="A409" s="5"/>
      <c r="B409" s="5"/>
      <c r="C409" s="5"/>
      <c r="D409" s="5"/>
      <c r="E409" s="5"/>
      <c r="K409" s="5"/>
    </row>
    <row r="410" spans="1:11" x14ac:dyDescent="0.2">
      <c r="A410" s="5"/>
      <c r="B410" s="5"/>
      <c r="C410" s="5"/>
      <c r="D410" s="5"/>
      <c r="E410" s="5"/>
      <c r="K410" s="5"/>
    </row>
    <row r="411" spans="1:11" x14ac:dyDescent="0.2">
      <c r="A411" s="5"/>
      <c r="B411" s="5"/>
      <c r="C411" s="5"/>
      <c r="D411" s="5"/>
      <c r="E411" s="5"/>
      <c r="K411" s="5"/>
    </row>
    <row r="412" spans="1:11" x14ac:dyDescent="0.2">
      <c r="A412" s="5"/>
      <c r="B412" s="5"/>
      <c r="C412" s="5"/>
      <c r="D412" s="5"/>
      <c r="E412" s="5"/>
      <c r="K412" s="5"/>
    </row>
    <row r="413" spans="1:11" x14ac:dyDescent="0.2">
      <c r="A413" s="5"/>
      <c r="B413" s="5"/>
      <c r="C413" s="5"/>
      <c r="D413" s="5"/>
      <c r="E413" s="5"/>
      <c r="K413" s="5"/>
    </row>
    <row r="414" spans="1:11" x14ac:dyDescent="0.2">
      <c r="A414" s="5"/>
      <c r="B414" s="5"/>
      <c r="C414" s="5"/>
      <c r="D414" s="5"/>
      <c r="E414" s="5"/>
      <c r="K414" s="5"/>
    </row>
    <row r="415" spans="1:11" x14ac:dyDescent="0.2">
      <c r="A415" s="5"/>
      <c r="B415" s="5"/>
      <c r="C415" s="5"/>
      <c r="D415" s="5"/>
      <c r="E415" s="5"/>
      <c r="K415" s="5"/>
    </row>
    <row r="416" spans="1:11" x14ac:dyDescent="0.2">
      <c r="A416" s="5"/>
      <c r="B416" s="5"/>
      <c r="C416" s="5"/>
      <c r="D416" s="5"/>
      <c r="E416" s="5"/>
      <c r="K416" s="5"/>
    </row>
    <row r="417" spans="1:11" x14ac:dyDescent="0.2">
      <c r="A417" s="5"/>
      <c r="B417" s="5"/>
      <c r="C417" s="5"/>
      <c r="D417" s="5"/>
      <c r="E417" s="5"/>
      <c r="K417" s="5"/>
    </row>
    <row r="418" spans="1:11" x14ac:dyDescent="0.2">
      <c r="A418" s="5"/>
      <c r="B418" s="5"/>
      <c r="C418" s="5"/>
      <c r="D418" s="5"/>
      <c r="E418" s="5"/>
      <c r="K418" s="5"/>
    </row>
    <row r="419" spans="1:11" x14ac:dyDescent="0.2">
      <c r="A419" s="5"/>
      <c r="B419" s="5"/>
      <c r="C419" s="5"/>
      <c r="D419" s="5"/>
      <c r="E419" s="5"/>
      <c r="K419" s="5"/>
    </row>
    <row r="420" spans="1:11" x14ac:dyDescent="0.2">
      <c r="A420" s="5"/>
      <c r="B420" s="5"/>
      <c r="C420" s="5"/>
      <c r="D420" s="5"/>
      <c r="E420" s="5"/>
      <c r="K420" s="5"/>
    </row>
    <row r="421" spans="1:11" x14ac:dyDescent="0.2">
      <c r="A421" s="5"/>
      <c r="B421" s="5"/>
      <c r="C421" s="5"/>
      <c r="D421" s="5"/>
      <c r="E421" s="5"/>
      <c r="K421" s="5"/>
    </row>
    <row r="422" spans="1:11" x14ac:dyDescent="0.2">
      <c r="A422" s="5"/>
      <c r="B422" s="5"/>
      <c r="C422" s="5"/>
      <c r="D422" s="5"/>
      <c r="E422" s="5"/>
      <c r="K422" s="5"/>
    </row>
    <row r="423" spans="1:11" x14ac:dyDescent="0.2">
      <c r="A423" s="5"/>
      <c r="B423" s="5"/>
      <c r="C423" s="5"/>
      <c r="D423" s="5"/>
      <c r="E423" s="5"/>
      <c r="K423" s="5"/>
    </row>
    <row r="424" spans="1:11" x14ac:dyDescent="0.2">
      <c r="A424" s="5"/>
      <c r="B424" s="5"/>
      <c r="C424" s="5"/>
      <c r="D424" s="5"/>
      <c r="E424" s="5"/>
      <c r="K424" s="5"/>
    </row>
    <row r="425" spans="1:11" x14ac:dyDescent="0.2">
      <c r="A425" s="5"/>
      <c r="B425" s="5"/>
      <c r="C425" s="5"/>
      <c r="D425" s="5"/>
      <c r="E425" s="5"/>
      <c r="K425" s="5"/>
    </row>
    <row r="426" spans="1:11" x14ac:dyDescent="0.2">
      <c r="A426" s="5"/>
      <c r="B426" s="5"/>
      <c r="C426" s="5"/>
      <c r="D426" s="5"/>
      <c r="E426" s="5"/>
      <c r="K426" s="5"/>
    </row>
    <row r="427" spans="1:11" x14ac:dyDescent="0.2">
      <c r="A427" s="5"/>
      <c r="B427" s="5"/>
      <c r="C427" s="5"/>
      <c r="D427" s="5"/>
      <c r="E427" s="5"/>
      <c r="K427" s="5"/>
    </row>
    <row r="428" spans="1:11" x14ac:dyDescent="0.2">
      <c r="A428" s="5"/>
      <c r="B428" s="5"/>
      <c r="C428" s="5"/>
      <c r="D428" s="5"/>
      <c r="E428" s="5"/>
      <c r="K428" s="5"/>
    </row>
    <row r="429" spans="1:11" x14ac:dyDescent="0.2">
      <c r="A429" s="5"/>
      <c r="B429" s="5"/>
      <c r="C429" s="5"/>
      <c r="D429" s="5"/>
      <c r="E429" s="5"/>
      <c r="K429" s="5"/>
    </row>
    <row r="430" spans="1:11" x14ac:dyDescent="0.2">
      <c r="A430" s="5"/>
      <c r="B430" s="5"/>
      <c r="C430" s="5"/>
      <c r="D430" s="5"/>
      <c r="E430" s="5"/>
      <c r="K430" s="5"/>
    </row>
    <row r="431" spans="1:11" x14ac:dyDescent="0.2">
      <c r="A431" s="5"/>
      <c r="B431" s="5"/>
      <c r="C431" s="5"/>
      <c r="D431" s="5"/>
      <c r="E431" s="5"/>
      <c r="K431" s="5"/>
    </row>
    <row r="432" spans="1:11" x14ac:dyDescent="0.2">
      <c r="A432" s="5"/>
      <c r="B432" s="5"/>
      <c r="C432" s="5"/>
      <c r="D432" s="5"/>
      <c r="E432" s="5"/>
      <c r="K432" s="5"/>
    </row>
    <row r="433" spans="1:11" x14ac:dyDescent="0.2">
      <c r="A433" s="5"/>
      <c r="B433" s="5"/>
      <c r="C433" s="5"/>
      <c r="D433" s="5"/>
      <c r="E433" s="5"/>
      <c r="K433" s="5"/>
    </row>
    <row r="434" spans="1:11" x14ac:dyDescent="0.2">
      <c r="A434" s="5"/>
      <c r="B434" s="5"/>
      <c r="C434" s="5"/>
      <c r="D434" s="5"/>
      <c r="E434" s="5"/>
      <c r="K434" s="5"/>
    </row>
    <row r="435" spans="1:11" x14ac:dyDescent="0.2">
      <c r="A435" s="5"/>
      <c r="B435" s="5"/>
      <c r="C435" s="5"/>
      <c r="D435" s="5"/>
      <c r="E435" s="5"/>
      <c r="K435" s="5"/>
    </row>
    <row r="436" spans="1:11" x14ac:dyDescent="0.2">
      <c r="A436" s="5"/>
      <c r="B436" s="5"/>
      <c r="C436" s="5"/>
      <c r="D436" s="5"/>
      <c r="E436" s="5"/>
      <c r="K436" s="5"/>
    </row>
    <row r="437" spans="1:11" x14ac:dyDescent="0.2">
      <c r="A437" s="5"/>
      <c r="B437" s="5"/>
      <c r="C437" s="5"/>
      <c r="D437" s="5"/>
      <c r="E437" s="5"/>
      <c r="K437" s="5"/>
    </row>
    <row r="438" spans="1:11" x14ac:dyDescent="0.2">
      <c r="A438" s="5"/>
      <c r="B438" s="5"/>
      <c r="C438" s="5"/>
      <c r="D438" s="5"/>
      <c r="E438" s="5"/>
      <c r="K438" s="5"/>
    </row>
    <row r="439" spans="1:11" x14ac:dyDescent="0.2">
      <c r="A439" s="5"/>
      <c r="B439" s="5"/>
      <c r="C439" s="5"/>
      <c r="D439" s="5"/>
      <c r="E439" s="5"/>
      <c r="K439" s="5"/>
    </row>
    <row r="440" spans="1:11" x14ac:dyDescent="0.2">
      <c r="A440" s="5"/>
      <c r="B440" s="5"/>
      <c r="C440" s="5"/>
      <c r="D440" s="5"/>
      <c r="E440" s="5"/>
      <c r="K440" s="5"/>
    </row>
    <row r="441" spans="1:11" x14ac:dyDescent="0.2">
      <c r="A441" s="5"/>
      <c r="B441" s="5"/>
      <c r="C441" s="5"/>
      <c r="D441" s="5"/>
      <c r="E441" s="5"/>
      <c r="K441" s="5"/>
    </row>
    <row r="442" spans="1:11" x14ac:dyDescent="0.2">
      <c r="A442" s="5"/>
      <c r="B442" s="5"/>
      <c r="C442" s="5"/>
      <c r="D442" s="5"/>
      <c r="E442" s="5"/>
      <c r="K442" s="5"/>
    </row>
    <row r="443" spans="1:11" x14ac:dyDescent="0.2">
      <c r="A443" s="5"/>
      <c r="B443" s="5"/>
      <c r="C443" s="5"/>
      <c r="D443" s="5"/>
      <c r="E443" s="5"/>
      <c r="K443" s="5"/>
    </row>
    <row r="444" spans="1:11" x14ac:dyDescent="0.2">
      <c r="A444" s="5"/>
      <c r="B444" s="5"/>
      <c r="C444" s="5"/>
      <c r="D444" s="5"/>
      <c r="E444" s="5"/>
      <c r="K444" s="5"/>
    </row>
    <row r="445" spans="1:11" x14ac:dyDescent="0.2">
      <c r="A445" s="5"/>
      <c r="B445" s="5"/>
      <c r="C445" s="5"/>
      <c r="D445" s="5"/>
      <c r="E445" s="5"/>
      <c r="K445" s="5"/>
    </row>
    <row r="446" spans="1:11" x14ac:dyDescent="0.2">
      <c r="A446" s="5"/>
      <c r="B446" s="5"/>
      <c r="C446" s="5"/>
      <c r="D446" s="5"/>
      <c r="E446" s="5"/>
      <c r="K446" s="5"/>
    </row>
    <row r="447" spans="1:11" x14ac:dyDescent="0.2">
      <c r="A447" s="5"/>
      <c r="B447" s="5"/>
      <c r="C447" s="5"/>
      <c r="D447" s="5"/>
      <c r="E447" s="5"/>
      <c r="K447" s="5"/>
    </row>
    <row r="448" spans="1:11" x14ac:dyDescent="0.2">
      <c r="A448" s="5"/>
      <c r="B448" s="5"/>
      <c r="C448" s="5"/>
      <c r="D448" s="5"/>
      <c r="E448" s="5"/>
      <c r="K448" s="5"/>
    </row>
    <row r="449" spans="1:11" x14ac:dyDescent="0.2">
      <c r="A449" s="5"/>
      <c r="B449" s="5"/>
      <c r="C449" s="5"/>
      <c r="D449" s="5"/>
      <c r="E449" s="5"/>
      <c r="K449" s="5"/>
    </row>
    <row r="450" spans="1:11" x14ac:dyDescent="0.2">
      <c r="A450" s="5"/>
      <c r="B450" s="5"/>
      <c r="C450" s="5"/>
      <c r="D450" s="5"/>
      <c r="E450" s="5"/>
      <c r="K450" s="5"/>
    </row>
    <row r="451" spans="1:11" x14ac:dyDescent="0.2">
      <c r="A451" s="5"/>
      <c r="B451" s="5"/>
      <c r="C451" s="5"/>
      <c r="D451" s="5"/>
      <c r="E451" s="5"/>
      <c r="K451" s="5"/>
    </row>
    <row r="452" spans="1:11" x14ac:dyDescent="0.2">
      <c r="A452" s="5"/>
      <c r="B452" s="5"/>
      <c r="C452" s="5"/>
      <c r="D452" s="5"/>
      <c r="E452" s="5"/>
      <c r="K452" s="5"/>
    </row>
    <row r="453" spans="1:11" x14ac:dyDescent="0.2">
      <c r="A453" s="5"/>
      <c r="B453" s="5"/>
      <c r="C453" s="5"/>
      <c r="D453" s="5"/>
      <c r="E453" s="5"/>
      <c r="K453" s="5"/>
    </row>
    <row r="454" spans="1:11" x14ac:dyDescent="0.2">
      <c r="A454" s="5"/>
      <c r="B454" s="5"/>
      <c r="C454" s="5"/>
      <c r="D454" s="5"/>
      <c r="E454" s="5"/>
      <c r="K454" s="5"/>
    </row>
    <row r="455" spans="1:11" x14ac:dyDescent="0.2">
      <c r="A455" s="5"/>
      <c r="B455" s="5"/>
      <c r="C455" s="5"/>
      <c r="D455" s="5"/>
      <c r="E455" s="5"/>
      <c r="K455" s="5"/>
    </row>
    <row r="456" spans="1:11" x14ac:dyDescent="0.2">
      <c r="A456" s="5"/>
      <c r="B456" s="5"/>
      <c r="C456" s="5"/>
      <c r="D456" s="5"/>
      <c r="E456" s="5"/>
      <c r="K456" s="5"/>
    </row>
    <row r="457" spans="1:11" x14ac:dyDescent="0.2">
      <c r="A457" s="5"/>
      <c r="B457" s="5"/>
      <c r="C457" s="5"/>
      <c r="D457" s="5"/>
      <c r="E457" s="5"/>
      <c r="K457" s="5"/>
    </row>
    <row r="458" spans="1:11" x14ac:dyDescent="0.2">
      <c r="A458" s="5"/>
      <c r="B458" s="5"/>
      <c r="C458" s="5"/>
      <c r="D458" s="5"/>
      <c r="E458" s="5"/>
      <c r="K458" s="5"/>
    </row>
    <row r="459" spans="1:11" x14ac:dyDescent="0.2">
      <c r="A459" s="5"/>
      <c r="B459" s="5"/>
      <c r="C459" s="5"/>
      <c r="D459" s="5"/>
      <c r="E459" s="5"/>
      <c r="K459" s="5"/>
    </row>
    <row r="460" spans="1:11" x14ac:dyDescent="0.2">
      <c r="A460" s="5"/>
      <c r="B460" s="5"/>
      <c r="C460" s="5"/>
      <c r="D460" s="5"/>
      <c r="E460" s="5"/>
      <c r="K460" s="5"/>
    </row>
    <row r="461" spans="1:11" x14ac:dyDescent="0.2">
      <c r="A461" s="5"/>
      <c r="B461" s="5"/>
      <c r="C461" s="5"/>
      <c r="D461" s="5"/>
      <c r="E461" s="5"/>
      <c r="K461" s="5"/>
    </row>
    <row r="462" spans="1:11" x14ac:dyDescent="0.2">
      <c r="A462" s="5"/>
      <c r="B462" s="5"/>
      <c r="C462" s="5"/>
      <c r="D462" s="5"/>
      <c r="E462" s="5"/>
      <c r="K462" s="5"/>
    </row>
    <row r="463" spans="1:11" x14ac:dyDescent="0.2">
      <c r="A463" s="5"/>
      <c r="B463" s="5"/>
      <c r="C463" s="5"/>
      <c r="D463" s="5"/>
      <c r="E463" s="5"/>
      <c r="K463" s="5"/>
    </row>
    <row r="464" spans="1:11" x14ac:dyDescent="0.2">
      <c r="A464" s="5"/>
      <c r="B464" s="5"/>
      <c r="C464" s="5"/>
      <c r="D464" s="5"/>
      <c r="E464" s="5"/>
      <c r="K464" s="5"/>
    </row>
    <row r="465" spans="1:11" x14ac:dyDescent="0.2">
      <c r="A465" s="5"/>
      <c r="B465" s="5"/>
      <c r="C465" s="5"/>
      <c r="D465" s="5"/>
      <c r="E465" s="5"/>
      <c r="K465" s="5"/>
    </row>
    <row r="466" spans="1:11" x14ac:dyDescent="0.2">
      <c r="A466" s="5"/>
      <c r="B466" s="5"/>
      <c r="C466" s="5"/>
      <c r="D466" s="5"/>
      <c r="E466" s="5"/>
      <c r="K466" s="5"/>
    </row>
    <row r="467" spans="1:11" x14ac:dyDescent="0.2">
      <c r="A467" s="5"/>
      <c r="B467" s="5"/>
      <c r="C467" s="5"/>
      <c r="D467" s="5"/>
      <c r="E467" s="5"/>
      <c r="K467" s="5"/>
    </row>
    <row r="468" spans="1:11" x14ac:dyDescent="0.2">
      <c r="A468" s="5"/>
      <c r="B468" s="5"/>
      <c r="C468" s="5"/>
      <c r="D468" s="5"/>
      <c r="E468" s="5"/>
      <c r="K468" s="5"/>
    </row>
    <row r="469" spans="1:11" x14ac:dyDescent="0.2">
      <c r="A469" s="5"/>
      <c r="B469" s="5"/>
      <c r="C469" s="5"/>
      <c r="D469" s="5"/>
      <c r="E469" s="5"/>
      <c r="K469" s="5"/>
    </row>
    <row r="470" spans="1:11" x14ac:dyDescent="0.2">
      <c r="A470" s="5"/>
      <c r="B470" s="5"/>
      <c r="C470" s="5"/>
      <c r="D470" s="5"/>
      <c r="E470" s="5"/>
      <c r="K470" s="5"/>
    </row>
    <row r="471" spans="1:11" x14ac:dyDescent="0.2">
      <c r="A471" s="5"/>
      <c r="B471" s="5"/>
      <c r="C471" s="5"/>
      <c r="D471" s="5"/>
      <c r="E471" s="5"/>
      <c r="K471" s="5"/>
    </row>
    <row r="472" spans="1:11" x14ac:dyDescent="0.2">
      <c r="A472" s="5"/>
      <c r="B472" s="5"/>
      <c r="C472" s="5"/>
      <c r="D472" s="5"/>
      <c r="E472" s="5"/>
      <c r="K472" s="5"/>
    </row>
    <row r="473" spans="1:11" x14ac:dyDescent="0.2">
      <c r="A473" s="5"/>
      <c r="B473" s="5"/>
      <c r="C473" s="5"/>
      <c r="D473" s="5"/>
      <c r="E473" s="5"/>
      <c r="K473" s="5"/>
    </row>
    <row r="474" spans="1:11" x14ac:dyDescent="0.2">
      <c r="A474" s="5"/>
      <c r="B474" s="5"/>
      <c r="C474" s="5"/>
      <c r="D474" s="5"/>
      <c r="E474" s="5"/>
      <c r="K474" s="5"/>
    </row>
    <row r="475" spans="1:11" x14ac:dyDescent="0.2">
      <c r="A475" s="5"/>
      <c r="B475" s="5"/>
      <c r="C475" s="5"/>
      <c r="D475" s="5"/>
      <c r="E475" s="5"/>
      <c r="K475" s="5"/>
    </row>
    <row r="476" spans="1:11" x14ac:dyDescent="0.2">
      <c r="A476" s="5"/>
      <c r="B476" s="5"/>
      <c r="C476" s="5"/>
      <c r="D476" s="5"/>
      <c r="E476" s="5"/>
      <c r="K476" s="5"/>
    </row>
    <row r="477" spans="1:11" x14ac:dyDescent="0.2">
      <c r="A477" s="5"/>
      <c r="B477" s="5"/>
      <c r="C477" s="5"/>
      <c r="D477" s="5"/>
      <c r="E477" s="5"/>
      <c r="K477" s="5"/>
    </row>
    <row r="478" spans="1:11" x14ac:dyDescent="0.2">
      <c r="A478" s="5"/>
      <c r="B478" s="5"/>
      <c r="C478" s="5"/>
      <c r="D478" s="5"/>
      <c r="E478" s="5"/>
      <c r="K478" s="5"/>
    </row>
    <row r="479" spans="1:11" x14ac:dyDescent="0.2">
      <c r="A479" s="5"/>
      <c r="B479" s="5"/>
      <c r="C479" s="5"/>
      <c r="D479" s="5"/>
      <c r="E479" s="5"/>
      <c r="K479" s="5"/>
    </row>
    <row r="480" spans="1:11" x14ac:dyDescent="0.2">
      <c r="A480" s="5"/>
      <c r="B480" s="5"/>
      <c r="C480" s="5"/>
      <c r="D480" s="5"/>
      <c r="E480" s="5"/>
      <c r="K480" s="5"/>
    </row>
    <row r="481" spans="1:11" x14ac:dyDescent="0.2">
      <c r="A481" s="5"/>
      <c r="B481" s="5"/>
      <c r="C481" s="5"/>
      <c r="D481" s="5"/>
      <c r="E481" s="5"/>
      <c r="K481" s="5"/>
    </row>
    <row r="482" spans="1:11" x14ac:dyDescent="0.2">
      <c r="A482" s="5"/>
      <c r="B482" s="5"/>
      <c r="C482" s="5"/>
      <c r="D482" s="5"/>
      <c r="E482" s="5"/>
      <c r="K482" s="5"/>
    </row>
    <row r="483" spans="1:11" x14ac:dyDescent="0.2">
      <c r="A483" s="5"/>
      <c r="B483" s="5"/>
      <c r="C483" s="5"/>
      <c r="D483" s="5"/>
      <c r="E483" s="5"/>
      <c r="K483" s="5"/>
    </row>
    <row r="484" spans="1:11" x14ac:dyDescent="0.2">
      <c r="A484" s="5"/>
      <c r="B484" s="5"/>
      <c r="C484" s="5"/>
      <c r="D484" s="5"/>
      <c r="E484" s="5"/>
      <c r="K484" s="5"/>
    </row>
    <row r="485" spans="1:11" x14ac:dyDescent="0.2">
      <c r="A485" s="5"/>
      <c r="B485" s="5"/>
      <c r="C485" s="5"/>
      <c r="D485" s="5"/>
      <c r="E485" s="5"/>
      <c r="K485" s="5"/>
    </row>
    <row r="486" spans="1:11" x14ac:dyDescent="0.2">
      <c r="A486" s="5"/>
      <c r="B486" s="5"/>
      <c r="C486" s="5"/>
      <c r="D486" s="5"/>
      <c r="E486" s="5"/>
      <c r="K486" s="5"/>
    </row>
    <row r="487" spans="1:11" x14ac:dyDescent="0.2">
      <c r="A487" s="5"/>
      <c r="B487" s="5"/>
      <c r="C487" s="5"/>
      <c r="D487" s="5"/>
      <c r="E487" s="5"/>
      <c r="K487" s="5"/>
    </row>
    <row r="488" spans="1:11" x14ac:dyDescent="0.2">
      <c r="A488" s="5"/>
      <c r="B488" s="5"/>
      <c r="C488" s="5"/>
      <c r="D488" s="5"/>
      <c r="E488" s="5"/>
      <c r="K488" s="5"/>
    </row>
    <row r="489" spans="1:11" x14ac:dyDescent="0.2">
      <c r="A489" s="5"/>
      <c r="B489" s="5"/>
      <c r="C489" s="5"/>
      <c r="D489" s="5"/>
      <c r="E489" s="5"/>
      <c r="K489" s="5"/>
    </row>
    <row r="490" spans="1:11" x14ac:dyDescent="0.2">
      <c r="A490" s="5"/>
      <c r="B490" s="5"/>
      <c r="C490" s="5"/>
      <c r="D490" s="5"/>
      <c r="E490" s="5"/>
      <c r="K490" s="5"/>
    </row>
    <row r="491" spans="1:11" x14ac:dyDescent="0.2">
      <c r="A491" s="5"/>
      <c r="B491" s="5"/>
      <c r="C491" s="5"/>
      <c r="D491" s="5"/>
      <c r="E491" s="5"/>
      <c r="K491" s="5"/>
    </row>
    <row r="492" spans="1:11" x14ac:dyDescent="0.2">
      <c r="A492" s="5"/>
      <c r="B492" s="5"/>
      <c r="C492" s="5"/>
      <c r="D492" s="5"/>
      <c r="E492" s="5"/>
      <c r="K492" s="5"/>
    </row>
    <row r="493" spans="1:11" x14ac:dyDescent="0.2">
      <c r="A493" s="5"/>
      <c r="B493" s="5"/>
      <c r="C493" s="5"/>
      <c r="D493" s="5"/>
      <c r="E493" s="5"/>
      <c r="K493" s="5"/>
    </row>
    <row r="494" spans="1:11" x14ac:dyDescent="0.2">
      <c r="A494" s="5"/>
      <c r="B494" s="5"/>
      <c r="C494" s="5"/>
      <c r="D494" s="5"/>
      <c r="E494" s="5"/>
      <c r="K494" s="5"/>
    </row>
    <row r="495" spans="1:11" x14ac:dyDescent="0.2">
      <c r="A495" s="5"/>
      <c r="B495" s="5"/>
      <c r="C495" s="5"/>
      <c r="D495" s="5"/>
      <c r="E495" s="5"/>
      <c r="K495" s="5"/>
    </row>
    <row r="496" spans="1:11" x14ac:dyDescent="0.2">
      <c r="A496" s="5"/>
      <c r="B496" s="5"/>
      <c r="C496" s="5"/>
      <c r="D496" s="5"/>
      <c r="E496" s="5"/>
      <c r="K496" s="5"/>
    </row>
    <row r="497" spans="1:11" x14ac:dyDescent="0.2">
      <c r="A497" s="5"/>
      <c r="B497" s="5"/>
      <c r="C497" s="5"/>
      <c r="D497" s="5"/>
      <c r="E497" s="5"/>
      <c r="K497" s="5"/>
    </row>
    <row r="498" spans="1:11" x14ac:dyDescent="0.2">
      <c r="A498" s="5"/>
      <c r="B498" s="5"/>
      <c r="C498" s="5"/>
      <c r="D498" s="5"/>
      <c r="E498" s="5"/>
      <c r="K498" s="5"/>
    </row>
    <row r="499" spans="1:11" x14ac:dyDescent="0.2">
      <c r="A499" s="5"/>
      <c r="B499" s="5"/>
      <c r="C499" s="5"/>
      <c r="D499" s="5"/>
      <c r="E499" s="5"/>
      <c r="K499" s="5"/>
    </row>
    <row r="500" spans="1:11" x14ac:dyDescent="0.2">
      <c r="A500" s="5"/>
      <c r="B500" s="5"/>
      <c r="C500" s="5"/>
      <c r="D500" s="5"/>
      <c r="E500" s="5"/>
      <c r="K500" s="5"/>
    </row>
    <row r="501" spans="1:11" x14ac:dyDescent="0.2">
      <c r="A501" s="5"/>
      <c r="B501" s="5"/>
      <c r="C501" s="5"/>
      <c r="D501" s="5"/>
      <c r="E501" s="5"/>
      <c r="K501" s="5"/>
    </row>
    <row r="502" spans="1:11" x14ac:dyDescent="0.2">
      <c r="A502" s="5"/>
      <c r="B502" s="5"/>
      <c r="C502" s="5"/>
      <c r="D502" s="5"/>
      <c r="E502" s="5"/>
      <c r="K502" s="5"/>
    </row>
    <row r="503" spans="1:11" x14ac:dyDescent="0.2">
      <c r="A503" s="5"/>
      <c r="B503" s="5"/>
      <c r="C503" s="5"/>
      <c r="D503" s="5"/>
      <c r="E503" s="5"/>
      <c r="K503" s="5"/>
    </row>
    <row r="504" spans="1:11" x14ac:dyDescent="0.2">
      <c r="A504" s="5"/>
      <c r="B504" s="5"/>
      <c r="C504" s="5"/>
      <c r="D504" s="5"/>
      <c r="E504" s="5"/>
      <c r="K504" s="5"/>
    </row>
    <row r="505" spans="1:11" x14ac:dyDescent="0.2">
      <c r="A505" s="5"/>
      <c r="B505" s="5"/>
      <c r="C505" s="5"/>
      <c r="D505" s="5"/>
      <c r="E505" s="5"/>
      <c r="K505" s="5"/>
    </row>
    <row r="506" spans="1:11" x14ac:dyDescent="0.2">
      <c r="A506" s="5"/>
      <c r="B506" s="5"/>
      <c r="C506" s="5"/>
      <c r="D506" s="5"/>
      <c r="E506" s="5"/>
      <c r="K506" s="5"/>
    </row>
    <row r="507" spans="1:11" x14ac:dyDescent="0.2">
      <c r="A507" s="5"/>
      <c r="B507" s="5"/>
      <c r="C507" s="5"/>
      <c r="D507" s="5"/>
      <c r="E507" s="5"/>
      <c r="K507" s="5"/>
    </row>
    <row r="508" spans="1:11" x14ac:dyDescent="0.2">
      <c r="A508" s="5"/>
      <c r="B508" s="5"/>
      <c r="C508" s="5"/>
      <c r="D508" s="5"/>
      <c r="E508" s="5"/>
      <c r="K508" s="5"/>
    </row>
    <row r="509" spans="1:11" x14ac:dyDescent="0.2">
      <c r="A509" s="5"/>
      <c r="B509" s="5"/>
      <c r="C509" s="5"/>
      <c r="D509" s="5"/>
      <c r="E509" s="5"/>
      <c r="K509" s="5"/>
    </row>
    <row r="510" spans="1:11" x14ac:dyDescent="0.2">
      <c r="A510" s="5"/>
      <c r="B510" s="5"/>
      <c r="C510" s="5"/>
      <c r="D510" s="5"/>
      <c r="E510" s="5"/>
      <c r="K510" s="5"/>
    </row>
    <row r="511" spans="1:11" x14ac:dyDescent="0.2">
      <c r="A511" s="5"/>
      <c r="B511" s="5"/>
      <c r="C511" s="5"/>
      <c r="D511" s="5"/>
      <c r="E511" s="5"/>
      <c r="K511" s="5"/>
    </row>
    <row r="512" spans="1:11" x14ac:dyDescent="0.2">
      <c r="A512" s="5"/>
      <c r="B512" s="5"/>
      <c r="C512" s="5"/>
      <c r="D512" s="5"/>
      <c r="E512" s="5"/>
      <c r="K512" s="5"/>
    </row>
    <row r="513" spans="1:11" x14ac:dyDescent="0.2">
      <c r="A513" s="5"/>
      <c r="B513" s="5"/>
      <c r="C513" s="5"/>
      <c r="D513" s="5"/>
      <c r="E513" s="5"/>
      <c r="K513" s="5"/>
    </row>
    <row r="514" spans="1:11" x14ac:dyDescent="0.2">
      <c r="A514" s="5"/>
      <c r="B514" s="5"/>
      <c r="C514" s="5"/>
      <c r="D514" s="5"/>
      <c r="E514" s="5"/>
      <c r="K514" s="5"/>
    </row>
    <row r="515" spans="1:11" x14ac:dyDescent="0.2">
      <c r="A515" s="5"/>
      <c r="B515" s="5"/>
      <c r="C515" s="5"/>
      <c r="D515" s="5"/>
      <c r="E515" s="5"/>
      <c r="K515" s="5"/>
    </row>
    <row r="516" spans="1:11" x14ac:dyDescent="0.2">
      <c r="A516" s="5"/>
      <c r="B516" s="5"/>
      <c r="C516" s="5"/>
      <c r="D516" s="5"/>
      <c r="E516" s="5"/>
      <c r="K516" s="5"/>
    </row>
    <row r="517" spans="1:11" x14ac:dyDescent="0.2">
      <c r="A517" s="5"/>
      <c r="B517" s="5"/>
      <c r="C517" s="5"/>
      <c r="D517" s="5"/>
      <c r="E517" s="5"/>
      <c r="K517" s="5"/>
    </row>
    <row r="518" spans="1:11" x14ac:dyDescent="0.2">
      <c r="A518" s="5"/>
      <c r="B518" s="5"/>
      <c r="C518" s="5"/>
      <c r="D518" s="5"/>
      <c r="E518" s="5"/>
      <c r="K518" s="5"/>
    </row>
    <row r="519" spans="1:11" x14ac:dyDescent="0.2">
      <c r="A519" s="5"/>
      <c r="B519" s="5"/>
      <c r="C519" s="5"/>
      <c r="D519" s="5"/>
      <c r="E519" s="5"/>
      <c r="K519" s="5"/>
    </row>
    <row r="520" spans="1:11" x14ac:dyDescent="0.2">
      <c r="A520" s="5"/>
      <c r="B520" s="5"/>
      <c r="C520" s="5"/>
      <c r="D520" s="5"/>
      <c r="E520" s="5"/>
      <c r="K520" s="5"/>
    </row>
    <row r="521" spans="1:11" x14ac:dyDescent="0.2">
      <c r="A521" s="5"/>
      <c r="B521" s="5"/>
      <c r="C521" s="5"/>
      <c r="D521" s="5"/>
      <c r="E521" s="5"/>
      <c r="K521" s="5"/>
    </row>
    <row r="522" spans="1:11" x14ac:dyDescent="0.2">
      <c r="A522" s="5"/>
      <c r="B522" s="5"/>
      <c r="C522" s="5"/>
      <c r="D522" s="5"/>
      <c r="E522" s="5"/>
      <c r="K522" s="5"/>
    </row>
    <row r="523" spans="1:11" x14ac:dyDescent="0.2">
      <c r="A523" s="5"/>
      <c r="B523" s="5"/>
      <c r="C523" s="5"/>
      <c r="D523" s="5"/>
      <c r="E523" s="5"/>
      <c r="K523" s="5"/>
    </row>
    <row r="524" spans="1:11" x14ac:dyDescent="0.2">
      <c r="A524" s="5"/>
      <c r="B524" s="5"/>
      <c r="C524" s="5"/>
      <c r="D524" s="5"/>
      <c r="E524" s="5"/>
      <c r="K524" s="5"/>
    </row>
    <row r="525" spans="1:11" x14ac:dyDescent="0.2">
      <c r="A525" s="5"/>
      <c r="B525" s="5"/>
      <c r="C525" s="5"/>
      <c r="D525" s="5"/>
      <c r="E525" s="5"/>
      <c r="K525" s="5"/>
    </row>
    <row r="526" spans="1:11" x14ac:dyDescent="0.2">
      <c r="A526" s="5"/>
      <c r="B526" s="5"/>
      <c r="C526" s="5"/>
      <c r="D526" s="5"/>
      <c r="E526" s="5"/>
      <c r="K526" s="5"/>
    </row>
    <row r="527" spans="1:11" x14ac:dyDescent="0.2">
      <c r="A527" s="5"/>
      <c r="B527" s="5"/>
      <c r="C527" s="5"/>
      <c r="D527" s="5"/>
      <c r="E527" s="5"/>
      <c r="K527" s="5"/>
    </row>
    <row r="528" spans="1:11" x14ac:dyDescent="0.2">
      <c r="A528" s="5"/>
      <c r="B528" s="5"/>
      <c r="C528" s="5"/>
      <c r="D528" s="5"/>
      <c r="E528" s="5"/>
      <c r="K528" s="5"/>
    </row>
    <row r="529" spans="1:11" x14ac:dyDescent="0.2">
      <c r="A529" s="5"/>
      <c r="B529" s="5"/>
      <c r="C529" s="5"/>
      <c r="D529" s="5"/>
      <c r="E529" s="5"/>
      <c r="K529" s="5"/>
    </row>
    <row r="530" spans="1:11" x14ac:dyDescent="0.2">
      <c r="A530" s="5"/>
      <c r="B530" s="5"/>
      <c r="C530" s="5"/>
      <c r="D530" s="5"/>
      <c r="E530" s="5"/>
      <c r="K530" s="5"/>
    </row>
    <row r="531" spans="1:11" x14ac:dyDescent="0.2">
      <c r="A531" s="5"/>
      <c r="B531" s="5"/>
      <c r="C531" s="5"/>
      <c r="D531" s="5"/>
      <c r="E531" s="5"/>
      <c r="K531" s="5"/>
    </row>
    <row r="532" spans="1:11" x14ac:dyDescent="0.2">
      <c r="A532" s="5"/>
      <c r="B532" s="5"/>
      <c r="C532" s="5"/>
      <c r="D532" s="5"/>
      <c r="E532" s="5"/>
      <c r="K532" s="5"/>
    </row>
    <row r="533" spans="1:11" x14ac:dyDescent="0.2">
      <c r="A533" s="5"/>
      <c r="B533" s="5"/>
      <c r="C533" s="5"/>
      <c r="D533" s="5"/>
      <c r="E533" s="5"/>
      <c r="K533" s="5"/>
    </row>
    <row r="534" spans="1:11" x14ac:dyDescent="0.2">
      <c r="A534" s="5"/>
      <c r="B534" s="5"/>
      <c r="C534" s="5"/>
      <c r="D534" s="5"/>
      <c r="E534" s="5"/>
      <c r="K534" s="5"/>
    </row>
    <row r="535" spans="1:11" x14ac:dyDescent="0.2">
      <c r="A535" s="5"/>
      <c r="B535" s="5"/>
      <c r="C535" s="5"/>
      <c r="D535" s="5"/>
      <c r="E535" s="5"/>
      <c r="K535" s="5"/>
    </row>
    <row r="536" spans="1:11" x14ac:dyDescent="0.2">
      <c r="A536" s="5"/>
      <c r="B536" s="5"/>
      <c r="C536" s="5"/>
      <c r="D536" s="5"/>
      <c r="E536" s="5"/>
      <c r="K536" s="5"/>
    </row>
    <row r="537" spans="1:11" x14ac:dyDescent="0.2">
      <c r="A537" s="5"/>
      <c r="B537" s="5"/>
      <c r="C537" s="5"/>
      <c r="D537" s="5"/>
      <c r="E537" s="5"/>
      <c r="K537" s="5"/>
    </row>
    <row r="538" spans="1:11" x14ac:dyDescent="0.2">
      <c r="A538" s="5"/>
      <c r="B538" s="5"/>
      <c r="C538" s="5"/>
      <c r="D538" s="5"/>
      <c r="E538" s="5"/>
      <c r="K538" s="5"/>
    </row>
    <row r="539" spans="1:11" x14ac:dyDescent="0.2">
      <c r="A539" s="5"/>
      <c r="B539" s="5"/>
      <c r="C539" s="5"/>
      <c r="D539" s="5"/>
      <c r="E539" s="5"/>
      <c r="K539" s="5"/>
    </row>
    <row r="540" spans="1:11" x14ac:dyDescent="0.2">
      <c r="A540" s="5"/>
      <c r="B540" s="5"/>
      <c r="C540" s="5"/>
      <c r="D540" s="5"/>
      <c r="E540" s="5"/>
      <c r="K540" s="5"/>
    </row>
    <row r="541" spans="1:11" x14ac:dyDescent="0.2">
      <c r="A541" s="5"/>
      <c r="B541" s="5"/>
      <c r="C541" s="5"/>
      <c r="D541" s="5"/>
      <c r="E541" s="5"/>
      <c r="K541" s="5"/>
    </row>
    <row r="542" spans="1:11" x14ac:dyDescent="0.2">
      <c r="A542" s="5"/>
      <c r="B542" s="5"/>
      <c r="C542" s="5"/>
      <c r="D542" s="5"/>
      <c r="E542" s="5"/>
      <c r="K542" s="5"/>
    </row>
    <row r="543" spans="1:11" x14ac:dyDescent="0.2">
      <c r="A543" s="5"/>
      <c r="B543" s="5"/>
      <c r="C543" s="5"/>
      <c r="D543" s="5"/>
      <c r="E543" s="5"/>
      <c r="K543" s="5"/>
    </row>
    <row r="544" spans="1:11" x14ac:dyDescent="0.2">
      <c r="A544" s="5"/>
      <c r="B544" s="5"/>
      <c r="C544" s="5"/>
      <c r="D544" s="5"/>
      <c r="E544" s="5"/>
      <c r="K544" s="5"/>
    </row>
    <row r="545" spans="1:11" x14ac:dyDescent="0.2">
      <c r="A545" s="5"/>
      <c r="B545" s="5"/>
      <c r="C545" s="5"/>
      <c r="D545" s="5"/>
      <c r="E545" s="5"/>
      <c r="K545" s="5"/>
    </row>
    <row r="546" spans="1:11" x14ac:dyDescent="0.2">
      <c r="A546" s="5"/>
      <c r="B546" s="5"/>
      <c r="C546" s="5"/>
      <c r="D546" s="5"/>
      <c r="E546" s="5"/>
      <c r="K546" s="5"/>
    </row>
    <row r="547" spans="1:11" x14ac:dyDescent="0.2">
      <c r="A547" s="5"/>
      <c r="B547" s="5"/>
      <c r="C547" s="5"/>
      <c r="D547" s="5"/>
      <c r="E547" s="5"/>
      <c r="K547" s="5"/>
    </row>
    <row r="548" spans="1:11" x14ac:dyDescent="0.2">
      <c r="A548" s="5"/>
      <c r="B548" s="5"/>
      <c r="C548" s="5"/>
      <c r="D548" s="5"/>
      <c r="E548" s="5"/>
      <c r="K548" s="5"/>
    </row>
    <row r="549" spans="1:11" x14ac:dyDescent="0.2">
      <c r="A549" s="5"/>
      <c r="B549" s="5"/>
      <c r="C549" s="5"/>
      <c r="D549" s="5"/>
      <c r="E549" s="5"/>
      <c r="K549" s="5"/>
    </row>
    <row r="550" spans="1:11" x14ac:dyDescent="0.2">
      <c r="A550" s="5"/>
      <c r="B550" s="5"/>
      <c r="C550" s="5"/>
      <c r="D550" s="5"/>
      <c r="E550" s="5"/>
      <c r="K550" s="5"/>
    </row>
    <row r="551" spans="1:11" x14ac:dyDescent="0.2">
      <c r="A551" s="5"/>
      <c r="B551" s="5"/>
      <c r="C551" s="5"/>
      <c r="D551" s="5"/>
      <c r="E551" s="5"/>
      <c r="K551" s="5"/>
    </row>
    <row r="552" spans="1:11" x14ac:dyDescent="0.2">
      <c r="A552" s="5"/>
      <c r="B552" s="5"/>
      <c r="C552" s="5"/>
      <c r="D552" s="5"/>
      <c r="E552" s="5"/>
      <c r="K552" s="5"/>
    </row>
    <row r="553" spans="1:11" x14ac:dyDescent="0.2">
      <c r="A553" s="5"/>
      <c r="B553" s="5"/>
      <c r="C553" s="5"/>
      <c r="D553" s="5"/>
      <c r="E553" s="5"/>
      <c r="K553" s="5"/>
    </row>
    <row r="554" spans="1:11" x14ac:dyDescent="0.2">
      <c r="A554" s="5"/>
      <c r="B554" s="5"/>
      <c r="C554" s="5"/>
      <c r="D554" s="5"/>
      <c r="E554" s="5"/>
      <c r="K554" s="5"/>
    </row>
    <row r="555" spans="1:11" x14ac:dyDescent="0.2">
      <c r="A555" s="5"/>
      <c r="B555" s="5"/>
      <c r="C555" s="5"/>
      <c r="D555" s="5"/>
      <c r="E555" s="5"/>
      <c r="K555" s="5"/>
    </row>
    <row r="556" spans="1:11" x14ac:dyDescent="0.2">
      <c r="A556" s="5"/>
      <c r="B556" s="5"/>
      <c r="C556" s="5"/>
      <c r="D556" s="5"/>
      <c r="E556" s="5"/>
      <c r="K556" s="5"/>
    </row>
    <row r="557" spans="1:11" x14ac:dyDescent="0.2">
      <c r="A557" s="5"/>
      <c r="B557" s="5"/>
      <c r="C557" s="5"/>
      <c r="D557" s="5"/>
      <c r="E557" s="5"/>
      <c r="K557" s="5"/>
    </row>
    <row r="558" spans="1:11" x14ac:dyDescent="0.2">
      <c r="A558" s="5"/>
      <c r="B558" s="5"/>
      <c r="C558" s="5"/>
      <c r="D558" s="5"/>
      <c r="E558" s="5"/>
      <c r="K558" s="5"/>
    </row>
    <row r="559" spans="1:11" x14ac:dyDescent="0.2">
      <c r="A559" s="5"/>
      <c r="B559" s="5"/>
      <c r="C559" s="5"/>
      <c r="D559" s="5"/>
      <c r="E559" s="5"/>
      <c r="K559" s="5"/>
    </row>
    <row r="560" spans="1:11" x14ac:dyDescent="0.2">
      <c r="A560" s="5"/>
      <c r="B560" s="5"/>
      <c r="C560" s="5"/>
      <c r="D560" s="5"/>
      <c r="E560" s="5"/>
      <c r="K560" s="5"/>
    </row>
    <row r="561" spans="1:11" x14ac:dyDescent="0.2">
      <c r="A561" s="5"/>
      <c r="B561" s="5"/>
      <c r="C561" s="5"/>
      <c r="D561" s="5"/>
      <c r="E561" s="5"/>
      <c r="K561" s="5"/>
    </row>
    <row r="562" spans="1:11" x14ac:dyDescent="0.2">
      <c r="A562" s="5"/>
      <c r="B562" s="5"/>
      <c r="C562" s="5"/>
      <c r="D562" s="5"/>
      <c r="E562" s="5"/>
      <c r="K562" s="5"/>
    </row>
    <row r="563" spans="1:11" x14ac:dyDescent="0.2">
      <c r="A563" s="5"/>
      <c r="B563" s="5"/>
      <c r="C563" s="5"/>
      <c r="D563" s="5"/>
      <c r="E563" s="5"/>
      <c r="K563" s="5"/>
    </row>
    <row r="564" spans="1:11" x14ac:dyDescent="0.2">
      <c r="A564" s="5"/>
      <c r="B564" s="5"/>
      <c r="C564" s="5"/>
      <c r="D564" s="5"/>
      <c r="E564" s="5"/>
      <c r="K564" s="5"/>
    </row>
    <row r="565" spans="1:11" x14ac:dyDescent="0.2">
      <c r="A565" s="5"/>
      <c r="B565" s="5"/>
      <c r="C565" s="5"/>
      <c r="D565" s="5"/>
      <c r="E565" s="5"/>
      <c r="K565" s="5"/>
    </row>
    <row r="566" spans="1:11" x14ac:dyDescent="0.2">
      <c r="A566" s="5"/>
      <c r="B566" s="5"/>
      <c r="C566" s="5"/>
      <c r="D566" s="5"/>
      <c r="E566" s="5"/>
      <c r="K566" s="5"/>
    </row>
    <row r="567" spans="1:11" x14ac:dyDescent="0.2">
      <c r="A567" s="5"/>
      <c r="B567" s="5"/>
      <c r="C567" s="5"/>
      <c r="D567" s="5"/>
      <c r="E567" s="5"/>
      <c r="K567" s="5"/>
    </row>
    <row r="568" spans="1:11" x14ac:dyDescent="0.2">
      <c r="A568" s="5"/>
      <c r="B568" s="5"/>
      <c r="C568" s="5"/>
      <c r="D568" s="5"/>
      <c r="E568" s="5"/>
      <c r="K568" s="5"/>
    </row>
    <row r="569" spans="1:11" x14ac:dyDescent="0.2">
      <c r="A569" s="5"/>
      <c r="B569" s="5"/>
      <c r="C569" s="5"/>
      <c r="D569" s="5"/>
      <c r="E569" s="5"/>
      <c r="K569" s="5"/>
    </row>
    <row r="570" spans="1:11" x14ac:dyDescent="0.2">
      <c r="A570" s="5"/>
      <c r="B570" s="5"/>
      <c r="C570" s="5"/>
      <c r="D570" s="5"/>
      <c r="E570" s="5"/>
      <c r="K570" s="5"/>
    </row>
    <row r="571" spans="1:11" x14ac:dyDescent="0.2">
      <c r="A571" s="5"/>
      <c r="B571" s="5"/>
      <c r="C571" s="5"/>
      <c r="D571" s="5"/>
      <c r="E571" s="5"/>
      <c r="K571" s="5"/>
    </row>
    <row r="572" spans="1:11" x14ac:dyDescent="0.2">
      <c r="A572" s="5"/>
      <c r="B572" s="5"/>
      <c r="C572" s="5"/>
      <c r="D572" s="5"/>
      <c r="E572" s="5"/>
      <c r="K572" s="5"/>
    </row>
    <row r="573" spans="1:11" x14ac:dyDescent="0.2">
      <c r="A573" s="5"/>
      <c r="B573" s="5"/>
      <c r="C573" s="5"/>
      <c r="D573" s="5"/>
      <c r="E573" s="5"/>
      <c r="K573" s="5"/>
    </row>
    <row r="574" spans="1:11" x14ac:dyDescent="0.2">
      <c r="A574" s="5"/>
      <c r="B574" s="5"/>
      <c r="C574" s="5"/>
      <c r="D574" s="5"/>
      <c r="E574" s="5"/>
      <c r="K574" s="5"/>
    </row>
    <row r="575" spans="1:11" x14ac:dyDescent="0.2">
      <c r="A575" s="5"/>
      <c r="B575" s="5"/>
      <c r="C575" s="5"/>
      <c r="D575" s="5"/>
      <c r="E575" s="5"/>
      <c r="K575" s="5"/>
    </row>
    <row r="576" spans="1:11" x14ac:dyDescent="0.2">
      <c r="A576" s="5"/>
      <c r="B576" s="5"/>
      <c r="C576" s="5"/>
      <c r="D576" s="5"/>
      <c r="E576" s="5"/>
      <c r="K576" s="5"/>
    </row>
    <row r="577" spans="1:11" x14ac:dyDescent="0.2">
      <c r="A577" s="5"/>
      <c r="B577" s="5"/>
      <c r="C577" s="5"/>
      <c r="D577" s="5"/>
      <c r="E577" s="5"/>
      <c r="K577" s="5"/>
    </row>
    <row r="578" spans="1:11" x14ac:dyDescent="0.2">
      <c r="A578" s="5"/>
      <c r="B578" s="5"/>
      <c r="C578" s="5"/>
      <c r="D578" s="5"/>
      <c r="E578" s="5"/>
      <c r="K578" s="5"/>
    </row>
    <row r="579" spans="1:11" x14ac:dyDescent="0.2">
      <c r="A579" s="5"/>
      <c r="B579" s="5"/>
      <c r="C579" s="5"/>
      <c r="D579" s="5"/>
      <c r="E579" s="5"/>
      <c r="K579" s="5"/>
    </row>
    <row r="580" spans="1:11" x14ac:dyDescent="0.2">
      <c r="A580" s="5"/>
      <c r="B580" s="5"/>
      <c r="C580" s="5"/>
      <c r="D580" s="5"/>
      <c r="E580" s="5"/>
      <c r="K580" s="5"/>
    </row>
    <row r="581" spans="1:11" x14ac:dyDescent="0.2">
      <c r="A581" s="5"/>
      <c r="B581" s="5"/>
      <c r="C581" s="5"/>
      <c r="D581" s="5"/>
      <c r="E581" s="5"/>
      <c r="K581" s="5"/>
    </row>
    <row r="582" spans="1:11" x14ac:dyDescent="0.2">
      <c r="A582" s="5"/>
      <c r="B582" s="5"/>
      <c r="C582" s="5"/>
      <c r="D582" s="5"/>
      <c r="E582" s="5"/>
      <c r="K582" s="5"/>
    </row>
    <row r="583" spans="1:11" x14ac:dyDescent="0.2">
      <c r="A583" s="5"/>
      <c r="B583" s="5"/>
      <c r="C583" s="5"/>
      <c r="D583" s="5"/>
      <c r="E583" s="5"/>
      <c r="K583" s="5"/>
    </row>
    <row r="584" spans="1:11" x14ac:dyDescent="0.2">
      <c r="A584" s="5"/>
      <c r="B584" s="5"/>
      <c r="C584" s="5"/>
      <c r="D584" s="5"/>
      <c r="E584" s="5"/>
      <c r="K584" s="5"/>
    </row>
    <row r="585" spans="1:11" x14ac:dyDescent="0.2">
      <c r="A585" s="5"/>
      <c r="B585" s="5"/>
      <c r="C585" s="5"/>
      <c r="D585" s="5"/>
      <c r="E585" s="5"/>
      <c r="K585" s="5"/>
    </row>
    <row r="586" spans="1:11" x14ac:dyDescent="0.2">
      <c r="A586" s="5"/>
      <c r="B586" s="5"/>
      <c r="C586" s="5"/>
      <c r="D586" s="5"/>
      <c r="E586" s="5"/>
      <c r="K586" s="5"/>
    </row>
    <row r="587" spans="1:11" x14ac:dyDescent="0.2">
      <c r="A587" s="5"/>
      <c r="B587" s="5"/>
      <c r="C587" s="5"/>
      <c r="D587" s="5"/>
      <c r="E587" s="5"/>
      <c r="K587" s="5"/>
    </row>
    <row r="588" spans="1:11" x14ac:dyDescent="0.2">
      <c r="A588" s="5"/>
      <c r="B588" s="5"/>
      <c r="C588" s="5"/>
      <c r="D588" s="5"/>
      <c r="E588" s="5"/>
      <c r="K588" s="5"/>
    </row>
    <row r="589" spans="1:11" x14ac:dyDescent="0.2">
      <c r="A589" s="5"/>
      <c r="B589" s="5"/>
      <c r="C589" s="5"/>
      <c r="D589" s="5"/>
      <c r="E589" s="5"/>
      <c r="K589" s="5"/>
    </row>
    <row r="590" spans="1:11" x14ac:dyDescent="0.2">
      <c r="A590" s="5"/>
      <c r="B590" s="5"/>
      <c r="C590" s="5"/>
      <c r="D590" s="5"/>
      <c r="E590" s="5"/>
      <c r="K590" s="5"/>
    </row>
    <row r="591" spans="1:11" x14ac:dyDescent="0.2">
      <c r="A591" s="5"/>
      <c r="B591" s="5"/>
      <c r="C591" s="5"/>
      <c r="D591" s="5"/>
      <c r="E591" s="5"/>
      <c r="K591" s="5"/>
    </row>
    <row r="592" spans="1:11" x14ac:dyDescent="0.2">
      <c r="A592" s="5"/>
      <c r="B592" s="5"/>
      <c r="C592" s="5"/>
      <c r="D592" s="5"/>
      <c r="E592" s="5"/>
      <c r="K592" s="5"/>
    </row>
    <row r="593" spans="1:11" x14ac:dyDescent="0.2">
      <c r="A593" s="5"/>
      <c r="B593" s="5"/>
      <c r="C593" s="5"/>
      <c r="D593" s="5"/>
      <c r="E593" s="5"/>
      <c r="K593" s="5"/>
    </row>
    <row r="594" spans="1:11" x14ac:dyDescent="0.2">
      <c r="A594" s="5"/>
      <c r="B594" s="5"/>
      <c r="C594" s="5"/>
      <c r="D594" s="5"/>
      <c r="E594" s="5"/>
      <c r="K594" s="5"/>
    </row>
    <row r="595" spans="1:11" x14ac:dyDescent="0.2">
      <c r="A595" s="5"/>
      <c r="B595" s="5"/>
      <c r="C595" s="5"/>
      <c r="D595" s="5"/>
      <c r="E595" s="5"/>
      <c r="K595" s="5"/>
    </row>
    <row r="596" spans="1:11" x14ac:dyDescent="0.2">
      <c r="A596" s="5"/>
      <c r="B596" s="5"/>
      <c r="C596" s="5"/>
      <c r="D596" s="5"/>
      <c r="E596" s="5"/>
      <c r="K596" s="5"/>
    </row>
    <row r="597" spans="1:11" x14ac:dyDescent="0.2">
      <c r="A597" s="5"/>
      <c r="B597" s="5"/>
      <c r="C597" s="5"/>
      <c r="D597" s="5"/>
      <c r="E597" s="5"/>
      <c r="K597" s="5"/>
    </row>
    <row r="598" spans="1:11" x14ac:dyDescent="0.2">
      <c r="A598" s="5"/>
      <c r="B598" s="5"/>
      <c r="C598" s="5"/>
      <c r="D598" s="5"/>
      <c r="E598" s="5"/>
      <c r="K598" s="5"/>
    </row>
    <row r="599" spans="1:11" x14ac:dyDescent="0.2">
      <c r="A599" s="5"/>
      <c r="B599" s="5"/>
      <c r="C599" s="5"/>
      <c r="D599" s="5"/>
      <c r="E599" s="5"/>
      <c r="K599" s="5"/>
    </row>
    <row r="600" spans="1:11" x14ac:dyDescent="0.2">
      <c r="A600" s="5"/>
      <c r="B600" s="5"/>
      <c r="C600" s="5"/>
      <c r="D600" s="5"/>
      <c r="E600" s="5"/>
      <c r="K600" s="5"/>
    </row>
    <row r="601" spans="1:11" x14ac:dyDescent="0.2">
      <c r="A601" s="5"/>
      <c r="B601" s="5"/>
      <c r="C601" s="5"/>
      <c r="D601" s="5"/>
      <c r="E601" s="5"/>
      <c r="K601" s="5"/>
    </row>
    <row r="602" spans="1:11" x14ac:dyDescent="0.2">
      <c r="A602" s="5"/>
      <c r="B602" s="5"/>
      <c r="C602" s="5"/>
      <c r="D602" s="5"/>
      <c r="E602" s="5"/>
      <c r="K602" s="5"/>
    </row>
    <row r="603" spans="1:11" x14ac:dyDescent="0.2">
      <c r="A603" s="5"/>
      <c r="B603" s="5"/>
      <c r="C603" s="5"/>
      <c r="D603" s="5"/>
      <c r="E603" s="5"/>
      <c r="K603" s="5"/>
    </row>
    <row r="604" spans="1:11" x14ac:dyDescent="0.2">
      <c r="A604" s="5"/>
      <c r="B604" s="5"/>
      <c r="C604" s="5"/>
      <c r="D604" s="5"/>
      <c r="E604" s="5"/>
      <c r="K604" s="5"/>
    </row>
    <row r="605" spans="1:11" x14ac:dyDescent="0.2">
      <c r="A605" s="5"/>
      <c r="B605" s="5"/>
      <c r="C605" s="5"/>
      <c r="D605" s="5"/>
      <c r="E605" s="5"/>
      <c r="K605" s="5"/>
    </row>
    <row r="606" spans="1:11" x14ac:dyDescent="0.2">
      <c r="A606" s="5"/>
      <c r="B606" s="5"/>
      <c r="C606" s="5"/>
      <c r="D606" s="5"/>
      <c r="E606" s="5"/>
      <c r="K606" s="5"/>
    </row>
    <row r="607" spans="1:11" x14ac:dyDescent="0.2">
      <c r="A607" s="5"/>
      <c r="B607" s="5"/>
      <c r="C607" s="5"/>
      <c r="D607" s="5"/>
      <c r="E607" s="5"/>
      <c r="K607" s="5"/>
    </row>
    <row r="608" spans="1:11" x14ac:dyDescent="0.2">
      <c r="A608" s="5"/>
      <c r="B608" s="5"/>
      <c r="C608" s="5"/>
      <c r="D608" s="5"/>
      <c r="E608" s="5"/>
      <c r="K608" s="5"/>
    </row>
    <row r="609" spans="1:11" x14ac:dyDescent="0.2">
      <c r="A609" s="5"/>
      <c r="B609" s="5"/>
      <c r="C609" s="5"/>
      <c r="D609" s="5"/>
      <c r="E609" s="5"/>
      <c r="K609" s="5"/>
    </row>
    <row r="610" spans="1:11" x14ac:dyDescent="0.2">
      <c r="A610" s="5"/>
      <c r="B610" s="5"/>
      <c r="C610" s="5"/>
      <c r="D610" s="5"/>
      <c r="E610" s="5"/>
      <c r="K610" s="5"/>
    </row>
    <row r="611" spans="1:11" x14ac:dyDescent="0.2">
      <c r="A611" s="5"/>
      <c r="B611" s="5"/>
      <c r="C611" s="5"/>
      <c r="D611" s="5"/>
      <c r="E611" s="5"/>
      <c r="K611" s="5"/>
    </row>
    <row r="612" spans="1:11" x14ac:dyDescent="0.2">
      <c r="A612" s="5"/>
      <c r="B612" s="5"/>
      <c r="C612" s="5"/>
      <c r="D612" s="5"/>
      <c r="E612" s="5"/>
      <c r="K612" s="5"/>
    </row>
    <row r="613" spans="1:11" x14ac:dyDescent="0.2">
      <c r="A613" s="5"/>
      <c r="B613" s="5"/>
      <c r="C613" s="5"/>
      <c r="D613" s="5"/>
      <c r="E613" s="5"/>
      <c r="K613" s="5"/>
    </row>
    <row r="614" spans="1:11" x14ac:dyDescent="0.2">
      <c r="A614" s="5"/>
      <c r="B614" s="5"/>
      <c r="C614" s="5"/>
      <c r="D614" s="5"/>
      <c r="E614" s="5"/>
      <c r="K614" s="5"/>
    </row>
    <row r="615" spans="1:11" x14ac:dyDescent="0.2">
      <c r="A615" s="5"/>
      <c r="B615" s="5"/>
      <c r="C615" s="5"/>
      <c r="D615" s="5"/>
      <c r="E615" s="5"/>
      <c r="K615" s="5"/>
    </row>
    <row r="616" spans="1:11" x14ac:dyDescent="0.2">
      <c r="A616" s="5"/>
      <c r="B616" s="5"/>
      <c r="C616" s="5"/>
      <c r="D616" s="5"/>
      <c r="E616" s="5"/>
      <c r="K616" s="5"/>
    </row>
    <row r="617" spans="1:11" x14ac:dyDescent="0.2">
      <c r="A617" s="5"/>
      <c r="B617" s="5"/>
      <c r="C617" s="5"/>
      <c r="D617" s="5"/>
      <c r="E617" s="5"/>
      <c r="K617" s="5"/>
    </row>
    <row r="618" spans="1:11" x14ac:dyDescent="0.2">
      <c r="A618" s="5"/>
      <c r="B618" s="5"/>
      <c r="C618" s="5"/>
      <c r="D618" s="5"/>
      <c r="E618" s="5"/>
      <c r="K618" s="5"/>
    </row>
    <row r="619" spans="1:11" x14ac:dyDescent="0.2">
      <c r="A619" s="5"/>
      <c r="B619" s="5"/>
      <c r="C619" s="5"/>
      <c r="D619" s="5"/>
      <c r="E619" s="5"/>
      <c r="K619" s="5"/>
    </row>
    <row r="620" spans="1:11" x14ac:dyDescent="0.2">
      <c r="A620" s="5"/>
      <c r="B620" s="5"/>
      <c r="C620" s="5"/>
      <c r="D620" s="5"/>
      <c r="E620" s="5"/>
      <c r="K620" s="5"/>
    </row>
    <row r="621" spans="1:11" x14ac:dyDescent="0.2">
      <c r="A621" s="5"/>
      <c r="B621" s="5"/>
      <c r="C621" s="5"/>
      <c r="D621" s="5"/>
      <c r="E621" s="5"/>
      <c r="K621" s="5"/>
    </row>
    <row r="622" spans="1:11" x14ac:dyDescent="0.2">
      <c r="A622" s="5"/>
      <c r="B622" s="5"/>
      <c r="C622" s="5"/>
      <c r="D622" s="5"/>
      <c r="E622" s="5"/>
      <c r="K622" s="5"/>
    </row>
    <row r="623" spans="1:11" x14ac:dyDescent="0.2">
      <c r="A623" s="5"/>
      <c r="B623" s="5"/>
      <c r="C623" s="5"/>
      <c r="D623" s="5"/>
      <c r="E623" s="5"/>
      <c r="K623" s="5"/>
    </row>
    <row r="624" spans="1:11" x14ac:dyDescent="0.2">
      <c r="A624" s="5"/>
      <c r="B624" s="5"/>
      <c r="C624" s="5"/>
      <c r="D624" s="5"/>
      <c r="E624" s="5"/>
      <c r="K624" s="5"/>
    </row>
    <row r="625" spans="1:11" x14ac:dyDescent="0.2">
      <c r="A625" s="5"/>
      <c r="B625" s="5"/>
      <c r="C625" s="5"/>
      <c r="D625" s="5"/>
      <c r="E625" s="5"/>
      <c r="K625" s="5"/>
    </row>
    <row r="626" spans="1:11" x14ac:dyDescent="0.2">
      <c r="A626" s="5"/>
      <c r="B626" s="5"/>
      <c r="C626" s="5"/>
      <c r="D626" s="5"/>
      <c r="E626" s="5"/>
      <c r="K626" s="5"/>
    </row>
    <row r="627" spans="1:11" x14ac:dyDescent="0.2">
      <c r="A627" s="5"/>
      <c r="B627" s="5"/>
      <c r="C627" s="5"/>
      <c r="D627" s="5"/>
      <c r="E627" s="5"/>
      <c r="K627" s="5"/>
    </row>
    <row r="628" spans="1:11" x14ac:dyDescent="0.2">
      <c r="A628" s="5"/>
      <c r="B628" s="5"/>
      <c r="C628" s="5"/>
      <c r="D628" s="5"/>
      <c r="E628" s="5"/>
      <c r="K628" s="5"/>
    </row>
    <row r="629" spans="1:11" x14ac:dyDescent="0.2">
      <c r="A629" s="5"/>
      <c r="B629" s="5"/>
      <c r="C629" s="5"/>
      <c r="D629" s="5"/>
      <c r="E629" s="5"/>
      <c r="K629" s="5"/>
    </row>
    <row r="630" spans="1:11" x14ac:dyDescent="0.2">
      <c r="A630" s="5"/>
      <c r="B630" s="5"/>
      <c r="C630" s="5"/>
      <c r="D630" s="5"/>
      <c r="E630" s="5"/>
      <c r="K630" s="5"/>
    </row>
    <row r="631" spans="1:11" x14ac:dyDescent="0.2">
      <c r="A631" s="5"/>
      <c r="B631" s="5"/>
      <c r="C631" s="5"/>
      <c r="D631" s="5"/>
      <c r="E631" s="5"/>
      <c r="K631" s="5"/>
    </row>
    <row r="632" spans="1:11" x14ac:dyDescent="0.2">
      <c r="A632" s="5"/>
      <c r="B632" s="5"/>
      <c r="C632" s="5"/>
      <c r="D632" s="5"/>
      <c r="E632" s="5"/>
      <c r="K632" s="5"/>
    </row>
    <row r="633" spans="1:11" x14ac:dyDescent="0.2">
      <c r="A633" s="5"/>
      <c r="B633" s="5"/>
      <c r="C633" s="5"/>
      <c r="D633" s="5"/>
      <c r="E633" s="5"/>
      <c r="K633" s="5"/>
    </row>
    <row r="634" spans="1:11" x14ac:dyDescent="0.2">
      <c r="A634" s="5"/>
      <c r="B634" s="5"/>
      <c r="C634" s="5"/>
      <c r="D634" s="5"/>
      <c r="E634" s="5"/>
      <c r="K634" s="5"/>
    </row>
    <row r="635" spans="1:11" x14ac:dyDescent="0.2">
      <c r="A635" s="5"/>
      <c r="B635" s="5"/>
      <c r="C635" s="5"/>
      <c r="D635" s="5"/>
      <c r="E635" s="5"/>
      <c r="K635" s="5"/>
    </row>
    <row r="636" spans="1:11" x14ac:dyDescent="0.2">
      <c r="A636" s="5"/>
      <c r="B636" s="5"/>
      <c r="C636" s="5"/>
      <c r="D636" s="5"/>
      <c r="E636" s="5"/>
      <c r="K636" s="5"/>
    </row>
    <row r="637" spans="1:11" x14ac:dyDescent="0.2">
      <c r="A637" s="5"/>
      <c r="B637" s="5"/>
      <c r="C637" s="5"/>
      <c r="D637" s="5"/>
      <c r="E637" s="5"/>
      <c r="K637" s="5"/>
    </row>
    <row r="638" spans="1:11" x14ac:dyDescent="0.2">
      <c r="A638" s="5"/>
      <c r="B638" s="5"/>
      <c r="C638" s="5"/>
      <c r="D638" s="5"/>
      <c r="E638" s="5"/>
      <c r="K638" s="5"/>
    </row>
    <row r="639" spans="1:11" x14ac:dyDescent="0.2">
      <c r="A639" s="5"/>
      <c r="B639" s="5"/>
      <c r="C639" s="5"/>
      <c r="D639" s="5"/>
      <c r="E639" s="5"/>
      <c r="K639" s="5"/>
    </row>
    <row r="640" spans="1:11" x14ac:dyDescent="0.2">
      <c r="A640" s="5"/>
      <c r="B640" s="5"/>
      <c r="C640" s="5"/>
      <c r="D640" s="5"/>
      <c r="E640" s="5"/>
      <c r="K640" s="5"/>
    </row>
    <row r="641" spans="1:11" x14ac:dyDescent="0.2">
      <c r="A641" s="5"/>
      <c r="B641" s="5"/>
      <c r="C641" s="5"/>
      <c r="D641" s="5"/>
      <c r="E641" s="5"/>
      <c r="K641" s="5"/>
    </row>
    <row r="642" spans="1:11" x14ac:dyDescent="0.2">
      <c r="A642" s="5"/>
      <c r="B642" s="5"/>
      <c r="C642" s="5"/>
      <c r="D642" s="5"/>
      <c r="E642" s="5"/>
      <c r="K642" s="5"/>
    </row>
    <row r="643" spans="1:11" x14ac:dyDescent="0.2">
      <c r="A643" s="5"/>
      <c r="B643" s="5"/>
      <c r="C643" s="5"/>
      <c r="D643" s="5"/>
      <c r="E643" s="5"/>
      <c r="K643" s="5"/>
    </row>
    <row r="644" spans="1:11" x14ac:dyDescent="0.2">
      <c r="A644" s="5"/>
      <c r="B644" s="5"/>
      <c r="C644" s="5"/>
      <c r="D644" s="5"/>
      <c r="E644" s="5"/>
      <c r="K644" s="5"/>
    </row>
    <row r="645" spans="1:11" x14ac:dyDescent="0.2">
      <c r="A645" s="5"/>
      <c r="B645" s="5"/>
      <c r="C645" s="5"/>
      <c r="D645" s="5"/>
      <c r="E645" s="5"/>
      <c r="K645" s="5"/>
    </row>
    <row r="646" spans="1:11" x14ac:dyDescent="0.2">
      <c r="A646" s="5"/>
      <c r="B646" s="5"/>
      <c r="C646" s="5"/>
      <c r="D646" s="5"/>
      <c r="E646" s="5"/>
      <c r="K646" s="5"/>
    </row>
    <row r="647" spans="1:11" x14ac:dyDescent="0.2">
      <c r="A647" s="5"/>
      <c r="B647" s="5"/>
      <c r="C647" s="5"/>
      <c r="D647" s="5"/>
      <c r="E647" s="5"/>
      <c r="K647" s="5"/>
    </row>
    <row r="648" spans="1:11" x14ac:dyDescent="0.2">
      <c r="A648" s="5"/>
      <c r="B648" s="5"/>
      <c r="C648" s="5"/>
      <c r="D648" s="5"/>
      <c r="E648" s="5"/>
      <c r="K648" s="5"/>
    </row>
    <row r="649" spans="1:11" x14ac:dyDescent="0.2">
      <c r="A649" s="5"/>
      <c r="B649" s="5"/>
      <c r="C649" s="5"/>
      <c r="D649" s="5"/>
      <c r="E649" s="5"/>
      <c r="K649" s="5"/>
    </row>
    <row r="650" spans="1:11" x14ac:dyDescent="0.2">
      <c r="A650" s="5"/>
      <c r="B650" s="5"/>
      <c r="C650" s="5"/>
      <c r="D650" s="5"/>
      <c r="E650" s="5"/>
      <c r="K650" s="5"/>
    </row>
    <row r="651" spans="1:11" x14ac:dyDescent="0.2">
      <c r="A651" s="5"/>
      <c r="B651" s="5"/>
      <c r="C651" s="5"/>
      <c r="D651" s="5"/>
      <c r="E651" s="5"/>
      <c r="K651" s="5"/>
    </row>
    <row r="652" spans="1:11" x14ac:dyDescent="0.2">
      <c r="A652" s="5"/>
      <c r="B652" s="5"/>
      <c r="C652" s="5"/>
      <c r="D652" s="5"/>
      <c r="E652" s="5"/>
      <c r="K652" s="5"/>
    </row>
    <row r="653" spans="1:11" x14ac:dyDescent="0.2">
      <c r="A653" s="5"/>
      <c r="B653" s="5"/>
      <c r="C653" s="5"/>
      <c r="D653" s="5"/>
      <c r="E653" s="5"/>
      <c r="K653" s="5"/>
    </row>
    <row r="654" spans="1:11" x14ac:dyDescent="0.2">
      <c r="A654" s="5"/>
      <c r="B654" s="5"/>
      <c r="C654" s="5"/>
      <c r="D654" s="5"/>
      <c r="E654" s="5"/>
      <c r="K654" s="5"/>
    </row>
    <row r="655" spans="1:11" x14ac:dyDescent="0.2">
      <c r="A655" s="5"/>
      <c r="B655" s="5"/>
      <c r="C655" s="5"/>
      <c r="D655" s="5"/>
      <c r="E655" s="5"/>
      <c r="K655" s="5"/>
    </row>
    <row r="656" spans="1:11" x14ac:dyDescent="0.2">
      <c r="A656" s="5"/>
      <c r="B656" s="5"/>
      <c r="C656" s="5"/>
      <c r="D656" s="5"/>
      <c r="E656" s="5"/>
      <c r="K656" s="5"/>
    </row>
    <row r="657" spans="1:11" x14ac:dyDescent="0.2">
      <c r="A657" s="5"/>
      <c r="B657" s="5"/>
      <c r="C657" s="5"/>
      <c r="D657" s="5"/>
      <c r="E657" s="5"/>
      <c r="K657" s="5"/>
    </row>
    <row r="658" spans="1:11" x14ac:dyDescent="0.2">
      <c r="A658" s="5"/>
      <c r="B658" s="5"/>
      <c r="C658" s="5"/>
      <c r="D658" s="5"/>
      <c r="E658" s="5"/>
      <c r="K658" s="5"/>
    </row>
    <row r="659" spans="1:11" x14ac:dyDescent="0.2">
      <c r="A659" s="5"/>
      <c r="B659" s="5"/>
      <c r="C659" s="5"/>
      <c r="D659" s="5"/>
      <c r="E659" s="5"/>
      <c r="K659" s="5"/>
    </row>
    <row r="660" spans="1:11" x14ac:dyDescent="0.2">
      <c r="A660" s="5"/>
      <c r="B660" s="5"/>
      <c r="C660" s="5"/>
      <c r="D660" s="5"/>
      <c r="E660" s="5"/>
      <c r="K660" s="5"/>
    </row>
    <row r="661" spans="1:11" x14ac:dyDescent="0.2">
      <c r="A661" s="5"/>
      <c r="B661" s="5"/>
      <c r="C661" s="5"/>
      <c r="D661" s="5"/>
      <c r="E661" s="5"/>
      <c r="K661" s="5"/>
    </row>
    <row r="662" spans="1:11" x14ac:dyDescent="0.2">
      <c r="A662" s="5"/>
      <c r="B662" s="5"/>
      <c r="C662" s="5"/>
      <c r="D662" s="5"/>
      <c r="E662" s="5"/>
      <c r="K662" s="5"/>
    </row>
    <row r="663" spans="1:11" x14ac:dyDescent="0.2">
      <c r="A663" s="5"/>
      <c r="B663" s="5"/>
      <c r="C663" s="5"/>
      <c r="D663" s="5"/>
      <c r="E663" s="5"/>
      <c r="K663" s="5"/>
    </row>
    <row r="664" spans="1:11" x14ac:dyDescent="0.2">
      <c r="A664" s="5"/>
      <c r="B664" s="5"/>
      <c r="C664" s="5"/>
      <c r="D664" s="5"/>
      <c r="E664" s="5"/>
      <c r="K664" s="5"/>
    </row>
    <row r="665" spans="1:11" x14ac:dyDescent="0.2">
      <c r="A665" s="5"/>
      <c r="B665" s="5"/>
      <c r="C665" s="5"/>
      <c r="D665" s="5"/>
      <c r="E665" s="5"/>
      <c r="K665" s="5"/>
    </row>
    <row r="666" spans="1:11" x14ac:dyDescent="0.2">
      <c r="A666" s="5"/>
      <c r="B666" s="5"/>
      <c r="C666" s="5"/>
      <c r="D666" s="5"/>
      <c r="E666" s="5"/>
      <c r="K666" s="5"/>
    </row>
    <row r="667" spans="1:11" x14ac:dyDescent="0.2">
      <c r="A667" s="5"/>
      <c r="B667" s="5"/>
      <c r="C667" s="5"/>
      <c r="D667" s="5"/>
      <c r="E667" s="5"/>
      <c r="K667" s="5"/>
    </row>
    <row r="668" spans="1:11" x14ac:dyDescent="0.2">
      <c r="A668" s="5"/>
      <c r="B668" s="5"/>
      <c r="C668" s="5"/>
      <c r="D668" s="5"/>
      <c r="E668" s="5"/>
      <c r="K668" s="5"/>
    </row>
    <row r="669" spans="1:11" x14ac:dyDescent="0.2">
      <c r="A669" s="5"/>
      <c r="B669" s="5"/>
      <c r="C669" s="5"/>
      <c r="D669" s="5"/>
      <c r="E669" s="5"/>
      <c r="K669" s="5"/>
    </row>
    <row r="670" spans="1:11" x14ac:dyDescent="0.2">
      <c r="A670" s="5"/>
      <c r="B670" s="5"/>
      <c r="C670" s="5"/>
      <c r="D670" s="5"/>
      <c r="E670" s="5"/>
      <c r="K670" s="5"/>
    </row>
    <row r="671" spans="1:11" x14ac:dyDescent="0.2">
      <c r="A671" s="5"/>
      <c r="B671" s="5"/>
      <c r="C671" s="5"/>
      <c r="D671" s="5"/>
      <c r="E671" s="5"/>
      <c r="K671" s="5"/>
    </row>
    <row r="672" spans="1:11" x14ac:dyDescent="0.2">
      <c r="A672" s="5"/>
      <c r="B672" s="5"/>
      <c r="C672" s="5"/>
      <c r="D672" s="5"/>
      <c r="E672" s="5"/>
      <c r="K672" s="5"/>
    </row>
    <row r="673" spans="1:11" x14ac:dyDescent="0.2">
      <c r="A673" s="5"/>
      <c r="B673" s="5"/>
      <c r="C673" s="5"/>
      <c r="D673" s="5"/>
      <c r="E673" s="5"/>
      <c r="K673" s="5"/>
    </row>
    <row r="674" spans="1:11" x14ac:dyDescent="0.2">
      <c r="A674" s="5"/>
      <c r="B674" s="5"/>
      <c r="C674" s="5"/>
      <c r="D674" s="5"/>
      <c r="E674" s="5"/>
      <c r="K674" s="5"/>
    </row>
    <row r="675" spans="1:11" x14ac:dyDescent="0.2">
      <c r="A675" s="5"/>
      <c r="B675" s="5"/>
      <c r="C675" s="5"/>
      <c r="D675" s="5"/>
      <c r="E675" s="5"/>
      <c r="K675" s="5"/>
    </row>
    <row r="676" spans="1:11" x14ac:dyDescent="0.2">
      <c r="A676" s="5"/>
      <c r="B676" s="5"/>
      <c r="C676" s="5"/>
      <c r="D676" s="5"/>
      <c r="E676" s="5"/>
      <c r="K676" s="5"/>
    </row>
    <row r="677" spans="1:11" x14ac:dyDescent="0.2">
      <c r="A677" s="5"/>
      <c r="B677" s="5"/>
      <c r="C677" s="5"/>
      <c r="D677" s="5"/>
      <c r="E677" s="5"/>
      <c r="K677" s="5"/>
    </row>
    <row r="678" spans="1:11" x14ac:dyDescent="0.2">
      <c r="A678" s="5"/>
      <c r="B678" s="5"/>
      <c r="C678" s="5"/>
      <c r="D678" s="5"/>
      <c r="E678" s="5"/>
      <c r="K678" s="5"/>
    </row>
    <row r="679" spans="1:11" x14ac:dyDescent="0.2">
      <c r="A679" s="5"/>
      <c r="B679" s="5"/>
      <c r="C679" s="5"/>
      <c r="D679" s="5"/>
      <c r="E679" s="5"/>
      <c r="K679" s="5"/>
    </row>
    <row r="680" spans="1:11" x14ac:dyDescent="0.2">
      <c r="A680" s="5"/>
      <c r="B680" s="5"/>
      <c r="C680" s="5"/>
      <c r="D680" s="5"/>
      <c r="E680" s="5"/>
      <c r="K680" s="5"/>
    </row>
    <row r="681" spans="1:11" x14ac:dyDescent="0.2">
      <c r="A681" s="5"/>
      <c r="B681" s="5"/>
      <c r="C681" s="5"/>
      <c r="D681" s="5"/>
      <c r="E681" s="5"/>
      <c r="K681" s="5"/>
    </row>
    <row r="682" spans="1:11" x14ac:dyDescent="0.2">
      <c r="A682" s="5"/>
      <c r="B682" s="5"/>
      <c r="C682" s="5"/>
      <c r="D682" s="5"/>
      <c r="E682" s="5"/>
      <c r="K682" s="5"/>
    </row>
    <row r="683" spans="1:11" x14ac:dyDescent="0.2">
      <c r="A683" s="5"/>
      <c r="B683" s="5"/>
      <c r="C683" s="5"/>
      <c r="D683" s="5"/>
      <c r="E683" s="5"/>
      <c r="K683" s="5"/>
    </row>
    <row r="684" spans="1:11" x14ac:dyDescent="0.2">
      <c r="A684" s="5"/>
      <c r="B684" s="5"/>
      <c r="C684" s="5"/>
      <c r="D684" s="5"/>
      <c r="E684" s="5"/>
      <c r="K684" s="5"/>
    </row>
    <row r="685" spans="1:11" x14ac:dyDescent="0.2">
      <c r="A685" s="5"/>
      <c r="B685" s="5"/>
      <c r="C685" s="5"/>
      <c r="D685" s="5"/>
      <c r="E685" s="5"/>
      <c r="K685" s="5"/>
    </row>
    <row r="686" spans="1:11" x14ac:dyDescent="0.2">
      <c r="A686" s="5"/>
      <c r="B686" s="5"/>
      <c r="C686" s="5"/>
      <c r="D686" s="5"/>
      <c r="E686" s="5"/>
      <c r="K686" s="5"/>
    </row>
    <row r="687" spans="1:11" x14ac:dyDescent="0.2">
      <c r="A687" s="5"/>
      <c r="B687" s="5"/>
      <c r="C687" s="5"/>
      <c r="D687" s="5"/>
      <c r="E687" s="5"/>
      <c r="K687" s="5"/>
    </row>
    <row r="688" spans="1:11" x14ac:dyDescent="0.2">
      <c r="A688" s="5"/>
      <c r="B688" s="5"/>
      <c r="C688" s="5"/>
      <c r="D688" s="5"/>
      <c r="E688" s="5"/>
      <c r="K688" s="5"/>
    </row>
    <row r="689" spans="1:11" x14ac:dyDescent="0.2">
      <c r="A689" s="5"/>
      <c r="B689" s="5"/>
      <c r="C689" s="5"/>
      <c r="D689" s="5"/>
      <c r="E689" s="5"/>
      <c r="K689" s="5"/>
    </row>
    <row r="690" spans="1:11" x14ac:dyDescent="0.2">
      <c r="A690" s="5"/>
      <c r="B690" s="5"/>
      <c r="C690" s="5"/>
      <c r="D690" s="5"/>
      <c r="E690" s="5"/>
      <c r="K690" s="5"/>
    </row>
    <row r="691" spans="1:11" x14ac:dyDescent="0.2">
      <c r="A691" s="5"/>
      <c r="B691" s="5"/>
      <c r="C691" s="5"/>
      <c r="D691" s="5"/>
      <c r="E691" s="5"/>
      <c r="K691" s="5"/>
    </row>
    <row r="692" spans="1:11" x14ac:dyDescent="0.2">
      <c r="A692" s="5"/>
      <c r="B692" s="5"/>
      <c r="C692" s="5"/>
      <c r="D692" s="5"/>
      <c r="E692" s="5"/>
      <c r="K692" s="5"/>
    </row>
    <row r="693" spans="1:11" x14ac:dyDescent="0.2">
      <c r="A693" s="5"/>
      <c r="B693" s="5"/>
      <c r="C693" s="5"/>
      <c r="D693" s="5"/>
      <c r="E693" s="5"/>
      <c r="K693" s="5"/>
    </row>
    <row r="694" spans="1:11" x14ac:dyDescent="0.2">
      <c r="A694" s="5"/>
      <c r="B694" s="5"/>
      <c r="C694" s="5"/>
      <c r="D694" s="5"/>
      <c r="E694" s="5"/>
      <c r="K694" s="5"/>
    </row>
    <row r="695" spans="1:11" x14ac:dyDescent="0.2">
      <c r="A695" s="5"/>
      <c r="B695" s="5"/>
      <c r="C695" s="5"/>
      <c r="D695" s="5"/>
      <c r="E695" s="5"/>
      <c r="K695" s="5"/>
    </row>
    <row r="696" spans="1:11" x14ac:dyDescent="0.2">
      <c r="A696" s="5"/>
      <c r="B696" s="5"/>
      <c r="C696" s="5"/>
      <c r="D696" s="5"/>
      <c r="E696" s="5"/>
      <c r="K696" s="5"/>
    </row>
    <row r="697" spans="1:11" x14ac:dyDescent="0.2">
      <c r="A697" s="5"/>
      <c r="B697" s="5"/>
      <c r="C697" s="5"/>
      <c r="D697" s="5"/>
      <c r="E697" s="5"/>
      <c r="K697" s="5"/>
    </row>
    <row r="698" spans="1:11" x14ac:dyDescent="0.2">
      <c r="A698" s="5"/>
      <c r="B698" s="5"/>
      <c r="C698" s="5"/>
      <c r="D698" s="5"/>
      <c r="E698" s="5"/>
      <c r="K698" s="5"/>
    </row>
    <row r="699" spans="1:11" x14ac:dyDescent="0.2">
      <c r="A699" s="5"/>
      <c r="B699" s="5"/>
      <c r="C699" s="5"/>
      <c r="D699" s="5"/>
      <c r="E699" s="5"/>
      <c r="K699" s="5"/>
    </row>
    <row r="700" spans="1:11" x14ac:dyDescent="0.2">
      <c r="A700" s="5"/>
      <c r="B700" s="5"/>
      <c r="C700" s="5"/>
      <c r="D700" s="5"/>
      <c r="E700" s="5"/>
      <c r="K700" s="5"/>
    </row>
    <row r="701" spans="1:11" x14ac:dyDescent="0.2">
      <c r="A701" s="5"/>
      <c r="B701" s="5"/>
      <c r="C701" s="5"/>
      <c r="D701" s="5"/>
      <c r="E701" s="5"/>
      <c r="K701" s="5"/>
    </row>
    <row r="702" spans="1:11" x14ac:dyDescent="0.2">
      <c r="A702" s="5"/>
      <c r="B702" s="5"/>
      <c r="C702" s="5"/>
      <c r="D702" s="5"/>
      <c r="E702" s="5"/>
      <c r="K702" s="5"/>
    </row>
    <row r="703" spans="1:11" x14ac:dyDescent="0.2">
      <c r="A703" s="5"/>
      <c r="B703" s="5"/>
      <c r="C703" s="5"/>
      <c r="D703" s="5"/>
      <c r="E703" s="5"/>
      <c r="K703" s="5"/>
    </row>
    <row r="704" spans="1:11" x14ac:dyDescent="0.2">
      <c r="A704" s="5"/>
      <c r="B704" s="5"/>
      <c r="C704" s="5"/>
      <c r="D704" s="5"/>
      <c r="E704" s="5"/>
      <c r="K704" s="5"/>
    </row>
    <row r="705" spans="1:11" x14ac:dyDescent="0.2">
      <c r="A705" s="5"/>
      <c r="B705" s="5"/>
      <c r="C705" s="5"/>
      <c r="D705" s="5"/>
      <c r="E705" s="5"/>
      <c r="K705" s="5"/>
    </row>
    <row r="706" spans="1:11" x14ac:dyDescent="0.2">
      <c r="A706" s="5"/>
      <c r="B706" s="5"/>
      <c r="C706" s="5"/>
      <c r="D706" s="5"/>
      <c r="E706" s="5"/>
      <c r="K706" s="5"/>
    </row>
    <row r="707" spans="1:11" x14ac:dyDescent="0.2">
      <c r="A707" s="5"/>
      <c r="B707" s="5"/>
      <c r="C707" s="5"/>
      <c r="D707" s="5"/>
      <c r="E707" s="5"/>
      <c r="K707" s="5"/>
    </row>
    <row r="708" spans="1:11" x14ac:dyDescent="0.2">
      <c r="A708" s="5"/>
      <c r="B708" s="5"/>
      <c r="C708" s="5"/>
      <c r="D708" s="5"/>
      <c r="E708" s="5"/>
      <c r="K708" s="5"/>
    </row>
    <row r="709" spans="1:11" x14ac:dyDescent="0.2">
      <c r="A709" s="5"/>
      <c r="B709" s="5"/>
      <c r="C709" s="5"/>
      <c r="D709" s="5"/>
      <c r="E709" s="5"/>
      <c r="K709" s="5"/>
    </row>
    <row r="710" spans="1:11" x14ac:dyDescent="0.2">
      <c r="A710" s="5"/>
      <c r="B710" s="5"/>
      <c r="C710" s="5"/>
      <c r="D710" s="5"/>
      <c r="E710" s="5"/>
      <c r="K710" s="5"/>
    </row>
    <row r="711" spans="1:11" x14ac:dyDescent="0.2">
      <c r="A711" s="5"/>
      <c r="B711" s="5"/>
      <c r="C711" s="5"/>
      <c r="D711" s="5"/>
      <c r="E711" s="5"/>
      <c r="K711" s="5"/>
    </row>
    <row r="712" spans="1:11" x14ac:dyDescent="0.2">
      <c r="A712" s="5"/>
      <c r="B712" s="5"/>
      <c r="C712" s="5"/>
      <c r="D712" s="5"/>
      <c r="E712" s="5"/>
      <c r="K712" s="5"/>
    </row>
    <row r="713" spans="1:11" x14ac:dyDescent="0.2">
      <c r="A713" s="5"/>
      <c r="B713" s="5"/>
      <c r="C713" s="5"/>
      <c r="D713" s="5"/>
      <c r="E713" s="5"/>
      <c r="K713" s="5"/>
    </row>
    <row r="714" spans="1:11" x14ac:dyDescent="0.2">
      <c r="A714" s="5"/>
      <c r="B714" s="5"/>
      <c r="C714" s="5"/>
      <c r="D714" s="5"/>
      <c r="E714" s="5"/>
      <c r="K714" s="5"/>
    </row>
    <row r="715" spans="1:11" x14ac:dyDescent="0.2">
      <c r="A715" s="5"/>
      <c r="B715" s="5"/>
      <c r="C715" s="5"/>
      <c r="D715" s="5"/>
      <c r="E715" s="5"/>
      <c r="K715" s="5"/>
    </row>
    <row r="716" spans="1:11" x14ac:dyDescent="0.2">
      <c r="A716" s="5"/>
      <c r="B716" s="5"/>
      <c r="C716" s="5"/>
      <c r="D716" s="5"/>
      <c r="E716" s="5"/>
      <c r="K716" s="5"/>
    </row>
    <row r="717" spans="1:11" x14ac:dyDescent="0.2">
      <c r="A717" s="5"/>
      <c r="B717" s="5"/>
      <c r="C717" s="5"/>
      <c r="D717" s="5"/>
      <c r="E717" s="5"/>
      <c r="K717" s="5"/>
    </row>
    <row r="718" spans="1:11" x14ac:dyDescent="0.2">
      <c r="A718" s="5"/>
      <c r="B718" s="5"/>
      <c r="C718" s="5"/>
      <c r="D718" s="5"/>
      <c r="E718" s="5"/>
      <c r="K718" s="5"/>
    </row>
    <row r="719" spans="1:11" x14ac:dyDescent="0.2">
      <c r="A719" s="5"/>
      <c r="B719" s="5"/>
      <c r="C719" s="5"/>
      <c r="D719" s="5"/>
      <c r="E719" s="5"/>
      <c r="K719" s="5"/>
    </row>
    <row r="720" spans="1:11" x14ac:dyDescent="0.2">
      <c r="A720" s="5"/>
      <c r="B720" s="5"/>
      <c r="C720" s="5"/>
      <c r="D720" s="5"/>
      <c r="E720" s="5"/>
      <c r="K720" s="5"/>
    </row>
    <row r="721" spans="1:11" x14ac:dyDescent="0.2">
      <c r="A721" s="5"/>
      <c r="B721" s="5"/>
      <c r="C721" s="5"/>
      <c r="D721" s="5"/>
      <c r="E721" s="5"/>
      <c r="K721" s="5"/>
    </row>
    <row r="722" spans="1:11" x14ac:dyDescent="0.2">
      <c r="A722" s="5"/>
      <c r="B722" s="5"/>
      <c r="C722" s="5"/>
      <c r="D722" s="5"/>
      <c r="E722" s="5"/>
      <c r="K722" s="5"/>
    </row>
    <row r="723" spans="1:11" x14ac:dyDescent="0.2">
      <c r="A723" s="5"/>
      <c r="B723" s="5"/>
      <c r="C723" s="5"/>
      <c r="D723" s="5"/>
      <c r="E723" s="5"/>
      <c r="K723" s="5"/>
    </row>
    <row r="724" spans="1:11" x14ac:dyDescent="0.2">
      <c r="A724" s="5"/>
      <c r="B724" s="5"/>
      <c r="C724" s="5"/>
      <c r="D724" s="5"/>
      <c r="E724" s="5"/>
      <c r="K724" s="5"/>
    </row>
    <row r="725" spans="1:11" x14ac:dyDescent="0.2">
      <c r="A725" s="5"/>
      <c r="B725" s="5"/>
      <c r="C725" s="5"/>
      <c r="D725" s="5"/>
      <c r="E725" s="5"/>
      <c r="K725" s="5"/>
    </row>
    <row r="726" spans="1:11" x14ac:dyDescent="0.2">
      <c r="A726" s="5"/>
      <c r="B726" s="5"/>
      <c r="C726" s="5"/>
      <c r="D726" s="5"/>
      <c r="E726" s="5"/>
      <c r="K726" s="5"/>
    </row>
    <row r="727" spans="1:11" x14ac:dyDescent="0.2">
      <c r="A727" s="5"/>
      <c r="B727" s="5"/>
      <c r="C727" s="5"/>
      <c r="D727" s="5"/>
      <c r="E727" s="5"/>
      <c r="K727" s="5"/>
    </row>
    <row r="728" spans="1:11" x14ac:dyDescent="0.2">
      <c r="A728" s="5"/>
      <c r="B728" s="5"/>
      <c r="C728" s="5"/>
      <c r="D728" s="5"/>
      <c r="E728" s="5"/>
      <c r="K728" s="5"/>
    </row>
    <row r="729" spans="1:11" x14ac:dyDescent="0.2">
      <c r="A729" s="5"/>
      <c r="B729" s="5"/>
      <c r="C729" s="5"/>
      <c r="D729" s="5"/>
      <c r="E729" s="5"/>
      <c r="K729" s="5"/>
    </row>
    <row r="730" spans="1:11" x14ac:dyDescent="0.2">
      <c r="A730" s="5"/>
      <c r="B730" s="5"/>
      <c r="C730" s="5"/>
      <c r="D730" s="5"/>
      <c r="E730" s="5"/>
      <c r="K730" s="5"/>
    </row>
    <row r="731" spans="1:11" x14ac:dyDescent="0.2">
      <c r="A731" s="5"/>
      <c r="B731" s="5"/>
      <c r="C731" s="5"/>
      <c r="D731" s="5"/>
      <c r="E731" s="5"/>
      <c r="K731" s="5"/>
    </row>
    <row r="732" spans="1:11" x14ac:dyDescent="0.2">
      <c r="A732" s="5"/>
      <c r="B732" s="5"/>
      <c r="C732" s="5"/>
      <c r="D732" s="5"/>
      <c r="E732" s="5"/>
      <c r="K732" s="5"/>
    </row>
    <row r="733" spans="1:11" x14ac:dyDescent="0.2">
      <c r="A733" s="5"/>
      <c r="B733" s="5"/>
      <c r="C733" s="5"/>
      <c r="D733" s="5"/>
      <c r="E733" s="5"/>
      <c r="K733" s="5"/>
    </row>
    <row r="734" spans="1:11" x14ac:dyDescent="0.2">
      <c r="A734" s="5"/>
      <c r="B734" s="5"/>
      <c r="C734" s="5"/>
      <c r="D734" s="5"/>
      <c r="E734" s="5"/>
      <c r="K734" s="5"/>
    </row>
    <row r="735" spans="1:11" x14ac:dyDescent="0.2">
      <c r="A735" s="5"/>
      <c r="B735" s="5"/>
      <c r="C735" s="5"/>
      <c r="D735" s="5"/>
      <c r="E735" s="5"/>
      <c r="K735" s="5"/>
    </row>
    <row r="736" spans="1:11" x14ac:dyDescent="0.2">
      <c r="A736" s="5"/>
      <c r="B736" s="5"/>
      <c r="C736" s="5"/>
      <c r="D736" s="5"/>
      <c r="E736" s="5"/>
      <c r="K736" s="5"/>
    </row>
    <row r="737" spans="1:11" x14ac:dyDescent="0.2">
      <c r="A737" s="5"/>
      <c r="B737" s="5"/>
      <c r="C737" s="5"/>
      <c r="D737" s="5"/>
      <c r="E737" s="5"/>
      <c r="K737" s="5"/>
    </row>
    <row r="738" spans="1:11" x14ac:dyDescent="0.2">
      <c r="A738" s="5"/>
      <c r="B738" s="5"/>
      <c r="C738" s="5"/>
      <c r="D738" s="5"/>
      <c r="E738" s="5"/>
      <c r="K738" s="5"/>
    </row>
    <row r="739" spans="1:11" x14ac:dyDescent="0.2">
      <c r="A739" s="5"/>
      <c r="B739" s="5"/>
      <c r="C739" s="5"/>
      <c r="D739" s="5"/>
      <c r="E739" s="5"/>
      <c r="K739" s="5"/>
    </row>
    <row r="740" spans="1:11" x14ac:dyDescent="0.2">
      <c r="A740" s="5"/>
      <c r="B740" s="5"/>
      <c r="C740" s="5"/>
      <c r="D740" s="5"/>
      <c r="E740" s="5"/>
      <c r="K740" s="5"/>
    </row>
    <row r="741" spans="1:11" x14ac:dyDescent="0.2">
      <c r="A741" s="5"/>
      <c r="B741" s="5"/>
      <c r="C741" s="5"/>
      <c r="D741" s="5"/>
      <c r="E741" s="5"/>
      <c r="K741" s="5"/>
    </row>
    <row r="742" spans="1:11" x14ac:dyDescent="0.2">
      <c r="A742" s="5"/>
      <c r="B742" s="5"/>
      <c r="C742" s="5"/>
      <c r="D742" s="5"/>
      <c r="E742" s="5"/>
      <c r="K742" s="5"/>
    </row>
    <row r="743" spans="1:11" x14ac:dyDescent="0.2">
      <c r="A743" s="5"/>
      <c r="B743" s="5"/>
      <c r="C743" s="5"/>
      <c r="D743" s="5"/>
      <c r="E743" s="5"/>
      <c r="K743" s="5"/>
    </row>
    <row r="744" spans="1:11" x14ac:dyDescent="0.2">
      <c r="A744" s="5"/>
      <c r="B744" s="5"/>
      <c r="C744" s="5"/>
      <c r="D744" s="5"/>
      <c r="E744" s="5"/>
      <c r="K744" s="5"/>
    </row>
    <row r="745" spans="1:11" x14ac:dyDescent="0.2">
      <c r="A745" s="5"/>
      <c r="B745" s="5"/>
      <c r="C745" s="5"/>
      <c r="D745" s="5"/>
      <c r="E745" s="5"/>
      <c r="K745" s="5"/>
    </row>
    <row r="746" spans="1:11" x14ac:dyDescent="0.2">
      <c r="A746" s="5"/>
      <c r="B746" s="5"/>
      <c r="C746" s="5"/>
      <c r="D746" s="5"/>
      <c r="E746" s="5"/>
      <c r="K746" s="5"/>
    </row>
    <row r="747" spans="1:11" x14ac:dyDescent="0.2">
      <c r="A747" s="5"/>
      <c r="B747" s="5"/>
      <c r="C747" s="5"/>
      <c r="D747" s="5"/>
      <c r="E747" s="5"/>
      <c r="K747" s="5"/>
    </row>
    <row r="748" spans="1:11" x14ac:dyDescent="0.2">
      <c r="A748" s="5"/>
      <c r="B748" s="5"/>
      <c r="C748" s="5"/>
      <c r="D748" s="5"/>
      <c r="E748" s="5"/>
      <c r="K748" s="5"/>
    </row>
    <row r="749" spans="1:11" x14ac:dyDescent="0.2">
      <c r="A749" s="5"/>
      <c r="B749" s="5"/>
      <c r="C749" s="5"/>
      <c r="D749" s="5"/>
      <c r="E749" s="5"/>
      <c r="K749" s="5"/>
    </row>
    <row r="750" spans="1:11" x14ac:dyDescent="0.2">
      <c r="A750" s="5"/>
      <c r="B750" s="5"/>
      <c r="C750" s="5"/>
      <c r="D750" s="5"/>
      <c r="E750" s="5"/>
      <c r="K750" s="5"/>
    </row>
    <row r="751" spans="1:11" x14ac:dyDescent="0.2">
      <c r="A751" s="5"/>
      <c r="B751" s="5"/>
      <c r="C751" s="5"/>
      <c r="D751" s="5"/>
      <c r="E751" s="5"/>
      <c r="K751" s="5"/>
    </row>
    <row r="752" spans="1:11" x14ac:dyDescent="0.2">
      <c r="A752" s="5"/>
      <c r="B752" s="5"/>
      <c r="C752" s="5"/>
      <c r="D752" s="5"/>
      <c r="E752" s="5"/>
      <c r="K752" s="5"/>
    </row>
    <row r="753" spans="1:11" x14ac:dyDescent="0.2">
      <c r="A753" s="5"/>
      <c r="B753" s="5"/>
      <c r="C753" s="5"/>
      <c r="D753" s="5"/>
      <c r="E753" s="5"/>
      <c r="K753" s="5"/>
    </row>
    <row r="754" spans="1:11" x14ac:dyDescent="0.2">
      <c r="A754" s="5"/>
      <c r="B754" s="5"/>
      <c r="C754" s="5"/>
      <c r="D754" s="5"/>
      <c r="E754" s="5"/>
      <c r="K754" s="5"/>
    </row>
    <row r="755" spans="1:11" x14ac:dyDescent="0.2">
      <c r="A755" s="5"/>
      <c r="B755" s="5"/>
      <c r="C755" s="5"/>
      <c r="D755" s="5"/>
      <c r="E755" s="5"/>
      <c r="K755" s="5"/>
    </row>
    <row r="756" spans="1:11" x14ac:dyDescent="0.2">
      <c r="A756" s="5"/>
      <c r="B756" s="5"/>
      <c r="C756" s="5"/>
      <c r="D756" s="5"/>
      <c r="E756" s="5"/>
      <c r="K756" s="5"/>
    </row>
    <row r="757" spans="1:11" x14ac:dyDescent="0.2">
      <c r="A757" s="5"/>
      <c r="B757" s="5"/>
      <c r="C757" s="5"/>
      <c r="D757" s="5"/>
      <c r="E757" s="5"/>
      <c r="K757" s="5"/>
    </row>
    <row r="758" spans="1:11" x14ac:dyDescent="0.2">
      <c r="A758" s="5"/>
      <c r="B758" s="5"/>
      <c r="C758" s="5"/>
      <c r="D758" s="5"/>
      <c r="E758" s="5"/>
      <c r="K758" s="5"/>
    </row>
    <row r="759" spans="1:11" x14ac:dyDescent="0.2">
      <c r="A759" s="5"/>
      <c r="B759" s="5"/>
      <c r="C759" s="5"/>
      <c r="D759" s="5"/>
      <c r="E759" s="5"/>
      <c r="K759" s="5"/>
    </row>
    <row r="760" spans="1:11" x14ac:dyDescent="0.2">
      <c r="A760" s="5"/>
      <c r="B760" s="5"/>
      <c r="C760" s="5"/>
      <c r="D760" s="5"/>
      <c r="E760" s="5"/>
      <c r="K760" s="5"/>
    </row>
    <row r="761" spans="1:11" x14ac:dyDescent="0.2">
      <c r="A761" s="5"/>
      <c r="B761" s="5"/>
      <c r="C761" s="5"/>
      <c r="D761" s="5"/>
      <c r="E761" s="5"/>
      <c r="K761" s="5"/>
    </row>
    <row r="762" spans="1:11" x14ac:dyDescent="0.2">
      <c r="A762" s="5"/>
      <c r="B762" s="5"/>
      <c r="C762" s="5"/>
      <c r="D762" s="5"/>
      <c r="E762" s="5"/>
      <c r="K762" s="5"/>
    </row>
    <row r="763" spans="1:11" x14ac:dyDescent="0.2">
      <c r="A763" s="5"/>
      <c r="B763" s="5"/>
      <c r="C763" s="5"/>
      <c r="D763" s="5"/>
      <c r="E763" s="5"/>
      <c r="K763" s="5"/>
    </row>
    <row r="764" spans="1:11" x14ac:dyDescent="0.2">
      <c r="A764" s="5"/>
      <c r="B764" s="5"/>
      <c r="C764" s="5"/>
      <c r="D764" s="5"/>
      <c r="E764" s="5"/>
      <c r="K764" s="5"/>
    </row>
    <row r="765" spans="1:11" x14ac:dyDescent="0.2">
      <c r="A765" s="5"/>
      <c r="B765" s="5"/>
      <c r="C765" s="5"/>
      <c r="D765" s="5"/>
      <c r="E765" s="5"/>
      <c r="K765" s="5"/>
    </row>
    <row r="766" spans="1:11" x14ac:dyDescent="0.2">
      <c r="A766" s="5"/>
      <c r="B766" s="5"/>
      <c r="C766" s="5"/>
      <c r="D766" s="5"/>
      <c r="E766" s="5"/>
      <c r="K766" s="5"/>
    </row>
    <row r="767" spans="1:11" x14ac:dyDescent="0.2">
      <c r="A767" s="5"/>
      <c r="B767" s="5"/>
      <c r="C767" s="5"/>
      <c r="D767" s="5"/>
      <c r="E767" s="5"/>
      <c r="K767" s="5"/>
    </row>
    <row r="768" spans="1:11" x14ac:dyDescent="0.2">
      <c r="A768" s="5"/>
      <c r="B768" s="5"/>
      <c r="C768" s="5"/>
      <c r="D768" s="5"/>
      <c r="E768" s="5"/>
      <c r="K768" s="5"/>
    </row>
    <row r="769" spans="1:11" x14ac:dyDescent="0.2">
      <c r="A769" s="5"/>
      <c r="B769" s="5"/>
      <c r="C769" s="5"/>
      <c r="D769" s="5"/>
      <c r="E769" s="5"/>
      <c r="K769" s="5"/>
    </row>
    <row r="770" spans="1:11" x14ac:dyDescent="0.2">
      <c r="A770" s="5"/>
      <c r="B770" s="5"/>
      <c r="C770" s="5"/>
      <c r="D770" s="5"/>
      <c r="E770" s="5"/>
      <c r="K770" s="5"/>
    </row>
    <row r="771" spans="1:11" x14ac:dyDescent="0.2">
      <c r="A771" s="5"/>
      <c r="B771" s="5"/>
      <c r="C771" s="5"/>
      <c r="D771" s="5"/>
      <c r="E771" s="5"/>
      <c r="K771" s="5"/>
    </row>
    <row r="772" spans="1:11" x14ac:dyDescent="0.2">
      <c r="A772" s="5"/>
      <c r="B772" s="5"/>
      <c r="C772" s="5"/>
      <c r="D772" s="5"/>
      <c r="E772" s="5"/>
      <c r="K772" s="5"/>
    </row>
    <row r="773" spans="1:11" x14ac:dyDescent="0.2">
      <c r="A773" s="5"/>
      <c r="B773" s="5"/>
      <c r="C773" s="5"/>
      <c r="D773" s="5"/>
      <c r="E773" s="5"/>
      <c r="K773" s="5"/>
    </row>
    <row r="774" spans="1:11" x14ac:dyDescent="0.2">
      <c r="A774" s="5"/>
      <c r="B774" s="5"/>
      <c r="C774" s="5"/>
      <c r="D774" s="5"/>
      <c r="E774" s="5"/>
      <c r="K774" s="5"/>
    </row>
    <row r="775" spans="1:11" x14ac:dyDescent="0.2">
      <c r="A775" s="5"/>
      <c r="B775" s="5"/>
      <c r="C775" s="5"/>
      <c r="D775" s="5"/>
      <c r="E775" s="5"/>
      <c r="K775" s="5"/>
    </row>
    <row r="776" spans="1:11" x14ac:dyDescent="0.2">
      <c r="A776" s="5"/>
      <c r="B776" s="5"/>
      <c r="C776" s="5"/>
      <c r="D776" s="5"/>
      <c r="E776" s="5"/>
      <c r="K776" s="5"/>
    </row>
    <row r="777" spans="1:11" x14ac:dyDescent="0.2">
      <c r="A777" s="5"/>
      <c r="B777" s="5"/>
      <c r="C777" s="5"/>
      <c r="D777" s="5"/>
      <c r="E777" s="5"/>
      <c r="K777" s="5"/>
    </row>
    <row r="778" spans="1:11" x14ac:dyDescent="0.2">
      <c r="A778" s="5"/>
      <c r="B778" s="5"/>
      <c r="C778" s="5"/>
      <c r="D778" s="5"/>
      <c r="E778" s="5"/>
      <c r="K778" s="5"/>
    </row>
    <row r="779" spans="1:11" x14ac:dyDescent="0.2">
      <c r="A779" s="5"/>
      <c r="B779" s="5"/>
      <c r="C779" s="5"/>
      <c r="D779" s="5"/>
      <c r="E779" s="5"/>
      <c r="K779" s="5"/>
    </row>
    <row r="780" spans="1:11" x14ac:dyDescent="0.2">
      <c r="A780" s="5"/>
      <c r="B780" s="5"/>
      <c r="C780" s="5"/>
      <c r="D780" s="5"/>
      <c r="E780" s="5"/>
      <c r="K780" s="5"/>
    </row>
    <row r="781" spans="1:11" x14ac:dyDescent="0.2">
      <c r="A781" s="5"/>
      <c r="B781" s="5"/>
      <c r="C781" s="5"/>
      <c r="D781" s="5"/>
      <c r="E781" s="5"/>
      <c r="K781" s="5"/>
    </row>
    <row r="782" spans="1:11" x14ac:dyDescent="0.2">
      <c r="A782" s="5"/>
      <c r="B782" s="5"/>
      <c r="C782" s="5"/>
      <c r="D782" s="5"/>
      <c r="E782" s="5"/>
      <c r="K782" s="5"/>
    </row>
    <row r="783" spans="1:11" x14ac:dyDescent="0.2">
      <c r="A783" s="5"/>
      <c r="B783" s="5"/>
      <c r="C783" s="5"/>
      <c r="D783" s="5"/>
      <c r="E783" s="5"/>
      <c r="K783" s="5"/>
    </row>
    <row r="784" spans="1:11" x14ac:dyDescent="0.2">
      <c r="A784" s="5"/>
      <c r="B784" s="5"/>
      <c r="C784" s="5"/>
      <c r="D784" s="5"/>
      <c r="E784" s="5"/>
      <c r="K784" s="5"/>
    </row>
    <row r="785" spans="1:11" x14ac:dyDescent="0.2">
      <c r="A785" s="5"/>
      <c r="B785" s="5"/>
      <c r="C785" s="5"/>
      <c r="D785" s="5"/>
      <c r="E785" s="5"/>
      <c r="K785" s="5"/>
    </row>
    <row r="786" spans="1:11" x14ac:dyDescent="0.2">
      <c r="A786" s="5"/>
      <c r="B786" s="5"/>
      <c r="C786" s="5"/>
      <c r="D786" s="5"/>
      <c r="E786" s="5"/>
      <c r="K786" s="5"/>
    </row>
    <row r="787" spans="1:11" x14ac:dyDescent="0.2">
      <c r="A787" s="5"/>
      <c r="B787" s="5"/>
      <c r="C787" s="5"/>
      <c r="D787" s="5"/>
      <c r="E787" s="5"/>
      <c r="K787" s="5"/>
    </row>
    <row r="788" spans="1:11" x14ac:dyDescent="0.2">
      <c r="A788" s="5"/>
      <c r="B788" s="5"/>
      <c r="C788" s="5"/>
      <c r="D788" s="5"/>
      <c r="E788" s="5"/>
      <c r="K788" s="5"/>
    </row>
    <row r="789" spans="1:11" x14ac:dyDescent="0.2">
      <c r="A789" s="5"/>
      <c r="B789" s="5"/>
      <c r="C789" s="5"/>
      <c r="D789" s="5"/>
      <c r="E789" s="5"/>
      <c r="K789" s="5"/>
    </row>
    <row r="790" spans="1:11" x14ac:dyDescent="0.2">
      <c r="A790" s="5"/>
      <c r="B790" s="5"/>
      <c r="C790" s="5"/>
      <c r="D790" s="5"/>
      <c r="E790" s="5"/>
      <c r="K790" s="5"/>
    </row>
    <row r="791" spans="1:11" x14ac:dyDescent="0.2">
      <c r="A791" s="5"/>
      <c r="B791" s="5"/>
      <c r="C791" s="5"/>
      <c r="D791" s="5"/>
      <c r="E791" s="5"/>
      <c r="K791" s="5"/>
    </row>
    <row r="792" spans="1:11" x14ac:dyDescent="0.2">
      <c r="A792" s="5"/>
      <c r="B792" s="5"/>
      <c r="C792" s="5"/>
      <c r="D792" s="5"/>
      <c r="E792" s="5"/>
      <c r="K792" s="5"/>
    </row>
    <row r="793" spans="1:11" x14ac:dyDescent="0.2">
      <c r="A793" s="5"/>
      <c r="B793" s="5"/>
      <c r="C793" s="5"/>
      <c r="D793" s="5"/>
      <c r="E793" s="5"/>
      <c r="K793" s="5"/>
    </row>
    <row r="794" spans="1:11" x14ac:dyDescent="0.2">
      <c r="A794" s="5"/>
      <c r="B794" s="5"/>
      <c r="C794" s="5"/>
      <c r="D794" s="5"/>
      <c r="E794" s="5"/>
      <c r="K794" s="5"/>
    </row>
    <row r="795" spans="1:11" x14ac:dyDescent="0.2">
      <c r="A795" s="5"/>
      <c r="B795" s="5"/>
      <c r="C795" s="5"/>
      <c r="D795" s="5"/>
      <c r="E795" s="5"/>
      <c r="K795" s="5"/>
    </row>
    <row r="796" spans="1:11" x14ac:dyDescent="0.2">
      <c r="A796" s="5"/>
      <c r="B796" s="5"/>
      <c r="C796" s="5"/>
      <c r="D796" s="5"/>
      <c r="E796" s="5"/>
      <c r="K796" s="5"/>
    </row>
    <row r="797" spans="1:11" x14ac:dyDescent="0.2">
      <c r="A797" s="5"/>
      <c r="B797" s="5"/>
      <c r="C797" s="5"/>
      <c r="D797" s="5"/>
      <c r="E797" s="5"/>
      <c r="K797" s="5"/>
    </row>
    <row r="798" spans="1:11" x14ac:dyDescent="0.2">
      <c r="A798" s="5"/>
      <c r="B798" s="5"/>
      <c r="C798" s="5"/>
      <c r="D798" s="5"/>
      <c r="E798" s="5"/>
      <c r="K798" s="5"/>
    </row>
    <row r="799" spans="1:11" x14ac:dyDescent="0.2">
      <c r="A799" s="5"/>
      <c r="B799" s="5"/>
      <c r="C799" s="5"/>
      <c r="D799" s="5"/>
      <c r="E799" s="5"/>
      <c r="K799" s="5"/>
    </row>
    <row r="800" spans="1:11" x14ac:dyDescent="0.2">
      <c r="A800" s="5"/>
      <c r="B800" s="5"/>
      <c r="C800" s="5"/>
      <c r="D800" s="5"/>
      <c r="E800" s="5"/>
      <c r="K800" s="5"/>
    </row>
    <row r="801" spans="1:11" x14ac:dyDescent="0.2">
      <c r="A801" s="5"/>
      <c r="B801" s="5"/>
      <c r="C801" s="5"/>
      <c r="D801" s="5"/>
      <c r="E801" s="5"/>
      <c r="K801" s="5"/>
    </row>
    <row r="802" spans="1:11" x14ac:dyDescent="0.2">
      <c r="A802" s="5"/>
      <c r="B802" s="5"/>
      <c r="C802" s="5"/>
      <c r="D802" s="5"/>
      <c r="E802" s="5"/>
      <c r="K802" s="5"/>
    </row>
    <row r="803" spans="1:11" x14ac:dyDescent="0.2">
      <c r="A803" s="5"/>
      <c r="B803" s="5"/>
      <c r="C803" s="5"/>
      <c r="D803" s="5"/>
      <c r="E803" s="5"/>
      <c r="K803" s="5"/>
    </row>
    <row r="804" spans="1:11" x14ac:dyDescent="0.2">
      <c r="A804" s="5"/>
      <c r="B804" s="5"/>
      <c r="C804" s="5"/>
      <c r="D804" s="5"/>
      <c r="E804" s="5"/>
      <c r="K804" s="5"/>
    </row>
    <row r="805" spans="1:11" x14ac:dyDescent="0.2">
      <c r="A805" s="5"/>
      <c r="B805" s="5"/>
      <c r="C805" s="5"/>
      <c r="D805" s="5"/>
      <c r="E805" s="5"/>
      <c r="K805" s="5"/>
    </row>
    <row r="806" spans="1:11" x14ac:dyDescent="0.2">
      <c r="A806" s="5"/>
      <c r="B806" s="5"/>
      <c r="C806" s="5"/>
      <c r="D806" s="5"/>
      <c r="E806" s="5"/>
      <c r="K806" s="5"/>
    </row>
    <row r="807" spans="1:11" x14ac:dyDescent="0.2">
      <c r="A807" s="5"/>
      <c r="B807" s="5"/>
      <c r="C807" s="5"/>
      <c r="D807" s="5"/>
      <c r="E807" s="5"/>
      <c r="K807" s="5"/>
    </row>
    <row r="808" spans="1:11" x14ac:dyDescent="0.2">
      <c r="A808" s="5"/>
      <c r="B808" s="5"/>
      <c r="C808" s="5"/>
      <c r="D808" s="5"/>
      <c r="E808" s="5"/>
      <c r="K808" s="5"/>
    </row>
    <row r="809" spans="1:11" x14ac:dyDescent="0.2">
      <c r="A809" s="5"/>
      <c r="B809" s="5"/>
      <c r="C809" s="5"/>
      <c r="D809" s="5"/>
      <c r="E809" s="5"/>
      <c r="K809" s="5"/>
    </row>
    <row r="810" spans="1:11" x14ac:dyDescent="0.2">
      <c r="A810" s="5"/>
      <c r="B810" s="5"/>
      <c r="C810" s="5"/>
      <c r="D810" s="5"/>
      <c r="E810" s="5"/>
      <c r="K810" s="5"/>
    </row>
    <row r="811" spans="1:11" x14ac:dyDescent="0.2">
      <c r="A811" s="5"/>
      <c r="B811" s="5"/>
      <c r="C811" s="5"/>
      <c r="D811" s="5"/>
      <c r="E811" s="5"/>
      <c r="K811" s="5"/>
    </row>
    <row r="812" spans="1:11" x14ac:dyDescent="0.2">
      <c r="A812" s="5"/>
      <c r="B812" s="5"/>
      <c r="C812" s="5"/>
      <c r="D812" s="5"/>
      <c r="E812" s="5"/>
      <c r="K812" s="5"/>
    </row>
    <row r="813" spans="1:11" x14ac:dyDescent="0.2">
      <c r="A813" s="5"/>
      <c r="B813" s="5"/>
      <c r="C813" s="5"/>
      <c r="D813" s="5"/>
      <c r="E813" s="5"/>
      <c r="K813" s="5"/>
    </row>
    <row r="814" spans="1:11" x14ac:dyDescent="0.2">
      <c r="A814" s="5"/>
      <c r="B814" s="5"/>
      <c r="C814" s="5"/>
      <c r="D814" s="5"/>
      <c r="E814" s="5"/>
      <c r="K814" s="5"/>
    </row>
    <row r="815" spans="1:11" x14ac:dyDescent="0.2">
      <c r="A815" s="5"/>
      <c r="B815" s="5"/>
      <c r="C815" s="5"/>
      <c r="D815" s="5"/>
      <c r="E815" s="5"/>
      <c r="K815" s="5"/>
    </row>
    <row r="816" spans="1:11" x14ac:dyDescent="0.2">
      <c r="A816" s="5"/>
      <c r="B816" s="5"/>
      <c r="C816" s="5"/>
      <c r="D816" s="5"/>
      <c r="E816" s="5"/>
      <c r="K816" s="5"/>
    </row>
    <row r="817" spans="1:11" x14ac:dyDescent="0.2">
      <c r="A817" s="5"/>
      <c r="B817" s="5"/>
      <c r="C817" s="5"/>
      <c r="D817" s="5"/>
      <c r="E817" s="5"/>
      <c r="K817" s="5"/>
    </row>
    <row r="818" spans="1:11" x14ac:dyDescent="0.2">
      <c r="A818" s="5"/>
      <c r="B818" s="5"/>
      <c r="C818" s="5"/>
      <c r="D818" s="5"/>
      <c r="E818" s="5"/>
      <c r="K818" s="5"/>
    </row>
    <row r="819" spans="1:11" x14ac:dyDescent="0.2">
      <c r="A819" s="5"/>
      <c r="B819" s="5"/>
      <c r="C819" s="5"/>
      <c r="D819" s="5"/>
      <c r="E819" s="5"/>
      <c r="K819" s="5"/>
    </row>
    <row r="820" spans="1:11" x14ac:dyDescent="0.2">
      <c r="A820" s="5"/>
      <c r="B820" s="5"/>
      <c r="C820" s="5"/>
      <c r="D820" s="5"/>
      <c r="E820" s="5"/>
      <c r="K820" s="5"/>
    </row>
    <row r="821" spans="1:11" x14ac:dyDescent="0.2">
      <c r="A821" s="5"/>
      <c r="B821" s="5"/>
      <c r="C821" s="5"/>
      <c r="D821" s="5"/>
      <c r="E821" s="5"/>
      <c r="K821" s="5"/>
    </row>
    <row r="822" spans="1:11" x14ac:dyDescent="0.2">
      <c r="A822" s="5"/>
      <c r="B822" s="5"/>
      <c r="C822" s="5"/>
      <c r="D822" s="5"/>
      <c r="E822" s="5"/>
      <c r="K822" s="5"/>
    </row>
    <row r="823" spans="1:11" x14ac:dyDescent="0.2">
      <c r="A823" s="5"/>
      <c r="B823" s="5"/>
      <c r="C823" s="5"/>
      <c r="D823" s="5"/>
      <c r="E823" s="5"/>
      <c r="K823" s="5"/>
    </row>
    <row r="824" spans="1:11" x14ac:dyDescent="0.2">
      <c r="A824" s="5"/>
      <c r="B824" s="5"/>
      <c r="C824" s="5"/>
      <c r="D824" s="5"/>
      <c r="E824" s="5"/>
      <c r="K824" s="5"/>
    </row>
    <row r="825" spans="1:11" x14ac:dyDescent="0.2">
      <c r="A825" s="5"/>
      <c r="B825" s="5"/>
      <c r="C825" s="5"/>
      <c r="D825" s="5"/>
      <c r="E825" s="5"/>
      <c r="K825" s="5"/>
    </row>
    <row r="826" spans="1:11" x14ac:dyDescent="0.2">
      <c r="A826" s="5"/>
      <c r="B826" s="5"/>
      <c r="C826" s="5"/>
      <c r="D826" s="5"/>
      <c r="E826" s="5"/>
      <c r="K826" s="5"/>
    </row>
    <row r="827" spans="1:11" x14ac:dyDescent="0.2">
      <c r="A827" s="5"/>
      <c r="B827" s="5"/>
      <c r="C827" s="5"/>
      <c r="D827" s="5"/>
      <c r="E827" s="5"/>
      <c r="K827" s="5"/>
    </row>
    <row r="828" spans="1:11" x14ac:dyDescent="0.2">
      <c r="A828" s="5"/>
      <c r="B828" s="5"/>
      <c r="C828" s="5"/>
      <c r="D828" s="5"/>
      <c r="E828" s="5"/>
      <c r="K828" s="5"/>
    </row>
    <row r="829" spans="1:11" x14ac:dyDescent="0.2">
      <c r="A829" s="5"/>
      <c r="B829" s="5"/>
      <c r="C829" s="5"/>
      <c r="D829" s="5"/>
      <c r="E829" s="5"/>
      <c r="K829" s="5"/>
    </row>
    <row r="830" spans="1:11" x14ac:dyDescent="0.2">
      <c r="A830" s="5"/>
      <c r="B830" s="5"/>
      <c r="C830" s="5"/>
      <c r="D830" s="5"/>
      <c r="E830" s="5"/>
      <c r="K830" s="5"/>
    </row>
    <row r="831" spans="1:11" x14ac:dyDescent="0.2">
      <c r="A831" s="5"/>
      <c r="B831" s="5"/>
      <c r="C831" s="5"/>
      <c r="D831" s="5"/>
      <c r="E831" s="5"/>
      <c r="K831" s="5"/>
    </row>
    <row r="832" spans="1:11" x14ac:dyDescent="0.2">
      <c r="A832" s="5"/>
      <c r="B832" s="5"/>
      <c r="C832" s="5"/>
      <c r="D832" s="5"/>
      <c r="E832" s="5"/>
      <c r="K832" s="5"/>
    </row>
    <row r="833" spans="1:11" x14ac:dyDescent="0.2">
      <c r="A833" s="5"/>
      <c r="B833" s="5"/>
      <c r="C833" s="5"/>
      <c r="D833" s="5"/>
      <c r="E833" s="5"/>
      <c r="K833" s="5"/>
    </row>
    <row r="834" spans="1:11" x14ac:dyDescent="0.2">
      <c r="A834" s="5"/>
      <c r="B834" s="5"/>
      <c r="C834" s="5"/>
      <c r="D834" s="5"/>
      <c r="E834" s="5"/>
      <c r="K834" s="5"/>
    </row>
    <row r="835" spans="1:11" x14ac:dyDescent="0.2">
      <c r="A835" s="5"/>
      <c r="B835" s="5"/>
      <c r="C835" s="5"/>
      <c r="D835" s="5"/>
      <c r="E835" s="5"/>
      <c r="K835" s="5"/>
    </row>
    <row r="836" spans="1:11" x14ac:dyDescent="0.2">
      <c r="A836" s="5"/>
      <c r="B836" s="5"/>
      <c r="C836" s="5"/>
      <c r="D836" s="5"/>
      <c r="E836" s="5"/>
      <c r="K836" s="5"/>
    </row>
    <row r="837" spans="1:11" x14ac:dyDescent="0.2">
      <c r="A837" s="5"/>
      <c r="B837" s="5"/>
      <c r="C837" s="5"/>
      <c r="D837" s="5"/>
      <c r="E837" s="5"/>
      <c r="K837" s="5"/>
    </row>
    <row r="838" spans="1:11" x14ac:dyDescent="0.2">
      <c r="A838" s="5"/>
      <c r="B838" s="5"/>
      <c r="C838" s="5"/>
      <c r="D838" s="5"/>
      <c r="E838" s="5"/>
      <c r="K838" s="5"/>
    </row>
    <row r="839" spans="1:11" x14ac:dyDescent="0.2">
      <c r="A839" s="5"/>
      <c r="B839" s="5"/>
      <c r="C839" s="5"/>
      <c r="D839" s="5"/>
      <c r="E839" s="5"/>
      <c r="K839" s="5"/>
    </row>
    <row r="840" spans="1:11" x14ac:dyDescent="0.2">
      <c r="A840" s="5"/>
      <c r="B840" s="5"/>
      <c r="C840" s="5"/>
      <c r="D840" s="5"/>
      <c r="E840" s="5"/>
      <c r="K840" s="5"/>
    </row>
    <row r="841" spans="1:11" x14ac:dyDescent="0.2">
      <c r="A841" s="5"/>
      <c r="B841" s="5"/>
      <c r="C841" s="5"/>
      <c r="D841" s="5"/>
      <c r="E841" s="5"/>
      <c r="K841" s="5"/>
    </row>
    <row r="842" spans="1:11" x14ac:dyDescent="0.2">
      <c r="A842" s="5"/>
      <c r="B842" s="5"/>
      <c r="C842" s="5"/>
      <c r="D842" s="5"/>
      <c r="E842" s="5"/>
      <c r="K842" s="5"/>
    </row>
    <row r="843" spans="1:11" x14ac:dyDescent="0.2">
      <c r="A843" s="5"/>
      <c r="B843" s="5"/>
      <c r="C843" s="5"/>
      <c r="D843" s="5"/>
      <c r="E843" s="5"/>
      <c r="K843" s="5"/>
    </row>
    <row r="844" spans="1:11" x14ac:dyDescent="0.2">
      <c r="A844" s="5"/>
      <c r="B844" s="5"/>
      <c r="C844" s="5"/>
      <c r="D844" s="5"/>
      <c r="E844" s="5"/>
      <c r="K844" s="5"/>
    </row>
    <row r="845" spans="1:11" x14ac:dyDescent="0.2">
      <c r="A845" s="5"/>
      <c r="B845" s="5"/>
      <c r="C845" s="5"/>
      <c r="D845" s="5"/>
      <c r="E845" s="5"/>
      <c r="K845" s="5"/>
    </row>
    <row r="846" spans="1:11" x14ac:dyDescent="0.2">
      <c r="A846" s="5"/>
      <c r="B846" s="5"/>
      <c r="C846" s="5"/>
      <c r="D846" s="5"/>
      <c r="E846" s="5"/>
      <c r="K846" s="5"/>
    </row>
    <row r="847" spans="1:11" x14ac:dyDescent="0.2">
      <c r="A847" s="5"/>
      <c r="B847" s="5"/>
      <c r="C847" s="5"/>
      <c r="D847" s="5"/>
      <c r="E847" s="5"/>
      <c r="K847" s="5"/>
    </row>
    <row r="848" spans="1:11" x14ac:dyDescent="0.2">
      <c r="A848" s="5"/>
      <c r="B848" s="5"/>
      <c r="C848" s="5"/>
      <c r="D848" s="5"/>
      <c r="E848" s="5"/>
      <c r="K848" s="5"/>
    </row>
    <row r="849" spans="1:11" x14ac:dyDescent="0.2">
      <c r="A849" s="5"/>
      <c r="B849" s="5"/>
      <c r="C849" s="5"/>
      <c r="D849" s="5"/>
      <c r="E849" s="5"/>
      <c r="K849" s="5"/>
    </row>
    <row r="850" spans="1:11" x14ac:dyDescent="0.2">
      <c r="A850" s="5"/>
      <c r="B850" s="5"/>
      <c r="C850" s="5"/>
      <c r="D850" s="5"/>
      <c r="E850" s="5"/>
      <c r="K850" s="5"/>
    </row>
    <row r="851" spans="1:11" x14ac:dyDescent="0.2">
      <c r="A851" s="5"/>
      <c r="B851" s="5"/>
      <c r="C851" s="5"/>
      <c r="D851" s="5"/>
      <c r="E851" s="5"/>
      <c r="K851" s="5"/>
    </row>
    <row r="852" spans="1:11" x14ac:dyDescent="0.2">
      <c r="A852" s="5"/>
      <c r="B852" s="5"/>
      <c r="C852" s="5"/>
      <c r="D852" s="5"/>
      <c r="E852" s="5"/>
      <c r="K852" s="5"/>
    </row>
    <row r="853" spans="1:11" x14ac:dyDescent="0.2">
      <c r="A853" s="5"/>
      <c r="B853" s="5"/>
      <c r="C853" s="5"/>
      <c r="D853" s="5"/>
      <c r="E853" s="5"/>
      <c r="K853" s="5"/>
    </row>
    <row r="854" spans="1:11" x14ac:dyDescent="0.2">
      <c r="A854" s="5"/>
      <c r="B854" s="5"/>
      <c r="C854" s="5"/>
      <c r="D854" s="5"/>
      <c r="E854" s="5"/>
      <c r="K854" s="5"/>
    </row>
    <row r="855" spans="1:11" x14ac:dyDescent="0.2">
      <c r="A855" s="5"/>
      <c r="B855" s="5"/>
      <c r="C855" s="5"/>
      <c r="D855" s="5"/>
      <c r="E855" s="5"/>
      <c r="K855" s="5"/>
    </row>
    <row r="856" spans="1:11" x14ac:dyDescent="0.2">
      <c r="A856" s="5"/>
      <c r="B856" s="5"/>
      <c r="C856" s="5"/>
      <c r="D856" s="5"/>
      <c r="E856" s="5"/>
      <c r="K856" s="5"/>
    </row>
    <row r="857" spans="1:11" x14ac:dyDescent="0.2">
      <c r="A857" s="5"/>
      <c r="B857" s="5"/>
      <c r="C857" s="5"/>
      <c r="D857" s="5"/>
      <c r="E857" s="5"/>
      <c r="K857" s="5"/>
    </row>
    <row r="858" spans="1:11" x14ac:dyDescent="0.2">
      <c r="A858" s="5"/>
      <c r="B858" s="5"/>
      <c r="C858" s="5"/>
      <c r="D858" s="5"/>
      <c r="E858" s="5"/>
      <c r="K858" s="5"/>
    </row>
    <row r="859" spans="1:11" x14ac:dyDescent="0.2">
      <c r="A859" s="5"/>
      <c r="B859" s="5"/>
      <c r="C859" s="5"/>
      <c r="D859" s="5"/>
      <c r="E859" s="5"/>
      <c r="K859" s="5"/>
    </row>
    <row r="860" spans="1:11" x14ac:dyDescent="0.2">
      <c r="A860" s="5"/>
      <c r="B860" s="5"/>
      <c r="C860" s="5"/>
      <c r="D860" s="5"/>
      <c r="E860" s="5"/>
      <c r="K860" s="5"/>
    </row>
    <row r="861" spans="1:11" x14ac:dyDescent="0.2">
      <c r="A861" s="5"/>
      <c r="B861" s="5"/>
      <c r="C861" s="5"/>
      <c r="D861" s="5"/>
      <c r="E861" s="5"/>
      <c r="K861" s="5"/>
    </row>
    <row r="862" spans="1:11" x14ac:dyDescent="0.2">
      <c r="A862" s="5"/>
      <c r="B862" s="5"/>
      <c r="C862" s="5"/>
      <c r="D862" s="5"/>
      <c r="E862" s="5"/>
      <c r="K862" s="5"/>
    </row>
    <row r="863" spans="1:11" x14ac:dyDescent="0.2">
      <c r="A863" s="5"/>
      <c r="B863" s="5"/>
      <c r="C863" s="5"/>
      <c r="D863" s="5"/>
      <c r="E863" s="5"/>
      <c r="K863" s="5"/>
    </row>
    <row r="864" spans="1:11" x14ac:dyDescent="0.2">
      <c r="A864" s="5"/>
      <c r="B864" s="5"/>
      <c r="C864" s="5"/>
      <c r="D864" s="5"/>
      <c r="E864" s="5"/>
      <c r="K864" s="5"/>
    </row>
    <row r="865" spans="1:11" x14ac:dyDescent="0.2">
      <c r="A865" s="5"/>
      <c r="B865" s="5"/>
      <c r="C865" s="5"/>
      <c r="D865" s="5"/>
      <c r="E865" s="5"/>
      <c r="K865" s="5"/>
    </row>
    <row r="866" spans="1:11" x14ac:dyDescent="0.2">
      <c r="A866" s="5"/>
      <c r="B866" s="5"/>
      <c r="C866" s="5"/>
      <c r="D866" s="5"/>
      <c r="E866" s="5"/>
      <c r="K866" s="5"/>
    </row>
    <row r="867" spans="1:11" x14ac:dyDescent="0.2">
      <c r="A867" s="5"/>
      <c r="B867" s="5"/>
      <c r="C867" s="5"/>
      <c r="D867" s="5"/>
      <c r="E867" s="5"/>
      <c r="K867" s="5"/>
    </row>
    <row r="868" spans="1:11" x14ac:dyDescent="0.2">
      <c r="A868" s="5"/>
      <c r="B868" s="5"/>
      <c r="C868" s="5"/>
      <c r="D868" s="5"/>
      <c r="E868" s="5"/>
      <c r="K868" s="5"/>
    </row>
    <row r="869" spans="1:11" x14ac:dyDescent="0.2">
      <c r="A869" s="5"/>
      <c r="B869" s="5"/>
      <c r="C869" s="5"/>
      <c r="D869" s="5"/>
      <c r="E869" s="5"/>
      <c r="K869" s="5"/>
    </row>
    <row r="870" spans="1:11" x14ac:dyDescent="0.2">
      <c r="A870" s="5"/>
      <c r="B870" s="5"/>
      <c r="C870" s="5"/>
      <c r="D870" s="5"/>
      <c r="E870" s="5"/>
      <c r="K870" s="5"/>
    </row>
    <row r="871" spans="1:11" x14ac:dyDescent="0.2">
      <c r="A871" s="5"/>
      <c r="B871" s="5"/>
      <c r="C871" s="5"/>
      <c r="D871" s="5"/>
      <c r="E871" s="5"/>
      <c r="K871" s="5"/>
    </row>
    <row r="872" spans="1:11" x14ac:dyDescent="0.2">
      <c r="A872" s="5"/>
      <c r="B872" s="5"/>
      <c r="C872" s="5"/>
      <c r="D872" s="5"/>
      <c r="E872" s="5"/>
      <c r="K872" s="5"/>
    </row>
    <row r="873" spans="1:11" x14ac:dyDescent="0.2">
      <c r="A873" s="5"/>
      <c r="B873" s="5"/>
      <c r="C873" s="5"/>
      <c r="D873" s="5"/>
      <c r="E873" s="5"/>
      <c r="K873" s="5"/>
    </row>
    <row r="874" spans="1:11" x14ac:dyDescent="0.2">
      <c r="A874" s="5"/>
      <c r="B874" s="5"/>
      <c r="C874" s="5"/>
      <c r="D874" s="5"/>
      <c r="E874" s="5"/>
      <c r="K874" s="5"/>
    </row>
    <row r="875" spans="1:11" x14ac:dyDescent="0.2">
      <c r="A875" s="5"/>
      <c r="B875" s="5"/>
      <c r="C875" s="5"/>
      <c r="D875" s="5"/>
      <c r="E875" s="5"/>
      <c r="K875" s="5"/>
    </row>
    <row r="876" spans="1:11" x14ac:dyDescent="0.2">
      <c r="A876" s="5"/>
      <c r="B876" s="5"/>
      <c r="C876" s="5"/>
      <c r="D876" s="5"/>
      <c r="E876" s="5"/>
      <c r="K876" s="5"/>
    </row>
    <row r="877" spans="1:11" x14ac:dyDescent="0.2">
      <c r="A877" s="5"/>
      <c r="B877" s="5"/>
      <c r="C877" s="5"/>
      <c r="D877" s="5"/>
      <c r="E877" s="5"/>
      <c r="K877" s="5"/>
    </row>
    <row r="878" spans="1:11" x14ac:dyDescent="0.2">
      <c r="A878" s="5"/>
      <c r="B878" s="5"/>
      <c r="C878" s="5"/>
      <c r="D878" s="5"/>
      <c r="E878" s="5"/>
      <c r="K878" s="5"/>
    </row>
    <row r="879" spans="1:11" x14ac:dyDescent="0.2">
      <c r="A879" s="5"/>
      <c r="B879" s="5"/>
      <c r="C879" s="5"/>
      <c r="D879" s="5"/>
      <c r="E879" s="5"/>
      <c r="K879" s="5"/>
    </row>
    <row r="880" spans="1:11" x14ac:dyDescent="0.2">
      <c r="A880" s="5"/>
      <c r="B880" s="5"/>
      <c r="C880" s="5"/>
      <c r="D880" s="5"/>
      <c r="E880" s="5"/>
      <c r="K880" s="5"/>
    </row>
    <row r="881" spans="1:11" x14ac:dyDescent="0.2">
      <c r="A881" s="5"/>
      <c r="B881" s="5"/>
      <c r="C881" s="5"/>
      <c r="D881" s="5"/>
      <c r="E881" s="5"/>
      <c r="K881" s="5"/>
    </row>
    <row r="882" spans="1:11" x14ac:dyDescent="0.2">
      <c r="A882" s="5"/>
      <c r="B882" s="5"/>
      <c r="C882" s="5"/>
      <c r="D882" s="5"/>
      <c r="E882" s="5"/>
      <c r="K882" s="5"/>
    </row>
    <row r="883" spans="1:11" x14ac:dyDescent="0.2">
      <c r="A883" s="5"/>
      <c r="B883" s="5"/>
      <c r="C883" s="5"/>
      <c r="D883" s="5"/>
      <c r="E883" s="5"/>
      <c r="K883" s="5"/>
    </row>
    <row r="884" spans="1:11" x14ac:dyDescent="0.2">
      <c r="A884" s="5"/>
      <c r="B884" s="5"/>
      <c r="C884" s="5"/>
      <c r="D884" s="5"/>
      <c r="E884" s="5"/>
      <c r="K884" s="5"/>
    </row>
    <row r="885" spans="1:11" x14ac:dyDescent="0.2">
      <c r="A885" s="5"/>
      <c r="B885" s="5"/>
      <c r="C885" s="5"/>
      <c r="D885" s="5"/>
      <c r="E885" s="5"/>
      <c r="K885" s="5"/>
    </row>
    <row r="886" spans="1:11" x14ac:dyDescent="0.2">
      <c r="A886" s="5"/>
      <c r="B886" s="5"/>
      <c r="C886" s="5"/>
      <c r="D886" s="5"/>
      <c r="E886" s="5"/>
      <c r="K886" s="5"/>
    </row>
    <row r="887" spans="1:11" x14ac:dyDescent="0.2">
      <c r="A887" s="5"/>
      <c r="B887" s="5"/>
      <c r="C887" s="5"/>
      <c r="D887" s="5"/>
      <c r="E887" s="5"/>
      <c r="K887" s="5"/>
    </row>
    <row r="888" spans="1:11" x14ac:dyDescent="0.2">
      <c r="A888" s="5"/>
      <c r="B888" s="5"/>
      <c r="C888" s="5"/>
      <c r="D888" s="5"/>
      <c r="E888" s="5"/>
      <c r="K888" s="5"/>
    </row>
    <row r="889" spans="1:11" x14ac:dyDescent="0.2">
      <c r="A889" s="5"/>
      <c r="B889" s="5"/>
      <c r="C889" s="5"/>
      <c r="D889" s="5"/>
      <c r="E889" s="5"/>
      <c r="K889" s="5"/>
    </row>
    <row r="890" spans="1:11" x14ac:dyDescent="0.2">
      <c r="A890" s="5"/>
      <c r="B890" s="5"/>
      <c r="C890" s="5"/>
      <c r="D890" s="5"/>
      <c r="E890" s="5"/>
      <c r="K890" s="5"/>
    </row>
    <row r="891" spans="1:11" x14ac:dyDescent="0.2">
      <c r="A891" s="5"/>
      <c r="B891" s="5"/>
      <c r="C891" s="5"/>
      <c r="D891" s="5"/>
      <c r="E891" s="5"/>
      <c r="K891" s="5"/>
    </row>
    <row r="892" spans="1:11" x14ac:dyDescent="0.2">
      <c r="A892" s="5"/>
      <c r="B892" s="5"/>
      <c r="C892" s="5"/>
      <c r="D892" s="5"/>
      <c r="E892" s="5"/>
      <c r="K892" s="5"/>
    </row>
    <row r="893" spans="1:11" x14ac:dyDescent="0.2">
      <c r="A893" s="5"/>
      <c r="B893" s="5"/>
      <c r="C893" s="5"/>
      <c r="D893" s="5"/>
      <c r="E893" s="5"/>
      <c r="K893" s="5"/>
    </row>
    <row r="894" spans="1:11" x14ac:dyDescent="0.2">
      <c r="A894" s="5"/>
      <c r="B894" s="5"/>
      <c r="C894" s="5"/>
      <c r="D894" s="5"/>
      <c r="E894" s="5"/>
      <c r="K894" s="5"/>
    </row>
    <row r="895" spans="1:11" x14ac:dyDescent="0.2">
      <c r="A895" s="5"/>
      <c r="B895" s="5"/>
      <c r="C895" s="5"/>
      <c r="D895" s="5"/>
      <c r="E895" s="5"/>
      <c r="K895" s="5"/>
    </row>
    <row r="896" spans="1:11" x14ac:dyDescent="0.2">
      <c r="A896" s="5"/>
      <c r="B896" s="5"/>
      <c r="C896" s="5"/>
      <c r="D896" s="5"/>
      <c r="E896" s="5"/>
      <c r="K896" s="5"/>
    </row>
    <row r="897" spans="1:11" x14ac:dyDescent="0.2">
      <c r="A897" s="5"/>
      <c r="B897" s="5"/>
      <c r="C897" s="5"/>
      <c r="D897" s="5"/>
      <c r="E897" s="5"/>
      <c r="K897" s="5"/>
    </row>
    <row r="898" spans="1:11" x14ac:dyDescent="0.2">
      <c r="A898" s="5"/>
      <c r="B898" s="5"/>
      <c r="C898" s="5"/>
      <c r="D898" s="5"/>
      <c r="E898" s="5"/>
      <c r="K898" s="5"/>
    </row>
    <row r="899" spans="1:11" x14ac:dyDescent="0.2">
      <c r="A899" s="5"/>
      <c r="B899" s="5"/>
      <c r="C899" s="5"/>
      <c r="D899" s="5"/>
      <c r="E899" s="5"/>
      <c r="K899" s="5"/>
    </row>
    <row r="900" spans="1:11" x14ac:dyDescent="0.2">
      <c r="A900" s="5"/>
      <c r="B900" s="5"/>
      <c r="C900" s="5"/>
      <c r="D900" s="5"/>
      <c r="E900" s="5"/>
      <c r="K900" s="5"/>
    </row>
    <row r="901" spans="1:11" x14ac:dyDescent="0.2">
      <c r="A901" s="5"/>
      <c r="B901" s="5"/>
      <c r="C901" s="5"/>
      <c r="D901" s="5"/>
      <c r="E901" s="5"/>
      <c r="K901" s="5"/>
    </row>
    <row r="902" spans="1:11" x14ac:dyDescent="0.2">
      <c r="A902" s="5"/>
      <c r="B902" s="5"/>
      <c r="C902" s="5"/>
      <c r="D902" s="5"/>
      <c r="E902" s="5"/>
      <c r="K902" s="5"/>
    </row>
    <row r="903" spans="1:11" x14ac:dyDescent="0.2">
      <c r="A903" s="5"/>
      <c r="B903" s="5"/>
      <c r="C903" s="5"/>
      <c r="D903" s="5"/>
      <c r="E903" s="5"/>
      <c r="K903" s="5"/>
    </row>
    <row r="904" spans="1:11" x14ac:dyDescent="0.2">
      <c r="A904" s="5"/>
      <c r="B904" s="5"/>
      <c r="C904" s="5"/>
      <c r="D904" s="5"/>
      <c r="E904" s="5"/>
      <c r="K904" s="5"/>
    </row>
    <row r="905" spans="1:11" x14ac:dyDescent="0.2">
      <c r="A905" s="5"/>
      <c r="B905" s="5"/>
      <c r="C905" s="5"/>
      <c r="D905" s="5"/>
      <c r="E905" s="5"/>
      <c r="K905" s="5"/>
    </row>
    <row r="906" spans="1:11" x14ac:dyDescent="0.2">
      <c r="A906" s="5"/>
      <c r="B906" s="5"/>
      <c r="C906" s="5"/>
      <c r="D906" s="5"/>
      <c r="E906" s="5"/>
      <c r="K906" s="5"/>
    </row>
    <row r="907" spans="1:11" x14ac:dyDescent="0.2">
      <c r="A907" s="5"/>
      <c r="B907" s="5"/>
      <c r="C907" s="5"/>
      <c r="D907" s="5"/>
      <c r="E907" s="5"/>
      <c r="K907" s="5"/>
    </row>
    <row r="908" spans="1:11" x14ac:dyDescent="0.2">
      <c r="A908" s="5"/>
      <c r="B908" s="5"/>
      <c r="C908" s="5"/>
      <c r="D908" s="5"/>
      <c r="E908" s="5"/>
      <c r="K908" s="5"/>
    </row>
    <row r="909" spans="1:11" x14ac:dyDescent="0.2">
      <c r="A909" s="5"/>
      <c r="B909" s="5"/>
      <c r="C909" s="5"/>
      <c r="D909" s="5"/>
      <c r="E909" s="5"/>
      <c r="K909" s="5"/>
    </row>
    <row r="910" spans="1:11" x14ac:dyDescent="0.2">
      <c r="A910" s="5"/>
      <c r="B910" s="5"/>
      <c r="C910" s="5"/>
      <c r="D910" s="5"/>
      <c r="E910" s="5"/>
      <c r="K910" s="5"/>
    </row>
    <row r="911" spans="1:11" x14ac:dyDescent="0.2">
      <c r="A911" s="5"/>
      <c r="B911" s="5"/>
      <c r="C911" s="5"/>
      <c r="D911" s="5"/>
      <c r="E911" s="5"/>
      <c r="K911" s="5"/>
    </row>
    <row r="912" spans="1:11" x14ac:dyDescent="0.2">
      <c r="A912" s="5"/>
      <c r="B912" s="5"/>
      <c r="C912" s="5"/>
      <c r="D912" s="5"/>
      <c r="E912" s="5"/>
      <c r="K912" s="5"/>
    </row>
    <row r="913" spans="1:11" x14ac:dyDescent="0.2">
      <c r="A913" s="5"/>
      <c r="B913" s="5"/>
      <c r="C913" s="5"/>
      <c r="D913" s="5"/>
      <c r="E913" s="5"/>
      <c r="K913" s="5"/>
    </row>
    <row r="914" spans="1:11" x14ac:dyDescent="0.2">
      <c r="A914" s="5"/>
      <c r="B914" s="5"/>
      <c r="C914" s="5"/>
      <c r="D914" s="5"/>
      <c r="E914" s="5"/>
      <c r="K914" s="5"/>
    </row>
    <row r="915" spans="1:11" x14ac:dyDescent="0.2">
      <c r="A915" s="5"/>
      <c r="B915" s="5"/>
      <c r="C915" s="5"/>
      <c r="D915" s="5"/>
      <c r="E915" s="5"/>
      <c r="K915" s="5"/>
    </row>
    <row r="916" spans="1:11" x14ac:dyDescent="0.2">
      <c r="A916" s="5"/>
      <c r="B916" s="5"/>
      <c r="C916" s="5"/>
      <c r="D916" s="5"/>
      <c r="E916" s="5"/>
      <c r="K916" s="5"/>
    </row>
    <row r="917" spans="1:11" x14ac:dyDescent="0.2">
      <c r="A917" s="5"/>
      <c r="B917" s="5"/>
      <c r="C917" s="5"/>
      <c r="D917" s="5"/>
      <c r="E917" s="5"/>
      <c r="K917" s="5"/>
    </row>
    <row r="918" spans="1:11" x14ac:dyDescent="0.2">
      <c r="A918" s="5"/>
      <c r="B918" s="5"/>
      <c r="C918" s="5"/>
      <c r="D918" s="5"/>
      <c r="E918" s="5"/>
      <c r="K918" s="5"/>
    </row>
    <row r="919" spans="1:11" x14ac:dyDescent="0.2">
      <c r="A919" s="5"/>
      <c r="B919" s="5"/>
      <c r="C919" s="5"/>
      <c r="D919" s="5"/>
      <c r="E919" s="5"/>
      <c r="K919" s="5"/>
    </row>
    <row r="920" spans="1:11" x14ac:dyDescent="0.2">
      <c r="A920" s="5"/>
      <c r="B920" s="5"/>
      <c r="C920" s="5"/>
      <c r="D920" s="5"/>
      <c r="E920" s="5"/>
      <c r="K920" s="5"/>
    </row>
    <row r="921" spans="1:11" x14ac:dyDescent="0.2">
      <c r="A921" s="5"/>
      <c r="B921" s="5"/>
      <c r="C921" s="5"/>
      <c r="D921" s="5"/>
      <c r="E921" s="5"/>
      <c r="K921" s="5"/>
    </row>
    <row r="922" spans="1:11" x14ac:dyDescent="0.2">
      <c r="A922" s="5"/>
      <c r="B922" s="5"/>
      <c r="C922" s="5"/>
      <c r="D922" s="5"/>
      <c r="E922" s="5"/>
      <c r="K922" s="5"/>
    </row>
    <row r="923" spans="1:11" x14ac:dyDescent="0.2">
      <c r="A923" s="5"/>
      <c r="B923" s="5"/>
      <c r="C923" s="5"/>
      <c r="D923" s="5"/>
      <c r="E923" s="5"/>
      <c r="K923" s="5"/>
    </row>
    <row r="924" spans="1:11" x14ac:dyDescent="0.2">
      <c r="A924" s="5"/>
      <c r="B924" s="5"/>
      <c r="C924" s="5"/>
      <c r="D924" s="5"/>
      <c r="E924" s="5"/>
      <c r="K924" s="5"/>
    </row>
    <row r="925" spans="1:11" x14ac:dyDescent="0.2">
      <c r="A925" s="5"/>
      <c r="B925" s="5"/>
      <c r="C925" s="5"/>
      <c r="D925" s="5"/>
      <c r="E925" s="5"/>
      <c r="K925" s="5"/>
    </row>
    <row r="926" spans="1:11" x14ac:dyDescent="0.2">
      <c r="A926" s="5"/>
      <c r="B926" s="5"/>
      <c r="C926" s="5"/>
      <c r="D926" s="5"/>
      <c r="E926" s="5"/>
      <c r="K926" s="5"/>
    </row>
    <row r="927" spans="1:11" x14ac:dyDescent="0.2">
      <c r="A927" s="5"/>
      <c r="B927" s="5"/>
      <c r="C927" s="5"/>
      <c r="D927" s="5"/>
      <c r="E927" s="5"/>
      <c r="K927" s="5"/>
    </row>
    <row r="928" spans="1:11" x14ac:dyDescent="0.2">
      <c r="A928" s="5"/>
      <c r="B928" s="5"/>
      <c r="C928" s="5"/>
      <c r="D928" s="5"/>
      <c r="E928" s="5"/>
      <c r="K928" s="5"/>
    </row>
    <row r="929" spans="1:11" x14ac:dyDescent="0.2">
      <c r="A929" s="5"/>
      <c r="B929" s="5"/>
      <c r="C929" s="5"/>
      <c r="D929" s="5"/>
      <c r="E929" s="5"/>
      <c r="K929" s="5"/>
    </row>
    <row r="930" spans="1:11" x14ac:dyDescent="0.2">
      <c r="A930" s="5"/>
      <c r="B930" s="5"/>
      <c r="C930" s="5"/>
      <c r="D930" s="5"/>
      <c r="E930" s="5"/>
      <c r="K930" s="5"/>
    </row>
    <row r="931" spans="1:11" x14ac:dyDescent="0.2">
      <c r="A931" s="5"/>
      <c r="B931" s="5"/>
      <c r="C931" s="5"/>
      <c r="D931" s="5"/>
      <c r="E931" s="5"/>
      <c r="K931" s="5"/>
    </row>
    <row r="932" spans="1:11" x14ac:dyDescent="0.2">
      <c r="A932" s="5"/>
      <c r="B932" s="5"/>
      <c r="C932" s="5"/>
      <c r="D932" s="5"/>
      <c r="E932" s="5"/>
      <c r="K932" s="5"/>
    </row>
    <row r="933" spans="1:11" x14ac:dyDescent="0.2">
      <c r="A933" s="5"/>
      <c r="B933" s="5"/>
      <c r="C933" s="5"/>
      <c r="D933" s="5"/>
      <c r="E933" s="5"/>
      <c r="K933" s="5"/>
    </row>
    <row r="934" spans="1:11" x14ac:dyDescent="0.2">
      <c r="A934" s="5"/>
      <c r="B934" s="5"/>
      <c r="C934" s="5"/>
      <c r="D934" s="5"/>
      <c r="E934" s="5"/>
      <c r="K934" s="5"/>
    </row>
    <row r="935" spans="1:11" x14ac:dyDescent="0.2">
      <c r="A935" s="5"/>
      <c r="B935" s="5"/>
      <c r="C935" s="5"/>
      <c r="D935" s="5"/>
      <c r="E935" s="5"/>
      <c r="K935" s="5"/>
    </row>
    <row r="936" spans="1:11" x14ac:dyDescent="0.2">
      <c r="A936" s="5"/>
      <c r="B936" s="5"/>
      <c r="C936" s="5"/>
      <c r="D936" s="5"/>
      <c r="E936" s="5"/>
      <c r="K936" s="5"/>
    </row>
    <row r="937" spans="1:11" x14ac:dyDescent="0.2">
      <c r="A937" s="5"/>
      <c r="B937" s="5"/>
      <c r="C937" s="5"/>
      <c r="D937" s="5"/>
      <c r="E937" s="5"/>
      <c r="K937" s="5"/>
    </row>
    <row r="938" spans="1:11" x14ac:dyDescent="0.2">
      <c r="A938" s="5"/>
      <c r="B938" s="5"/>
      <c r="C938" s="5"/>
      <c r="D938" s="5"/>
      <c r="E938" s="5"/>
      <c r="K938" s="5"/>
    </row>
    <row r="939" spans="1:11" x14ac:dyDescent="0.2">
      <c r="A939" s="5"/>
      <c r="B939" s="5"/>
      <c r="C939" s="5"/>
      <c r="D939" s="5"/>
      <c r="E939" s="5"/>
      <c r="K939" s="5"/>
    </row>
    <row r="940" spans="1:11" x14ac:dyDescent="0.2">
      <c r="A940" s="5"/>
      <c r="B940" s="5"/>
      <c r="C940" s="5"/>
      <c r="D940" s="5"/>
      <c r="E940" s="5"/>
      <c r="K940" s="5"/>
    </row>
    <row r="941" spans="1:11" x14ac:dyDescent="0.2">
      <c r="A941" s="5"/>
      <c r="B941" s="5"/>
      <c r="C941" s="5"/>
      <c r="D941" s="5"/>
      <c r="E941" s="5"/>
      <c r="K941" s="5"/>
    </row>
    <row r="942" spans="1:11" x14ac:dyDescent="0.2">
      <c r="A942" s="5"/>
      <c r="B942" s="5"/>
      <c r="C942" s="5"/>
      <c r="D942" s="5"/>
      <c r="E942" s="5"/>
      <c r="K942" s="5"/>
    </row>
    <row r="943" spans="1:11" x14ac:dyDescent="0.2">
      <c r="A943" s="5"/>
      <c r="B943" s="5"/>
      <c r="C943" s="5"/>
      <c r="D943" s="5"/>
      <c r="E943" s="5"/>
      <c r="K943" s="5"/>
    </row>
    <row r="944" spans="1:11" x14ac:dyDescent="0.2">
      <c r="A944" s="5"/>
      <c r="B944" s="5"/>
      <c r="C944" s="5"/>
      <c r="D944" s="5"/>
      <c r="E944" s="5"/>
      <c r="K944" s="5"/>
    </row>
    <row r="945" spans="1:11" x14ac:dyDescent="0.2">
      <c r="A945" s="5"/>
      <c r="B945" s="5"/>
      <c r="C945" s="5"/>
      <c r="D945" s="5"/>
      <c r="E945" s="5"/>
      <c r="K945" s="5"/>
    </row>
    <row r="946" spans="1:11" x14ac:dyDescent="0.2">
      <c r="A946" s="5"/>
      <c r="B946" s="5"/>
      <c r="C946" s="5"/>
      <c r="D946" s="5"/>
      <c r="E946" s="5"/>
      <c r="K946" s="5"/>
    </row>
    <row r="947" spans="1:11" x14ac:dyDescent="0.2">
      <c r="A947" s="5"/>
      <c r="B947" s="5"/>
      <c r="C947" s="5"/>
      <c r="D947" s="5"/>
      <c r="E947" s="5"/>
      <c r="K947" s="5"/>
    </row>
    <row r="948" spans="1:11" x14ac:dyDescent="0.2">
      <c r="A948" s="5"/>
      <c r="B948" s="5"/>
      <c r="C948" s="5"/>
      <c r="D948" s="5"/>
      <c r="E948" s="5"/>
      <c r="K948" s="5"/>
    </row>
    <row r="949" spans="1:11" x14ac:dyDescent="0.2">
      <c r="A949" s="5"/>
      <c r="B949" s="5"/>
      <c r="C949" s="5"/>
      <c r="D949" s="5"/>
      <c r="E949" s="5"/>
      <c r="K949" s="5"/>
    </row>
    <row r="950" spans="1:11" x14ac:dyDescent="0.2">
      <c r="A950" s="5"/>
      <c r="B950" s="5"/>
      <c r="C950" s="5"/>
      <c r="D950" s="5"/>
      <c r="E950" s="5"/>
      <c r="K950" s="5"/>
    </row>
    <row r="951" spans="1:11" x14ac:dyDescent="0.2">
      <c r="A951" s="5"/>
      <c r="B951" s="5"/>
      <c r="C951" s="5"/>
      <c r="D951" s="5"/>
      <c r="E951" s="5"/>
      <c r="K951" s="5"/>
    </row>
    <row r="952" spans="1:11" x14ac:dyDescent="0.2">
      <c r="A952" s="5"/>
      <c r="B952" s="5"/>
      <c r="C952" s="5"/>
      <c r="D952" s="5"/>
      <c r="E952" s="5"/>
      <c r="K952" s="5"/>
    </row>
    <row r="953" spans="1:11" x14ac:dyDescent="0.2">
      <c r="A953" s="5"/>
      <c r="B953" s="5"/>
      <c r="C953" s="5"/>
      <c r="D953" s="5"/>
      <c r="E953" s="5"/>
      <c r="K953" s="5"/>
    </row>
    <row r="954" spans="1:11" x14ac:dyDescent="0.2">
      <c r="A954" s="5"/>
      <c r="B954" s="5"/>
      <c r="C954" s="5"/>
      <c r="D954" s="5"/>
      <c r="E954" s="5"/>
      <c r="K954" s="5"/>
    </row>
    <row r="955" spans="1:11" x14ac:dyDescent="0.2">
      <c r="A955" s="5"/>
      <c r="B955" s="5"/>
      <c r="C955" s="5"/>
      <c r="D955" s="5"/>
      <c r="E955" s="5"/>
      <c r="K955" s="5"/>
    </row>
    <row r="956" spans="1:11" x14ac:dyDescent="0.2">
      <c r="A956" s="5"/>
      <c r="B956" s="5"/>
      <c r="C956" s="5"/>
      <c r="D956" s="5"/>
      <c r="E956" s="5"/>
      <c r="K956" s="5"/>
    </row>
    <row r="957" spans="1:11" x14ac:dyDescent="0.2">
      <c r="A957" s="5"/>
      <c r="B957" s="5"/>
      <c r="C957" s="5"/>
      <c r="D957" s="5"/>
      <c r="E957" s="5"/>
      <c r="K957" s="5"/>
    </row>
    <row r="958" spans="1:11" x14ac:dyDescent="0.2">
      <c r="A958" s="5"/>
      <c r="B958" s="5"/>
      <c r="C958" s="5"/>
      <c r="D958" s="5"/>
      <c r="E958" s="5"/>
      <c r="K958" s="5"/>
    </row>
    <row r="959" spans="1:11" x14ac:dyDescent="0.2">
      <c r="A959" s="5"/>
      <c r="B959" s="5"/>
      <c r="C959" s="5"/>
      <c r="D959" s="5"/>
      <c r="E959" s="5"/>
      <c r="K959" s="5"/>
    </row>
    <row r="960" spans="1:11" x14ac:dyDescent="0.2">
      <c r="A960" s="5"/>
      <c r="B960" s="5"/>
      <c r="C960" s="5"/>
      <c r="D960" s="5"/>
      <c r="E960" s="5"/>
      <c r="K960" s="5"/>
    </row>
    <row r="961" spans="1:11" x14ac:dyDescent="0.2">
      <c r="A961" s="5"/>
      <c r="B961" s="5"/>
      <c r="C961" s="5"/>
      <c r="D961" s="5"/>
      <c r="E961" s="5"/>
      <c r="K961" s="5"/>
    </row>
    <row r="962" spans="1:11" x14ac:dyDescent="0.2">
      <c r="A962" s="5"/>
      <c r="B962" s="5"/>
      <c r="C962" s="5"/>
      <c r="D962" s="5"/>
      <c r="E962" s="5"/>
      <c r="K962" s="5"/>
    </row>
    <row r="963" spans="1:11" x14ac:dyDescent="0.2">
      <c r="A963" s="5"/>
      <c r="B963" s="5"/>
      <c r="C963" s="5"/>
      <c r="D963" s="5"/>
      <c r="E963" s="5"/>
      <c r="K963" s="5"/>
    </row>
    <row r="964" spans="1:11" x14ac:dyDescent="0.2">
      <c r="A964" s="5"/>
      <c r="B964" s="5"/>
      <c r="C964" s="5"/>
      <c r="D964" s="5"/>
      <c r="E964" s="5"/>
      <c r="K964" s="5"/>
    </row>
    <row r="965" spans="1:11" x14ac:dyDescent="0.2">
      <c r="A965" s="5"/>
      <c r="B965" s="5"/>
      <c r="C965" s="5"/>
      <c r="D965" s="5"/>
      <c r="E965" s="5"/>
      <c r="K965" s="5"/>
    </row>
    <row r="966" spans="1:11" x14ac:dyDescent="0.2">
      <c r="A966" s="5"/>
      <c r="B966" s="5"/>
      <c r="C966" s="5"/>
      <c r="D966" s="5"/>
      <c r="E966" s="5"/>
      <c r="K966" s="5"/>
    </row>
    <row r="967" spans="1:11" x14ac:dyDescent="0.2">
      <c r="A967" s="5"/>
      <c r="B967" s="5"/>
      <c r="C967" s="5"/>
      <c r="D967" s="5"/>
      <c r="E967" s="5"/>
      <c r="K967" s="5"/>
    </row>
    <row r="968" spans="1:11" x14ac:dyDescent="0.2">
      <c r="A968" s="5"/>
      <c r="B968" s="5"/>
      <c r="C968" s="5"/>
      <c r="D968" s="5"/>
      <c r="E968" s="5"/>
      <c r="K968" s="5"/>
    </row>
    <row r="969" spans="1:11" x14ac:dyDescent="0.2">
      <c r="A969" s="5"/>
      <c r="B969" s="5"/>
      <c r="C969" s="5"/>
      <c r="D969" s="5"/>
      <c r="E969" s="5"/>
      <c r="K969" s="5"/>
    </row>
    <row r="970" spans="1:11" x14ac:dyDescent="0.2">
      <c r="A970" s="5"/>
      <c r="B970" s="5"/>
      <c r="C970" s="5"/>
      <c r="D970" s="5"/>
      <c r="E970" s="5"/>
      <c r="K970" s="5"/>
    </row>
    <row r="971" spans="1:11" x14ac:dyDescent="0.2">
      <c r="A971" s="5"/>
      <c r="B971" s="5"/>
      <c r="C971" s="5"/>
      <c r="D971" s="5"/>
      <c r="E971" s="5"/>
      <c r="K971" s="5"/>
    </row>
    <row r="972" spans="1:11" x14ac:dyDescent="0.2">
      <c r="A972" s="5"/>
      <c r="B972" s="5"/>
      <c r="C972" s="5"/>
      <c r="D972" s="5"/>
      <c r="E972" s="5"/>
      <c r="K972" s="5"/>
    </row>
    <row r="973" spans="1:11" x14ac:dyDescent="0.2">
      <c r="A973" s="5"/>
      <c r="B973" s="5"/>
      <c r="C973" s="5"/>
      <c r="D973" s="5"/>
      <c r="E973" s="5"/>
      <c r="K973" s="5"/>
    </row>
    <row r="974" spans="1:11" x14ac:dyDescent="0.2">
      <c r="A974" s="5"/>
      <c r="B974" s="5"/>
      <c r="C974" s="5"/>
      <c r="D974" s="5"/>
      <c r="E974" s="5"/>
      <c r="K974" s="5"/>
    </row>
    <row r="975" spans="1:11" x14ac:dyDescent="0.2">
      <c r="A975" s="5"/>
      <c r="B975" s="5"/>
      <c r="C975" s="5"/>
      <c r="D975" s="5"/>
      <c r="E975" s="5"/>
      <c r="K975" s="5"/>
    </row>
    <row r="976" spans="1:11" x14ac:dyDescent="0.2">
      <c r="A976" s="5"/>
      <c r="B976" s="5"/>
      <c r="C976" s="5"/>
      <c r="D976" s="5"/>
      <c r="E976" s="5"/>
      <c r="K976" s="5"/>
    </row>
    <row r="977" spans="1:11" x14ac:dyDescent="0.2">
      <c r="A977" s="5"/>
      <c r="B977" s="5"/>
      <c r="C977" s="5"/>
      <c r="D977" s="5"/>
      <c r="E977" s="5"/>
      <c r="K977" s="5"/>
    </row>
    <row r="978" spans="1:11" x14ac:dyDescent="0.2">
      <c r="A978" s="5"/>
      <c r="B978" s="5"/>
      <c r="C978" s="5"/>
      <c r="D978" s="5"/>
      <c r="E978" s="5"/>
      <c r="K978" s="5"/>
    </row>
    <row r="979" spans="1:11" x14ac:dyDescent="0.2">
      <c r="A979" s="5"/>
      <c r="B979" s="5"/>
      <c r="C979" s="5"/>
      <c r="D979" s="5"/>
      <c r="E979" s="5"/>
      <c r="K979" s="5"/>
    </row>
    <row r="980" spans="1:11" x14ac:dyDescent="0.2">
      <c r="A980" s="5"/>
      <c r="B980" s="5"/>
      <c r="C980" s="5"/>
      <c r="D980" s="5"/>
      <c r="E980" s="5"/>
      <c r="K980" s="5"/>
    </row>
    <row r="981" spans="1:11" x14ac:dyDescent="0.2">
      <c r="A981" s="5"/>
      <c r="B981" s="5"/>
      <c r="C981" s="5"/>
      <c r="D981" s="5"/>
      <c r="E981" s="5"/>
      <c r="K981" s="5"/>
    </row>
    <row r="982" spans="1:11" x14ac:dyDescent="0.2">
      <c r="A982" s="5"/>
      <c r="B982" s="5"/>
      <c r="C982" s="5"/>
      <c r="D982" s="5"/>
      <c r="E982" s="5"/>
      <c r="K982" s="5"/>
    </row>
    <row r="983" spans="1:11" x14ac:dyDescent="0.2">
      <c r="A983" s="5"/>
      <c r="B983" s="5"/>
      <c r="C983" s="5"/>
      <c r="D983" s="5"/>
      <c r="E983" s="5"/>
      <c r="K983" s="5"/>
    </row>
    <row r="984" spans="1:11" x14ac:dyDescent="0.2">
      <c r="A984" s="5"/>
      <c r="B984" s="5"/>
      <c r="C984" s="5"/>
      <c r="D984" s="5"/>
      <c r="E984" s="5"/>
      <c r="K984" s="5"/>
    </row>
    <row r="985" spans="1:11" x14ac:dyDescent="0.2">
      <c r="A985" s="5"/>
      <c r="B985" s="5"/>
      <c r="C985" s="5"/>
      <c r="D985" s="5"/>
      <c r="E985" s="5"/>
      <c r="K985" s="5"/>
    </row>
    <row r="986" spans="1:11" x14ac:dyDescent="0.2">
      <c r="A986" s="5"/>
      <c r="B986" s="5"/>
      <c r="C986" s="5"/>
      <c r="D986" s="5"/>
      <c r="E986" s="5"/>
      <c r="K986" s="5"/>
    </row>
    <row r="987" spans="1:11" x14ac:dyDescent="0.2">
      <c r="A987" s="5"/>
      <c r="B987" s="5"/>
      <c r="C987" s="5"/>
      <c r="D987" s="5"/>
      <c r="E987" s="5"/>
      <c r="K987" s="5"/>
    </row>
    <row r="988" spans="1:11" x14ac:dyDescent="0.2">
      <c r="A988" s="5"/>
      <c r="B988" s="5"/>
      <c r="C988" s="5"/>
      <c r="D988" s="5"/>
      <c r="E988" s="5"/>
      <c r="K988" s="5"/>
    </row>
    <row r="989" spans="1:11" x14ac:dyDescent="0.2">
      <c r="A989" s="5"/>
      <c r="B989" s="5"/>
      <c r="C989" s="5"/>
      <c r="D989" s="5"/>
      <c r="E989" s="5"/>
      <c r="K989" s="5"/>
    </row>
    <row r="990" spans="1:11" x14ac:dyDescent="0.2">
      <c r="A990" s="5"/>
      <c r="B990" s="5"/>
      <c r="C990" s="5"/>
      <c r="D990" s="5"/>
      <c r="E990" s="5"/>
      <c r="K990" s="5"/>
    </row>
    <row r="991" spans="1:11" x14ac:dyDescent="0.2">
      <c r="A991" s="5"/>
      <c r="B991" s="5"/>
      <c r="C991" s="5"/>
      <c r="D991" s="5"/>
      <c r="E991" s="5"/>
      <c r="K991" s="5"/>
    </row>
    <row r="992" spans="1:11" x14ac:dyDescent="0.2">
      <c r="A992" s="5"/>
      <c r="B992" s="5"/>
      <c r="C992" s="5"/>
      <c r="D992" s="5"/>
      <c r="E992" s="5"/>
      <c r="K992" s="5"/>
    </row>
    <row r="993" spans="1:11" x14ac:dyDescent="0.2">
      <c r="A993" s="5"/>
      <c r="B993" s="5"/>
      <c r="C993" s="5"/>
      <c r="D993" s="5"/>
      <c r="E993" s="5"/>
      <c r="K993" s="5"/>
    </row>
    <row r="994" spans="1:11" x14ac:dyDescent="0.2">
      <c r="A994" s="5"/>
      <c r="B994" s="5"/>
      <c r="C994" s="5"/>
      <c r="D994" s="5"/>
      <c r="E994" s="5"/>
      <c r="K994" s="5"/>
    </row>
    <row r="995" spans="1:11" x14ac:dyDescent="0.2">
      <c r="A995" s="5"/>
      <c r="B995" s="5"/>
      <c r="C995" s="5"/>
      <c r="D995" s="5"/>
      <c r="E995" s="5"/>
      <c r="K995" s="5"/>
    </row>
    <row r="996" spans="1:11" x14ac:dyDescent="0.2">
      <c r="A996" s="5"/>
      <c r="B996" s="5"/>
      <c r="C996" s="5"/>
      <c r="D996" s="5"/>
      <c r="E996" s="5"/>
      <c r="K996" s="5"/>
    </row>
    <row r="997" spans="1:11" x14ac:dyDescent="0.2">
      <c r="A997" s="5"/>
      <c r="B997" s="5"/>
      <c r="C997" s="5"/>
      <c r="D997" s="5"/>
      <c r="E997" s="5"/>
      <c r="K997" s="5"/>
    </row>
    <row r="998" spans="1:11" x14ac:dyDescent="0.2">
      <c r="A998" s="5"/>
      <c r="B998" s="5"/>
      <c r="C998" s="5"/>
      <c r="D998" s="5"/>
      <c r="E998" s="5"/>
      <c r="K998" s="5"/>
    </row>
    <row r="999" spans="1:11" x14ac:dyDescent="0.2">
      <c r="A999" s="5"/>
      <c r="B999" s="5"/>
      <c r="C999" s="5"/>
      <c r="D999" s="5"/>
      <c r="E999" s="5"/>
      <c r="K999" s="5"/>
    </row>
    <row r="1000" spans="1:11" x14ac:dyDescent="0.2">
      <c r="A1000" s="5"/>
      <c r="B1000" s="5"/>
      <c r="C1000" s="5"/>
      <c r="D1000" s="5"/>
      <c r="E1000" s="5"/>
      <c r="K1000" s="5"/>
    </row>
    <row r="1001" spans="1:11" x14ac:dyDescent="0.2">
      <c r="A1001" s="5"/>
      <c r="B1001" s="5"/>
      <c r="C1001" s="5"/>
      <c r="D1001" s="5"/>
      <c r="E1001" s="5"/>
      <c r="K1001" s="5"/>
    </row>
    <row r="1002" spans="1:11" x14ac:dyDescent="0.2">
      <c r="A1002" s="5"/>
      <c r="B1002" s="5"/>
      <c r="C1002" s="5"/>
      <c r="D1002" s="5"/>
      <c r="E1002" s="5"/>
      <c r="K1002" s="5"/>
    </row>
  </sheetData>
  <autoFilter ref="A3:AF357" xr:uid="{00000000-0009-0000-0000-000001000000}"/>
  <mergeCells count="10">
    <mergeCell ref="W2:AA2"/>
    <mergeCell ref="AB2:AF2"/>
    <mergeCell ref="W1:AF1"/>
    <mergeCell ref="F1:G1"/>
    <mergeCell ref="M2:O2"/>
    <mergeCell ref="Q2:S2"/>
    <mergeCell ref="K1:K2"/>
    <mergeCell ref="L1:O1"/>
    <mergeCell ref="P1:S1"/>
    <mergeCell ref="J1:J2"/>
  </mergeCells>
  <phoneticPr fontId="21" type="noConversion"/>
  <conditionalFormatting sqref="E34:E357">
    <cfRule type="colorScale" priority="27">
      <colorScale>
        <cfvo type="min"/>
        <cfvo type="percentile" val="50"/>
        <cfvo type="max"/>
        <color rgb="FFF8696B"/>
        <color rgb="FFFFEB84"/>
        <color rgb="FF63BE7B"/>
      </colorScale>
    </cfRule>
  </conditionalFormatting>
  <conditionalFormatting sqref="E4:E357">
    <cfRule type="colorScale" priority="26">
      <colorScale>
        <cfvo type="min"/>
        <cfvo type="percentile" val="50"/>
        <cfvo type="max"/>
        <color rgb="FFF8696B"/>
        <color rgb="FFFFEB84"/>
        <color rgb="FF63BE7B"/>
      </colorScale>
    </cfRule>
  </conditionalFormatting>
  <conditionalFormatting sqref="L4:L357">
    <cfRule type="expression" dxfId="64" priority="24">
      <formula>"if(1,?;?,?)"</formula>
    </cfRule>
  </conditionalFormatting>
  <conditionalFormatting sqref="F4:G357">
    <cfRule type="cellIs" dxfId="63" priority="23" operator="equal">
      <formula>0</formula>
    </cfRule>
  </conditionalFormatting>
  <conditionalFormatting sqref="L2:L1048576">
    <cfRule type="containsText" dxfId="62" priority="21" operator="containsText" text="PROXY">
      <formula>NOT(ISERROR(SEARCH("PROXY",L2)))</formula>
    </cfRule>
  </conditionalFormatting>
  <conditionalFormatting sqref="P2:P3 P358:P1048576">
    <cfRule type="containsText" dxfId="61" priority="11" operator="containsText" text="PROXY">
      <formula>NOT(ISERROR(SEARCH("PROXY",P2)))</formula>
    </cfRule>
  </conditionalFormatting>
  <conditionalFormatting sqref="P4:P357">
    <cfRule type="expression" dxfId="60" priority="2">
      <formula>"if(1,?;?,?)"</formula>
    </cfRule>
  </conditionalFormatting>
  <conditionalFormatting sqref="P4:P357">
    <cfRule type="containsText" dxfId="59" priority="1" operator="containsText" text="PROXY">
      <formula>NOT(ISERROR(SEARCH("PROXY",P4)))</formula>
    </cfRule>
  </conditionalFormatting>
  <pageMargins left="0.7" right="0.7" top="0.75" bottom="0.75" header="0.3" footer="0.3"/>
  <pageSetup orientation="portrait" r:id="rId1"/>
  <colBreaks count="1" manualBreakCount="1">
    <brk id="6" max="1048575" man="1"/>
  </colBreaks>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1646"/>
  <sheetViews>
    <sheetView workbookViewId="0">
      <pane xSplit="4" ySplit="1" topLeftCell="AD104" activePane="bottomRight" state="frozen"/>
      <selection pane="topRight" activeCell="D1" sqref="D1"/>
      <selection pane="bottomLeft" activeCell="A2" sqref="A2"/>
      <selection pane="bottomRight" activeCell="AR408" sqref="AR408"/>
    </sheetView>
  </sheetViews>
  <sheetFormatPr baseColWidth="10" defaultColWidth="13.5" defaultRowHeight="15" customHeight="1" x14ac:dyDescent="0.2"/>
  <cols>
    <col min="1" max="1" width="10.1640625" style="87" customWidth="1"/>
    <col min="2" max="2" width="10.1640625" style="177" hidden="1" customWidth="1"/>
    <col min="3" max="3" width="16.6640625" style="171" customWidth="1"/>
    <col min="4" max="4" width="33.6640625" style="171" customWidth="1"/>
    <col min="5" max="5" width="25" style="171" bestFit="1" customWidth="1"/>
    <col min="6" max="6" width="37.83203125" style="171" customWidth="1"/>
    <col min="7" max="7" width="15.1640625" style="171" customWidth="1"/>
    <col min="8" max="8" width="11.33203125" style="171" customWidth="1"/>
    <col min="9" max="9" width="9" style="189" customWidth="1"/>
    <col min="10" max="10" width="13" style="189" customWidth="1"/>
    <col min="11" max="11" width="12.83203125" style="189" hidden="1" customWidth="1"/>
    <col min="12" max="13" width="13" style="189" customWidth="1"/>
    <col min="14" max="14" width="11.1640625" style="283" hidden="1" customWidth="1"/>
    <col min="15" max="15" width="9" style="283" hidden="1" customWidth="1"/>
    <col min="16" max="16" width="13.6640625" style="283" hidden="1" customWidth="1"/>
    <col min="17" max="17" width="10.1640625" style="283" hidden="1" customWidth="1"/>
    <col min="18" max="18" width="9.6640625" style="283" hidden="1" customWidth="1"/>
    <col min="19" max="19" width="10.1640625" style="283" hidden="1" customWidth="1"/>
    <col min="20" max="20" width="9" style="283" hidden="1" customWidth="1"/>
    <col min="21" max="21" width="11.83203125" style="283" hidden="1" customWidth="1"/>
    <col min="22" max="23" width="10.6640625" style="283" hidden="1" customWidth="1"/>
    <col min="24" max="24" width="11.6640625" style="283" hidden="1" customWidth="1"/>
    <col min="25" max="25" width="10.83203125" style="283" hidden="1" customWidth="1"/>
    <col min="26" max="26" width="8.1640625" style="283" hidden="1" customWidth="1"/>
    <col min="27" max="27" width="16" style="283" hidden="1" customWidth="1"/>
    <col min="28" max="28" width="13.33203125" style="283" hidden="1" customWidth="1"/>
    <col min="29" max="29" width="16.5" style="283" hidden="1" customWidth="1"/>
    <col min="30" max="30" width="13.1640625" style="328" customWidth="1"/>
    <col min="31" max="31" width="17.6640625" style="328" customWidth="1"/>
    <col min="32" max="32" width="14.33203125" style="285" customWidth="1"/>
    <col min="33" max="33" width="12.1640625" style="285" customWidth="1"/>
    <col min="34" max="34" width="14.83203125" style="331" customWidth="1"/>
    <col min="35" max="35" width="13.6640625" style="331" customWidth="1"/>
    <col min="36" max="39" width="11.83203125" style="395" customWidth="1"/>
    <col min="40" max="42" width="12.1640625" style="395" customWidth="1"/>
    <col min="43" max="44" width="11.83203125" style="395" customWidth="1"/>
    <col min="45" max="45" width="14.1640625" style="200" hidden="1" customWidth="1"/>
    <col min="46" max="46" width="14.1640625" style="200" customWidth="1"/>
    <col min="47" max="47" width="12.83203125" style="387" customWidth="1"/>
    <col min="48" max="48" width="12.6640625" style="387" customWidth="1"/>
    <col min="49" max="57" width="11.83203125" style="441" customWidth="1"/>
    <col min="58" max="58" width="0" style="503" hidden="1" customWidth="1"/>
    <col min="59" max="59" width="13.5" style="503"/>
    <col min="60" max="60" width="13" style="334" customWidth="1"/>
    <col min="61" max="61" width="13" style="448" customWidth="1"/>
    <col min="62" max="62" width="13.5" style="441"/>
  </cols>
  <sheetData>
    <row r="1" spans="1:62" ht="75" customHeight="1" thickBot="1" x14ac:dyDescent="0.25">
      <c r="A1" s="172" t="s">
        <v>4430</v>
      </c>
      <c r="B1" s="173" t="s">
        <v>2871</v>
      </c>
      <c r="C1" s="165" t="s">
        <v>0</v>
      </c>
      <c r="D1" s="165" t="s">
        <v>1</v>
      </c>
      <c r="E1" s="165" t="s">
        <v>2</v>
      </c>
      <c r="F1" s="165" t="s">
        <v>3</v>
      </c>
      <c r="G1" s="165" t="s">
        <v>4</v>
      </c>
      <c r="H1" s="165" t="s">
        <v>5</v>
      </c>
      <c r="I1" s="178" t="s">
        <v>1679</v>
      </c>
      <c r="J1" s="178" t="s">
        <v>1680</v>
      </c>
      <c r="K1" s="178" t="s">
        <v>1681</v>
      </c>
      <c r="L1" s="178" t="s">
        <v>1682</v>
      </c>
      <c r="M1" s="554" t="s">
        <v>4090</v>
      </c>
      <c r="N1" s="307" t="s">
        <v>1683</v>
      </c>
      <c r="O1" s="307" t="s">
        <v>1684</v>
      </c>
      <c r="P1" s="307" t="s">
        <v>1685</v>
      </c>
      <c r="Q1" s="307" t="s">
        <v>1686</v>
      </c>
      <c r="R1" s="307" t="s">
        <v>1687</v>
      </c>
      <c r="S1" s="307" t="s">
        <v>1688</v>
      </c>
      <c r="T1" s="307" t="s">
        <v>1689</v>
      </c>
      <c r="U1" s="307" t="s">
        <v>1690</v>
      </c>
      <c r="V1" s="307" t="s">
        <v>1691</v>
      </c>
      <c r="W1" s="307" t="s">
        <v>1692</v>
      </c>
      <c r="X1" s="307" t="s">
        <v>1693</v>
      </c>
      <c r="Y1" s="307" t="s">
        <v>1694</v>
      </c>
      <c r="Z1" s="307" t="s">
        <v>1695</v>
      </c>
      <c r="AA1" s="308" t="s">
        <v>1696</v>
      </c>
      <c r="AB1" s="308" t="s">
        <v>1697</v>
      </c>
      <c r="AC1" s="308" t="s">
        <v>1698</v>
      </c>
      <c r="AD1" s="321" t="s">
        <v>1699</v>
      </c>
      <c r="AE1" s="321" t="s">
        <v>1700</v>
      </c>
      <c r="AF1" s="161" t="s">
        <v>3241</v>
      </c>
      <c r="AG1" s="161" t="s">
        <v>3239</v>
      </c>
      <c r="AH1" s="163" t="s">
        <v>3242</v>
      </c>
      <c r="AI1" s="163" t="s">
        <v>3240</v>
      </c>
      <c r="AJ1" s="367" t="s">
        <v>2858</v>
      </c>
      <c r="AK1" s="367" t="s">
        <v>3080</v>
      </c>
      <c r="AL1" s="367" t="s">
        <v>3081</v>
      </c>
      <c r="AM1" s="367" t="s">
        <v>3082</v>
      </c>
      <c r="AN1" s="367" t="s">
        <v>3083</v>
      </c>
      <c r="AO1" s="367" t="s">
        <v>3084</v>
      </c>
      <c r="AP1" s="367" t="s">
        <v>3085</v>
      </c>
      <c r="AQ1" s="367" t="s">
        <v>3086</v>
      </c>
      <c r="AR1" s="367" t="s">
        <v>3087</v>
      </c>
      <c r="AS1" s="192" t="s">
        <v>1701</v>
      </c>
      <c r="AT1" s="192" t="s">
        <v>1702</v>
      </c>
      <c r="AU1" s="396" t="s">
        <v>6</v>
      </c>
      <c r="AV1" s="397" t="s">
        <v>3237</v>
      </c>
      <c r="AW1" s="425" t="s">
        <v>2859</v>
      </c>
      <c r="AX1" s="425" t="s">
        <v>3088</v>
      </c>
      <c r="AY1" s="425" t="s">
        <v>3089</v>
      </c>
      <c r="AZ1" s="425" t="s">
        <v>3090</v>
      </c>
      <c r="BA1" s="425" t="s">
        <v>3091</v>
      </c>
      <c r="BB1" s="425" t="s">
        <v>3092</v>
      </c>
      <c r="BC1" s="425" t="s">
        <v>3093</v>
      </c>
      <c r="BD1" s="425" t="s">
        <v>3094</v>
      </c>
      <c r="BE1" s="425" t="s">
        <v>3095</v>
      </c>
      <c r="BF1" s="465" t="s">
        <v>1703</v>
      </c>
      <c r="BG1" s="465" t="s">
        <v>1704</v>
      </c>
      <c r="BH1" s="442" t="s">
        <v>7</v>
      </c>
      <c r="BI1" s="443" t="s">
        <v>8</v>
      </c>
      <c r="BJ1" s="504" t="s">
        <v>3096</v>
      </c>
    </row>
    <row r="2" spans="1:62" ht="15" customHeight="1" thickBot="1" x14ac:dyDescent="0.25">
      <c r="A2" s="174">
        <v>1</v>
      </c>
      <c r="B2" s="175">
        <v>1</v>
      </c>
      <c r="C2" s="170" t="s">
        <v>11</v>
      </c>
      <c r="D2" s="170" t="s">
        <v>12</v>
      </c>
      <c r="E2" s="170" t="s">
        <v>13</v>
      </c>
      <c r="F2" s="170" t="s">
        <v>14</v>
      </c>
      <c r="G2" s="170" t="s">
        <v>15</v>
      </c>
      <c r="H2" s="170" t="s">
        <v>16</v>
      </c>
      <c r="I2" s="179">
        <v>2013</v>
      </c>
      <c r="J2" s="180" t="s">
        <v>17</v>
      </c>
      <c r="K2" s="180" t="s">
        <v>18</v>
      </c>
      <c r="L2" s="180" t="s">
        <v>19</v>
      </c>
      <c r="M2" s="555" t="s">
        <v>4091</v>
      </c>
      <c r="N2" s="309" t="s">
        <v>20</v>
      </c>
      <c r="O2" s="309" t="s">
        <v>15</v>
      </c>
      <c r="P2" s="309" t="s">
        <v>20</v>
      </c>
      <c r="Q2" s="309" t="s">
        <v>20</v>
      </c>
      <c r="R2" s="309" t="s">
        <v>20</v>
      </c>
      <c r="S2" s="309" t="s">
        <v>20</v>
      </c>
      <c r="T2" s="309" t="s">
        <v>20</v>
      </c>
      <c r="U2" s="309" t="s">
        <v>20</v>
      </c>
      <c r="V2" s="309" t="s">
        <v>20</v>
      </c>
      <c r="W2" s="309" t="s">
        <v>15</v>
      </c>
      <c r="X2" s="309" t="s">
        <v>15</v>
      </c>
      <c r="Y2" s="309" t="s">
        <v>15</v>
      </c>
      <c r="Z2" s="309"/>
      <c r="AA2" s="309" t="s">
        <v>21</v>
      </c>
      <c r="AB2" s="309" t="s">
        <v>20</v>
      </c>
      <c r="AC2" s="309" t="s">
        <v>20</v>
      </c>
      <c r="AD2" s="322" t="s">
        <v>22</v>
      </c>
      <c r="AE2" s="322" t="s">
        <v>15</v>
      </c>
      <c r="AF2" s="162" t="str">
        <f t="shared" ref="AF2:AF65" si="0">IF(AS2&lt;&gt;0,AS2,"")</f>
        <v/>
      </c>
      <c r="AG2" s="162" t="str">
        <f t="shared" ref="AG2:AG65" si="1">IF(AND(SUM(AJ2:AL2)&lt;&gt;0,SUM(AJ2:AL2)&lt;&gt;AJ2),SUM(AJ2:AL2),"")</f>
        <v/>
      </c>
      <c r="AH2" s="164">
        <f t="shared" ref="AH2:AH65" si="2">IF(BF2&lt;&gt;0,BF2,"")</f>
        <v>1.4759999999999998</v>
      </c>
      <c r="AI2" s="164">
        <f t="shared" ref="AI2:AI65" si="3">IF(AND(SUM(AW2:AY2)&lt;&gt;0,SUM(AW2:AY2)&lt;&gt;AW2),SUM(AW2:AY2),"")</f>
        <v>1.6225999999999998</v>
      </c>
      <c r="AJ2" s="368"/>
      <c r="AK2" s="368"/>
      <c r="AL2" s="368"/>
      <c r="AM2" s="368"/>
      <c r="AN2" s="368"/>
      <c r="AO2" s="368"/>
      <c r="AP2" s="368"/>
      <c r="AQ2" s="368"/>
      <c r="AR2" s="368"/>
      <c r="AS2" s="193"/>
      <c r="AT2" s="193"/>
      <c r="AU2" s="398"/>
      <c r="AV2" s="399"/>
      <c r="AW2" s="426">
        <f>2.05*(0.19+0.25+0.24+0.04)</f>
        <v>1.4759999999999998</v>
      </c>
      <c r="AX2" s="426">
        <v>6.9599999999999995E-2</v>
      </c>
      <c r="AY2" s="426">
        <v>7.6999999999999999E-2</v>
      </c>
      <c r="AZ2" s="426">
        <v>5.3999999999999999E-2</v>
      </c>
      <c r="BA2" s="426">
        <v>7.1999999999999995E-2</v>
      </c>
      <c r="BB2" s="426">
        <f>2.05*0.06</f>
        <v>0.12299999999999998</v>
      </c>
      <c r="BC2" s="426">
        <v>9.6100000000000005E-2</v>
      </c>
      <c r="BD2" s="426">
        <f>2.05*0.05-BC2</f>
        <v>6.399999999999989E-3</v>
      </c>
      <c r="BE2" s="426"/>
      <c r="BF2" s="466">
        <f>AW2</f>
        <v>1.4759999999999998</v>
      </c>
      <c r="BG2" s="466">
        <v>2.0499999999999998</v>
      </c>
      <c r="BH2" s="444"/>
      <c r="BI2" s="445" t="s">
        <v>23</v>
      </c>
      <c r="BJ2" s="505"/>
    </row>
    <row r="3" spans="1:62" ht="16.5" customHeight="1" thickBot="1" x14ac:dyDescent="0.25">
      <c r="A3" s="176">
        <v>2</v>
      </c>
      <c r="B3" s="175">
        <v>1</v>
      </c>
      <c r="C3" s="166" t="s">
        <v>24</v>
      </c>
      <c r="D3" s="169" t="s">
        <v>346</v>
      </c>
      <c r="E3" s="166" t="s">
        <v>13</v>
      </c>
      <c r="F3" s="166" t="s">
        <v>25</v>
      </c>
      <c r="G3" s="166" t="s">
        <v>20</v>
      </c>
      <c r="H3" s="166" t="s">
        <v>26</v>
      </c>
      <c r="I3" s="181">
        <v>2014</v>
      </c>
      <c r="J3" s="182" t="s">
        <v>27</v>
      </c>
      <c r="K3" s="182" t="s">
        <v>28</v>
      </c>
      <c r="L3" s="181" t="s">
        <v>19</v>
      </c>
      <c r="M3" s="556" t="s">
        <v>4092</v>
      </c>
      <c r="N3" s="214" t="s">
        <v>20</v>
      </c>
      <c r="O3" s="214" t="s">
        <v>15</v>
      </c>
      <c r="P3" s="214" t="s">
        <v>15</v>
      </c>
      <c r="Q3" s="214" t="s">
        <v>15</v>
      </c>
      <c r="R3" s="214" t="s">
        <v>15</v>
      </c>
      <c r="S3" s="214" t="s">
        <v>15</v>
      </c>
      <c r="T3" s="214" t="s">
        <v>15</v>
      </c>
      <c r="U3" s="214" t="s">
        <v>15</v>
      </c>
      <c r="V3" s="214" t="s">
        <v>15</v>
      </c>
      <c r="W3" s="214" t="s">
        <v>15</v>
      </c>
      <c r="X3" s="214" t="s">
        <v>15</v>
      </c>
      <c r="Y3" s="214" t="s">
        <v>15</v>
      </c>
      <c r="Z3" s="234"/>
      <c r="AA3" s="214" t="s">
        <v>29</v>
      </c>
      <c r="AB3" s="214" t="s">
        <v>15</v>
      </c>
      <c r="AC3" s="214" t="s">
        <v>15</v>
      </c>
      <c r="AD3" s="322" t="s">
        <v>30</v>
      </c>
      <c r="AE3" s="322" t="s">
        <v>31</v>
      </c>
      <c r="AF3" s="162" t="str">
        <f t="shared" si="0"/>
        <v/>
      </c>
      <c r="AG3" s="162" t="str">
        <f t="shared" si="1"/>
        <v/>
      </c>
      <c r="AH3" s="164">
        <f t="shared" si="2"/>
        <v>32.459373429385153</v>
      </c>
      <c r="AI3" s="164" t="str">
        <f t="shared" si="3"/>
        <v/>
      </c>
      <c r="AJ3" s="368"/>
      <c r="AK3" s="368"/>
      <c r="AL3" s="368"/>
      <c r="AM3" s="368"/>
      <c r="AN3" s="368"/>
      <c r="AO3" s="368"/>
      <c r="AP3" s="368"/>
      <c r="AQ3" s="368"/>
      <c r="AR3" s="368"/>
      <c r="AS3" s="193"/>
      <c r="AT3" s="193"/>
      <c r="AU3" s="377"/>
      <c r="AV3" s="382"/>
      <c r="AW3" s="426"/>
      <c r="AX3" s="426"/>
      <c r="AY3" s="426"/>
      <c r="AZ3" s="426"/>
      <c r="BA3" s="426"/>
      <c r="BB3" s="426"/>
      <c r="BC3" s="426"/>
      <c r="BD3" s="426"/>
      <c r="BE3" s="426"/>
      <c r="BF3" s="467">
        <f>10.85/0.508/0.658</f>
        <v>32.459373429385153</v>
      </c>
      <c r="BG3" s="466"/>
      <c r="BH3" s="335" t="s">
        <v>32</v>
      </c>
      <c r="BI3" s="446" t="s">
        <v>33</v>
      </c>
      <c r="BJ3" s="505"/>
    </row>
    <row r="4" spans="1:62" ht="15.75" customHeight="1" thickBot="1" x14ac:dyDescent="0.25">
      <c r="A4" s="174">
        <v>3</v>
      </c>
      <c r="B4" s="175">
        <v>1</v>
      </c>
      <c r="C4" s="166" t="s">
        <v>24</v>
      </c>
      <c r="D4" s="169" t="s">
        <v>346</v>
      </c>
      <c r="E4" s="166" t="s">
        <v>13</v>
      </c>
      <c r="F4" s="166" t="s">
        <v>34</v>
      </c>
      <c r="G4" s="166" t="s">
        <v>20</v>
      </c>
      <c r="H4" s="166" t="s">
        <v>26</v>
      </c>
      <c r="I4" s="181">
        <v>2014</v>
      </c>
      <c r="J4" s="182" t="s">
        <v>27</v>
      </c>
      <c r="K4" s="182" t="s">
        <v>28</v>
      </c>
      <c r="L4" s="181" t="s">
        <v>19</v>
      </c>
      <c r="M4" s="556" t="s">
        <v>4092</v>
      </c>
      <c r="N4" s="214" t="s">
        <v>20</v>
      </c>
      <c r="O4" s="214" t="s">
        <v>15</v>
      </c>
      <c r="P4" s="214" t="s">
        <v>15</v>
      </c>
      <c r="Q4" s="214" t="s">
        <v>15</v>
      </c>
      <c r="R4" s="214" t="s">
        <v>15</v>
      </c>
      <c r="S4" s="214" t="s">
        <v>15</v>
      </c>
      <c r="T4" s="214" t="s">
        <v>15</v>
      </c>
      <c r="U4" s="214" t="s">
        <v>15</v>
      </c>
      <c r="V4" s="214" t="s">
        <v>15</v>
      </c>
      <c r="W4" s="214" t="s">
        <v>15</v>
      </c>
      <c r="X4" s="214" t="s">
        <v>15</v>
      </c>
      <c r="Y4" s="214" t="s">
        <v>15</v>
      </c>
      <c r="Z4" s="234"/>
      <c r="AA4" s="214" t="s">
        <v>29</v>
      </c>
      <c r="AB4" s="214" t="s">
        <v>15</v>
      </c>
      <c r="AC4" s="214" t="s">
        <v>15</v>
      </c>
      <c r="AD4" s="322" t="s">
        <v>30</v>
      </c>
      <c r="AE4" s="322" t="s">
        <v>31</v>
      </c>
      <c r="AF4" s="162" t="str">
        <f t="shared" si="0"/>
        <v/>
      </c>
      <c r="AG4" s="162" t="str">
        <f t="shared" si="1"/>
        <v/>
      </c>
      <c r="AH4" s="164">
        <f t="shared" si="2"/>
        <v>38.442668070746471</v>
      </c>
      <c r="AI4" s="164" t="str">
        <f t="shared" si="3"/>
        <v/>
      </c>
      <c r="AJ4" s="368"/>
      <c r="AK4" s="368"/>
      <c r="AL4" s="368"/>
      <c r="AM4" s="368"/>
      <c r="AN4" s="368"/>
      <c r="AO4" s="368"/>
      <c r="AP4" s="368"/>
      <c r="AQ4" s="368"/>
      <c r="AR4" s="368"/>
      <c r="AS4" s="193"/>
      <c r="AT4" s="193"/>
      <c r="AU4" s="377"/>
      <c r="AV4" s="382"/>
      <c r="AW4" s="426"/>
      <c r="AX4" s="426"/>
      <c r="AY4" s="426"/>
      <c r="AZ4" s="426"/>
      <c r="BA4" s="426"/>
      <c r="BB4" s="426"/>
      <c r="BC4" s="426"/>
      <c r="BD4" s="426"/>
      <c r="BE4" s="426"/>
      <c r="BF4" s="467">
        <f>12.85/0.508/0.658</f>
        <v>38.442668070746471</v>
      </c>
      <c r="BG4" s="466"/>
      <c r="BH4" s="335" t="s">
        <v>35</v>
      </c>
      <c r="BI4" s="446" t="s">
        <v>33</v>
      </c>
      <c r="BJ4" s="505"/>
    </row>
    <row r="5" spans="1:62" ht="15.75" customHeight="1" thickBot="1" x14ac:dyDescent="0.25">
      <c r="A5" s="176">
        <v>4</v>
      </c>
      <c r="B5" s="175">
        <v>1</v>
      </c>
      <c r="C5" s="166" t="s">
        <v>24</v>
      </c>
      <c r="D5" s="169" t="s">
        <v>346</v>
      </c>
      <c r="E5" s="166" t="s">
        <v>13</v>
      </c>
      <c r="F5" s="166" t="s">
        <v>36</v>
      </c>
      <c r="G5" s="166" t="s">
        <v>20</v>
      </c>
      <c r="H5" s="166" t="s">
        <v>26</v>
      </c>
      <c r="I5" s="181">
        <v>2014</v>
      </c>
      <c r="J5" s="182" t="s">
        <v>37</v>
      </c>
      <c r="K5" s="182" t="s">
        <v>28</v>
      </c>
      <c r="L5" s="181" t="s">
        <v>19</v>
      </c>
      <c r="M5" s="556" t="s">
        <v>4092</v>
      </c>
      <c r="N5" s="214" t="s">
        <v>20</v>
      </c>
      <c r="O5" s="214" t="s">
        <v>15</v>
      </c>
      <c r="P5" s="214" t="s">
        <v>15</v>
      </c>
      <c r="Q5" s="214" t="s">
        <v>15</v>
      </c>
      <c r="R5" s="214" t="s">
        <v>15</v>
      </c>
      <c r="S5" s="214" t="s">
        <v>15</v>
      </c>
      <c r="T5" s="214" t="s">
        <v>15</v>
      </c>
      <c r="U5" s="214" t="s">
        <v>15</v>
      </c>
      <c r="V5" s="214" t="s">
        <v>15</v>
      </c>
      <c r="W5" s="214" t="s">
        <v>15</v>
      </c>
      <c r="X5" s="214" t="s">
        <v>15</v>
      </c>
      <c r="Y5" s="214" t="s">
        <v>15</v>
      </c>
      <c r="Z5" s="234"/>
      <c r="AA5" s="214" t="s">
        <v>29</v>
      </c>
      <c r="AB5" s="214" t="s">
        <v>15</v>
      </c>
      <c r="AC5" s="214" t="s">
        <v>15</v>
      </c>
      <c r="AD5" s="322" t="s">
        <v>30</v>
      </c>
      <c r="AE5" s="322" t="s">
        <v>31</v>
      </c>
      <c r="AF5" s="162" t="str">
        <f t="shared" si="0"/>
        <v/>
      </c>
      <c r="AG5" s="162" t="str">
        <f t="shared" si="1"/>
        <v/>
      </c>
      <c r="AH5" s="164">
        <f t="shared" si="2"/>
        <v>53.430821147356575</v>
      </c>
      <c r="AI5" s="164" t="str">
        <f t="shared" si="3"/>
        <v/>
      </c>
      <c r="AJ5" s="368"/>
      <c r="AK5" s="368"/>
      <c r="AL5" s="368"/>
      <c r="AM5" s="368"/>
      <c r="AN5" s="368"/>
      <c r="AO5" s="368"/>
      <c r="AP5" s="368"/>
      <c r="AQ5" s="368"/>
      <c r="AR5" s="368"/>
      <c r="AS5" s="193"/>
      <c r="AT5" s="193"/>
      <c r="AU5" s="377"/>
      <c r="AV5" s="382"/>
      <c r="AW5" s="426"/>
      <c r="AX5" s="426"/>
      <c r="AY5" s="426"/>
      <c r="AZ5" s="426"/>
      <c r="BA5" s="426"/>
      <c r="BB5" s="426"/>
      <c r="BC5" s="426"/>
      <c r="BD5" s="426"/>
      <c r="BE5" s="426"/>
      <c r="BF5" s="467">
        <f>17.86/0.508/0.658</f>
        <v>53.430821147356575</v>
      </c>
      <c r="BG5" s="466"/>
      <c r="BH5" s="335" t="s">
        <v>38</v>
      </c>
      <c r="BI5" s="446" t="s">
        <v>33</v>
      </c>
      <c r="BJ5" s="505"/>
    </row>
    <row r="6" spans="1:62" ht="15" customHeight="1" thickBot="1" x14ac:dyDescent="0.25">
      <c r="A6" s="174">
        <v>5</v>
      </c>
      <c r="B6" s="175">
        <v>1</v>
      </c>
      <c r="C6" s="166" t="s">
        <v>39</v>
      </c>
      <c r="D6" s="166" t="s">
        <v>40</v>
      </c>
      <c r="E6" s="166" t="s">
        <v>13</v>
      </c>
      <c r="F6" s="166" t="s">
        <v>41</v>
      </c>
      <c r="G6" s="166" t="s">
        <v>20</v>
      </c>
      <c r="H6" s="166" t="s">
        <v>42</v>
      </c>
      <c r="I6" s="181">
        <v>2011</v>
      </c>
      <c r="J6" s="182" t="s">
        <v>43</v>
      </c>
      <c r="K6" s="181" t="s">
        <v>44</v>
      </c>
      <c r="L6" s="181" t="s">
        <v>19</v>
      </c>
      <c r="M6" s="556" t="s">
        <v>4093</v>
      </c>
      <c r="N6" s="214" t="s">
        <v>20</v>
      </c>
      <c r="O6" s="214" t="s">
        <v>20</v>
      </c>
      <c r="P6" s="214" t="s">
        <v>15</v>
      </c>
      <c r="Q6" s="214" t="s">
        <v>15</v>
      </c>
      <c r="R6" s="214" t="s">
        <v>15</v>
      </c>
      <c r="S6" s="214" t="s">
        <v>15</v>
      </c>
      <c r="T6" s="214" t="s">
        <v>15</v>
      </c>
      <c r="U6" s="214" t="s">
        <v>15</v>
      </c>
      <c r="V6" s="214" t="s">
        <v>15</v>
      </c>
      <c r="W6" s="214" t="s">
        <v>15</v>
      </c>
      <c r="X6" s="214" t="s">
        <v>15</v>
      </c>
      <c r="Y6" s="214" t="s">
        <v>15</v>
      </c>
      <c r="Z6" s="234"/>
      <c r="AA6" s="214"/>
      <c r="AB6" s="214" t="s">
        <v>15</v>
      </c>
      <c r="AC6" s="214" t="s">
        <v>20</v>
      </c>
      <c r="AD6" s="322" t="s">
        <v>45</v>
      </c>
      <c r="AE6" s="322"/>
      <c r="AF6" s="162">
        <f t="shared" si="0"/>
        <v>23.2</v>
      </c>
      <c r="AG6" s="162" t="str">
        <f t="shared" si="1"/>
        <v/>
      </c>
      <c r="AH6" s="164">
        <f t="shared" si="2"/>
        <v>2.6</v>
      </c>
      <c r="AI6" s="164" t="str">
        <f t="shared" si="3"/>
        <v/>
      </c>
      <c r="AJ6" s="368"/>
      <c r="AK6" s="368"/>
      <c r="AL6" s="368"/>
      <c r="AM6" s="368"/>
      <c r="AN6" s="368"/>
      <c r="AO6" s="368"/>
      <c r="AP6" s="368"/>
      <c r="AQ6" s="368"/>
      <c r="AR6" s="368"/>
      <c r="AS6" s="194">
        <v>23.2</v>
      </c>
      <c r="AT6" s="193"/>
      <c r="AU6" s="377"/>
      <c r="AW6" s="426"/>
      <c r="AX6" s="426"/>
      <c r="AY6" s="426"/>
      <c r="AZ6" s="426"/>
      <c r="BA6" s="426"/>
      <c r="BB6" s="426"/>
      <c r="BC6" s="426"/>
      <c r="BD6" s="426"/>
      <c r="BE6" s="426"/>
      <c r="BF6" s="468">
        <v>2.6</v>
      </c>
      <c r="BG6" s="466"/>
      <c r="BH6" s="335" t="s">
        <v>46</v>
      </c>
      <c r="BI6" s="446" t="s">
        <v>47</v>
      </c>
      <c r="BJ6" s="505"/>
    </row>
    <row r="7" spans="1:62" ht="15.75" customHeight="1" thickBot="1" x14ac:dyDescent="0.25">
      <c r="A7" s="176">
        <v>6</v>
      </c>
      <c r="B7" s="175">
        <v>1</v>
      </c>
      <c r="C7" s="166" t="s">
        <v>39</v>
      </c>
      <c r="D7" s="166" t="s">
        <v>40</v>
      </c>
      <c r="E7" s="166" t="s">
        <v>13</v>
      </c>
      <c r="F7" s="166" t="s">
        <v>48</v>
      </c>
      <c r="G7" s="166" t="s">
        <v>20</v>
      </c>
      <c r="H7" s="166" t="s">
        <v>42</v>
      </c>
      <c r="I7" s="181">
        <v>2011</v>
      </c>
      <c r="J7" s="182" t="s">
        <v>43</v>
      </c>
      <c r="K7" s="181" t="s">
        <v>44</v>
      </c>
      <c r="L7" s="181" t="s">
        <v>19</v>
      </c>
      <c r="M7" s="556" t="s">
        <v>4093</v>
      </c>
      <c r="N7" s="214" t="s">
        <v>20</v>
      </c>
      <c r="O7" s="214" t="s">
        <v>20</v>
      </c>
      <c r="P7" s="214" t="s">
        <v>15</v>
      </c>
      <c r="Q7" s="214" t="s">
        <v>15</v>
      </c>
      <c r="R7" s="214" t="s">
        <v>15</v>
      </c>
      <c r="S7" s="214" t="s">
        <v>15</v>
      </c>
      <c r="T7" s="214" t="s">
        <v>15</v>
      </c>
      <c r="U7" s="214" t="s">
        <v>15</v>
      </c>
      <c r="V7" s="214" t="s">
        <v>15</v>
      </c>
      <c r="W7" s="214" t="s">
        <v>15</v>
      </c>
      <c r="X7" s="214" t="s">
        <v>15</v>
      </c>
      <c r="Y7" s="214" t="s">
        <v>15</v>
      </c>
      <c r="Z7" s="234"/>
      <c r="AA7" s="214"/>
      <c r="AB7" s="214" t="s">
        <v>15</v>
      </c>
      <c r="AC7" s="214" t="s">
        <v>20</v>
      </c>
      <c r="AD7" s="322" t="s">
        <v>45</v>
      </c>
      <c r="AE7" s="322"/>
      <c r="AF7" s="162">
        <f t="shared" si="0"/>
        <v>23.8</v>
      </c>
      <c r="AG7" s="162" t="str">
        <f t="shared" si="1"/>
        <v/>
      </c>
      <c r="AH7" s="164">
        <f t="shared" si="2"/>
        <v>2.7</v>
      </c>
      <c r="AI7" s="164" t="str">
        <f t="shared" si="3"/>
        <v/>
      </c>
      <c r="AJ7" s="368"/>
      <c r="AK7" s="368"/>
      <c r="AL7" s="368"/>
      <c r="AM7" s="368"/>
      <c r="AN7" s="368"/>
      <c r="AO7" s="368"/>
      <c r="AP7" s="368"/>
      <c r="AQ7" s="368"/>
      <c r="AR7" s="368"/>
      <c r="AS7" s="194">
        <v>23.8</v>
      </c>
      <c r="AT7" s="193"/>
      <c r="AU7" s="377"/>
      <c r="AV7" s="382"/>
      <c r="AW7" s="426"/>
      <c r="AX7" s="426"/>
      <c r="AY7" s="426"/>
      <c r="AZ7" s="426"/>
      <c r="BA7" s="426"/>
      <c r="BB7" s="426"/>
      <c r="BC7" s="426"/>
      <c r="BD7" s="426"/>
      <c r="BE7" s="426"/>
      <c r="BF7" s="468">
        <v>2.7</v>
      </c>
      <c r="BG7" s="466"/>
      <c r="BH7" s="335" t="s">
        <v>49</v>
      </c>
      <c r="BI7" s="446" t="s">
        <v>47</v>
      </c>
      <c r="BJ7" s="505"/>
    </row>
    <row r="8" spans="1:62" ht="15.75" customHeight="1" thickBot="1" x14ac:dyDescent="0.25">
      <c r="A8" s="174">
        <v>7</v>
      </c>
      <c r="B8" s="175">
        <v>1</v>
      </c>
      <c r="C8" s="166" t="s">
        <v>39</v>
      </c>
      <c r="D8" s="166" t="s">
        <v>40</v>
      </c>
      <c r="E8" s="166" t="s">
        <v>13</v>
      </c>
      <c r="F8" s="166" t="s">
        <v>50</v>
      </c>
      <c r="G8" s="166" t="s">
        <v>20</v>
      </c>
      <c r="H8" s="166" t="s">
        <v>42</v>
      </c>
      <c r="I8" s="181">
        <v>2011</v>
      </c>
      <c r="J8" s="182" t="s">
        <v>43</v>
      </c>
      <c r="K8" s="181" t="s">
        <v>44</v>
      </c>
      <c r="L8" s="181" t="s">
        <v>19</v>
      </c>
      <c r="M8" s="556" t="s">
        <v>4093</v>
      </c>
      <c r="N8" s="214" t="s">
        <v>20</v>
      </c>
      <c r="O8" s="214" t="s">
        <v>20</v>
      </c>
      <c r="P8" s="214" t="s">
        <v>15</v>
      </c>
      <c r="Q8" s="214" t="s">
        <v>15</v>
      </c>
      <c r="R8" s="214" t="s">
        <v>15</v>
      </c>
      <c r="S8" s="214" t="s">
        <v>15</v>
      </c>
      <c r="T8" s="214" t="s">
        <v>15</v>
      </c>
      <c r="U8" s="214" t="s">
        <v>15</v>
      </c>
      <c r="V8" s="214" t="s">
        <v>15</v>
      </c>
      <c r="W8" s="214" t="s">
        <v>15</v>
      </c>
      <c r="X8" s="214" t="s">
        <v>15</v>
      </c>
      <c r="Y8" s="214" t="s">
        <v>15</v>
      </c>
      <c r="Z8" s="234"/>
      <c r="AA8" s="214"/>
      <c r="AB8" s="214" t="s">
        <v>15</v>
      </c>
      <c r="AC8" s="214" t="s">
        <v>20</v>
      </c>
      <c r="AD8" s="322" t="s">
        <v>45</v>
      </c>
      <c r="AE8" s="322"/>
      <c r="AF8" s="162">
        <f t="shared" si="0"/>
        <v>20.8</v>
      </c>
      <c r="AG8" s="162" t="str">
        <f t="shared" si="1"/>
        <v/>
      </c>
      <c r="AH8" s="164">
        <f t="shared" si="2"/>
        <v>2.5</v>
      </c>
      <c r="AI8" s="164" t="str">
        <f t="shared" si="3"/>
        <v/>
      </c>
      <c r="AJ8" s="368"/>
      <c r="AK8" s="368"/>
      <c r="AL8" s="368"/>
      <c r="AM8" s="368"/>
      <c r="AN8" s="368"/>
      <c r="AO8" s="368"/>
      <c r="AP8" s="368"/>
      <c r="AQ8" s="368"/>
      <c r="AR8" s="368"/>
      <c r="AS8" s="194">
        <v>20.8</v>
      </c>
      <c r="AT8" s="193"/>
      <c r="AU8" s="377"/>
      <c r="AV8" s="382"/>
      <c r="AW8" s="426"/>
      <c r="AX8" s="426"/>
      <c r="AY8" s="426"/>
      <c r="AZ8" s="426"/>
      <c r="BA8" s="426"/>
      <c r="BB8" s="426"/>
      <c r="BC8" s="426"/>
      <c r="BD8" s="426"/>
      <c r="BE8" s="426"/>
      <c r="BF8" s="468">
        <v>2.5</v>
      </c>
      <c r="BG8" s="466"/>
      <c r="BH8" s="335" t="s">
        <v>51</v>
      </c>
      <c r="BI8" s="446" t="s">
        <v>47</v>
      </c>
      <c r="BJ8" s="505"/>
    </row>
    <row r="9" spans="1:62" ht="15.75" customHeight="1" thickBot="1" x14ac:dyDescent="0.25">
      <c r="A9" s="176">
        <v>8</v>
      </c>
      <c r="B9" s="175">
        <v>1</v>
      </c>
      <c r="C9" s="166" t="s">
        <v>39</v>
      </c>
      <c r="D9" s="166" t="s">
        <v>40</v>
      </c>
      <c r="E9" s="166" t="s">
        <v>13</v>
      </c>
      <c r="F9" s="166" t="s">
        <v>52</v>
      </c>
      <c r="G9" s="166" t="s">
        <v>20</v>
      </c>
      <c r="H9" s="166" t="s">
        <v>42</v>
      </c>
      <c r="I9" s="181">
        <v>2011</v>
      </c>
      <c r="J9" s="182" t="s">
        <v>43</v>
      </c>
      <c r="K9" s="181" t="s">
        <v>44</v>
      </c>
      <c r="L9" s="181" t="s">
        <v>19</v>
      </c>
      <c r="M9" s="556" t="s">
        <v>4093</v>
      </c>
      <c r="N9" s="214" t="s">
        <v>20</v>
      </c>
      <c r="O9" s="214" t="s">
        <v>20</v>
      </c>
      <c r="P9" s="214" t="s">
        <v>15</v>
      </c>
      <c r="Q9" s="214" t="s">
        <v>15</v>
      </c>
      <c r="R9" s="214" t="s">
        <v>15</v>
      </c>
      <c r="S9" s="214" t="s">
        <v>15</v>
      </c>
      <c r="T9" s="214" t="s">
        <v>15</v>
      </c>
      <c r="U9" s="214" t="s">
        <v>15</v>
      </c>
      <c r="V9" s="214" t="s">
        <v>15</v>
      </c>
      <c r="W9" s="214" t="s">
        <v>15</v>
      </c>
      <c r="X9" s="214" t="s">
        <v>15</v>
      </c>
      <c r="Y9" s="214" t="s">
        <v>15</v>
      </c>
      <c r="Z9" s="234"/>
      <c r="AA9" s="214"/>
      <c r="AB9" s="214" t="s">
        <v>15</v>
      </c>
      <c r="AC9" s="214" t="s">
        <v>20</v>
      </c>
      <c r="AD9" s="322" t="s">
        <v>45</v>
      </c>
      <c r="AE9" s="322"/>
      <c r="AF9" s="162">
        <f t="shared" si="0"/>
        <v>20.7</v>
      </c>
      <c r="AG9" s="162" t="str">
        <f t="shared" si="1"/>
        <v/>
      </c>
      <c r="AH9" s="164">
        <f t="shared" si="2"/>
        <v>2.2349999999999999</v>
      </c>
      <c r="AI9" s="164" t="str">
        <f t="shared" si="3"/>
        <v/>
      </c>
      <c r="AJ9" s="368"/>
      <c r="AK9" s="368"/>
      <c r="AL9" s="368"/>
      <c r="AM9" s="368"/>
      <c r="AN9" s="368"/>
      <c r="AO9" s="368"/>
      <c r="AP9" s="368"/>
      <c r="AQ9" s="368"/>
      <c r="AR9" s="368"/>
      <c r="AS9" s="194">
        <v>20.7</v>
      </c>
      <c r="AT9" s="193"/>
      <c r="AU9" s="377"/>
      <c r="AV9" s="382"/>
      <c r="AW9" s="426"/>
      <c r="AX9" s="426"/>
      <c r="AY9" s="426"/>
      <c r="AZ9" s="426"/>
      <c r="BA9" s="426"/>
      <c r="BB9" s="426"/>
      <c r="BC9" s="426"/>
      <c r="BD9" s="426"/>
      <c r="BE9" s="426"/>
      <c r="BF9" s="468">
        <v>2.2349999999999999</v>
      </c>
      <c r="BG9" s="466"/>
      <c r="BH9" s="341"/>
      <c r="BI9" s="446" t="s">
        <v>47</v>
      </c>
      <c r="BJ9" s="505"/>
    </row>
    <row r="10" spans="1:62" ht="15.75" customHeight="1" thickBot="1" x14ac:dyDescent="0.25">
      <c r="A10" s="174">
        <v>9</v>
      </c>
      <c r="B10" s="175">
        <v>1</v>
      </c>
      <c r="C10" s="166" t="s">
        <v>24</v>
      </c>
      <c r="D10" s="166" t="s">
        <v>53</v>
      </c>
      <c r="E10" s="166" t="s">
        <v>13</v>
      </c>
      <c r="F10" s="166" t="s">
        <v>54</v>
      </c>
      <c r="G10" s="166" t="s">
        <v>20</v>
      </c>
      <c r="H10" s="166" t="s">
        <v>55</v>
      </c>
      <c r="I10" s="181">
        <v>2015</v>
      </c>
      <c r="J10" s="182" t="s">
        <v>56</v>
      </c>
      <c r="K10" s="182" t="s">
        <v>57</v>
      </c>
      <c r="L10" s="181" t="s">
        <v>19</v>
      </c>
      <c r="M10" s="556" t="s">
        <v>4094</v>
      </c>
      <c r="N10" s="214" t="s">
        <v>20</v>
      </c>
      <c r="O10" s="214" t="s">
        <v>20</v>
      </c>
      <c r="P10" s="214" t="s">
        <v>20</v>
      </c>
      <c r="Q10" s="214" t="s">
        <v>20</v>
      </c>
      <c r="R10" s="234"/>
      <c r="S10" s="214" t="s">
        <v>20</v>
      </c>
      <c r="T10" s="214" t="s">
        <v>15</v>
      </c>
      <c r="U10" s="214" t="s">
        <v>15</v>
      </c>
      <c r="V10" s="214" t="s">
        <v>15</v>
      </c>
      <c r="W10" s="214" t="s">
        <v>15</v>
      </c>
      <c r="X10" s="214" t="s">
        <v>15</v>
      </c>
      <c r="Y10" s="214" t="s">
        <v>15</v>
      </c>
      <c r="Z10" s="234"/>
      <c r="AA10" s="214" t="s">
        <v>58</v>
      </c>
      <c r="AB10" s="214" t="s">
        <v>20</v>
      </c>
      <c r="AC10" s="214" t="s">
        <v>20</v>
      </c>
      <c r="AD10" s="322" t="s">
        <v>59</v>
      </c>
      <c r="AE10" s="322"/>
      <c r="AF10" s="162">
        <f t="shared" si="0"/>
        <v>18.239999999999998</v>
      </c>
      <c r="AG10" s="162">
        <f t="shared" si="1"/>
        <v>25.9</v>
      </c>
      <c r="AH10" s="164">
        <f t="shared" si="2"/>
        <v>25.49</v>
      </c>
      <c r="AI10" s="164">
        <f t="shared" si="3"/>
        <v>26.47</v>
      </c>
      <c r="AJ10" s="369">
        <v>18.239999999999998</v>
      </c>
      <c r="AK10" s="369"/>
      <c r="AL10" s="369">
        <v>7.66</v>
      </c>
      <c r="AM10" s="369"/>
      <c r="AN10" s="369">
        <v>6.43</v>
      </c>
      <c r="AO10" s="369">
        <v>0.03</v>
      </c>
      <c r="AP10" s="368"/>
      <c r="AQ10" s="368"/>
      <c r="AR10" s="368"/>
      <c r="AS10" s="195">
        <v>18.239999999999998</v>
      </c>
      <c r="AT10" s="195">
        <v>32.36</v>
      </c>
      <c r="AU10" s="377"/>
      <c r="AW10" s="359">
        <v>25.49</v>
      </c>
      <c r="AX10" s="359"/>
      <c r="AY10" s="359">
        <v>0.98</v>
      </c>
      <c r="AZ10" s="359"/>
      <c r="BA10" s="426">
        <f>0.756</f>
        <v>0.75600000000000001</v>
      </c>
      <c r="BB10" s="359">
        <v>2E-3</v>
      </c>
      <c r="BC10" s="426"/>
      <c r="BD10" s="426"/>
      <c r="BE10" s="426"/>
      <c r="BF10" s="469">
        <v>25.49</v>
      </c>
      <c r="BG10" s="469">
        <v>27.22</v>
      </c>
      <c r="BH10" s="341"/>
      <c r="BI10" s="446" t="s">
        <v>60</v>
      </c>
      <c r="BJ10" s="505"/>
    </row>
    <row r="11" spans="1:62" ht="15.75" customHeight="1" thickBot="1" x14ac:dyDescent="0.25">
      <c r="A11" s="176">
        <v>10</v>
      </c>
      <c r="B11" s="175">
        <v>1</v>
      </c>
      <c r="C11" s="166" t="s">
        <v>24</v>
      </c>
      <c r="D11" s="169" t="s">
        <v>346</v>
      </c>
      <c r="E11" s="166" t="s">
        <v>13</v>
      </c>
      <c r="F11" s="166" t="s">
        <v>61</v>
      </c>
      <c r="G11" s="166" t="s">
        <v>15</v>
      </c>
      <c r="H11" s="166" t="s">
        <v>55</v>
      </c>
      <c r="I11" s="181">
        <v>2015</v>
      </c>
      <c r="J11" s="182" t="s">
        <v>56</v>
      </c>
      <c r="K11" s="182" t="s">
        <v>57</v>
      </c>
      <c r="L11" s="181" t="s">
        <v>19</v>
      </c>
      <c r="M11" s="556" t="s">
        <v>4094</v>
      </c>
      <c r="N11" s="214" t="s">
        <v>20</v>
      </c>
      <c r="O11" s="214" t="s">
        <v>20</v>
      </c>
      <c r="P11" s="214" t="s">
        <v>20</v>
      </c>
      <c r="Q11" s="214" t="s">
        <v>20</v>
      </c>
      <c r="R11" s="214"/>
      <c r="S11" s="214" t="s">
        <v>20</v>
      </c>
      <c r="T11" s="214" t="s">
        <v>15</v>
      </c>
      <c r="U11" s="214" t="s">
        <v>15</v>
      </c>
      <c r="V11" s="214" t="s">
        <v>15</v>
      </c>
      <c r="W11" s="214" t="s">
        <v>15</v>
      </c>
      <c r="X11" s="214" t="s">
        <v>15</v>
      </c>
      <c r="Y11" s="214" t="s">
        <v>15</v>
      </c>
      <c r="Z11" s="214"/>
      <c r="AA11" s="214" t="s">
        <v>58</v>
      </c>
      <c r="AB11" s="214" t="s">
        <v>20</v>
      </c>
      <c r="AC11" s="214" t="s">
        <v>20</v>
      </c>
      <c r="AD11" s="322" t="s">
        <v>62</v>
      </c>
      <c r="AE11" s="322" t="s">
        <v>63</v>
      </c>
      <c r="AF11" s="162">
        <f t="shared" si="0"/>
        <v>19.468085106382979</v>
      </c>
      <c r="AG11" s="162">
        <f t="shared" si="1"/>
        <v>32.917933034916103</v>
      </c>
      <c r="AH11" s="164">
        <f t="shared" si="2"/>
        <v>21.88449848024316</v>
      </c>
      <c r="AI11" s="164">
        <f t="shared" si="3"/>
        <v>23.268996954437689</v>
      </c>
      <c r="AJ11" s="369">
        <v>19.468085010599999</v>
      </c>
      <c r="AK11" s="369"/>
      <c r="AL11" s="368">
        <f>8.85/0.658</f>
        <v>13.449848024316108</v>
      </c>
      <c r="AM11" s="369"/>
      <c r="AN11" s="368">
        <f>6.43/0.658</f>
        <v>9.7720364741641337</v>
      </c>
      <c r="AO11" s="369">
        <v>0.03</v>
      </c>
      <c r="AP11" s="368"/>
      <c r="AQ11" s="368"/>
      <c r="AR11" s="368"/>
      <c r="AS11" s="195">
        <v>19.468085106382979</v>
      </c>
      <c r="AT11" s="195">
        <v>42.735562310030396</v>
      </c>
      <c r="AU11" s="378"/>
      <c r="AW11" s="359">
        <v>21.876899689999998</v>
      </c>
      <c r="AX11" s="359"/>
      <c r="AY11" s="426">
        <f>0.916/0.658</f>
        <v>1.3920972644376899</v>
      </c>
      <c r="AZ11" s="359"/>
      <c r="BA11" s="426">
        <f>0.756/0.658</f>
        <v>1.1489361702127658</v>
      </c>
      <c r="BB11" s="359">
        <v>2E-3</v>
      </c>
      <c r="BC11" s="426"/>
      <c r="BD11" s="426"/>
      <c r="BE11" s="426"/>
      <c r="BF11" s="469">
        <v>21.88449848024316</v>
      </c>
      <c r="BG11" s="469">
        <v>24.422492401215806</v>
      </c>
      <c r="BH11" s="335"/>
      <c r="BI11" s="446" t="s">
        <v>60</v>
      </c>
      <c r="BJ11" s="505"/>
    </row>
    <row r="12" spans="1:62" ht="15.75" customHeight="1" thickBot="1" x14ac:dyDescent="0.25">
      <c r="A12" s="174">
        <v>11</v>
      </c>
      <c r="B12" s="175">
        <v>1</v>
      </c>
      <c r="C12" s="166" t="s">
        <v>24</v>
      </c>
      <c r="D12" s="166" t="s">
        <v>53</v>
      </c>
      <c r="E12" s="166" t="s">
        <v>13</v>
      </c>
      <c r="F12" s="166" t="s">
        <v>64</v>
      </c>
      <c r="G12" s="166" t="s">
        <v>20</v>
      </c>
      <c r="H12" s="166" t="s">
        <v>55</v>
      </c>
      <c r="I12" s="181">
        <v>2015</v>
      </c>
      <c r="J12" s="182" t="s">
        <v>56</v>
      </c>
      <c r="K12" s="182" t="s">
        <v>57</v>
      </c>
      <c r="L12" s="181" t="s">
        <v>19</v>
      </c>
      <c r="M12" s="556" t="s">
        <v>4094</v>
      </c>
      <c r="N12" s="214" t="s">
        <v>20</v>
      </c>
      <c r="O12" s="214" t="s">
        <v>20</v>
      </c>
      <c r="P12" s="214" t="s">
        <v>20</v>
      </c>
      <c r="Q12" s="214" t="s">
        <v>20</v>
      </c>
      <c r="R12" s="234"/>
      <c r="S12" s="214" t="s">
        <v>20</v>
      </c>
      <c r="T12" s="214" t="s">
        <v>15</v>
      </c>
      <c r="U12" s="214" t="s">
        <v>15</v>
      </c>
      <c r="V12" s="214" t="s">
        <v>15</v>
      </c>
      <c r="W12" s="214" t="s">
        <v>15</v>
      </c>
      <c r="X12" s="214" t="s">
        <v>15</v>
      </c>
      <c r="Y12" s="214" t="s">
        <v>15</v>
      </c>
      <c r="Z12" s="234"/>
      <c r="AA12" s="214" t="s">
        <v>58</v>
      </c>
      <c r="AB12" s="214" t="s">
        <v>20</v>
      </c>
      <c r="AC12" s="214" t="s">
        <v>20</v>
      </c>
      <c r="AD12" s="322" t="s">
        <v>59</v>
      </c>
      <c r="AE12" s="322"/>
      <c r="AF12" s="162">
        <f t="shared" si="0"/>
        <v>24</v>
      </c>
      <c r="AG12" s="162">
        <f t="shared" si="1"/>
        <v>31.66</v>
      </c>
      <c r="AH12" s="164">
        <f t="shared" si="2"/>
        <v>21.6</v>
      </c>
      <c r="AI12" s="164">
        <f t="shared" si="3"/>
        <v>22.6</v>
      </c>
      <c r="AJ12" s="369">
        <v>24</v>
      </c>
      <c r="AK12" s="369"/>
      <c r="AL12" s="369">
        <v>7.66</v>
      </c>
      <c r="AM12" s="369"/>
      <c r="AN12" s="369">
        <v>6.43</v>
      </c>
      <c r="AO12" s="369">
        <v>0.03</v>
      </c>
      <c r="AP12" s="368"/>
      <c r="AQ12" s="368"/>
      <c r="AR12" s="368"/>
      <c r="AS12" s="195">
        <v>24</v>
      </c>
      <c r="AT12" s="195">
        <v>38.119999999999997</v>
      </c>
      <c r="AU12" s="377"/>
      <c r="AW12" s="359">
        <v>21.62</v>
      </c>
      <c r="AX12" s="359"/>
      <c r="AY12" s="359">
        <v>0.98</v>
      </c>
      <c r="AZ12" s="359"/>
      <c r="BA12" s="426">
        <f>0.756</f>
        <v>0.75600000000000001</v>
      </c>
      <c r="BB12" s="359">
        <v>2E-3</v>
      </c>
      <c r="BC12" s="426"/>
      <c r="BD12" s="426"/>
      <c r="BE12" s="426"/>
      <c r="BF12" s="469">
        <v>21.6</v>
      </c>
      <c r="BG12" s="469">
        <v>23.36</v>
      </c>
      <c r="BH12" s="341"/>
      <c r="BI12" s="446" t="s">
        <v>60</v>
      </c>
      <c r="BJ12" s="505"/>
    </row>
    <row r="13" spans="1:62" ht="15.75" customHeight="1" thickBot="1" x14ac:dyDescent="0.25">
      <c r="A13" s="176">
        <v>12</v>
      </c>
      <c r="B13" s="175">
        <v>1</v>
      </c>
      <c r="C13" s="166" t="s">
        <v>24</v>
      </c>
      <c r="D13" s="166" t="s">
        <v>53</v>
      </c>
      <c r="E13" s="166" t="s">
        <v>13</v>
      </c>
      <c r="F13" s="166" t="s">
        <v>65</v>
      </c>
      <c r="G13" s="166" t="s">
        <v>20</v>
      </c>
      <c r="H13" s="166" t="s">
        <v>55</v>
      </c>
      <c r="I13" s="181">
        <v>2015</v>
      </c>
      <c r="J13" s="182" t="s">
        <v>56</v>
      </c>
      <c r="K13" s="182" t="s">
        <v>57</v>
      </c>
      <c r="L13" s="181" t="s">
        <v>19</v>
      </c>
      <c r="M13" s="556" t="s">
        <v>4094</v>
      </c>
      <c r="N13" s="214" t="s">
        <v>20</v>
      </c>
      <c r="O13" s="214" t="s">
        <v>20</v>
      </c>
      <c r="P13" s="214" t="s">
        <v>20</v>
      </c>
      <c r="Q13" s="214" t="s">
        <v>20</v>
      </c>
      <c r="R13" s="234"/>
      <c r="S13" s="214" t="s">
        <v>20</v>
      </c>
      <c r="T13" s="214" t="s">
        <v>15</v>
      </c>
      <c r="U13" s="214" t="s">
        <v>15</v>
      </c>
      <c r="V13" s="214" t="s">
        <v>15</v>
      </c>
      <c r="W13" s="214" t="s">
        <v>15</v>
      </c>
      <c r="X13" s="214" t="s">
        <v>15</v>
      </c>
      <c r="Y13" s="214" t="s">
        <v>15</v>
      </c>
      <c r="Z13" s="234"/>
      <c r="AA13" s="214" t="s">
        <v>58</v>
      </c>
      <c r="AB13" s="214" t="s">
        <v>20</v>
      </c>
      <c r="AC13" s="214" t="s">
        <v>20</v>
      </c>
      <c r="AD13" s="322" t="s">
        <v>59</v>
      </c>
      <c r="AE13" s="322"/>
      <c r="AF13" s="162">
        <f t="shared" si="0"/>
        <v>32.54</v>
      </c>
      <c r="AG13" s="162">
        <f t="shared" si="1"/>
        <v>40.200000000000003</v>
      </c>
      <c r="AH13" s="164">
        <f t="shared" si="2"/>
        <v>23.8</v>
      </c>
      <c r="AI13" s="164">
        <f t="shared" si="3"/>
        <v>24.803000000000001</v>
      </c>
      <c r="AJ13" s="369">
        <v>32.54</v>
      </c>
      <c r="AK13" s="369"/>
      <c r="AL13" s="369">
        <v>7.66</v>
      </c>
      <c r="AM13" s="369"/>
      <c r="AN13" s="369">
        <v>6.43</v>
      </c>
      <c r="AO13" s="369">
        <v>0.03</v>
      </c>
      <c r="AP13" s="368"/>
      <c r="AQ13" s="368"/>
      <c r="AR13" s="368"/>
      <c r="AS13" s="195">
        <v>32.54</v>
      </c>
      <c r="AT13" s="195">
        <v>46.66</v>
      </c>
      <c r="AU13" s="377"/>
      <c r="AW13" s="359">
        <v>23.823</v>
      </c>
      <c r="AX13" s="359"/>
      <c r="AY13" s="359">
        <v>0.98</v>
      </c>
      <c r="AZ13" s="359"/>
      <c r="BA13" s="426">
        <f>0.756</f>
        <v>0.75600000000000001</v>
      </c>
      <c r="BB13" s="359">
        <v>2E-3</v>
      </c>
      <c r="BC13" s="426"/>
      <c r="BD13" s="426"/>
      <c r="BE13" s="426"/>
      <c r="BF13" s="469">
        <v>23.8</v>
      </c>
      <c r="BG13" s="469">
        <v>25.56</v>
      </c>
      <c r="BH13" s="341"/>
      <c r="BI13" s="446" t="s">
        <v>60</v>
      </c>
      <c r="BJ13" s="505"/>
    </row>
    <row r="14" spans="1:62" ht="15.75" customHeight="1" thickBot="1" x14ac:dyDescent="0.25">
      <c r="A14" s="174">
        <v>13</v>
      </c>
      <c r="B14" s="175">
        <v>1</v>
      </c>
      <c r="C14" s="166" t="s">
        <v>11</v>
      </c>
      <c r="D14" s="170" t="s">
        <v>12</v>
      </c>
      <c r="E14" s="166" t="s">
        <v>13</v>
      </c>
      <c r="F14" s="166" t="s">
        <v>66</v>
      </c>
      <c r="G14" s="166" t="s">
        <v>15</v>
      </c>
      <c r="H14" s="166" t="s">
        <v>16</v>
      </c>
      <c r="I14" s="181">
        <v>2012</v>
      </c>
      <c r="J14" s="181" t="s">
        <v>67</v>
      </c>
      <c r="K14" s="182" t="s">
        <v>68</v>
      </c>
      <c r="L14" s="181" t="s">
        <v>19</v>
      </c>
      <c r="M14" s="556" t="s">
        <v>4095</v>
      </c>
      <c r="N14" s="214" t="s">
        <v>20</v>
      </c>
      <c r="O14" s="214" t="s">
        <v>15</v>
      </c>
      <c r="P14" s="214" t="s">
        <v>15</v>
      </c>
      <c r="Q14" s="214" t="s">
        <v>15</v>
      </c>
      <c r="R14" s="214" t="s">
        <v>15</v>
      </c>
      <c r="S14" s="214" t="s">
        <v>15</v>
      </c>
      <c r="T14" s="214" t="s">
        <v>15</v>
      </c>
      <c r="U14" s="214" t="s">
        <v>15</v>
      </c>
      <c r="V14" s="214" t="s">
        <v>15</v>
      </c>
      <c r="W14" s="214" t="s">
        <v>15</v>
      </c>
      <c r="X14" s="214" t="s">
        <v>15</v>
      </c>
      <c r="Y14" s="214" t="s">
        <v>15</v>
      </c>
      <c r="Z14" s="234"/>
      <c r="AA14" s="214" t="s">
        <v>69</v>
      </c>
      <c r="AB14" s="214" t="s">
        <v>15</v>
      </c>
      <c r="AC14" s="214" t="s">
        <v>15</v>
      </c>
      <c r="AD14" s="322" t="s">
        <v>70</v>
      </c>
      <c r="AE14" s="322"/>
      <c r="AF14" s="162" t="str">
        <f t="shared" si="0"/>
        <v/>
      </c>
      <c r="AG14" s="162" t="str">
        <f t="shared" si="1"/>
        <v/>
      </c>
      <c r="AH14" s="164">
        <f t="shared" si="2"/>
        <v>1.23</v>
      </c>
      <c r="AI14" s="164" t="str">
        <f t="shared" si="3"/>
        <v/>
      </c>
      <c r="AJ14" s="369"/>
      <c r="AK14" s="369"/>
      <c r="AL14" s="369"/>
      <c r="AM14" s="369"/>
      <c r="AN14" s="369"/>
      <c r="AO14" s="369"/>
      <c r="AP14" s="368"/>
      <c r="AQ14" s="368"/>
      <c r="AR14" s="368"/>
      <c r="AS14" s="195"/>
      <c r="AT14" s="195"/>
      <c r="AU14" s="377"/>
      <c r="AV14" s="382"/>
      <c r="AW14" s="359"/>
      <c r="AX14" s="359"/>
      <c r="AY14" s="359"/>
      <c r="AZ14" s="359"/>
      <c r="BA14" s="426"/>
      <c r="BB14" s="359"/>
      <c r="BC14" s="426"/>
      <c r="BD14" s="426"/>
      <c r="BE14" s="426"/>
      <c r="BF14" s="468">
        <v>1.23</v>
      </c>
      <c r="BG14" s="469"/>
      <c r="BH14" s="341"/>
      <c r="BI14" s="446" t="s">
        <v>71</v>
      </c>
      <c r="BJ14" s="505"/>
    </row>
    <row r="15" spans="1:62" ht="15.75" customHeight="1" thickBot="1" x14ac:dyDescent="0.25">
      <c r="A15" s="176">
        <v>14</v>
      </c>
      <c r="B15" s="175">
        <v>1</v>
      </c>
      <c r="C15" s="166" t="s">
        <v>11</v>
      </c>
      <c r="D15" s="170" t="s">
        <v>12</v>
      </c>
      <c r="E15" s="166" t="s">
        <v>13</v>
      </c>
      <c r="F15" s="166" t="s">
        <v>72</v>
      </c>
      <c r="G15" s="166" t="s">
        <v>15</v>
      </c>
      <c r="H15" s="166" t="s">
        <v>73</v>
      </c>
      <c r="I15" s="181">
        <v>2003</v>
      </c>
      <c r="J15" s="181" t="s">
        <v>74</v>
      </c>
      <c r="K15" s="182" t="s">
        <v>75</v>
      </c>
      <c r="L15" s="181" t="s">
        <v>19</v>
      </c>
      <c r="M15" s="556" t="s">
        <v>4096</v>
      </c>
      <c r="N15" s="214" t="s">
        <v>20</v>
      </c>
      <c r="O15" s="214" t="s">
        <v>15</v>
      </c>
      <c r="P15" s="214" t="s">
        <v>20</v>
      </c>
      <c r="Q15" s="214" t="s">
        <v>20</v>
      </c>
      <c r="R15" s="214" t="s">
        <v>20</v>
      </c>
      <c r="S15" s="214" t="s">
        <v>15</v>
      </c>
      <c r="T15" s="214" t="s">
        <v>15</v>
      </c>
      <c r="U15" s="214" t="s">
        <v>15</v>
      </c>
      <c r="V15" s="214" t="s">
        <v>15</v>
      </c>
      <c r="W15" s="214" t="s">
        <v>15</v>
      </c>
      <c r="X15" s="214" t="s">
        <v>20</v>
      </c>
      <c r="Y15" s="214" t="s">
        <v>15</v>
      </c>
      <c r="Z15" s="234"/>
      <c r="AA15" s="234"/>
      <c r="AB15" s="214" t="s">
        <v>15</v>
      </c>
      <c r="AC15" s="214" t="s">
        <v>15</v>
      </c>
      <c r="AD15" s="322" t="s">
        <v>76</v>
      </c>
      <c r="AE15" s="322" t="s">
        <v>77</v>
      </c>
      <c r="AF15" s="162" t="str">
        <f t="shared" si="0"/>
        <v/>
      </c>
      <c r="AG15" s="162" t="str">
        <f t="shared" si="1"/>
        <v/>
      </c>
      <c r="AH15" s="164">
        <f t="shared" si="2"/>
        <v>0.81159420289855078</v>
      </c>
      <c r="AI15" s="164" t="str">
        <f t="shared" si="3"/>
        <v/>
      </c>
      <c r="AJ15" s="369"/>
      <c r="AK15" s="369"/>
      <c r="AL15" s="369"/>
      <c r="AM15" s="369"/>
      <c r="AN15" s="369"/>
      <c r="AO15" s="369"/>
      <c r="AP15" s="368"/>
      <c r="AQ15" s="368"/>
      <c r="AR15" s="368"/>
      <c r="AS15" s="195"/>
      <c r="AT15" s="194">
        <f>6.21/0.001/1035</f>
        <v>6</v>
      </c>
      <c r="AU15" s="378" t="s">
        <v>78</v>
      </c>
      <c r="AW15" s="359"/>
      <c r="AX15" s="359"/>
      <c r="AY15" s="359"/>
      <c r="AZ15" s="359"/>
      <c r="BA15" s="426"/>
      <c r="BB15" s="359"/>
      <c r="BC15" s="426"/>
      <c r="BD15" s="426"/>
      <c r="BE15" s="426"/>
      <c r="BF15" s="470">
        <f>0.84/0.001/1035</f>
        <v>0.81159420289855078</v>
      </c>
      <c r="BG15" s="470">
        <f>1.05/0.001/1035</f>
        <v>1.0144927536231885</v>
      </c>
      <c r="BH15" s="341"/>
      <c r="BI15" s="446" t="s">
        <v>79</v>
      </c>
      <c r="BJ15" s="505"/>
    </row>
    <row r="16" spans="1:62" ht="15.75" customHeight="1" thickBot="1" x14ac:dyDescent="0.25">
      <c r="A16" s="174">
        <v>15</v>
      </c>
      <c r="B16" s="175">
        <v>1</v>
      </c>
      <c r="C16" s="166" t="s">
        <v>39</v>
      </c>
      <c r="D16" s="166" t="s">
        <v>40</v>
      </c>
      <c r="E16" s="166" t="s">
        <v>13</v>
      </c>
      <c r="F16" s="166" t="s">
        <v>50</v>
      </c>
      <c r="G16" s="166" t="s">
        <v>15</v>
      </c>
      <c r="H16" s="166" t="s">
        <v>80</v>
      </c>
      <c r="I16" s="181">
        <v>2013</v>
      </c>
      <c r="J16" s="181" t="s">
        <v>81</v>
      </c>
      <c r="K16" s="182" t="s">
        <v>82</v>
      </c>
      <c r="L16" s="181" t="s">
        <v>83</v>
      </c>
      <c r="M16" s="556" t="s">
        <v>4097</v>
      </c>
      <c r="N16" s="214" t="s">
        <v>20</v>
      </c>
      <c r="O16" s="214" t="s">
        <v>15</v>
      </c>
      <c r="P16" s="214" t="s">
        <v>15</v>
      </c>
      <c r="Q16" s="214" t="s">
        <v>15</v>
      </c>
      <c r="R16" s="214" t="s">
        <v>15</v>
      </c>
      <c r="S16" s="214" t="s">
        <v>15</v>
      </c>
      <c r="T16" s="214" t="s">
        <v>15</v>
      </c>
      <c r="U16" s="214" t="s">
        <v>15</v>
      </c>
      <c r="V16" s="214" t="s">
        <v>15</v>
      </c>
      <c r="W16" s="214" t="s">
        <v>15</v>
      </c>
      <c r="X16" s="214" t="s">
        <v>15</v>
      </c>
      <c r="Y16" s="214" t="s">
        <v>15</v>
      </c>
      <c r="Z16" s="234"/>
      <c r="AA16" s="214" t="s">
        <v>84</v>
      </c>
      <c r="AB16" s="214" t="s">
        <v>15</v>
      </c>
      <c r="AC16" s="214" t="s">
        <v>15</v>
      </c>
      <c r="AD16" s="322" t="s">
        <v>45</v>
      </c>
      <c r="AE16" s="322"/>
      <c r="AF16" s="162" t="str">
        <f t="shared" si="0"/>
        <v/>
      </c>
      <c r="AG16" s="162" t="str">
        <f t="shared" si="1"/>
        <v/>
      </c>
      <c r="AH16" s="164">
        <f t="shared" si="2"/>
        <v>1.8</v>
      </c>
      <c r="AI16" s="164" t="str">
        <f t="shared" si="3"/>
        <v/>
      </c>
      <c r="AJ16" s="369"/>
      <c r="AK16" s="369"/>
      <c r="AL16" s="369"/>
      <c r="AM16" s="369"/>
      <c r="AN16" s="369"/>
      <c r="AO16" s="369"/>
      <c r="AP16" s="368"/>
      <c r="AQ16" s="368"/>
      <c r="AR16" s="368"/>
      <c r="AS16" s="195"/>
      <c r="AT16" s="195"/>
      <c r="AU16" s="377"/>
      <c r="AV16" s="382"/>
      <c r="AW16" s="359"/>
      <c r="AX16" s="359"/>
      <c r="AY16" s="359"/>
      <c r="AZ16" s="359"/>
      <c r="BA16" s="426"/>
      <c r="BB16" s="359"/>
      <c r="BC16" s="426"/>
      <c r="BD16" s="426"/>
      <c r="BE16" s="426"/>
      <c r="BF16" s="468">
        <v>1.8</v>
      </c>
      <c r="BG16" s="469"/>
      <c r="BH16" s="335" t="s">
        <v>85</v>
      </c>
      <c r="BI16" s="446" t="s">
        <v>33</v>
      </c>
      <c r="BJ16" s="505"/>
    </row>
    <row r="17" spans="1:62" ht="15.75" customHeight="1" thickBot="1" x14ac:dyDescent="0.25">
      <c r="A17" s="176">
        <v>16</v>
      </c>
      <c r="B17" s="175">
        <v>1</v>
      </c>
      <c r="C17" s="166" t="s">
        <v>11</v>
      </c>
      <c r="D17" s="170" t="s">
        <v>12</v>
      </c>
      <c r="E17" s="166" t="s">
        <v>13</v>
      </c>
      <c r="F17" s="166" t="s">
        <v>86</v>
      </c>
      <c r="G17" s="166" t="s">
        <v>15</v>
      </c>
      <c r="H17" s="166" t="s">
        <v>87</v>
      </c>
      <c r="I17" s="183">
        <v>2013</v>
      </c>
      <c r="J17" s="181" t="s">
        <v>88</v>
      </c>
      <c r="K17" s="181" t="s">
        <v>89</v>
      </c>
      <c r="L17" s="181" t="s">
        <v>19</v>
      </c>
      <c r="M17" s="556" t="s">
        <v>4098</v>
      </c>
      <c r="N17" s="214" t="s">
        <v>20</v>
      </c>
      <c r="O17" s="214" t="s">
        <v>20</v>
      </c>
      <c r="P17" s="214" t="s">
        <v>20</v>
      </c>
      <c r="Q17" s="214" t="s">
        <v>15</v>
      </c>
      <c r="R17" s="214" t="s">
        <v>15</v>
      </c>
      <c r="S17" s="214" t="s">
        <v>15</v>
      </c>
      <c r="T17" s="214" t="s">
        <v>15</v>
      </c>
      <c r="U17" s="214" t="s">
        <v>15</v>
      </c>
      <c r="V17" s="214" t="s">
        <v>15</v>
      </c>
      <c r="W17" s="214" t="s">
        <v>15</v>
      </c>
      <c r="X17" s="214" t="s">
        <v>15</v>
      </c>
      <c r="Y17" s="214" t="s">
        <v>15</v>
      </c>
      <c r="Z17" s="214"/>
      <c r="AA17" s="214" t="s">
        <v>90</v>
      </c>
      <c r="AB17" s="214" t="s">
        <v>15</v>
      </c>
      <c r="AC17" s="214" t="s">
        <v>15</v>
      </c>
      <c r="AD17" s="322" t="s">
        <v>91</v>
      </c>
      <c r="AE17" s="322" t="s">
        <v>92</v>
      </c>
      <c r="AF17" s="162" t="str">
        <f t="shared" si="0"/>
        <v/>
      </c>
      <c r="AG17" s="162" t="str">
        <f t="shared" si="1"/>
        <v/>
      </c>
      <c r="AH17" s="164">
        <f t="shared" si="2"/>
        <v>1.1399999999999999</v>
      </c>
      <c r="AI17" s="164" t="str">
        <f t="shared" si="3"/>
        <v/>
      </c>
      <c r="AJ17" s="369"/>
      <c r="AK17" s="369"/>
      <c r="AL17" s="369"/>
      <c r="AM17" s="369"/>
      <c r="AN17" s="369"/>
      <c r="AO17" s="369"/>
      <c r="AP17" s="368"/>
      <c r="AQ17" s="368"/>
      <c r="AR17" s="368"/>
      <c r="AS17" s="195"/>
      <c r="AT17" s="195"/>
      <c r="AU17" s="378"/>
      <c r="AW17" s="359"/>
      <c r="AX17" s="359"/>
      <c r="AY17" s="359"/>
      <c r="AZ17" s="359"/>
      <c r="BA17" s="426"/>
      <c r="BB17" s="359"/>
      <c r="BC17" s="426"/>
      <c r="BD17" s="426"/>
      <c r="BE17" s="426"/>
      <c r="BF17" s="471">
        <v>1.1399999999999999</v>
      </c>
      <c r="BG17" s="469"/>
      <c r="BH17" s="335"/>
      <c r="BI17" s="446" t="s">
        <v>93</v>
      </c>
      <c r="BJ17" s="505"/>
    </row>
    <row r="18" spans="1:62" ht="15.75" customHeight="1" thickBot="1" x14ac:dyDescent="0.25">
      <c r="A18" s="174">
        <v>17</v>
      </c>
      <c r="B18" s="175">
        <v>1</v>
      </c>
      <c r="C18" s="166" t="s">
        <v>11</v>
      </c>
      <c r="D18" s="166" t="s">
        <v>426</v>
      </c>
      <c r="E18" s="166" t="s">
        <v>13</v>
      </c>
      <c r="F18" s="166" t="s">
        <v>94</v>
      </c>
      <c r="G18" s="166" t="s">
        <v>15</v>
      </c>
      <c r="H18" s="166" t="s">
        <v>16</v>
      </c>
      <c r="I18" s="183">
        <v>2013</v>
      </c>
      <c r="J18" s="181" t="s">
        <v>95</v>
      </c>
      <c r="K18" s="181"/>
      <c r="L18" s="181" t="s">
        <v>19</v>
      </c>
      <c r="M18" s="556" t="s">
        <v>4099</v>
      </c>
      <c r="N18" s="214" t="s">
        <v>20</v>
      </c>
      <c r="O18" s="214" t="s">
        <v>15</v>
      </c>
      <c r="P18" s="214" t="s">
        <v>20</v>
      </c>
      <c r="Q18" s="214" t="s">
        <v>20</v>
      </c>
      <c r="R18" s="214" t="s">
        <v>20</v>
      </c>
      <c r="S18" s="214" t="s">
        <v>20</v>
      </c>
      <c r="T18" s="214" t="s">
        <v>20</v>
      </c>
      <c r="U18" s="214" t="s">
        <v>20</v>
      </c>
      <c r="V18" s="214" t="s">
        <v>20</v>
      </c>
      <c r="W18" s="214" t="s">
        <v>15</v>
      </c>
      <c r="X18" s="214" t="s">
        <v>15</v>
      </c>
      <c r="Y18" s="214" t="s">
        <v>15</v>
      </c>
      <c r="Z18" s="214"/>
      <c r="AA18" s="214" t="s">
        <v>96</v>
      </c>
      <c r="AB18" s="214" t="s">
        <v>20</v>
      </c>
      <c r="AC18" s="214" t="s">
        <v>20</v>
      </c>
      <c r="AD18" s="561" t="s">
        <v>4431</v>
      </c>
      <c r="AE18" s="561" t="s">
        <v>4434</v>
      </c>
      <c r="AF18" s="162">
        <f t="shared" si="0"/>
        <v>23.567</v>
      </c>
      <c r="AG18" s="162">
        <f t="shared" si="1"/>
        <v>33.106000000000002</v>
      </c>
      <c r="AH18" s="164">
        <f t="shared" si="2"/>
        <v>6.28</v>
      </c>
      <c r="AI18" s="164">
        <f t="shared" si="3"/>
        <v>7.0293999999999999</v>
      </c>
      <c r="AJ18" s="370">
        <v>23.57</v>
      </c>
      <c r="AK18" s="369">
        <v>0.878</v>
      </c>
      <c r="AL18" s="369">
        <v>8.6579999999999995</v>
      </c>
      <c r="AM18" s="369">
        <v>1.226</v>
      </c>
      <c r="AN18" s="369">
        <v>3.0529999999999999</v>
      </c>
      <c r="AO18" s="369">
        <v>4.7270000000000003</v>
      </c>
      <c r="AP18" s="369">
        <v>6.38</v>
      </c>
      <c r="AQ18" s="368"/>
      <c r="AR18" s="368"/>
      <c r="AS18" s="196">
        <v>23.567</v>
      </c>
      <c r="AT18" s="196">
        <v>48.47</v>
      </c>
      <c r="AU18" s="378"/>
      <c r="AV18" s="400" t="s">
        <v>3235</v>
      </c>
      <c r="AW18" s="427">
        <v>6.28</v>
      </c>
      <c r="AX18" s="359">
        <v>6.1400000000000003E-2</v>
      </c>
      <c r="AY18" s="359">
        <v>0.68799999999999994</v>
      </c>
      <c r="AZ18" s="359">
        <v>7.8E-2</v>
      </c>
      <c r="BA18" s="359">
        <v>0.21360000000000001</v>
      </c>
      <c r="BB18" s="359">
        <v>0.63800000000000001</v>
      </c>
      <c r="BC18" s="359">
        <v>0.5302</v>
      </c>
      <c r="BD18" s="426"/>
      <c r="BE18" s="426"/>
      <c r="BF18" s="472">
        <v>6.28</v>
      </c>
      <c r="BG18" s="472">
        <v>8.4700000000000006</v>
      </c>
      <c r="BH18" s="335" t="s">
        <v>97</v>
      </c>
      <c r="BI18" s="446" t="s">
        <v>93</v>
      </c>
      <c r="BJ18" s="505"/>
    </row>
    <row r="19" spans="1:62" ht="15.75" customHeight="1" thickBot="1" x14ac:dyDescent="0.25">
      <c r="A19" s="176">
        <v>18</v>
      </c>
      <c r="B19" s="175">
        <v>1</v>
      </c>
      <c r="C19" s="166" t="s">
        <v>11</v>
      </c>
      <c r="D19" s="166" t="s">
        <v>426</v>
      </c>
      <c r="E19" s="166" t="s">
        <v>13</v>
      </c>
      <c r="F19" s="166" t="s">
        <v>98</v>
      </c>
      <c r="G19" s="166" t="s">
        <v>15</v>
      </c>
      <c r="H19" s="166" t="s">
        <v>16</v>
      </c>
      <c r="I19" s="183">
        <v>2013</v>
      </c>
      <c r="J19" s="181" t="s">
        <v>95</v>
      </c>
      <c r="K19" s="181"/>
      <c r="L19" s="181" t="s">
        <v>19</v>
      </c>
      <c r="M19" s="556" t="s">
        <v>4099</v>
      </c>
      <c r="N19" s="214" t="s">
        <v>20</v>
      </c>
      <c r="O19" s="214" t="s">
        <v>15</v>
      </c>
      <c r="P19" s="214" t="s">
        <v>20</v>
      </c>
      <c r="Q19" s="214" t="s">
        <v>20</v>
      </c>
      <c r="R19" s="214" t="s">
        <v>20</v>
      </c>
      <c r="S19" s="214" t="s">
        <v>20</v>
      </c>
      <c r="T19" s="214" t="s">
        <v>20</v>
      </c>
      <c r="U19" s="214" t="s">
        <v>20</v>
      </c>
      <c r="V19" s="214" t="s">
        <v>20</v>
      </c>
      <c r="W19" s="214" t="s">
        <v>15</v>
      </c>
      <c r="X19" s="214" t="s">
        <v>15</v>
      </c>
      <c r="Y19" s="214" t="s">
        <v>15</v>
      </c>
      <c r="Z19" s="214"/>
      <c r="AA19" s="214" t="s">
        <v>96</v>
      </c>
      <c r="AB19" s="214" t="s">
        <v>20</v>
      </c>
      <c r="AC19" s="214" t="s">
        <v>20</v>
      </c>
      <c r="AD19" s="561" t="s">
        <v>4432</v>
      </c>
      <c r="AE19" s="561" t="s">
        <v>4433</v>
      </c>
      <c r="AF19" s="162">
        <f t="shared" si="0"/>
        <v>17.55</v>
      </c>
      <c r="AG19" s="162">
        <f t="shared" si="1"/>
        <v>29.19</v>
      </c>
      <c r="AH19" s="164">
        <f t="shared" si="2"/>
        <v>4.68</v>
      </c>
      <c r="AI19" s="164">
        <f t="shared" si="3"/>
        <v>5.8</v>
      </c>
      <c r="AJ19" s="370">
        <v>17.55</v>
      </c>
      <c r="AK19" s="369">
        <v>1.1000000000000001</v>
      </c>
      <c r="AL19" s="369">
        <v>10.54</v>
      </c>
      <c r="AM19" s="369">
        <v>1.56</v>
      </c>
      <c r="AN19" s="369">
        <v>3.48</v>
      </c>
      <c r="AO19" s="369">
        <v>4.72</v>
      </c>
      <c r="AP19" s="369">
        <v>6.37</v>
      </c>
      <c r="AQ19" s="368"/>
      <c r="AR19" s="368"/>
      <c r="AS19" s="196">
        <v>17.55</v>
      </c>
      <c r="AT19" s="196">
        <v>45.39</v>
      </c>
      <c r="AU19" s="378"/>
      <c r="AV19" s="400" t="s">
        <v>3236</v>
      </c>
      <c r="AW19" s="427">
        <v>4.68</v>
      </c>
      <c r="AX19" s="359">
        <v>0.08</v>
      </c>
      <c r="AY19" s="359">
        <v>1.04</v>
      </c>
      <c r="AZ19" s="359">
        <v>0.11</v>
      </c>
      <c r="BA19" s="359">
        <v>0.24</v>
      </c>
      <c r="BB19" s="359">
        <v>0.64</v>
      </c>
      <c r="BC19" s="359">
        <v>0.53</v>
      </c>
      <c r="BD19" s="426"/>
      <c r="BE19" s="426"/>
      <c r="BF19" s="472">
        <v>4.68</v>
      </c>
      <c r="BG19" s="472">
        <v>7.3</v>
      </c>
      <c r="BH19" s="335" t="s">
        <v>99</v>
      </c>
      <c r="BI19" s="446" t="s">
        <v>93</v>
      </c>
      <c r="BJ19" s="505"/>
    </row>
    <row r="20" spans="1:62" ht="15.75" customHeight="1" thickBot="1" x14ac:dyDescent="0.25">
      <c r="A20" s="174">
        <v>19</v>
      </c>
      <c r="B20" s="175">
        <v>1</v>
      </c>
      <c r="C20" s="166" t="s">
        <v>39</v>
      </c>
      <c r="D20" s="166" t="s">
        <v>40</v>
      </c>
      <c r="E20" s="166" t="s">
        <v>13</v>
      </c>
      <c r="F20" s="166" t="s">
        <v>100</v>
      </c>
      <c r="G20" s="166" t="s">
        <v>15</v>
      </c>
      <c r="H20" s="166" t="s">
        <v>101</v>
      </c>
      <c r="I20" s="181">
        <v>2009</v>
      </c>
      <c r="J20" s="181" t="s">
        <v>102</v>
      </c>
      <c r="K20" s="181" t="s">
        <v>103</v>
      </c>
      <c r="L20" s="181" t="s">
        <v>104</v>
      </c>
      <c r="M20" s="556" t="s">
        <v>4100</v>
      </c>
      <c r="N20" s="214" t="s">
        <v>20</v>
      </c>
      <c r="O20" s="214" t="s">
        <v>15</v>
      </c>
      <c r="P20" s="214" t="s">
        <v>15</v>
      </c>
      <c r="Q20" s="214" t="s">
        <v>15</v>
      </c>
      <c r="R20" s="214" t="s">
        <v>15</v>
      </c>
      <c r="S20" s="214" t="s">
        <v>15</v>
      </c>
      <c r="T20" s="214" t="s">
        <v>15</v>
      </c>
      <c r="U20" s="214" t="s">
        <v>15</v>
      </c>
      <c r="V20" s="214" t="s">
        <v>15</v>
      </c>
      <c r="W20" s="214" t="s">
        <v>15</v>
      </c>
      <c r="X20" s="214" t="s">
        <v>15</v>
      </c>
      <c r="Y20" s="214" t="s">
        <v>15</v>
      </c>
      <c r="Z20" s="234"/>
      <c r="AA20" s="214" t="s">
        <v>105</v>
      </c>
      <c r="AB20" s="214" t="s">
        <v>15</v>
      </c>
      <c r="AC20" s="214" t="s">
        <v>20</v>
      </c>
      <c r="AD20" s="322" t="s">
        <v>106</v>
      </c>
      <c r="AE20" s="322"/>
      <c r="AF20" s="162" t="str">
        <f t="shared" si="0"/>
        <v/>
      </c>
      <c r="AG20" s="162" t="str">
        <f t="shared" si="1"/>
        <v/>
      </c>
      <c r="AH20" s="164">
        <f t="shared" si="2"/>
        <v>1.42</v>
      </c>
      <c r="AI20" s="164" t="str">
        <f t="shared" si="3"/>
        <v/>
      </c>
      <c r="AJ20" s="370"/>
      <c r="AK20" s="369"/>
      <c r="AL20" s="369"/>
      <c r="AM20" s="369"/>
      <c r="AN20" s="369"/>
      <c r="AO20" s="369"/>
      <c r="AP20" s="369"/>
      <c r="AQ20" s="368"/>
      <c r="AR20" s="368"/>
      <c r="AS20" s="196"/>
      <c r="AT20" s="196"/>
      <c r="AU20" s="377"/>
      <c r="AV20" s="382"/>
      <c r="AW20" s="427"/>
      <c r="AX20" s="359"/>
      <c r="AY20" s="359"/>
      <c r="AZ20" s="359"/>
      <c r="BA20" s="359"/>
      <c r="BB20" s="359"/>
      <c r="BC20" s="359"/>
      <c r="BD20" s="426"/>
      <c r="BE20" s="426"/>
      <c r="BF20" s="468">
        <v>1.42</v>
      </c>
      <c r="BG20" s="472"/>
      <c r="BH20" s="341"/>
      <c r="BI20" s="446" t="s">
        <v>47</v>
      </c>
      <c r="BJ20" s="505"/>
    </row>
    <row r="21" spans="1:62" ht="15.75" customHeight="1" thickBot="1" x14ac:dyDescent="0.25">
      <c r="A21" s="176">
        <v>20</v>
      </c>
      <c r="B21" s="175">
        <v>1</v>
      </c>
      <c r="C21" s="166" t="s">
        <v>39</v>
      </c>
      <c r="D21" s="166" t="s">
        <v>40</v>
      </c>
      <c r="E21" s="166" t="s">
        <v>13</v>
      </c>
      <c r="F21" s="166" t="s">
        <v>107</v>
      </c>
      <c r="G21" s="166" t="s">
        <v>15</v>
      </c>
      <c r="H21" s="166" t="s">
        <v>108</v>
      </c>
      <c r="I21" s="181">
        <v>2014</v>
      </c>
      <c r="J21" s="181" t="s">
        <v>109</v>
      </c>
      <c r="K21" s="181" t="s">
        <v>110</v>
      </c>
      <c r="L21" s="181" t="s">
        <v>19</v>
      </c>
      <c r="M21" s="556" t="s">
        <v>4101</v>
      </c>
      <c r="N21" s="214" t="s">
        <v>20</v>
      </c>
      <c r="O21" s="214" t="s">
        <v>15</v>
      </c>
      <c r="P21" s="214" t="s">
        <v>15</v>
      </c>
      <c r="Q21" s="214" t="s">
        <v>15</v>
      </c>
      <c r="R21" s="214" t="s">
        <v>20</v>
      </c>
      <c r="S21" s="214" t="s">
        <v>15</v>
      </c>
      <c r="T21" s="214" t="s">
        <v>15</v>
      </c>
      <c r="U21" s="214" t="s">
        <v>15</v>
      </c>
      <c r="V21" s="214" t="s">
        <v>15</v>
      </c>
      <c r="W21" s="214" t="s">
        <v>15</v>
      </c>
      <c r="X21" s="214" t="s">
        <v>15</v>
      </c>
      <c r="Y21" s="214" t="s">
        <v>15</v>
      </c>
      <c r="Z21" s="234"/>
      <c r="AA21" s="214" t="s">
        <v>111</v>
      </c>
      <c r="AB21" s="214" t="s">
        <v>15</v>
      </c>
      <c r="AC21" s="214" t="s">
        <v>20</v>
      </c>
      <c r="AD21" s="322" t="s">
        <v>112</v>
      </c>
      <c r="AE21" s="322"/>
      <c r="AF21" s="162" t="str">
        <f t="shared" si="0"/>
        <v/>
      </c>
      <c r="AG21" s="162" t="str">
        <f t="shared" si="1"/>
        <v/>
      </c>
      <c r="AH21" s="164">
        <f t="shared" si="2"/>
        <v>1.6</v>
      </c>
      <c r="AI21" s="164" t="str">
        <f t="shared" si="3"/>
        <v/>
      </c>
      <c r="AJ21" s="370"/>
      <c r="AK21" s="369"/>
      <c r="AL21" s="369"/>
      <c r="AM21" s="369"/>
      <c r="AN21" s="369"/>
      <c r="AO21" s="369"/>
      <c r="AP21" s="369"/>
      <c r="AQ21" s="368"/>
      <c r="AR21" s="368"/>
      <c r="AS21" s="196"/>
      <c r="AT21" s="196"/>
      <c r="AU21" s="377"/>
      <c r="AV21" s="382"/>
      <c r="AW21" s="427"/>
      <c r="AX21" s="359"/>
      <c r="AY21" s="359"/>
      <c r="AZ21" s="359"/>
      <c r="BA21" s="359"/>
      <c r="BB21" s="359"/>
      <c r="BC21" s="359"/>
      <c r="BD21" s="426"/>
      <c r="BE21" s="426"/>
      <c r="BF21" s="468">
        <v>1.6</v>
      </c>
      <c r="BG21" s="472"/>
      <c r="BH21" s="341"/>
      <c r="BI21" s="446" t="s">
        <v>113</v>
      </c>
      <c r="BJ21" s="505"/>
    </row>
    <row r="22" spans="1:62" ht="15.75" customHeight="1" thickBot="1" x14ac:dyDescent="0.25">
      <c r="A22" s="174">
        <v>21</v>
      </c>
      <c r="B22" s="175">
        <v>1</v>
      </c>
      <c r="C22" s="166" t="s">
        <v>11</v>
      </c>
      <c r="D22" s="166" t="s">
        <v>426</v>
      </c>
      <c r="E22" s="166" t="s">
        <v>13</v>
      </c>
      <c r="F22" s="166" t="s">
        <v>114</v>
      </c>
      <c r="G22" s="166" t="s">
        <v>15</v>
      </c>
      <c r="H22" s="166" t="s">
        <v>42</v>
      </c>
      <c r="I22" s="183">
        <v>2014</v>
      </c>
      <c r="J22" s="181" t="s">
        <v>115</v>
      </c>
      <c r="K22" s="181" t="s">
        <v>116</v>
      </c>
      <c r="L22" s="181" t="s">
        <v>117</v>
      </c>
      <c r="M22" s="556" t="s">
        <v>4102</v>
      </c>
      <c r="N22" s="214" t="s">
        <v>20</v>
      </c>
      <c r="O22" s="214" t="s">
        <v>20</v>
      </c>
      <c r="P22" s="214" t="s">
        <v>20</v>
      </c>
      <c r="Q22" s="214" t="s">
        <v>20</v>
      </c>
      <c r="R22" s="214" t="s">
        <v>20</v>
      </c>
      <c r="S22" s="214" t="s">
        <v>20</v>
      </c>
      <c r="T22" s="214" t="s">
        <v>20</v>
      </c>
      <c r="U22" s="214" t="s">
        <v>15</v>
      </c>
      <c r="V22" s="214" t="s">
        <v>15</v>
      </c>
      <c r="W22" s="214" t="s">
        <v>15</v>
      </c>
      <c r="X22" s="214" t="s">
        <v>15</v>
      </c>
      <c r="Y22" s="214" t="s">
        <v>15</v>
      </c>
      <c r="Z22" s="214"/>
      <c r="AA22" s="214" t="s">
        <v>118</v>
      </c>
      <c r="AB22" s="214" t="s">
        <v>20</v>
      </c>
      <c r="AC22" s="214" t="s">
        <v>15</v>
      </c>
      <c r="AD22" s="322" t="s">
        <v>119</v>
      </c>
      <c r="AE22" s="322"/>
      <c r="AF22" s="162" t="str">
        <f t="shared" si="0"/>
        <v/>
      </c>
      <c r="AG22" s="162" t="str">
        <f t="shared" si="1"/>
        <v/>
      </c>
      <c r="AH22" s="164">
        <f t="shared" si="2"/>
        <v>7.56</v>
      </c>
      <c r="AI22" s="164" t="str">
        <f t="shared" si="3"/>
        <v/>
      </c>
      <c r="AJ22" s="370"/>
      <c r="AK22" s="369"/>
      <c r="AL22" s="369"/>
      <c r="AM22" s="369"/>
      <c r="AN22" s="369"/>
      <c r="AO22" s="369"/>
      <c r="AP22" s="369"/>
      <c r="AQ22" s="368"/>
      <c r="AR22" s="368"/>
      <c r="AS22" s="196"/>
      <c r="AT22" s="196"/>
      <c r="AU22" s="378"/>
      <c r="AW22" s="427"/>
      <c r="AX22" s="359"/>
      <c r="AY22" s="359"/>
      <c r="AZ22" s="359"/>
      <c r="BA22" s="359"/>
      <c r="BB22" s="359"/>
      <c r="BC22" s="359"/>
      <c r="BD22" s="426"/>
      <c r="BE22" s="426"/>
      <c r="BF22" s="471">
        <v>7.56</v>
      </c>
      <c r="BG22" s="471">
        <v>8.67</v>
      </c>
      <c r="BH22" s="335" t="s">
        <v>120</v>
      </c>
      <c r="BI22" s="446" t="s">
        <v>113</v>
      </c>
      <c r="BJ22" s="505"/>
    </row>
    <row r="23" spans="1:62" ht="15.75" customHeight="1" thickBot="1" x14ac:dyDescent="0.25">
      <c r="A23" s="176">
        <v>22</v>
      </c>
      <c r="B23" s="175">
        <v>1</v>
      </c>
      <c r="C23" s="166" t="s">
        <v>11</v>
      </c>
      <c r="D23" s="170" t="s">
        <v>12</v>
      </c>
      <c r="E23" s="166" t="s">
        <v>13</v>
      </c>
      <c r="F23" s="166" t="s">
        <v>121</v>
      </c>
      <c r="G23" s="166" t="s">
        <v>15</v>
      </c>
      <c r="H23" s="166" t="s">
        <v>42</v>
      </c>
      <c r="I23" s="183">
        <v>2014</v>
      </c>
      <c r="J23" s="181" t="s">
        <v>115</v>
      </c>
      <c r="K23" s="181" t="s">
        <v>116</v>
      </c>
      <c r="L23" s="181" t="s">
        <v>117</v>
      </c>
      <c r="M23" s="556" t="s">
        <v>4102</v>
      </c>
      <c r="N23" s="214" t="s">
        <v>20</v>
      </c>
      <c r="O23" s="214" t="s">
        <v>122</v>
      </c>
      <c r="P23" s="214" t="s">
        <v>20</v>
      </c>
      <c r="Q23" s="214" t="s">
        <v>20</v>
      </c>
      <c r="R23" s="214" t="s">
        <v>20</v>
      </c>
      <c r="S23" s="214" t="s">
        <v>20</v>
      </c>
      <c r="T23" s="214" t="s">
        <v>20</v>
      </c>
      <c r="U23" s="214" t="s">
        <v>15</v>
      </c>
      <c r="V23" s="214" t="s">
        <v>15</v>
      </c>
      <c r="W23" s="214" t="s">
        <v>15</v>
      </c>
      <c r="X23" s="214" t="s">
        <v>15</v>
      </c>
      <c r="Y23" s="214" t="s">
        <v>15</v>
      </c>
      <c r="Z23" s="214"/>
      <c r="AA23" s="214" t="s">
        <v>123</v>
      </c>
      <c r="AB23" s="214" t="s">
        <v>20</v>
      </c>
      <c r="AC23" s="214" t="s">
        <v>15</v>
      </c>
      <c r="AD23" s="322" t="s">
        <v>124</v>
      </c>
      <c r="AE23" s="322"/>
      <c r="AF23" s="162" t="str">
        <f t="shared" si="0"/>
        <v/>
      </c>
      <c r="AG23" s="162" t="str">
        <f t="shared" si="1"/>
        <v/>
      </c>
      <c r="AH23" s="164">
        <f t="shared" si="2"/>
        <v>0.84</v>
      </c>
      <c r="AI23" s="164" t="str">
        <f t="shared" si="3"/>
        <v/>
      </c>
      <c r="AJ23" s="370"/>
      <c r="AK23" s="369"/>
      <c r="AL23" s="369"/>
      <c r="AM23" s="369"/>
      <c r="AN23" s="369"/>
      <c r="AO23" s="369"/>
      <c r="AP23" s="369"/>
      <c r="AQ23" s="368"/>
      <c r="AR23" s="368"/>
      <c r="AS23" s="196"/>
      <c r="AT23" s="196"/>
      <c r="AU23" s="378"/>
      <c r="AW23" s="427"/>
      <c r="AX23" s="359"/>
      <c r="AY23" s="359"/>
      <c r="AZ23" s="359"/>
      <c r="BA23" s="359"/>
      <c r="BB23" s="359"/>
      <c r="BC23" s="359"/>
      <c r="BD23" s="426"/>
      <c r="BE23" s="426"/>
      <c r="BF23" s="471">
        <v>0.84</v>
      </c>
      <c r="BG23" s="471">
        <v>1.1200000000000001</v>
      </c>
      <c r="BH23" s="335" t="s">
        <v>125</v>
      </c>
      <c r="BI23" s="446" t="s">
        <v>126</v>
      </c>
      <c r="BJ23" s="505"/>
    </row>
    <row r="24" spans="1:62" ht="15.75" customHeight="1" thickBot="1" x14ac:dyDescent="0.25">
      <c r="A24" s="174">
        <v>23</v>
      </c>
      <c r="B24" s="175">
        <v>1</v>
      </c>
      <c r="C24" s="166" t="s">
        <v>11</v>
      </c>
      <c r="D24" s="166" t="s">
        <v>426</v>
      </c>
      <c r="E24" s="166" t="s">
        <v>13</v>
      </c>
      <c r="F24" s="166" t="s">
        <v>127</v>
      </c>
      <c r="G24" s="166" t="s">
        <v>15</v>
      </c>
      <c r="H24" s="166" t="s">
        <v>101</v>
      </c>
      <c r="I24" s="183">
        <v>2002</v>
      </c>
      <c r="J24" s="181" t="s">
        <v>128</v>
      </c>
      <c r="K24" s="181" t="s">
        <v>129</v>
      </c>
      <c r="L24" s="181" t="s">
        <v>19</v>
      </c>
      <c r="M24" s="556" t="s">
        <v>4103</v>
      </c>
      <c r="N24" s="214" t="s">
        <v>20</v>
      </c>
      <c r="O24" s="214" t="s">
        <v>15</v>
      </c>
      <c r="P24" s="214" t="s">
        <v>20</v>
      </c>
      <c r="Q24" s="214" t="s">
        <v>20</v>
      </c>
      <c r="R24" s="214" t="s">
        <v>20</v>
      </c>
      <c r="S24" s="214" t="s">
        <v>20</v>
      </c>
      <c r="T24" s="214" t="s">
        <v>20</v>
      </c>
      <c r="U24" s="214" t="s">
        <v>20</v>
      </c>
      <c r="V24" s="214" t="s">
        <v>20</v>
      </c>
      <c r="W24" s="214" t="s">
        <v>15</v>
      </c>
      <c r="X24" s="214" t="s">
        <v>20</v>
      </c>
      <c r="Y24" s="214" t="s">
        <v>15</v>
      </c>
      <c r="Z24" s="214"/>
      <c r="AA24" s="214" t="s">
        <v>130</v>
      </c>
      <c r="AB24" s="214" t="s">
        <v>20</v>
      </c>
      <c r="AC24" s="214" t="s">
        <v>15</v>
      </c>
      <c r="AD24" s="322" t="s">
        <v>131</v>
      </c>
      <c r="AE24" s="322"/>
      <c r="AF24" s="162" t="str">
        <f t="shared" si="0"/>
        <v/>
      </c>
      <c r="AG24" s="162" t="str">
        <f t="shared" si="1"/>
        <v/>
      </c>
      <c r="AH24" s="164">
        <f t="shared" si="2"/>
        <v>8.3000000000000007</v>
      </c>
      <c r="AI24" s="164" t="str">
        <f t="shared" si="3"/>
        <v/>
      </c>
      <c r="AJ24" s="370"/>
      <c r="AK24" s="369"/>
      <c r="AL24" s="369"/>
      <c r="AM24" s="369"/>
      <c r="AN24" s="369"/>
      <c r="AO24" s="369"/>
      <c r="AP24" s="369"/>
      <c r="AQ24" s="368"/>
      <c r="AR24" s="368"/>
      <c r="AS24" s="196"/>
      <c r="AT24" s="197">
        <v>49.1</v>
      </c>
      <c r="AU24" s="378"/>
      <c r="AW24" s="427"/>
      <c r="AX24" s="359"/>
      <c r="AY24" s="359"/>
      <c r="AZ24" s="359"/>
      <c r="BA24" s="359"/>
      <c r="BB24" s="359"/>
      <c r="BC24" s="359"/>
      <c r="BD24" s="426"/>
      <c r="BE24" s="426"/>
      <c r="BF24" s="471">
        <v>8.3000000000000007</v>
      </c>
      <c r="BG24" s="471">
        <v>8.7940000000000005</v>
      </c>
      <c r="BH24" s="335"/>
      <c r="BI24" s="446" t="s">
        <v>132</v>
      </c>
      <c r="BJ24" s="505"/>
    </row>
    <row r="25" spans="1:62" ht="15.75" customHeight="1" thickBot="1" x14ac:dyDescent="0.25">
      <c r="A25" s="176">
        <v>24</v>
      </c>
      <c r="B25" s="175">
        <v>1</v>
      </c>
      <c r="C25" s="166" t="s">
        <v>11</v>
      </c>
      <c r="D25" s="166" t="s">
        <v>12</v>
      </c>
      <c r="E25" s="166" t="s">
        <v>13</v>
      </c>
      <c r="F25" s="166" t="s">
        <v>133</v>
      </c>
      <c r="G25" s="166" t="s">
        <v>15</v>
      </c>
      <c r="H25" s="166" t="s">
        <v>134</v>
      </c>
      <c r="I25" s="183">
        <v>2013</v>
      </c>
      <c r="J25" s="181" t="s">
        <v>135</v>
      </c>
      <c r="K25" s="181" t="s">
        <v>136</v>
      </c>
      <c r="L25" s="181" t="s">
        <v>19</v>
      </c>
      <c r="M25" s="556" t="s">
        <v>4104</v>
      </c>
      <c r="N25" s="214" t="s">
        <v>20</v>
      </c>
      <c r="O25" s="214" t="s">
        <v>15</v>
      </c>
      <c r="P25" s="214" t="s">
        <v>20</v>
      </c>
      <c r="Q25" s="214" t="s">
        <v>20</v>
      </c>
      <c r="R25" s="214" t="s">
        <v>20</v>
      </c>
      <c r="S25" s="214" t="s">
        <v>15</v>
      </c>
      <c r="T25" s="214" t="s">
        <v>15</v>
      </c>
      <c r="U25" s="214" t="s">
        <v>15</v>
      </c>
      <c r="V25" s="214" t="s">
        <v>15</v>
      </c>
      <c r="W25" s="214" t="s">
        <v>15</v>
      </c>
      <c r="X25" s="214" t="s">
        <v>15</v>
      </c>
      <c r="Y25" s="214" t="s">
        <v>15</v>
      </c>
      <c r="Z25" s="214"/>
      <c r="AA25" s="214" t="s">
        <v>137</v>
      </c>
      <c r="AB25" s="214" t="s">
        <v>20</v>
      </c>
      <c r="AC25" s="214" t="s">
        <v>15</v>
      </c>
      <c r="AD25" s="322" t="s">
        <v>138</v>
      </c>
      <c r="AE25" s="322" t="s">
        <v>92</v>
      </c>
      <c r="AF25" s="162" t="str">
        <f t="shared" si="0"/>
        <v/>
      </c>
      <c r="AG25" s="162" t="str">
        <f t="shared" si="1"/>
        <v/>
      </c>
      <c r="AH25" s="164" t="str">
        <f t="shared" si="2"/>
        <v/>
      </c>
      <c r="AI25" s="164" t="str">
        <f t="shared" si="3"/>
        <v/>
      </c>
      <c r="AJ25" s="370"/>
      <c r="AK25" s="369"/>
      <c r="AL25" s="369"/>
      <c r="AM25" s="369"/>
      <c r="AN25" s="369"/>
      <c r="AO25" s="369"/>
      <c r="AP25" s="369"/>
      <c r="AQ25" s="368"/>
      <c r="AR25" s="368"/>
      <c r="AS25" s="196"/>
      <c r="AT25" s="196"/>
      <c r="AU25" s="378"/>
      <c r="AW25" s="427"/>
      <c r="AX25" s="359"/>
      <c r="AY25" s="359"/>
      <c r="AZ25" s="359"/>
      <c r="BA25" s="359"/>
      <c r="BB25" s="359"/>
      <c r="BC25" s="359"/>
      <c r="BD25" s="426"/>
      <c r="BE25" s="426"/>
      <c r="BF25" s="472"/>
      <c r="BG25" s="471">
        <v>1.46</v>
      </c>
      <c r="BH25" s="335"/>
      <c r="BI25" s="446"/>
      <c r="BJ25" s="505"/>
    </row>
    <row r="26" spans="1:62" ht="15.75" customHeight="1" thickBot="1" x14ac:dyDescent="0.25">
      <c r="A26" s="174">
        <v>25</v>
      </c>
      <c r="B26" s="175">
        <v>1</v>
      </c>
      <c r="C26" s="166" t="s">
        <v>11</v>
      </c>
      <c r="D26" s="166" t="s">
        <v>12</v>
      </c>
      <c r="E26" s="166" t="s">
        <v>13</v>
      </c>
      <c r="F26" s="166" t="s">
        <v>139</v>
      </c>
      <c r="G26" s="166" t="s">
        <v>15</v>
      </c>
      <c r="H26" s="166" t="s">
        <v>134</v>
      </c>
      <c r="I26" s="183">
        <v>2013</v>
      </c>
      <c r="J26" s="181" t="s">
        <v>135</v>
      </c>
      <c r="K26" s="181" t="s">
        <v>136</v>
      </c>
      <c r="L26" s="181" t="s">
        <v>19</v>
      </c>
      <c r="M26" s="556" t="s">
        <v>4104</v>
      </c>
      <c r="N26" s="214" t="s">
        <v>20</v>
      </c>
      <c r="O26" s="214" t="s">
        <v>15</v>
      </c>
      <c r="P26" s="214" t="s">
        <v>20</v>
      </c>
      <c r="Q26" s="214" t="s">
        <v>20</v>
      </c>
      <c r="R26" s="214" t="s">
        <v>20</v>
      </c>
      <c r="S26" s="214" t="s">
        <v>15</v>
      </c>
      <c r="T26" s="214" t="s">
        <v>15</v>
      </c>
      <c r="U26" s="214" t="s">
        <v>15</v>
      </c>
      <c r="V26" s="214" t="s">
        <v>15</v>
      </c>
      <c r="W26" s="214" t="s">
        <v>15</v>
      </c>
      <c r="X26" s="214" t="s">
        <v>15</v>
      </c>
      <c r="Y26" s="214" t="s">
        <v>15</v>
      </c>
      <c r="Z26" s="214"/>
      <c r="AA26" s="214" t="s">
        <v>137</v>
      </c>
      <c r="AB26" s="214" t="s">
        <v>20</v>
      </c>
      <c r="AC26" s="214" t="s">
        <v>15</v>
      </c>
      <c r="AD26" s="322" t="s">
        <v>138</v>
      </c>
      <c r="AE26" s="322" t="s">
        <v>92</v>
      </c>
      <c r="AF26" s="162" t="str">
        <f t="shared" si="0"/>
        <v/>
      </c>
      <c r="AG26" s="162" t="str">
        <f t="shared" si="1"/>
        <v/>
      </c>
      <c r="AH26" s="164" t="str">
        <f t="shared" si="2"/>
        <v/>
      </c>
      <c r="AI26" s="164" t="str">
        <f t="shared" si="3"/>
        <v/>
      </c>
      <c r="AJ26" s="370"/>
      <c r="AK26" s="369"/>
      <c r="AL26" s="369"/>
      <c r="AM26" s="369"/>
      <c r="AN26" s="369"/>
      <c r="AO26" s="369"/>
      <c r="AP26" s="369"/>
      <c r="AQ26" s="368"/>
      <c r="AR26" s="368"/>
      <c r="AS26" s="196"/>
      <c r="AT26" s="196"/>
      <c r="AU26" s="378"/>
      <c r="AW26" s="427"/>
      <c r="AX26" s="359"/>
      <c r="AY26" s="359"/>
      <c r="AZ26" s="359"/>
      <c r="BA26" s="359"/>
      <c r="BB26" s="359"/>
      <c r="BC26" s="359"/>
      <c r="BD26" s="426"/>
      <c r="BE26" s="426"/>
      <c r="BF26" s="472"/>
      <c r="BG26" s="471">
        <v>1.31</v>
      </c>
      <c r="BH26" s="335"/>
      <c r="BI26" s="446"/>
      <c r="BJ26" s="505"/>
    </row>
    <row r="27" spans="1:62" ht="15.75" customHeight="1" thickBot="1" x14ac:dyDescent="0.25">
      <c r="A27" s="176">
        <v>26</v>
      </c>
      <c r="B27" s="175">
        <v>1</v>
      </c>
      <c r="C27" s="166" t="s">
        <v>11</v>
      </c>
      <c r="D27" s="166" t="s">
        <v>140</v>
      </c>
      <c r="E27" s="166" t="s">
        <v>13</v>
      </c>
      <c r="F27" s="166" t="s">
        <v>141</v>
      </c>
      <c r="G27" s="166" t="s">
        <v>15</v>
      </c>
      <c r="H27" s="166" t="s">
        <v>134</v>
      </c>
      <c r="I27" s="183">
        <v>2013</v>
      </c>
      <c r="J27" s="181" t="s">
        <v>135</v>
      </c>
      <c r="K27" s="181" t="s">
        <v>136</v>
      </c>
      <c r="L27" s="181" t="s">
        <v>19</v>
      </c>
      <c r="M27" s="556" t="s">
        <v>4104</v>
      </c>
      <c r="N27" s="214" t="s">
        <v>20</v>
      </c>
      <c r="O27" s="214" t="s">
        <v>15</v>
      </c>
      <c r="P27" s="214" t="s">
        <v>20</v>
      </c>
      <c r="Q27" s="214" t="s">
        <v>20</v>
      </c>
      <c r="R27" s="214" t="s">
        <v>20</v>
      </c>
      <c r="S27" s="214" t="s">
        <v>15</v>
      </c>
      <c r="T27" s="214" t="s">
        <v>15</v>
      </c>
      <c r="U27" s="214" t="s">
        <v>15</v>
      </c>
      <c r="V27" s="214" t="s">
        <v>15</v>
      </c>
      <c r="W27" s="214" t="s">
        <v>15</v>
      </c>
      <c r="X27" s="214" t="s">
        <v>15</v>
      </c>
      <c r="Y27" s="214" t="s">
        <v>15</v>
      </c>
      <c r="Z27" s="214"/>
      <c r="AA27" s="214" t="s">
        <v>137</v>
      </c>
      <c r="AB27" s="214" t="s">
        <v>20</v>
      </c>
      <c r="AC27" s="214" t="s">
        <v>15</v>
      </c>
      <c r="AD27" s="322" t="s">
        <v>138</v>
      </c>
      <c r="AE27" s="322" t="s">
        <v>92</v>
      </c>
      <c r="AF27" s="162" t="str">
        <f t="shared" si="0"/>
        <v/>
      </c>
      <c r="AG27" s="162" t="str">
        <f t="shared" si="1"/>
        <v/>
      </c>
      <c r="AH27" s="164" t="str">
        <f t="shared" si="2"/>
        <v/>
      </c>
      <c r="AI27" s="164" t="str">
        <f t="shared" si="3"/>
        <v/>
      </c>
      <c r="AJ27" s="370"/>
      <c r="AK27" s="369"/>
      <c r="AL27" s="369"/>
      <c r="AM27" s="369"/>
      <c r="AN27" s="369"/>
      <c r="AO27" s="369"/>
      <c r="AP27" s="369"/>
      <c r="AQ27" s="368"/>
      <c r="AR27" s="368"/>
      <c r="AS27" s="196"/>
      <c r="AT27" s="196"/>
      <c r="AU27" s="378"/>
      <c r="AW27" s="427"/>
      <c r="AX27" s="359"/>
      <c r="AY27" s="359"/>
      <c r="AZ27" s="359"/>
      <c r="BA27" s="359"/>
      <c r="BB27" s="359"/>
      <c r="BC27" s="359"/>
      <c r="BD27" s="426"/>
      <c r="BE27" s="426"/>
      <c r="BF27" s="472"/>
      <c r="BG27" s="471">
        <v>2.0249999999999999</v>
      </c>
      <c r="BH27" s="335"/>
      <c r="BI27" s="446"/>
      <c r="BJ27" s="505"/>
    </row>
    <row r="28" spans="1:62" ht="15.75" customHeight="1" thickBot="1" x14ac:dyDescent="0.25">
      <c r="A28" s="174">
        <v>27</v>
      </c>
      <c r="B28" s="175">
        <v>1</v>
      </c>
      <c r="C28" s="166" t="s">
        <v>11</v>
      </c>
      <c r="D28" s="166" t="s">
        <v>142</v>
      </c>
      <c r="E28" s="166" t="s">
        <v>13</v>
      </c>
      <c r="F28" s="166" t="s">
        <v>141</v>
      </c>
      <c r="G28" s="166" t="s">
        <v>15</v>
      </c>
      <c r="H28" s="166" t="s">
        <v>134</v>
      </c>
      <c r="I28" s="183">
        <v>2013</v>
      </c>
      <c r="J28" s="181" t="s">
        <v>135</v>
      </c>
      <c r="K28" s="181" t="s">
        <v>136</v>
      </c>
      <c r="L28" s="181" t="s">
        <v>19</v>
      </c>
      <c r="M28" s="556" t="s">
        <v>4104</v>
      </c>
      <c r="N28" s="214" t="s">
        <v>20</v>
      </c>
      <c r="O28" s="214" t="s">
        <v>15</v>
      </c>
      <c r="P28" s="214" t="s">
        <v>20</v>
      </c>
      <c r="Q28" s="214" t="s">
        <v>20</v>
      </c>
      <c r="R28" s="214" t="s">
        <v>20</v>
      </c>
      <c r="S28" s="214" t="s">
        <v>15</v>
      </c>
      <c r="T28" s="214" t="s">
        <v>15</v>
      </c>
      <c r="U28" s="214" t="s">
        <v>15</v>
      </c>
      <c r="V28" s="214" t="s">
        <v>15</v>
      </c>
      <c r="W28" s="214" t="s">
        <v>15</v>
      </c>
      <c r="X28" s="214" t="s">
        <v>15</v>
      </c>
      <c r="Y28" s="214" t="s">
        <v>15</v>
      </c>
      <c r="Z28" s="214"/>
      <c r="AA28" s="214" t="s">
        <v>137</v>
      </c>
      <c r="AB28" s="214" t="s">
        <v>20</v>
      </c>
      <c r="AC28" s="214" t="s">
        <v>15</v>
      </c>
      <c r="AD28" s="322" t="s">
        <v>138</v>
      </c>
      <c r="AE28" s="322" t="s">
        <v>92</v>
      </c>
      <c r="AF28" s="162" t="str">
        <f t="shared" si="0"/>
        <v/>
      </c>
      <c r="AG28" s="162" t="str">
        <f t="shared" si="1"/>
        <v/>
      </c>
      <c r="AH28" s="164" t="str">
        <f t="shared" si="2"/>
        <v/>
      </c>
      <c r="AI28" s="164" t="str">
        <f t="shared" si="3"/>
        <v/>
      </c>
      <c r="AJ28" s="370"/>
      <c r="AK28" s="369"/>
      <c r="AL28" s="369"/>
      <c r="AM28" s="369"/>
      <c r="AN28" s="369"/>
      <c r="AO28" s="369"/>
      <c r="AP28" s="369"/>
      <c r="AQ28" s="368"/>
      <c r="AR28" s="368"/>
      <c r="AS28" s="196"/>
      <c r="AT28" s="196"/>
      <c r="AU28" s="378"/>
      <c r="AW28" s="427"/>
      <c r="AX28" s="359"/>
      <c r="AY28" s="359"/>
      <c r="AZ28" s="359"/>
      <c r="BA28" s="359"/>
      <c r="BB28" s="359"/>
      <c r="BC28" s="359"/>
      <c r="BD28" s="426"/>
      <c r="BE28" s="426"/>
      <c r="BF28" s="472"/>
      <c r="BG28" s="471">
        <v>4.0250000000000004</v>
      </c>
      <c r="BH28" s="335"/>
      <c r="BI28" s="446"/>
      <c r="BJ28" s="505"/>
    </row>
    <row r="29" spans="1:62" ht="15.75" customHeight="1" thickBot="1" x14ac:dyDescent="0.25">
      <c r="A29" s="176">
        <v>28</v>
      </c>
      <c r="B29" s="175">
        <v>1</v>
      </c>
      <c r="C29" s="166" t="s">
        <v>11</v>
      </c>
      <c r="D29" s="166" t="s">
        <v>143</v>
      </c>
      <c r="E29" s="166" t="s">
        <v>13</v>
      </c>
      <c r="F29" s="166" t="s">
        <v>141</v>
      </c>
      <c r="G29" s="166" t="s">
        <v>15</v>
      </c>
      <c r="H29" s="166" t="s">
        <v>134</v>
      </c>
      <c r="I29" s="183">
        <v>2013</v>
      </c>
      <c r="J29" s="181" t="s">
        <v>135</v>
      </c>
      <c r="K29" s="181" t="s">
        <v>136</v>
      </c>
      <c r="L29" s="181" t="s">
        <v>19</v>
      </c>
      <c r="M29" s="556" t="s">
        <v>4104</v>
      </c>
      <c r="N29" s="214" t="s">
        <v>20</v>
      </c>
      <c r="O29" s="214" t="s">
        <v>15</v>
      </c>
      <c r="P29" s="214" t="s">
        <v>20</v>
      </c>
      <c r="Q29" s="214" t="s">
        <v>20</v>
      </c>
      <c r="R29" s="214" t="s">
        <v>20</v>
      </c>
      <c r="S29" s="214" t="s">
        <v>15</v>
      </c>
      <c r="T29" s="214" t="s">
        <v>15</v>
      </c>
      <c r="U29" s="214" t="s">
        <v>15</v>
      </c>
      <c r="V29" s="214" t="s">
        <v>15</v>
      </c>
      <c r="W29" s="214" t="s">
        <v>15</v>
      </c>
      <c r="X29" s="214" t="s">
        <v>15</v>
      </c>
      <c r="Y29" s="214" t="s">
        <v>15</v>
      </c>
      <c r="Z29" s="214"/>
      <c r="AA29" s="214" t="s">
        <v>137</v>
      </c>
      <c r="AB29" s="214" t="s">
        <v>20</v>
      </c>
      <c r="AC29" s="214" t="s">
        <v>15</v>
      </c>
      <c r="AD29" s="322" t="s">
        <v>138</v>
      </c>
      <c r="AE29" s="322" t="s">
        <v>92</v>
      </c>
      <c r="AF29" s="162" t="str">
        <f t="shared" si="0"/>
        <v/>
      </c>
      <c r="AG29" s="162" t="str">
        <f t="shared" si="1"/>
        <v/>
      </c>
      <c r="AH29" s="164" t="str">
        <f t="shared" si="2"/>
        <v/>
      </c>
      <c r="AI29" s="164" t="str">
        <f t="shared" si="3"/>
        <v/>
      </c>
      <c r="AJ29" s="370"/>
      <c r="AK29" s="369"/>
      <c r="AL29" s="369"/>
      <c r="AM29" s="369"/>
      <c r="AN29" s="369"/>
      <c r="AO29" s="369"/>
      <c r="AP29" s="369"/>
      <c r="AQ29" s="368"/>
      <c r="AR29" s="368"/>
      <c r="AS29" s="196"/>
      <c r="AT29" s="196"/>
      <c r="AU29" s="378"/>
      <c r="AW29" s="427"/>
      <c r="AX29" s="359"/>
      <c r="AY29" s="359"/>
      <c r="AZ29" s="359"/>
      <c r="BA29" s="359"/>
      <c r="BB29" s="359"/>
      <c r="BC29" s="359"/>
      <c r="BD29" s="426"/>
      <c r="BE29" s="426"/>
      <c r="BF29" s="472"/>
      <c r="BG29" s="471">
        <v>20.995000000000001</v>
      </c>
      <c r="BH29" s="335"/>
      <c r="BI29" s="446"/>
      <c r="BJ29" s="505"/>
    </row>
    <row r="30" spans="1:62" ht="15.75" customHeight="1" thickBot="1" x14ac:dyDescent="0.25">
      <c r="A30" s="174">
        <v>29</v>
      </c>
      <c r="B30" s="175">
        <v>1</v>
      </c>
      <c r="C30" s="166" t="s">
        <v>11</v>
      </c>
      <c r="D30" s="166" t="s">
        <v>426</v>
      </c>
      <c r="E30" s="166" t="s">
        <v>13</v>
      </c>
      <c r="F30" s="166" t="s">
        <v>141</v>
      </c>
      <c r="G30" s="166" t="s">
        <v>15</v>
      </c>
      <c r="H30" s="166" t="s">
        <v>134</v>
      </c>
      <c r="I30" s="183">
        <v>2013</v>
      </c>
      <c r="J30" s="181" t="s">
        <v>135</v>
      </c>
      <c r="K30" s="181" t="s">
        <v>136</v>
      </c>
      <c r="L30" s="181" t="s">
        <v>19</v>
      </c>
      <c r="M30" s="556" t="s">
        <v>4104</v>
      </c>
      <c r="N30" s="214" t="s">
        <v>20</v>
      </c>
      <c r="O30" s="214" t="s">
        <v>15</v>
      </c>
      <c r="P30" s="214" t="s">
        <v>20</v>
      </c>
      <c r="Q30" s="214" t="s">
        <v>20</v>
      </c>
      <c r="R30" s="214" t="s">
        <v>20</v>
      </c>
      <c r="S30" s="214" t="s">
        <v>15</v>
      </c>
      <c r="T30" s="214" t="s">
        <v>15</v>
      </c>
      <c r="U30" s="214" t="s">
        <v>15</v>
      </c>
      <c r="V30" s="214" t="s">
        <v>15</v>
      </c>
      <c r="W30" s="214" t="s">
        <v>15</v>
      </c>
      <c r="X30" s="214" t="s">
        <v>15</v>
      </c>
      <c r="Y30" s="214" t="s">
        <v>15</v>
      </c>
      <c r="Z30" s="214"/>
      <c r="AA30" s="214" t="s">
        <v>137</v>
      </c>
      <c r="AB30" s="214" t="s">
        <v>20</v>
      </c>
      <c r="AC30" s="214" t="s">
        <v>15</v>
      </c>
      <c r="AD30" s="322" t="s">
        <v>138</v>
      </c>
      <c r="AE30" s="322" t="s">
        <v>92</v>
      </c>
      <c r="AF30" s="162" t="str">
        <f t="shared" si="0"/>
        <v/>
      </c>
      <c r="AG30" s="162" t="str">
        <f t="shared" si="1"/>
        <v/>
      </c>
      <c r="AH30" s="164" t="str">
        <f t="shared" si="2"/>
        <v/>
      </c>
      <c r="AI30" s="164" t="str">
        <f t="shared" si="3"/>
        <v/>
      </c>
      <c r="AJ30" s="370"/>
      <c r="AK30" s="369"/>
      <c r="AL30" s="369"/>
      <c r="AM30" s="369"/>
      <c r="AN30" s="369"/>
      <c r="AO30" s="369"/>
      <c r="AP30" s="369"/>
      <c r="AQ30" s="368"/>
      <c r="AR30" s="368"/>
      <c r="AS30" s="196"/>
      <c r="AT30" s="196"/>
      <c r="AU30" s="378"/>
      <c r="AW30" s="427"/>
      <c r="AX30" s="359"/>
      <c r="AY30" s="359"/>
      <c r="AZ30" s="359"/>
      <c r="BA30" s="359"/>
      <c r="BB30" s="359"/>
      <c r="BC30" s="359"/>
      <c r="BD30" s="426"/>
      <c r="BE30" s="426"/>
      <c r="BF30" s="472"/>
      <c r="BG30" s="471">
        <v>8.1</v>
      </c>
      <c r="BH30" s="335"/>
      <c r="BI30" s="446"/>
      <c r="BJ30" s="505"/>
    </row>
    <row r="31" spans="1:62" ht="15.75" customHeight="1" thickBot="1" x14ac:dyDescent="0.25">
      <c r="A31" s="176">
        <v>30</v>
      </c>
      <c r="B31" s="175">
        <v>1</v>
      </c>
      <c r="C31" s="166" t="s">
        <v>39</v>
      </c>
      <c r="D31" s="166" t="s">
        <v>40</v>
      </c>
      <c r="E31" s="166" t="s">
        <v>144</v>
      </c>
      <c r="F31" s="166" t="s">
        <v>145</v>
      </c>
      <c r="G31" s="166" t="s">
        <v>15</v>
      </c>
      <c r="H31" s="166" t="s">
        <v>146</v>
      </c>
      <c r="I31" s="181">
        <v>2013</v>
      </c>
      <c r="J31" s="181" t="s">
        <v>147</v>
      </c>
      <c r="K31" s="181" t="s">
        <v>148</v>
      </c>
      <c r="L31" s="181" t="s">
        <v>19</v>
      </c>
      <c r="M31" s="556" t="s">
        <v>4105</v>
      </c>
      <c r="N31" s="214" t="s">
        <v>20</v>
      </c>
      <c r="O31" s="214" t="s">
        <v>15</v>
      </c>
      <c r="P31" s="214" t="s">
        <v>20</v>
      </c>
      <c r="Q31" s="214" t="s">
        <v>20</v>
      </c>
      <c r="R31" s="214" t="s">
        <v>20</v>
      </c>
      <c r="S31" s="214" t="s">
        <v>15</v>
      </c>
      <c r="T31" s="214" t="s">
        <v>15</v>
      </c>
      <c r="U31" s="214" t="s">
        <v>15</v>
      </c>
      <c r="V31" s="214" t="s">
        <v>15</v>
      </c>
      <c r="W31" s="214" t="s">
        <v>15</v>
      </c>
      <c r="X31" s="214" t="s">
        <v>15</v>
      </c>
      <c r="Y31" s="214" t="s">
        <v>15</v>
      </c>
      <c r="Z31" s="234"/>
      <c r="AA31" s="214" t="s">
        <v>149</v>
      </c>
      <c r="AB31" s="214" t="s">
        <v>15</v>
      </c>
      <c r="AC31" s="214" t="s">
        <v>20</v>
      </c>
      <c r="AD31" s="322" t="s">
        <v>150</v>
      </c>
      <c r="AE31" s="322" t="s">
        <v>151</v>
      </c>
      <c r="AF31" s="162" t="str">
        <f t="shared" si="0"/>
        <v/>
      </c>
      <c r="AG31" s="162" t="str">
        <f t="shared" si="1"/>
        <v/>
      </c>
      <c r="AH31" s="164">
        <f t="shared" si="2"/>
        <v>5.8680000000000003</v>
      </c>
      <c r="AI31" s="164">
        <f t="shared" si="3"/>
        <v>5.9710000000000001</v>
      </c>
      <c r="AJ31" s="368"/>
      <c r="AK31" s="368"/>
      <c r="AL31" s="368"/>
      <c r="AM31" s="368"/>
      <c r="AN31" s="368"/>
      <c r="AO31" s="368"/>
      <c r="AP31" s="368"/>
      <c r="AQ31" s="368"/>
      <c r="AR31" s="368"/>
      <c r="AS31" s="195"/>
      <c r="AT31" s="195"/>
      <c r="AU31" s="377"/>
      <c r="AV31" s="382"/>
      <c r="AW31" s="426">
        <v>5.8680000000000003</v>
      </c>
      <c r="AX31" s="426"/>
      <c r="AY31" s="426">
        <v>0.10299999999999976</v>
      </c>
      <c r="AZ31" s="426"/>
      <c r="BA31" s="426"/>
      <c r="BB31" s="426"/>
      <c r="BC31" s="426"/>
      <c r="BD31" s="426"/>
      <c r="BE31" s="426"/>
      <c r="BF31" s="469">
        <f>AW31</f>
        <v>5.8680000000000003</v>
      </c>
      <c r="BG31" s="469">
        <v>5.98</v>
      </c>
      <c r="BH31" s="335" t="s">
        <v>152</v>
      </c>
      <c r="BI31" s="446" t="s">
        <v>153</v>
      </c>
      <c r="BJ31" s="505"/>
    </row>
    <row r="32" spans="1:62" ht="14.25" customHeight="1" thickBot="1" x14ac:dyDescent="0.25">
      <c r="A32" s="174">
        <v>31</v>
      </c>
      <c r="B32" s="175">
        <v>1</v>
      </c>
      <c r="C32" s="166" t="s">
        <v>39</v>
      </c>
      <c r="D32" s="166" t="s">
        <v>40</v>
      </c>
      <c r="E32" s="166" t="s">
        <v>144</v>
      </c>
      <c r="F32" s="166" t="s">
        <v>154</v>
      </c>
      <c r="G32" s="166" t="s">
        <v>15</v>
      </c>
      <c r="H32" s="166" t="s">
        <v>146</v>
      </c>
      <c r="I32" s="181">
        <v>2013</v>
      </c>
      <c r="J32" s="181" t="s">
        <v>147</v>
      </c>
      <c r="K32" s="181" t="s">
        <v>148</v>
      </c>
      <c r="L32" s="181" t="s">
        <v>19</v>
      </c>
      <c r="M32" s="556" t="s">
        <v>4105</v>
      </c>
      <c r="N32" s="214" t="s">
        <v>20</v>
      </c>
      <c r="O32" s="214" t="s">
        <v>15</v>
      </c>
      <c r="P32" s="214" t="s">
        <v>20</v>
      </c>
      <c r="Q32" s="214" t="s">
        <v>20</v>
      </c>
      <c r="R32" s="214" t="s">
        <v>20</v>
      </c>
      <c r="S32" s="214" t="s">
        <v>15</v>
      </c>
      <c r="T32" s="214" t="s">
        <v>15</v>
      </c>
      <c r="U32" s="214" t="s">
        <v>15</v>
      </c>
      <c r="V32" s="214" t="s">
        <v>15</v>
      </c>
      <c r="W32" s="214" t="s">
        <v>15</v>
      </c>
      <c r="X32" s="214" t="s">
        <v>15</v>
      </c>
      <c r="Y32" s="214" t="s">
        <v>15</v>
      </c>
      <c r="Z32" s="234"/>
      <c r="AA32" s="234"/>
      <c r="AB32" s="214" t="s">
        <v>15</v>
      </c>
      <c r="AC32" s="214" t="s">
        <v>20</v>
      </c>
      <c r="AD32" s="322" t="s">
        <v>150</v>
      </c>
      <c r="AE32" s="322" t="s">
        <v>151</v>
      </c>
      <c r="AF32" s="162" t="str">
        <f t="shared" si="0"/>
        <v/>
      </c>
      <c r="AG32" s="162" t="str">
        <f t="shared" si="1"/>
        <v/>
      </c>
      <c r="AH32" s="164">
        <f t="shared" si="2"/>
        <v>5.0199999999999996</v>
      </c>
      <c r="AI32" s="164">
        <f t="shared" si="3"/>
        <v>5.1013200000000003</v>
      </c>
      <c r="AJ32" s="368"/>
      <c r="AK32" s="368"/>
      <c r="AL32" s="368"/>
      <c r="AM32" s="368"/>
      <c r="AN32" s="368"/>
      <c r="AO32" s="368"/>
      <c r="AP32" s="368"/>
      <c r="AQ32" s="368"/>
      <c r="AR32" s="368"/>
      <c r="AS32" s="195"/>
      <c r="AT32" s="195"/>
      <c r="AU32" s="377"/>
      <c r="AV32" s="382"/>
      <c r="AW32" s="426">
        <v>5.0199999999999996</v>
      </c>
      <c r="AX32" s="426"/>
      <c r="AY32" s="426">
        <v>8.1320000000000475E-2</v>
      </c>
      <c r="AZ32" s="426">
        <v>9.5680000000000001E-2</v>
      </c>
      <c r="BA32" s="426"/>
      <c r="BB32" s="426"/>
      <c r="BC32" s="426"/>
      <c r="BD32" s="426"/>
      <c r="BE32" s="426"/>
      <c r="BF32" s="469">
        <v>5.0199999999999996</v>
      </c>
      <c r="BG32" s="469">
        <v>5.19</v>
      </c>
      <c r="BH32" s="335" t="s">
        <v>155</v>
      </c>
      <c r="BI32" s="446" t="s">
        <v>153</v>
      </c>
      <c r="BJ32" s="505"/>
    </row>
    <row r="33" spans="1:62" ht="15.75" customHeight="1" thickBot="1" x14ac:dyDescent="0.25">
      <c r="A33" s="176">
        <v>32</v>
      </c>
      <c r="B33" s="175">
        <v>1</v>
      </c>
      <c r="C33" s="166" t="s">
        <v>39</v>
      </c>
      <c r="D33" s="166" t="s">
        <v>40</v>
      </c>
      <c r="E33" s="166" t="s">
        <v>13</v>
      </c>
      <c r="F33" s="166" t="s">
        <v>156</v>
      </c>
      <c r="G33" s="166" t="s">
        <v>15</v>
      </c>
      <c r="H33" s="166" t="s">
        <v>16</v>
      </c>
      <c r="I33" s="181">
        <v>2014</v>
      </c>
      <c r="J33" s="181" t="s">
        <v>157</v>
      </c>
      <c r="K33" s="181" t="s">
        <v>158</v>
      </c>
      <c r="L33" s="181" t="s">
        <v>19</v>
      </c>
      <c r="M33" s="556" t="s">
        <v>4106</v>
      </c>
      <c r="N33" s="214" t="s">
        <v>20</v>
      </c>
      <c r="O33" s="214" t="s">
        <v>15</v>
      </c>
      <c r="P33" s="214" t="s">
        <v>15</v>
      </c>
      <c r="Q33" s="214" t="s">
        <v>15</v>
      </c>
      <c r="R33" s="214" t="s">
        <v>15</v>
      </c>
      <c r="S33" s="214" t="s">
        <v>15</v>
      </c>
      <c r="T33" s="214" t="s">
        <v>15</v>
      </c>
      <c r="U33" s="214" t="s">
        <v>15</v>
      </c>
      <c r="V33" s="214" t="s">
        <v>15</v>
      </c>
      <c r="W33" s="214" t="s">
        <v>15</v>
      </c>
      <c r="X33" s="214" t="s">
        <v>15</v>
      </c>
      <c r="Y33" s="214" t="s">
        <v>15</v>
      </c>
      <c r="Z33" s="234"/>
      <c r="AA33" s="214" t="s">
        <v>159</v>
      </c>
      <c r="AB33" s="214" t="s">
        <v>15</v>
      </c>
      <c r="AC33" s="214" t="s">
        <v>20</v>
      </c>
      <c r="AD33" s="322" t="s">
        <v>160</v>
      </c>
      <c r="AE33" s="322" t="s">
        <v>151</v>
      </c>
      <c r="AF33" s="162" t="str">
        <f t="shared" si="0"/>
        <v/>
      </c>
      <c r="AG33" s="162" t="str">
        <f t="shared" si="1"/>
        <v/>
      </c>
      <c r="AH33" s="164">
        <f t="shared" si="2"/>
        <v>2.08</v>
      </c>
      <c r="AI33" s="164" t="str">
        <f t="shared" si="3"/>
        <v/>
      </c>
      <c r="AJ33" s="368"/>
      <c r="AK33" s="368"/>
      <c r="AL33" s="368"/>
      <c r="AM33" s="368"/>
      <c r="AN33" s="368"/>
      <c r="AO33" s="368"/>
      <c r="AP33" s="368"/>
      <c r="AQ33" s="368"/>
      <c r="AR33" s="368"/>
      <c r="AS33" s="195"/>
      <c r="AT33" s="195"/>
      <c r="AU33" s="378" t="s">
        <v>161</v>
      </c>
      <c r="AV33" s="382"/>
      <c r="AW33" s="426"/>
      <c r="AX33" s="426"/>
      <c r="AY33" s="426"/>
      <c r="AZ33" s="426"/>
      <c r="BA33" s="426"/>
      <c r="BB33" s="426"/>
      <c r="BC33" s="426"/>
      <c r="BD33" s="426"/>
      <c r="BE33" s="426"/>
      <c r="BF33" s="468">
        <v>2.08</v>
      </c>
      <c r="BG33" s="469"/>
      <c r="BH33" s="341"/>
      <c r="BI33" s="446" t="s">
        <v>153</v>
      </c>
      <c r="BJ33" s="505"/>
    </row>
    <row r="34" spans="1:62" ht="15.75" customHeight="1" thickBot="1" x14ac:dyDescent="0.25">
      <c r="A34" s="174">
        <v>33</v>
      </c>
      <c r="B34" s="175">
        <v>1</v>
      </c>
      <c r="C34" s="166" t="s">
        <v>162</v>
      </c>
      <c r="D34" s="166" t="s">
        <v>2318</v>
      </c>
      <c r="E34" s="166" t="s">
        <v>144</v>
      </c>
      <c r="F34" s="166" t="s">
        <v>164</v>
      </c>
      <c r="G34" s="166" t="s">
        <v>20</v>
      </c>
      <c r="H34" s="166" t="s">
        <v>165</v>
      </c>
      <c r="I34" s="181">
        <v>2014</v>
      </c>
      <c r="J34" s="181" t="s">
        <v>166</v>
      </c>
      <c r="K34" s="181" t="s">
        <v>167</v>
      </c>
      <c r="L34" s="181" t="s">
        <v>168</v>
      </c>
      <c r="M34" s="556" t="s">
        <v>4107</v>
      </c>
      <c r="N34" s="214" t="s">
        <v>20</v>
      </c>
      <c r="O34" s="214" t="s">
        <v>15</v>
      </c>
      <c r="P34" s="214" t="s">
        <v>20</v>
      </c>
      <c r="Q34" s="214" t="s">
        <v>20</v>
      </c>
      <c r="R34" s="214" t="s">
        <v>20</v>
      </c>
      <c r="S34" s="214" t="s">
        <v>20</v>
      </c>
      <c r="T34" s="214" t="s">
        <v>20</v>
      </c>
      <c r="U34" s="214" t="s">
        <v>20</v>
      </c>
      <c r="V34" s="214" t="s">
        <v>15</v>
      </c>
      <c r="W34" s="214" t="s">
        <v>15</v>
      </c>
      <c r="X34" s="214" t="s">
        <v>15</v>
      </c>
      <c r="Y34" s="214" t="s">
        <v>15</v>
      </c>
      <c r="Z34" s="214" t="s">
        <v>169</v>
      </c>
      <c r="AA34" s="214" t="s">
        <v>170</v>
      </c>
      <c r="AB34" s="214" t="s">
        <v>15</v>
      </c>
      <c r="AC34" s="214" t="s">
        <v>20</v>
      </c>
      <c r="AD34" s="322" t="s">
        <v>171</v>
      </c>
      <c r="AE34" s="322"/>
      <c r="AF34" s="162" t="str">
        <f t="shared" si="0"/>
        <v/>
      </c>
      <c r="AG34" s="162" t="str">
        <f t="shared" si="1"/>
        <v/>
      </c>
      <c r="AH34" s="164">
        <f t="shared" si="2"/>
        <v>5.0999999999999997E-2</v>
      </c>
      <c r="AI34" s="164">
        <f t="shared" si="3"/>
        <v>2.3714</v>
      </c>
      <c r="AJ34" s="368"/>
      <c r="AK34" s="368"/>
      <c r="AL34" s="368"/>
      <c r="AM34" s="368"/>
      <c r="AN34" s="368"/>
      <c r="AO34" s="368"/>
      <c r="AP34" s="368"/>
      <c r="AQ34" s="368"/>
      <c r="AR34" s="368"/>
      <c r="AS34" s="195"/>
      <c r="AT34" s="195"/>
      <c r="AU34" s="377"/>
      <c r="AV34" s="382"/>
      <c r="AW34" s="359">
        <v>5.11E-2</v>
      </c>
      <c r="AX34" s="359">
        <v>6.3E-3</v>
      </c>
      <c r="AY34" s="426">
        <f>0.0668+2.2472</f>
        <v>2.3140000000000001</v>
      </c>
      <c r="AZ34" s="426"/>
      <c r="BA34" s="359">
        <v>0.12189999999999999</v>
      </c>
      <c r="BB34" s="359">
        <v>2.2100000000000002E-2</v>
      </c>
      <c r="BC34" s="359">
        <v>0.18</v>
      </c>
      <c r="BD34" s="426"/>
      <c r="BE34" s="426"/>
      <c r="BF34" s="469">
        <v>5.0999999999999997E-2</v>
      </c>
      <c r="BG34" s="474">
        <v>2.6987000000000001</v>
      </c>
      <c r="BH34" s="341"/>
      <c r="BI34" s="446" t="s">
        <v>172</v>
      </c>
      <c r="BJ34" s="505"/>
    </row>
    <row r="35" spans="1:62" ht="15.75" customHeight="1" thickBot="1" x14ac:dyDescent="0.25">
      <c r="A35" s="176">
        <v>34</v>
      </c>
      <c r="B35" s="175">
        <v>1</v>
      </c>
      <c r="C35" s="166" t="s">
        <v>162</v>
      </c>
      <c r="D35" s="166" t="s">
        <v>2318</v>
      </c>
      <c r="E35" s="166" t="s">
        <v>144</v>
      </c>
      <c r="F35" s="166" t="s">
        <v>164</v>
      </c>
      <c r="G35" s="166" t="s">
        <v>20</v>
      </c>
      <c r="H35" s="166" t="s">
        <v>173</v>
      </c>
      <c r="I35" s="181">
        <v>2014</v>
      </c>
      <c r="J35" s="181" t="s">
        <v>166</v>
      </c>
      <c r="K35" s="181" t="s">
        <v>167</v>
      </c>
      <c r="L35" s="181" t="s">
        <v>168</v>
      </c>
      <c r="M35" s="556" t="s">
        <v>4107</v>
      </c>
      <c r="N35" s="214" t="s">
        <v>20</v>
      </c>
      <c r="O35" s="214" t="s">
        <v>15</v>
      </c>
      <c r="P35" s="214" t="s">
        <v>20</v>
      </c>
      <c r="Q35" s="214" t="s">
        <v>20</v>
      </c>
      <c r="R35" s="214" t="s">
        <v>20</v>
      </c>
      <c r="S35" s="214" t="s">
        <v>20</v>
      </c>
      <c r="T35" s="214" t="s">
        <v>20</v>
      </c>
      <c r="U35" s="214" t="s">
        <v>20</v>
      </c>
      <c r="V35" s="214" t="s">
        <v>15</v>
      </c>
      <c r="W35" s="214" t="s">
        <v>15</v>
      </c>
      <c r="X35" s="214" t="s">
        <v>15</v>
      </c>
      <c r="Y35" s="214" t="s">
        <v>15</v>
      </c>
      <c r="Z35" s="214" t="s">
        <v>169</v>
      </c>
      <c r="AA35" s="214" t="s">
        <v>170</v>
      </c>
      <c r="AB35" s="214" t="s">
        <v>15</v>
      </c>
      <c r="AC35" s="214" t="s">
        <v>20</v>
      </c>
      <c r="AD35" s="322" t="s">
        <v>171</v>
      </c>
      <c r="AE35" s="322"/>
      <c r="AF35" s="162" t="str">
        <f t="shared" si="0"/>
        <v/>
      </c>
      <c r="AG35" s="162" t="str">
        <f t="shared" si="1"/>
        <v/>
      </c>
      <c r="AH35" s="164">
        <f t="shared" si="2"/>
        <v>8.2299999999999998E-2</v>
      </c>
      <c r="AI35" s="164">
        <f t="shared" si="3"/>
        <v>2.7309999999999999</v>
      </c>
      <c r="AJ35" s="368"/>
      <c r="AK35" s="368"/>
      <c r="AL35" s="368"/>
      <c r="AM35" s="368"/>
      <c r="AN35" s="368"/>
      <c r="AO35" s="368"/>
      <c r="AP35" s="368"/>
      <c r="AQ35" s="368"/>
      <c r="AR35" s="368"/>
      <c r="AS35" s="195"/>
      <c r="AT35" s="195"/>
      <c r="AU35" s="377"/>
      <c r="AV35" s="382"/>
      <c r="AW35" s="359">
        <v>8.2299999999999998E-2</v>
      </c>
      <c r="AX35" s="359">
        <v>2.5899999999999999E-2</v>
      </c>
      <c r="AY35" s="426">
        <f>0.3756+2.2472</f>
        <v>2.6227999999999998</v>
      </c>
      <c r="AZ35" s="426"/>
      <c r="BA35" s="359">
        <v>0.12189999999999999</v>
      </c>
      <c r="BB35" s="359">
        <v>2.2100000000000002E-2</v>
      </c>
      <c r="BC35" s="359">
        <v>0.18</v>
      </c>
      <c r="BD35" s="426"/>
      <c r="BE35" s="426"/>
      <c r="BF35" s="469">
        <v>8.2299999999999998E-2</v>
      </c>
      <c r="BG35" s="469">
        <v>3.06</v>
      </c>
      <c r="BH35" s="341"/>
      <c r="BI35" s="446" t="s">
        <v>172</v>
      </c>
      <c r="BJ35" s="505"/>
    </row>
    <row r="36" spans="1:62" ht="15.75" customHeight="1" thickBot="1" x14ac:dyDescent="0.25">
      <c r="A36" s="174">
        <v>35</v>
      </c>
      <c r="B36" s="175">
        <v>1</v>
      </c>
      <c r="C36" s="166" t="s">
        <v>162</v>
      </c>
      <c r="D36" s="166" t="s">
        <v>2318</v>
      </c>
      <c r="E36" s="166" t="s">
        <v>144</v>
      </c>
      <c r="F36" s="166" t="s">
        <v>174</v>
      </c>
      <c r="G36" s="166" t="s">
        <v>15</v>
      </c>
      <c r="H36" s="166" t="s">
        <v>87</v>
      </c>
      <c r="I36" s="181">
        <v>2013</v>
      </c>
      <c r="J36" s="181" t="s">
        <v>175</v>
      </c>
      <c r="K36" s="181" t="s">
        <v>176</v>
      </c>
      <c r="L36" s="181" t="s">
        <v>19</v>
      </c>
      <c r="M36" s="556" t="s">
        <v>4108</v>
      </c>
      <c r="N36" s="214" t="s">
        <v>20</v>
      </c>
      <c r="O36" s="214" t="s">
        <v>15</v>
      </c>
      <c r="P36" s="214" t="s">
        <v>20</v>
      </c>
      <c r="Q36" s="214" t="s">
        <v>20</v>
      </c>
      <c r="R36" s="214" t="s">
        <v>20</v>
      </c>
      <c r="S36" s="214" t="s">
        <v>20</v>
      </c>
      <c r="T36" s="214" t="s">
        <v>15</v>
      </c>
      <c r="U36" s="214" t="s">
        <v>15</v>
      </c>
      <c r="V36" s="214" t="s">
        <v>15</v>
      </c>
      <c r="W36" s="214" t="s">
        <v>15</v>
      </c>
      <c r="X36" s="214" t="s">
        <v>15</v>
      </c>
      <c r="Y36" s="214" t="s">
        <v>15</v>
      </c>
      <c r="Z36" s="214" t="s">
        <v>169</v>
      </c>
      <c r="AA36" s="214" t="s">
        <v>177</v>
      </c>
      <c r="AB36" s="214" t="s">
        <v>15</v>
      </c>
      <c r="AC36" s="214" t="s">
        <v>20</v>
      </c>
      <c r="AD36" s="322" t="s">
        <v>178</v>
      </c>
      <c r="AE36" s="322" t="s">
        <v>179</v>
      </c>
      <c r="AF36" s="162">
        <f t="shared" si="0"/>
        <v>1.34</v>
      </c>
      <c r="AG36" s="162">
        <f t="shared" si="1"/>
        <v>3.9000000000000004</v>
      </c>
      <c r="AH36" s="164">
        <f t="shared" si="2"/>
        <v>0.25857142857142856</v>
      </c>
      <c r="AI36" s="164">
        <f t="shared" si="3"/>
        <v>0.41285714285714287</v>
      </c>
      <c r="AJ36" s="368">
        <f>0.94/0.7</f>
        <v>1.342857142857143</v>
      </c>
      <c r="AK36" s="368"/>
      <c r="AL36" s="368">
        <f>1.79/0.7</f>
        <v>2.5571428571428574</v>
      </c>
      <c r="AM36" s="368">
        <f>5.17/0.7</f>
        <v>7.3857142857142861</v>
      </c>
      <c r="AN36" s="368">
        <f>1.76/0.7</f>
        <v>2.5142857142857147</v>
      </c>
      <c r="AO36" s="368"/>
      <c r="AP36" s="368"/>
      <c r="AQ36" s="368"/>
      <c r="AR36" s="368"/>
      <c r="AS36" s="195">
        <v>1.34</v>
      </c>
      <c r="AT36" s="195">
        <v>13.785714285714286</v>
      </c>
      <c r="AU36" s="378" t="s">
        <v>180</v>
      </c>
      <c r="AW36" s="426">
        <f>0.181/0.7</f>
        <v>0.25857142857142856</v>
      </c>
      <c r="AX36" s="426"/>
      <c r="AY36" s="426">
        <f>0.108/0.7</f>
        <v>0.1542857142857143</v>
      </c>
      <c r="AZ36" s="426">
        <f>0.274/0.7</f>
        <v>0.39142857142857146</v>
      </c>
      <c r="BA36" s="426">
        <f>0.111/0.7</f>
        <v>0.15857142857142859</v>
      </c>
      <c r="BB36" s="426"/>
      <c r="BC36" s="426"/>
      <c r="BD36" s="426"/>
      <c r="BE36" s="426"/>
      <c r="BF36" s="469">
        <f>AW36</f>
        <v>0.25857142857142856</v>
      </c>
      <c r="BG36" s="469">
        <v>0.96285714285714297</v>
      </c>
      <c r="BH36" s="341"/>
      <c r="BI36" s="446" t="s">
        <v>181</v>
      </c>
      <c r="BJ36" s="505"/>
    </row>
    <row r="37" spans="1:62" ht="15.75" customHeight="1" thickBot="1" x14ac:dyDescent="0.25">
      <c r="A37" s="176">
        <v>36</v>
      </c>
      <c r="B37" s="175">
        <v>1</v>
      </c>
      <c r="C37" s="166" t="s">
        <v>11</v>
      </c>
      <c r="D37" s="166" t="s">
        <v>426</v>
      </c>
      <c r="E37" s="166" t="s">
        <v>13</v>
      </c>
      <c r="F37" s="166" t="s">
        <v>182</v>
      </c>
      <c r="G37" s="166" t="s">
        <v>15</v>
      </c>
      <c r="H37" s="166" t="s">
        <v>183</v>
      </c>
      <c r="I37" s="181">
        <v>2013</v>
      </c>
      <c r="J37" s="181" t="s">
        <v>184</v>
      </c>
      <c r="K37" s="181" t="s">
        <v>185</v>
      </c>
      <c r="L37" s="181" t="s">
        <v>19</v>
      </c>
      <c r="M37" s="556" t="s">
        <v>4109</v>
      </c>
      <c r="N37" s="214" t="s">
        <v>20</v>
      </c>
      <c r="O37" s="214" t="s">
        <v>15</v>
      </c>
      <c r="P37" s="214" t="s">
        <v>20</v>
      </c>
      <c r="Q37" s="214" t="s">
        <v>20</v>
      </c>
      <c r="R37" s="214" t="s">
        <v>15</v>
      </c>
      <c r="S37" s="214" t="s">
        <v>15</v>
      </c>
      <c r="T37" s="214" t="s">
        <v>15</v>
      </c>
      <c r="U37" s="214" t="s">
        <v>15</v>
      </c>
      <c r="V37" s="214" t="s">
        <v>15</v>
      </c>
      <c r="W37" s="214" t="s">
        <v>15</v>
      </c>
      <c r="X37" s="214" t="s">
        <v>15</v>
      </c>
      <c r="Y37" s="214" t="s">
        <v>15</v>
      </c>
      <c r="Z37" s="234"/>
      <c r="AA37" s="214" t="s">
        <v>186</v>
      </c>
      <c r="AB37" s="214" t="s">
        <v>15</v>
      </c>
      <c r="AC37" s="214" t="s">
        <v>15</v>
      </c>
      <c r="AD37" s="322" t="s">
        <v>138</v>
      </c>
      <c r="AE37" s="322" t="s">
        <v>92</v>
      </c>
      <c r="AF37" s="162" t="str">
        <f t="shared" si="0"/>
        <v/>
      </c>
      <c r="AG37" s="162" t="str">
        <f t="shared" si="1"/>
        <v/>
      </c>
      <c r="AH37" s="164" t="str">
        <f t="shared" si="2"/>
        <v/>
      </c>
      <c r="AI37" s="164" t="str">
        <f t="shared" si="3"/>
        <v/>
      </c>
      <c r="AJ37" s="368"/>
      <c r="AK37" s="368"/>
      <c r="AL37" s="368"/>
      <c r="AM37" s="368"/>
      <c r="AN37" s="368"/>
      <c r="AO37" s="368"/>
      <c r="AP37" s="368"/>
      <c r="AQ37" s="368"/>
      <c r="AR37" s="368"/>
      <c r="AS37" s="195"/>
      <c r="AT37" s="195"/>
      <c r="AU37" s="377"/>
      <c r="AV37" s="382"/>
      <c r="AW37" s="426"/>
      <c r="AX37" s="426"/>
      <c r="AY37" s="426"/>
      <c r="AZ37" s="426"/>
      <c r="BA37" s="426"/>
      <c r="BB37" s="426"/>
      <c r="BC37" s="426"/>
      <c r="BD37" s="426"/>
      <c r="BE37" s="426"/>
      <c r="BF37" s="469"/>
      <c r="BG37" s="468">
        <v>5.3</v>
      </c>
      <c r="BH37" s="341"/>
      <c r="BI37" s="447"/>
      <c r="BJ37" s="505"/>
    </row>
    <row r="38" spans="1:62" ht="15.75" customHeight="1" thickBot="1" x14ac:dyDescent="0.25">
      <c r="A38" s="174">
        <v>37</v>
      </c>
      <c r="B38" s="175">
        <v>1</v>
      </c>
      <c r="C38" s="166" t="s">
        <v>11</v>
      </c>
      <c r="D38" s="166" t="s">
        <v>187</v>
      </c>
      <c r="E38" s="166" t="s">
        <v>13</v>
      </c>
      <c r="F38" s="166" t="s">
        <v>182</v>
      </c>
      <c r="G38" s="166" t="s">
        <v>15</v>
      </c>
      <c r="H38" s="166" t="s">
        <v>183</v>
      </c>
      <c r="I38" s="181">
        <v>2013</v>
      </c>
      <c r="J38" s="181" t="s">
        <v>184</v>
      </c>
      <c r="K38" s="181" t="s">
        <v>185</v>
      </c>
      <c r="L38" s="181" t="s">
        <v>19</v>
      </c>
      <c r="M38" s="556" t="s">
        <v>4109</v>
      </c>
      <c r="N38" s="214" t="s">
        <v>20</v>
      </c>
      <c r="O38" s="214" t="s">
        <v>15</v>
      </c>
      <c r="P38" s="214" t="s">
        <v>20</v>
      </c>
      <c r="Q38" s="214" t="s">
        <v>20</v>
      </c>
      <c r="R38" s="214" t="s">
        <v>15</v>
      </c>
      <c r="S38" s="214" t="s">
        <v>15</v>
      </c>
      <c r="T38" s="214" t="s">
        <v>15</v>
      </c>
      <c r="U38" s="214" t="s">
        <v>15</v>
      </c>
      <c r="V38" s="214" t="s">
        <v>15</v>
      </c>
      <c r="W38" s="214" t="s">
        <v>15</v>
      </c>
      <c r="X38" s="214" t="s">
        <v>15</v>
      </c>
      <c r="Y38" s="214" t="s">
        <v>15</v>
      </c>
      <c r="Z38" s="234"/>
      <c r="AA38" s="214" t="s">
        <v>186</v>
      </c>
      <c r="AB38" s="214" t="s">
        <v>15</v>
      </c>
      <c r="AC38" s="214" t="s">
        <v>15</v>
      </c>
      <c r="AD38" s="322" t="s">
        <v>138</v>
      </c>
      <c r="AE38" s="322" t="s">
        <v>92</v>
      </c>
      <c r="AF38" s="162" t="str">
        <f t="shared" si="0"/>
        <v/>
      </c>
      <c r="AG38" s="162" t="str">
        <f t="shared" si="1"/>
        <v/>
      </c>
      <c r="AH38" s="164" t="str">
        <f t="shared" si="2"/>
        <v/>
      </c>
      <c r="AI38" s="164" t="str">
        <f t="shared" si="3"/>
        <v/>
      </c>
      <c r="AJ38" s="368"/>
      <c r="AK38" s="368"/>
      <c r="AL38" s="368"/>
      <c r="AM38" s="368"/>
      <c r="AN38" s="368"/>
      <c r="AO38" s="368"/>
      <c r="AP38" s="368"/>
      <c r="AQ38" s="368"/>
      <c r="AR38" s="368"/>
      <c r="AS38" s="195"/>
      <c r="AT38" s="195"/>
      <c r="AU38" s="377"/>
      <c r="AV38" s="382"/>
      <c r="AW38" s="426"/>
      <c r="AX38" s="426"/>
      <c r="AY38" s="426"/>
      <c r="AZ38" s="426"/>
      <c r="BA38" s="426"/>
      <c r="BB38" s="426"/>
      <c r="BC38" s="426"/>
      <c r="BD38" s="426"/>
      <c r="BE38" s="426"/>
      <c r="BF38" s="469"/>
      <c r="BG38" s="468">
        <v>1.8</v>
      </c>
      <c r="BH38" s="341"/>
      <c r="BI38" s="447"/>
      <c r="BJ38" s="505"/>
    </row>
    <row r="39" spans="1:62" ht="15.75" customHeight="1" thickBot="1" x14ac:dyDescent="0.25">
      <c r="A39" s="176">
        <v>38</v>
      </c>
      <c r="B39" s="175">
        <v>1</v>
      </c>
      <c r="C39" s="166" t="s">
        <v>11</v>
      </c>
      <c r="D39" s="166" t="s">
        <v>142</v>
      </c>
      <c r="E39" s="166" t="s">
        <v>13</v>
      </c>
      <c r="F39" s="166" t="s">
        <v>182</v>
      </c>
      <c r="G39" s="166" t="s">
        <v>15</v>
      </c>
      <c r="H39" s="166" t="s">
        <v>183</v>
      </c>
      <c r="I39" s="181">
        <v>2013</v>
      </c>
      <c r="J39" s="181" t="s">
        <v>184</v>
      </c>
      <c r="K39" s="181" t="s">
        <v>185</v>
      </c>
      <c r="L39" s="181" t="s">
        <v>19</v>
      </c>
      <c r="M39" s="556" t="s">
        <v>4109</v>
      </c>
      <c r="N39" s="214" t="s">
        <v>20</v>
      </c>
      <c r="O39" s="214" t="s">
        <v>15</v>
      </c>
      <c r="P39" s="214" t="s">
        <v>20</v>
      </c>
      <c r="Q39" s="214" t="s">
        <v>20</v>
      </c>
      <c r="R39" s="214" t="s">
        <v>15</v>
      </c>
      <c r="S39" s="214" t="s">
        <v>15</v>
      </c>
      <c r="T39" s="214" t="s">
        <v>15</v>
      </c>
      <c r="U39" s="214" t="s">
        <v>15</v>
      </c>
      <c r="V39" s="214" t="s">
        <v>15</v>
      </c>
      <c r="W39" s="214" t="s">
        <v>15</v>
      </c>
      <c r="X39" s="214" t="s">
        <v>15</v>
      </c>
      <c r="Y39" s="214" t="s">
        <v>15</v>
      </c>
      <c r="Z39" s="234"/>
      <c r="AA39" s="214" t="s">
        <v>186</v>
      </c>
      <c r="AB39" s="214" t="s">
        <v>15</v>
      </c>
      <c r="AC39" s="214" t="s">
        <v>15</v>
      </c>
      <c r="AD39" s="322" t="s">
        <v>138</v>
      </c>
      <c r="AE39" s="322" t="s">
        <v>92</v>
      </c>
      <c r="AF39" s="162" t="str">
        <f t="shared" si="0"/>
        <v/>
      </c>
      <c r="AG39" s="162" t="str">
        <f t="shared" si="1"/>
        <v/>
      </c>
      <c r="AH39" s="164" t="str">
        <f t="shared" si="2"/>
        <v/>
      </c>
      <c r="AI39" s="164" t="str">
        <f t="shared" si="3"/>
        <v/>
      </c>
      <c r="AJ39" s="368"/>
      <c r="AK39" s="368"/>
      <c r="AL39" s="368"/>
      <c r="AM39" s="368"/>
      <c r="AN39" s="368"/>
      <c r="AO39" s="368"/>
      <c r="AP39" s="368"/>
      <c r="AQ39" s="368"/>
      <c r="AR39" s="368"/>
      <c r="AS39" s="195"/>
      <c r="AT39" s="195"/>
      <c r="AU39" s="377"/>
      <c r="AV39" s="382"/>
      <c r="AW39" s="426"/>
      <c r="AX39" s="426"/>
      <c r="AY39" s="426"/>
      <c r="AZ39" s="426"/>
      <c r="BA39" s="426"/>
      <c r="BB39" s="426"/>
      <c r="BC39" s="426"/>
      <c r="BD39" s="426"/>
      <c r="BE39" s="426"/>
      <c r="BF39" s="469"/>
      <c r="BG39" s="468">
        <v>2.1</v>
      </c>
      <c r="BH39" s="341"/>
      <c r="BI39" s="447"/>
      <c r="BJ39" s="505"/>
    </row>
    <row r="40" spans="1:62" ht="15.75" customHeight="1" thickBot="1" x14ac:dyDescent="0.25">
      <c r="A40" s="174">
        <v>39</v>
      </c>
      <c r="B40" s="175">
        <v>1</v>
      </c>
      <c r="C40" s="166" t="s">
        <v>11</v>
      </c>
      <c r="D40" s="166" t="s">
        <v>188</v>
      </c>
      <c r="E40" s="166" t="s">
        <v>13</v>
      </c>
      <c r="F40" s="166" t="s">
        <v>182</v>
      </c>
      <c r="G40" s="166" t="s">
        <v>15</v>
      </c>
      <c r="H40" s="166" t="s">
        <v>183</v>
      </c>
      <c r="I40" s="181">
        <v>2013</v>
      </c>
      <c r="J40" s="181" t="s">
        <v>184</v>
      </c>
      <c r="K40" s="181" t="s">
        <v>185</v>
      </c>
      <c r="L40" s="181" t="s">
        <v>19</v>
      </c>
      <c r="M40" s="556" t="s">
        <v>4109</v>
      </c>
      <c r="N40" s="214" t="s">
        <v>20</v>
      </c>
      <c r="O40" s="214" t="s">
        <v>15</v>
      </c>
      <c r="P40" s="214" t="s">
        <v>20</v>
      </c>
      <c r="Q40" s="214" t="s">
        <v>20</v>
      </c>
      <c r="R40" s="214" t="s">
        <v>15</v>
      </c>
      <c r="S40" s="214" t="s">
        <v>15</v>
      </c>
      <c r="T40" s="214" t="s">
        <v>15</v>
      </c>
      <c r="U40" s="214" t="s">
        <v>15</v>
      </c>
      <c r="V40" s="214" t="s">
        <v>15</v>
      </c>
      <c r="W40" s="214" t="s">
        <v>15</v>
      </c>
      <c r="X40" s="214" t="s">
        <v>15</v>
      </c>
      <c r="Y40" s="214" t="s">
        <v>15</v>
      </c>
      <c r="Z40" s="234"/>
      <c r="AA40" s="214" t="s">
        <v>186</v>
      </c>
      <c r="AB40" s="214" t="s">
        <v>15</v>
      </c>
      <c r="AC40" s="214" t="s">
        <v>15</v>
      </c>
      <c r="AD40" s="322" t="s">
        <v>138</v>
      </c>
      <c r="AE40" s="322" t="s">
        <v>92</v>
      </c>
      <c r="AF40" s="162" t="str">
        <f t="shared" si="0"/>
        <v/>
      </c>
      <c r="AG40" s="162" t="str">
        <f t="shared" si="1"/>
        <v/>
      </c>
      <c r="AH40" s="164" t="str">
        <f t="shared" si="2"/>
        <v/>
      </c>
      <c r="AI40" s="164" t="str">
        <f t="shared" si="3"/>
        <v/>
      </c>
      <c r="AJ40" s="368"/>
      <c r="AK40" s="368"/>
      <c r="AL40" s="368"/>
      <c r="AM40" s="368"/>
      <c r="AN40" s="368"/>
      <c r="AO40" s="368"/>
      <c r="AP40" s="368"/>
      <c r="AQ40" s="368"/>
      <c r="AR40" s="368"/>
      <c r="AS40" s="195"/>
      <c r="AT40" s="195"/>
      <c r="AU40" s="377"/>
      <c r="AV40" s="382"/>
      <c r="AW40" s="426"/>
      <c r="AX40" s="426"/>
      <c r="AY40" s="426"/>
      <c r="AZ40" s="426"/>
      <c r="BA40" s="426"/>
      <c r="BB40" s="426"/>
      <c r="BC40" s="426"/>
      <c r="BD40" s="426"/>
      <c r="BE40" s="426"/>
      <c r="BF40" s="469"/>
      <c r="BG40" s="468">
        <v>2.5</v>
      </c>
      <c r="BH40" s="341"/>
      <c r="BI40" s="447"/>
      <c r="BJ40" s="505"/>
    </row>
    <row r="41" spans="1:62" ht="15.75" customHeight="1" thickBot="1" x14ac:dyDescent="0.25">
      <c r="A41" s="176">
        <v>40</v>
      </c>
      <c r="B41" s="175">
        <v>1</v>
      </c>
      <c r="C41" s="166" t="s">
        <v>11</v>
      </c>
      <c r="D41" s="166" t="s">
        <v>140</v>
      </c>
      <c r="E41" s="166" t="s">
        <v>13</v>
      </c>
      <c r="F41" s="166" t="s">
        <v>182</v>
      </c>
      <c r="G41" s="166" t="s">
        <v>15</v>
      </c>
      <c r="H41" s="166" t="s">
        <v>183</v>
      </c>
      <c r="I41" s="181">
        <v>2013</v>
      </c>
      <c r="J41" s="181" t="s">
        <v>184</v>
      </c>
      <c r="K41" s="181" t="s">
        <v>185</v>
      </c>
      <c r="L41" s="181" t="s">
        <v>19</v>
      </c>
      <c r="M41" s="556" t="s">
        <v>4109</v>
      </c>
      <c r="N41" s="214" t="s">
        <v>20</v>
      </c>
      <c r="O41" s="214" t="s">
        <v>15</v>
      </c>
      <c r="P41" s="214" t="s">
        <v>20</v>
      </c>
      <c r="Q41" s="214" t="s">
        <v>20</v>
      </c>
      <c r="R41" s="214" t="s">
        <v>15</v>
      </c>
      <c r="S41" s="214" t="s">
        <v>15</v>
      </c>
      <c r="T41" s="214" t="s">
        <v>15</v>
      </c>
      <c r="U41" s="214" t="s">
        <v>15</v>
      </c>
      <c r="V41" s="214" t="s">
        <v>15</v>
      </c>
      <c r="W41" s="214" t="s">
        <v>15</v>
      </c>
      <c r="X41" s="214" t="s">
        <v>15</v>
      </c>
      <c r="Y41" s="214" t="s">
        <v>15</v>
      </c>
      <c r="Z41" s="234"/>
      <c r="AA41" s="214" t="s">
        <v>186</v>
      </c>
      <c r="AB41" s="214" t="s">
        <v>15</v>
      </c>
      <c r="AC41" s="214" t="s">
        <v>20</v>
      </c>
      <c r="AD41" s="322" t="s">
        <v>138</v>
      </c>
      <c r="AE41" s="322" t="s">
        <v>92</v>
      </c>
      <c r="AF41" s="162" t="str">
        <f t="shared" si="0"/>
        <v/>
      </c>
      <c r="AG41" s="162" t="str">
        <f t="shared" si="1"/>
        <v/>
      </c>
      <c r="AH41" s="164">
        <f t="shared" si="2"/>
        <v>1.2635000000000001</v>
      </c>
      <c r="AI41" s="164">
        <f t="shared" si="3"/>
        <v>1.57325</v>
      </c>
      <c r="AJ41" s="368"/>
      <c r="AK41" s="368"/>
      <c r="AL41" s="368"/>
      <c r="AM41" s="368"/>
      <c r="AN41" s="368"/>
      <c r="AO41" s="368"/>
      <c r="AP41" s="368"/>
      <c r="AQ41" s="368"/>
      <c r="AR41" s="368"/>
      <c r="AS41" s="195"/>
      <c r="AT41" s="195"/>
      <c r="AU41" s="377"/>
      <c r="AV41" s="382"/>
      <c r="AW41" s="426">
        <v>1.2635000000000001</v>
      </c>
      <c r="AX41" s="426">
        <f>0.009*1.75</f>
        <v>1.575E-2</v>
      </c>
      <c r="AY41" s="426">
        <f>0.168*1.75</f>
        <v>0.29400000000000004</v>
      </c>
      <c r="AZ41" s="359">
        <f>0.101*1.75</f>
        <v>0.17675000000000002</v>
      </c>
      <c r="BA41" s="426"/>
      <c r="BB41" s="426"/>
      <c r="BC41" s="426"/>
      <c r="BD41" s="426"/>
      <c r="BE41" s="426"/>
      <c r="BF41" s="469">
        <v>1.2635000000000001</v>
      </c>
      <c r="BG41" s="469">
        <v>1.75</v>
      </c>
      <c r="BH41" s="341"/>
      <c r="BI41" s="446" t="s">
        <v>189</v>
      </c>
      <c r="BJ41" s="505"/>
    </row>
    <row r="42" spans="1:62" ht="15.75" customHeight="1" thickBot="1" x14ac:dyDescent="0.25">
      <c r="A42" s="174">
        <v>41</v>
      </c>
      <c r="B42" s="175">
        <v>1</v>
      </c>
      <c r="C42" s="166" t="s">
        <v>11</v>
      </c>
      <c r="D42" s="170" t="s">
        <v>12</v>
      </c>
      <c r="E42" s="166" t="s">
        <v>13</v>
      </c>
      <c r="F42" s="166" t="s">
        <v>182</v>
      </c>
      <c r="G42" s="166" t="s">
        <v>15</v>
      </c>
      <c r="H42" s="166" t="s">
        <v>183</v>
      </c>
      <c r="I42" s="181">
        <v>2013</v>
      </c>
      <c r="J42" s="181" t="s">
        <v>184</v>
      </c>
      <c r="K42" s="181" t="s">
        <v>185</v>
      </c>
      <c r="L42" s="181" t="s">
        <v>19</v>
      </c>
      <c r="M42" s="556" t="s">
        <v>4109</v>
      </c>
      <c r="N42" s="214" t="s">
        <v>20</v>
      </c>
      <c r="O42" s="214" t="s">
        <v>15</v>
      </c>
      <c r="P42" s="214" t="s">
        <v>20</v>
      </c>
      <c r="Q42" s="214" t="s">
        <v>20</v>
      </c>
      <c r="R42" s="214" t="s">
        <v>15</v>
      </c>
      <c r="S42" s="214" t="s">
        <v>15</v>
      </c>
      <c r="T42" s="214" t="s">
        <v>15</v>
      </c>
      <c r="U42" s="214" t="s">
        <v>15</v>
      </c>
      <c r="V42" s="214" t="s">
        <v>15</v>
      </c>
      <c r="W42" s="214" t="s">
        <v>15</v>
      </c>
      <c r="X42" s="214" t="s">
        <v>15</v>
      </c>
      <c r="Y42" s="214" t="s">
        <v>15</v>
      </c>
      <c r="Z42" s="234"/>
      <c r="AA42" s="214" t="s">
        <v>186</v>
      </c>
      <c r="AB42" s="214" t="s">
        <v>15</v>
      </c>
      <c r="AC42" s="214" t="s">
        <v>20</v>
      </c>
      <c r="AD42" s="322" t="s">
        <v>138</v>
      </c>
      <c r="AE42" s="322" t="s">
        <v>92</v>
      </c>
      <c r="AF42" s="162" t="str">
        <f t="shared" si="0"/>
        <v/>
      </c>
      <c r="AG42" s="162" t="str">
        <f t="shared" si="1"/>
        <v/>
      </c>
      <c r="AH42" s="164">
        <f t="shared" si="2"/>
        <v>0.86899999999999999</v>
      </c>
      <c r="AI42" s="164">
        <f t="shared" si="3"/>
        <v>0.94399999999999995</v>
      </c>
      <c r="AJ42" s="368"/>
      <c r="AK42" s="368"/>
      <c r="AL42" s="368"/>
      <c r="AM42" s="368"/>
      <c r="AN42" s="368"/>
      <c r="AO42" s="368"/>
      <c r="AP42" s="368"/>
      <c r="AQ42" s="368"/>
      <c r="AR42" s="368"/>
      <c r="AS42" s="195"/>
      <c r="AT42" s="195"/>
      <c r="AU42" s="377"/>
      <c r="AV42" s="382"/>
      <c r="AW42" s="426">
        <f>0.869*BG42</f>
        <v>0.86899999999999999</v>
      </c>
      <c r="AX42" s="426">
        <f>0.01*1</f>
        <v>0.01</v>
      </c>
      <c r="AY42" s="426">
        <f>0.065*1</f>
        <v>6.5000000000000002E-2</v>
      </c>
      <c r="AZ42" s="426">
        <f>0.055*1</f>
        <v>5.5E-2</v>
      </c>
      <c r="BA42" s="426"/>
      <c r="BB42" s="426"/>
      <c r="BC42" s="426"/>
      <c r="BD42" s="426"/>
      <c r="BE42" s="426"/>
      <c r="BF42" s="469">
        <v>0.86899999999999999</v>
      </c>
      <c r="BG42" s="469">
        <v>1</v>
      </c>
      <c r="BH42" s="341"/>
      <c r="BI42" s="446" t="s">
        <v>190</v>
      </c>
      <c r="BJ42" s="505"/>
    </row>
    <row r="43" spans="1:62" ht="15.75" customHeight="1" thickBot="1" x14ac:dyDescent="0.25">
      <c r="A43" s="176">
        <v>42</v>
      </c>
      <c r="B43" s="175">
        <v>1</v>
      </c>
      <c r="C43" s="166" t="s">
        <v>11</v>
      </c>
      <c r="D43" s="166" t="s">
        <v>191</v>
      </c>
      <c r="E43" s="166" t="s">
        <v>13</v>
      </c>
      <c r="F43" s="166" t="s">
        <v>192</v>
      </c>
      <c r="G43" s="166" t="s">
        <v>15</v>
      </c>
      <c r="H43" s="166" t="s">
        <v>183</v>
      </c>
      <c r="I43" s="181">
        <v>2013</v>
      </c>
      <c r="J43" s="181" t="s">
        <v>184</v>
      </c>
      <c r="K43" s="181" t="s">
        <v>185</v>
      </c>
      <c r="L43" s="181" t="s">
        <v>19</v>
      </c>
      <c r="M43" s="556" t="s">
        <v>4109</v>
      </c>
      <c r="N43" s="214" t="s">
        <v>20</v>
      </c>
      <c r="O43" s="214" t="s">
        <v>15</v>
      </c>
      <c r="P43" s="214" t="s">
        <v>20</v>
      </c>
      <c r="Q43" s="214" t="s">
        <v>20</v>
      </c>
      <c r="R43" s="214" t="s">
        <v>15</v>
      </c>
      <c r="S43" s="214" t="s">
        <v>15</v>
      </c>
      <c r="T43" s="214" t="s">
        <v>15</v>
      </c>
      <c r="U43" s="214" t="s">
        <v>15</v>
      </c>
      <c r="V43" s="214" t="s">
        <v>15</v>
      </c>
      <c r="W43" s="214" t="s">
        <v>15</v>
      </c>
      <c r="X43" s="214" t="s">
        <v>15</v>
      </c>
      <c r="Y43" s="214" t="s">
        <v>15</v>
      </c>
      <c r="Z43" s="234"/>
      <c r="AA43" s="214" t="s">
        <v>186</v>
      </c>
      <c r="AB43" s="214" t="s">
        <v>15</v>
      </c>
      <c r="AC43" s="214" t="s">
        <v>15</v>
      </c>
      <c r="AD43" s="322" t="s">
        <v>138</v>
      </c>
      <c r="AE43" s="322" t="s">
        <v>92</v>
      </c>
      <c r="AF43" s="162" t="str">
        <f t="shared" si="0"/>
        <v/>
      </c>
      <c r="AG43" s="162" t="str">
        <f t="shared" si="1"/>
        <v/>
      </c>
      <c r="AH43" s="164" t="str">
        <f t="shared" si="2"/>
        <v/>
      </c>
      <c r="AI43" s="164" t="str">
        <f t="shared" si="3"/>
        <v/>
      </c>
      <c r="AJ43" s="368"/>
      <c r="AK43" s="368"/>
      <c r="AL43" s="368"/>
      <c r="AM43" s="368"/>
      <c r="AN43" s="368"/>
      <c r="AO43" s="368"/>
      <c r="AP43" s="368"/>
      <c r="AQ43" s="368"/>
      <c r="AR43" s="368"/>
      <c r="AS43" s="195"/>
      <c r="AT43" s="195"/>
      <c r="AU43" s="377"/>
      <c r="AV43" s="382"/>
      <c r="AW43" s="426"/>
      <c r="AX43" s="426"/>
      <c r="AY43" s="426"/>
      <c r="AZ43" s="426"/>
      <c r="BA43" s="426"/>
      <c r="BB43" s="426"/>
      <c r="BC43" s="426"/>
      <c r="BD43" s="426"/>
      <c r="BE43" s="426"/>
      <c r="BF43" s="469"/>
      <c r="BG43" s="468">
        <v>1.1000000000000001</v>
      </c>
      <c r="BH43" s="341"/>
      <c r="BI43" s="447"/>
      <c r="BJ43" s="505"/>
    </row>
    <row r="44" spans="1:62" ht="15.75" customHeight="1" thickBot="1" x14ac:dyDescent="0.25">
      <c r="A44" s="174">
        <v>43</v>
      </c>
      <c r="B44" s="175">
        <v>1</v>
      </c>
      <c r="C44" s="166" t="s">
        <v>11</v>
      </c>
      <c r="D44" s="166" t="s">
        <v>193</v>
      </c>
      <c r="E44" s="166" t="s">
        <v>13</v>
      </c>
      <c r="F44" s="166" t="s">
        <v>182</v>
      </c>
      <c r="G44" s="166" t="s">
        <v>15</v>
      </c>
      <c r="H44" s="166" t="s">
        <v>183</v>
      </c>
      <c r="I44" s="181">
        <v>2013</v>
      </c>
      <c r="J44" s="181" t="s">
        <v>184</v>
      </c>
      <c r="K44" s="181" t="s">
        <v>185</v>
      </c>
      <c r="L44" s="181" t="s">
        <v>19</v>
      </c>
      <c r="M44" s="556" t="s">
        <v>4109</v>
      </c>
      <c r="N44" s="214" t="s">
        <v>20</v>
      </c>
      <c r="O44" s="214" t="s">
        <v>15</v>
      </c>
      <c r="P44" s="214" t="s">
        <v>20</v>
      </c>
      <c r="Q44" s="214" t="s">
        <v>20</v>
      </c>
      <c r="R44" s="214" t="s">
        <v>15</v>
      </c>
      <c r="S44" s="214" t="s">
        <v>15</v>
      </c>
      <c r="T44" s="214" t="s">
        <v>15</v>
      </c>
      <c r="U44" s="214" t="s">
        <v>15</v>
      </c>
      <c r="V44" s="214" t="s">
        <v>15</v>
      </c>
      <c r="W44" s="214" t="s">
        <v>15</v>
      </c>
      <c r="X44" s="214" t="s">
        <v>15</v>
      </c>
      <c r="Y44" s="214" t="s">
        <v>15</v>
      </c>
      <c r="Z44" s="234"/>
      <c r="AA44" s="214" t="s">
        <v>186</v>
      </c>
      <c r="AB44" s="214" t="s">
        <v>15</v>
      </c>
      <c r="AC44" s="214" t="s">
        <v>15</v>
      </c>
      <c r="AD44" s="322" t="s">
        <v>138</v>
      </c>
      <c r="AE44" s="322" t="s">
        <v>92</v>
      </c>
      <c r="AF44" s="162" t="str">
        <f t="shared" si="0"/>
        <v/>
      </c>
      <c r="AG44" s="162" t="str">
        <f t="shared" si="1"/>
        <v/>
      </c>
      <c r="AH44" s="164" t="str">
        <f t="shared" si="2"/>
        <v/>
      </c>
      <c r="AI44" s="164" t="str">
        <f t="shared" si="3"/>
        <v/>
      </c>
      <c r="AJ44" s="368"/>
      <c r="AK44" s="368"/>
      <c r="AL44" s="368"/>
      <c r="AM44" s="368"/>
      <c r="AN44" s="368"/>
      <c r="AO44" s="368"/>
      <c r="AP44" s="368"/>
      <c r="AQ44" s="368"/>
      <c r="AR44" s="368"/>
      <c r="AS44" s="195"/>
      <c r="AT44" s="195"/>
      <c r="AU44" s="377"/>
      <c r="AV44" s="382"/>
      <c r="AW44" s="426"/>
      <c r="AX44" s="426"/>
      <c r="AY44" s="426"/>
      <c r="AZ44" s="426"/>
      <c r="BA44" s="426"/>
      <c r="BB44" s="426"/>
      <c r="BC44" s="426"/>
      <c r="BD44" s="426"/>
      <c r="BE44" s="426"/>
      <c r="BF44" s="469"/>
      <c r="BG44" s="468">
        <v>2.1</v>
      </c>
      <c r="BH44" s="341"/>
      <c r="BI44" s="447"/>
      <c r="BJ44" s="505"/>
    </row>
    <row r="45" spans="1:62" ht="15.75" customHeight="1" thickBot="1" x14ac:dyDescent="0.25">
      <c r="A45" s="176">
        <v>44</v>
      </c>
      <c r="B45" s="175">
        <v>1</v>
      </c>
      <c r="C45" s="166" t="s">
        <v>11</v>
      </c>
      <c r="D45" s="166" t="s">
        <v>194</v>
      </c>
      <c r="E45" s="166" t="s">
        <v>13</v>
      </c>
      <c r="F45" s="166" t="s">
        <v>182</v>
      </c>
      <c r="G45" s="166" t="s">
        <v>15</v>
      </c>
      <c r="H45" s="166" t="s">
        <v>183</v>
      </c>
      <c r="I45" s="181">
        <v>2013</v>
      </c>
      <c r="J45" s="181" t="s">
        <v>184</v>
      </c>
      <c r="K45" s="181" t="s">
        <v>185</v>
      </c>
      <c r="L45" s="181" t="s">
        <v>19</v>
      </c>
      <c r="M45" s="556" t="s">
        <v>4109</v>
      </c>
      <c r="N45" s="214" t="s">
        <v>20</v>
      </c>
      <c r="O45" s="214" t="s">
        <v>15</v>
      </c>
      <c r="P45" s="214" t="s">
        <v>20</v>
      </c>
      <c r="Q45" s="214" t="s">
        <v>20</v>
      </c>
      <c r="R45" s="214" t="s">
        <v>15</v>
      </c>
      <c r="S45" s="214" t="s">
        <v>15</v>
      </c>
      <c r="T45" s="214" t="s">
        <v>15</v>
      </c>
      <c r="U45" s="214" t="s">
        <v>15</v>
      </c>
      <c r="V45" s="214" t="s">
        <v>15</v>
      </c>
      <c r="W45" s="214" t="s">
        <v>15</v>
      </c>
      <c r="X45" s="214" t="s">
        <v>15</v>
      </c>
      <c r="Y45" s="214" t="s">
        <v>15</v>
      </c>
      <c r="Z45" s="234"/>
      <c r="AA45" s="214" t="s">
        <v>186</v>
      </c>
      <c r="AB45" s="214" t="s">
        <v>15</v>
      </c>
      <c r="AC45" s="214" t="s">
        <v>15</v>
      </c>
      <c r="AD45" s="322" t="s">
        <v>138</v>
      </c>
      <c r="AE45" s="322" t="s">
        <v>92</v>
      </c>
      <c r="AF45" s="162" t="str">
        <f t="shared" si="0"/>
        <v/>
      </c>
      <c r="AG45" s="162" t="str">
        <f t="shared" si="1"/>
        <v/>
      </c>
      <c r="AH45" s="164" t="str">
        <f t="shared" si="2"/>
        <v/>
      </c>
      <c r="AI45" s="164" t="str">
        <f t="shared" si="3"/>
        <v/>
      </c>
      <c r="AJ45" s="368"/>
      <c r="AK45" s="368"/>
      <c r="AL45" s="368"/>
      <c r="AM45" s="368"/>
      <c r="AN45" s="368"/>
      <c r="AO45" s="368"/>
      <c r="AP45" s="368"/>
      <c r="AQ45" s="368"/>
      <c r="AR45" s="368"/>
      <c r="AS45" s="195"/>
      <c r="AT45" s="195"/>
      <c r="AU45" s="377"/>
      <c r="AV45" s="382"/>
      <c r="AW45" s="426"/>
      <c r="AX45" s="426"/>
      <c r="AY45" s="426"/>
      <c r="AZ45" s="426"/>
      <c r="BA45" s="426"/>
      <c r="BB45" s="426"/>
      <c r="BC45" s="426"/>
      <c r="BD45" s="426"/>
      <c r="BE45" s="426"/>
      <c r="BF45" s="469"/>
      <c r="BG45" s="468">
        <v>10.1</v>
      </c>
      <c r="BH45" s="341"/>
      <c r="BI45" s="447"/>
      <c r="BJ45" s="505"/>
    </row>
    <row r="46" spans="1:62" ht="15.75" customHeight="1" thickBot="1" x14ac:dyDescent="0.25">
      <c r="A46" s="174">
        <v>45</v>
      </c>
      <c r="B46" s="175">
        <v>1</v>
      </c>
      <c r="C46" s="166" t="s">
        <v>11</v>
      </c>
      <c r="D46" s="166" t="s">
        <v>195</v>
      </c>
      <c r="E46" s="166" t="s">
        <v>13</v>
      </c>
      <c r="F46" s="166" t="s">
        <v>182</v>
      </c>
      <c r="G46" s="166" t="s">
        <v>15</v>
      </c>
      <c r="H46" s="166" t="s">
        <v>183</v>
      </c>
      <c r="I46" s="181">
        <v>2013</v>
      </c>
      <c r="J46" s="181" t="s">
        <v>184</v>
      </c>
      <c r="K46" s="181" t="s">
        <v>185</v>
      </c>
      <c r="L46" s="181" t="s">
        <v>19</v>
      </c>
      <c r="M46" s="556" t="s">
        <v>4109</v>
      </c>
      <c r="N46" s="214" t="s">
        <v>20</v>
      </c>
      <c r="O46" s="214" t="s">
        <v>15</v>
      </c>
      <c r="P46" s="214" t="s">
        <v>20</v>
      </c>
      <c r="Q46" s="214" t="s">
        <v>20</v>
      </c>
      <c r="R46" s="214" t="s">
        <v>15</v>
      </c>
      <c r="S46" s="214" t="s">
        <v>15</v>
      </c>
      <c r="T46" s="214" t="s">
        <v>15</v>
      </c>
      <c r="U46" s="214" t="s">
        <v>15</v>
      </c>
      <c r="V46" s="214" t="s">
        <v>15</v>
      </c>
      <c r="W46" s="214" t="s">
        <v>15</v>
      </c>
      <c r="X46" s="214" t="s">
        <v>15</v>
      </c>
      <c r="Y46" s="214" t="s">
        <v>15</v>
      </c>
      <c r="Z46" s="234"/>
      <c r="AA46" s="214" t="s">
        <v>186</v>
      </c>
      <c r="AB46" s="214" t="s">
        <v>15</v>
      </c>
      <c r="AC46" s="214" t="s">
        <v>15</v>
      </c>
      <c r="AD46" s="322" t="s">
        <v>138</v>
      </c>
      <c r="AE46" s="322" t="s">
        <v>92</v>
      </c>
      <c r="AF46" s="162" t="str">
        <f t="shared" si="0"/>
        <v/>
      </c>
      <c r="AG46" s="162" t="str">
        <f t="shared" si="1"/>
        <v/>
      </c>
      <c r="AH46" s="164" t="str">
        <f t="shared" si="2"/>
        <v/>
      </c>
      <c r="AI46" s="164" t="str">
        <f t="shared" si="3"/>
        <v/>
      </c>
      <c r="AJ46" s="368"/>
      <c r="AK46" s="368"/>
      <c r="AL46" s="368"/>
      <c r="AM46" s="368"/>
      <c r="AN46" s="368"/>
      <c r="AO46" s="368"/>
      <c r="AP46" s="368"/>
      <c r="AQ46" s="368"/>
      <c r="AR46" s="368"/>
      <c r="AS46" s="195"/>
      <c r="AT46" s="195"/>
      <c r="AU46" s="377"/>
      <c r="AV46" s="382"/>
      <c r="AW46" s="426"/>
      <c r="AX46" s="426"/>
      <c r="AY46" s="426"/>
      <c r="AZ46" s="426"/>
      <c r="BA46" s="426"/>
      <c r="BB46" s="426"/>
      <c r="BC46" s="426"/>
      <c r="BD46" s="426"/>
      <c r="BE46" s="426"/>
      <c r="BF46" s="469"/>
      <c r="BG46" s="468">
        <v>3.1</v>
      </c>
      <c r="BH46" s="341"/>
      <c r="BI46" s="447"/>
      <c r="BJ46" s="505"/>
    </row>
    <row r="47" spans="1:62" ht="15.75" customHeight="1" thickBot="1" x14ac:dyDescent="0.25">
      <c r="A47" s="176">
        <v>46</v>
      </c>
      <c r="B47" s="175">
        <v>1</v>
      </c>
      <c r="C47" s="166" t="s">
        <v>11</v>
      </c>
      <c r="D47" s="166" t="s">
        <v>143</v>
      </c>
      <c r="E47" s="166" t="s">
        <v>13</v>
      </c>
      <c r="F47" s="166" t="s">
        <v>182</v>
      </c>
      <c r="G47" s="166" t="s">
        <v>15</v>
      </c>
      <c r="H47" s="166" t="s">
        <v>183</v>
      </c>
      <c r="I47" s="181">
        <v>2013</v>
      </c>
      <c r="J47" s="181" t="s">
        <v>184</v>
      </c>
      <c r="K47" s="181" t="s">
        <v>185</v>
      </c>
      <c r="L47" s="181" t="s">
        <v>19</v>
      </c>
      <c r="M47" s="556" t="s">
        <v>4109</v>
      </c>
      <c r="N47" s="214" t="s">
        <v>20</v>
      </c>
      <c r="O47" s="214" t="s">
        <v>15</v>
      </c>
      <c r="P47" s="214" t="s">
        <v>20</v>
      </c>
      <c r="Q47" s="214" t="s">
        <v>20</v>
      </c>
      <c r="R47" s="214" t="s">
        <v>15</v>
      </c>
      <c r="S47" s="214" t="s">
        <v>15</v>
      </c>
      <c r="T47" s="214" t="s">
        <v>15</v>
      </c>
      <c r="U47" s="214" t="s">
        <v>15</v>
      </c>
      <c r="V47" s="214" t="s">
        <v>15</v>
      </c>
      <c r="W47" s="214" t="s">
        <v>15</v>
      </c>
      <c r="X47" s="214" t="s">
        <v>15</v>
      </c>
      <c r="Y47" s="214" t="s">
        <v>15</v>
      </c>
      <c r="Z47" s="234"/>
      <c r="AA47" s="214" t="s">
        <v>186</v>
      </c>
      <c r="AB47" s="214" t="s">
        <v>15</v>
      </c>
      <c r="AC47" s="214" t="s">
        <v>15</v>
      </c>
      <c r="AD47" s="322" t="s">
        <v>138</v>
      </c>
      <c r="AE47" s="322" t="s">
        <v>92</v>
      </c>
      <c r="AF47" s="162" t="str">
        <f t="shared" si="0"/>
        <v/>
      </c>
      <c r="AG47" s="162" t="str">
        <f t="shared" si="1"/>
        <v/>
      </c>
      <c r="AH47" s="164" t="str">
        <f t="shared" si="2"/>
        <v/>
      </c>
      <c r="AI47" s="164" t="str">
        <f t="shared" si="3"/>
        <v/>
      </c>
      <c r="AJ47" s="368"/>
      <c r="AK47" s="368"/>
      <c r="AL47" s="368"/>
      <c r="AM47" s="368"/>
      <c r="AN47" s="368"/>
      <c r="AO47" s="368"/>
      <c r="AP47" s="368"/>
      <c r="AQ47" s="368"/>
      <c r="AR47" s="368"/>
      <c r="AS47" s="195"/>
      <c r="AT47" s="195"/>
      <c r="AU47" s="377"/>
      <c r="AV47" s="382"/>
      <c r="AW47" s="426"/>
      <c r="AX47" s="426"/>
      <c r="AY47" s="426"/>
      <c r="AZ47" s="426"/>
      <c r="BA47" s="426"/>
      <c r="BB47" s="426"/>
      <c r="BC47" s="426"/>
      <c r="BD47" s="426"/>
      <c r="BE47" s="426"/>
      <c r="BF47" s="469"/>
      <c r="BG47" s="468">
        <v>7.3</v>
      </c>
      <c r="BH47" s="341"/>
      <c r="BI47" s="447"/>
      <c r="BJ47" s="505"/>
    </row>
    <row r="48" spans="1:62" ht="15.75" customHeight="1" thickBot="1" x14ac:dyDescent="0.25">
      <c r="A48" s="174">
        <v>47</v>
      </c>
      <c r="B48" s="175">
        <v>1</v>
      </c>
      <c r="C48" s="166" t="s">
        <v>162</v>
      </c>
      <c r="D48" s="166" t="s">
        <v>2318</v>
      </c>
      <c r="E48" s="166" t="s">
        <v>196</v>
      </c>
      <c r="F48" s="166" t="s">
        <v>197</v>
      </c>
      <c r="G48" s="166" t="s">
        <v>15</v>
      </c>
      <c r="H48" s="166" t="s">
        <v>87</v>
      </c>
      <c r="I48" s="181">
        <v>2014</v>
      </c>
      <c r="J48" s="181" t="s">
        <v>198</v>
      </c>
      <c r="K48" s="181" t="s">
        <v>199</v>
      </c>
      <c r="L48" s="181" t="s">
        <v>19</v>
      </c>
      <c r="M48" s="556" t="s">
        <v>4110</v>
      </c>
      <c r="N48" s="214" t="s">
        <v>20</v>
      </c>
      <c r="O48" s="214" t="s">
        <v>20</v>
      </c>
      <c r="P48" s="214" t="s">
        <v>20</v>
      </c>
      <c r="Q48" s="214" t="s">
        <v>20</v>
      </c>
      <c r="R48" s="214" t="s">
        <v>20</v>
      </c>
      <c r="S48" s="214" t="s">
        <v>20</v>
      </c>
      <c r="T48" s="214" t="s">
        <v>15</v>
      </c>
      <c r="U48" s="214" t="s">
        <v>15</v>
      </c>
      <c r="V48" s="214" t="s">
        <v>15</v>
      </c>
      <c r="W48" s="214" t="s">
        <v>15</v>
      </c>
      <c r="X48" s="214" t="s">
        <v>15</v>
      </c>
      <c r="Y48" s="214" t="s">
        <v>15</v>
      </c>
      <c r="Z48" s="214" t="s">
        <v>200</v>
      </c>
      <c r="AA48" s="214" t="s">
        <v>201</v>
      </c>
      <c r="AB48" s="214" t="s">
        <v>20</v>
      </c>
      <c r="AC48" s="214" t="s">
        <v>20</v>
      </c>
      <c r="AD48" s="322" t="s">
        <v>202</v>
      </c>
      <c r="AE48" s="322" t="s">
        <v>92</v>
      </c>
      <c r="AF48" s="162">
        <f t="shared" si="0"/>
        <v>4.5528000000000004</v>
      </c>
      <c r="AG48" s="162">
        <f t="shared" si="1"/>
        <v>7.6028000000000002</v>
      </c>
      <c r="AH48" s="164">
        <f t="shared" si="2"/>
        <v>0.38</v>
      </c>
      <c r="AI48" s="164">
        <f t="shared" si="3"/>
        <v>0.56830000000000003</v>
      </c>
      <c r="AJ48" s="369">
        <v>4.5528000000000004</v>
      </c>
      <c r="AK48" s="368"/>
      <c r="AL48" s="369">
        <v>3.05</v>
      </c>
      <c r="AM48" s="369">
        <v>7.9802</v>
      </c>
      <c r="AN48" s="368"/>
      <c r="AO48" s="368"/>
      <c r="AP48" s="368"/>
      <c r="AQ48" s="368"/>
      <c r="AR48" s="368"/>
      <c r="AS48" s="196">
        <v>4.5528000000000004</v>
      </c>
      <c r="AT48" s="196">
        <v>15.583</v>
      </c>
      <c r="AU48" s="378" t="s">
        <v>203</v>
      </c>
      <c r="AV48" s="394"/>
      <c r="AW48" s="359">
        <v>0.38</v>
      </c>
      <c r="AX48" s="426"/>
      <c r="AY48" s="359">
        <v>0.1883</v>
      </c>
      <c r="AZ48" s="359">
        <v>0.4985</v>
      </c>
      <c r="BA48" s="426"/>
      <c r="BB48" s="426"/>
      <c r="BC48" s="426"/>
      <c r="BD48" s="426"/>
      <c r="BE48" s="426"/>
      <c r="BF48" s="472">
        <v>0.38</v>
      </c>
      <c r="BG48" s="472">
        <v>1.0649</v>
      </c>
      <c r="BH48" s="335"/>
      <c r="BI48" s="446" t="s">
        <v>203</v>
      </c>
      <c r="BJ48" s="505"/>
    </row>
    <row r="49" spans="1:62" ht="15.75" customHeight="1" thickBot="1" x14ac:dyDescent="0.25">
      <c r="A49" s="176">
        <v>48</v>
      </c>
      <c r="B49" s="175">
        <v>1</v>
      </c>
      <c r="C49" s="166" t="s">
        <v>162</v>
      </c>
      <c r="D49" s="166" t="s">
        <v>2318</v>
      </c>
      <c r="E49" s="166" t="s">
        <v>196</v>
      </c>
      <c r="F49" s="166" t="s">
        <v>197</v>
      </c>
      <c r="G49" s="166" t="s">
        <v>15</v>
      </c>
      <c r="H49" s="166" t="s">
        <v>87</v>
      </c>
      <c r="I49" s="181">
        <v>2014</v>
      </c>
      <c r="J49" s="181" t="s">
        <v>198</v>
      </c>
      <c r="K49" s="181" t="s">
        <v>199</v>
      </c>
      <c r="L49" s="181" t="s">
        <v>19</v>
      </c>
      <c r="M49" s="556" t="s">
        <v>4110</v>
      </c>
      <c r="N49" s="214" t="s">
        <v>20</v>
      </c>
      <c r="O49" s="214" t="s">
        <v>20</v>
      </c>
      <c r="P49" s="214" t="s">
        <v>20</v>
      </c>
      <c r="Q49" s="214" t="s">
        <v>20</v>
      </c>
      <c r="R49" s="214" t="s">
        <v>20</v>
      </c>
      <c r="S49" s="214" t="s">
        <v>20</v>
      </c>
      <c r="T49" s="214" t="s">
        <v>15</v>
      </c>
      <c r="U49" s="214" t="s">
        <v>15</v>
      </c>
      <c r="V49" s="214" t="s">
        <v>15</v>
      </c>
      <c r="W49" s="214" t="s">
        <v>15</v>
      </c>
      <c r="X49" s="214" t="s">
        <v>15</v>
      </c>
      <c r="Y49" s="214" t="s">
        <v>15</v>
      </c>
      <c r="Z49" s="214" t="s">
        <v>200</v>
      </c>
      <c r="AA49" s="214" t="s">
        <v>204</v>
      </c>
      <c r="AB49" s="214" t="s">
        <v>20</v>
      </c>
      <c r="AC49" s="214" t="s">
        <v>20</v>
      </c>
      <c r="AD49" s="322" t="s">
        <v>202</v>
      </c>
      <c r="AE49" s="322" t="s">
        <v>92</v>
      </c>
      <c r="AF49" s="162">
        <f t="shared" si="0"/>
        <v>7.1342999999999996</v>
      </c>
      <c r="AG49" s="162">
        <f t="shared" si="1"/>
        <v>12.2843</v>
      </c>
      <c r="AH49" s="164">
        <f t="shared" si="2"/>
        <v>0.59240000000000004</v>
      </c>
      <c r="AI49" s="164">
        <f t="shared" si="3"/>
        <v>0.93830000000000002</v>
      </c>
      <c r="AJ49" s="369">
        <v>7.1342999999999996</v>
      </c>
      <c r="AK49" s="368"/>
      <c r="AL49" s="369">
        <v>5.15</v>
      </c>
      <c r="AM49" s="369">
        <v>11.0403</v>
      </c>
      <c r="AN49" s="368"/>
      <c r="AO49" s="368"/>
      <c r="AP49" s="368"/>
      <c r="AQ49" s="368"/>
      <c r="AR49" s="368"/>
      <c r="AS49" s="196">
        <v>7.1342999999999996</v>
      </c>
      <c r="AT49" s="196">
        <v>23.3247</v>
      </c>
      <c r="AU49" s="378" t="s">
        <v>203</v>
      </c>
      <c r="AV49" s="394"/>
      <c r="AW49" s="359">
        <v>0.59240000000000004</v>
      </c>
      <c r="AX49" s="426"/>
      <c r="AY49" s="359">
        <v>0.34589999999999999</v>
      </c>
      <c r="AZ49" s="359">
        <v>0.69240000000000002</v>
      </c>
      <c r="BA49" s="426"/>
      <c r="BB49" s="426"/>
      <c r="BC49" s="426"/>
      <c r="BD49" s="426"/>
      <c r="BE49" s="426"/>
      <c r="BF49" s="472">
        <v>0.59240000000000004</v>
      </c>
      <c r="BG49" s="472">
        <v>1.6307</v>
      </c>
      <c r="BH49" s="335"/>
      <c r="BI49" s="446" t="s">
        <v>203</v>
      </c>
      <c r="BJ49" s="505"/>
    </row>
    <row r="50" spans="1:62" ht="15.75" customHeight="1" thickBot="1" x14ac:dyDescent="0.25">
      <c r="A50" s="174">
        <v>49</v>
      </c>
      <c r="B50" s="175">
        <v>1</v>
      </c>
      <c r="C50" s="166" t="s">
        <v>162</v>
      </c>
      <c r="D50" s="166" t="s">
        <v>2318</v>
      </c>
      <c r="E50" s="166" t="s">
        <v>196</v>
      </c>
      <c r="F50" s="166" t="s">
        <v>197</v>
      </c>
      <c r="G50" s="166" t="s">
        <v>15</v>
      </c>
      <c r="H50" s="166" t="s">
        <v>87</v>
      </c>
      <c r="I50" s="181">
        <v>2014</v>
      </c>
      <c r="J50" s="181" t="s">
        <v>198</v>
      </c>
      <c r="K50" s="181" t="s">
        <v>199</v>
      </c>
      <c r="L50" s="181" t="s">
        <v>19</v>
      </c>
      <c r="M50" s="556" t="s">
        <v>4110</v>
      </c>
      <c r="N50" s="214" t="s">
        <v>20</v>
      </c>
      <c r="O50" s="214" t="s">
        <v>20</v>
      </c>
      <c r="P50" s="214" t="s">
        <v>20</v>
      </c>
      <c r="Q50" s="214" t="s">
        <v>20</v>
      </c>
      <c r="R50" s="214" t="s">
        <v>20</v>
      </c>
      <c r="S50" s="214" t="s">
        <v>20</v>
      </c>
      <c r="T50" s="214" t="s">
        <v>15</v>
      </c>
      <c r="U50" s="214" t="s">
        <v>15</v>
      </c>
      <c r="V50" s="214" t="s">
        <v>15</v>
      </c>
      <c r="W50" s="214" t="s">
        <v>15</v>
      </c>
      <c r="X50" s="214" t="s">
        <v>15</v>
      </c>
      <c r="Y50" s="214" t="s">
        <v>15</v>
      </c>
      <c r="Z50" s="214" t="s">
        <v>200</v>
      </c>
      <c r="AA50" s="214" t="s">
        <v>201</v>
      </c>
      <c r="AB50" s="214" t="s">
        <v>20</v>
      </c>
      <c r="AC50" s="214" t="s">
        <v>20</v>
      </c>
      <c r="AD50" s="322" t="s">
        <v>202</v>
      </c>
      <c r="AE50" s="322" t="s">
        <v>92</v>
      </c>
      <c r="AF50" s="162">
        <f t="shared" si="0"/>
        <v>6.5640000000000001</v>
      </c>
      <c r="AG50" s="162">
        <f t="shared" si="1"/>
        <v>11.944099999999999</v>
      </c>
      <c r="AH50" s="164">
        <f t="shared" si="2"/>
        <v>0.54469999999999996</v>
      </c>
      <c r="AI50" s="164">
        <f t="shared" si="3"/>
        <v>0.87399999999999989</v>
      </c>
      <c r="AJ50" s="369">
        <v>6.5640000000000001</v>
      </c>
      <c r="AK50" s="368"/>
      <c r="AL50" s="369">
        <v>5.3800999999999997</v>
      </c>
      <c r="AM50" s="369">
        <v>8.2302</v>
      </c>
      <c r="AN50" s="368"/>
      <c r="AO50" s="368"/>
      <c r="AP50" s="368"/>
      <c r="AQ50" s="368"/>
      <c r="AR50" s="368"/>
      <c r="AS50" s="196">
        <v>6.5640000000000001</v>
      </c>
      <c r="AT50" s="196">
        <v>20.164300000000001</v>
      </c>
      <c r="AU50" s="378" t="s">
        <v>203</v>
      </c>
      <c r="AV50" s="394"/>
      <c r="AW50" s="359">
        <v>0.54469999999999996</v>
      </c>
      <c r="AX50" s="426"/>
      <c r="AY50" s="359">
        <v>0.32929999999999998</v>
      </c>
      <c r="AZ50" s="359">
        <v>0.50719999999999998</v>
      </c>
      <c r="BA50" s="426"/>
      <c r="BB50" s="426"/>
      <c r="BC50" s="426"/>
      <c r="BD50" s="426"/>
      <c r="BE50" s="426"/>
      <c r="BF50" s="472">
        <v>0.54469999999999996</v>
      </c>
      <c r="BG50" s="472">
        <v>1.3813</v>
      </c>
      <c r="BH50" s="335"/>
      <c r="BI50" s="446" t="s">
        <v>203</v>
      </c>
      <c r="BJ50" s="505"/>
    </row>
    <row r="51" spans="1:62" ht="15.75" customHeight="1" thickBot="1" x14ac:dyDescent="0.25">
      <c r="A51" s="176">
        <v>50</v>
      </c>
      <c r="B51" s="175">
        <v>1</v>
      </c>
      <c r="C51" s="166" t="s">
        <v>162</v>
      </c>
      <c r="D51" s="166" t="s">
        <v>2318</v>
      </c>
      <c r="E51" s="166" t="s">
        <v>196</v>
      </c>
      <c r="F51" s="166" t="s">
        <v>197</v>
      </c>
      <c r="G51" s="166" t="s">
        <v>15</v>
      </c>
      <c r="H51" s="166" t="s">
        <v>87</v>
      </c>
      <c r="I51" s="181">
        <v>2014</v>
      </c>
      <c r="J51" s="181" t="s">
        <v>198</v>
      </c>
      <c r="K51" s="181" t="s">
        <v>199</v>
      </c>
      <c r="L51" s="181" t="s">
        <v>19</v>
      </c>
      <c r="M51" s="556" t="s">
        <v>4110</v>
      </c>
      <c r="N51" s="214" t="s">
        <v>20</v>
      </c>
      <c r="O51" s="214" t="s">
        <v>20</v>
      </c>
      <c r="P51" s="214" t="s">
        <v>20</v>
      </c>
      <c r="Q51" s="214" t="s">
        <v>20</v>
      </c>
      <c r="R51" s="214" t="s">
        <v>20</v>
      </c>
      <c r="S51" s="214" t="s">
        <v>20</v>
      </c>
      <c r="T51" s="214" t="s">
        <v>15</v>
      </c>
      <c r="U51" s="214" t="s">
        <v>15</v>
      </c>
      <c r="V51" s="214" t="s">
        <v>15</v>
      </c>
      <c r="W51" s="214" t="s">
        <v>15</v>
      </c>
      <c r="X51" s="214" t="s">
        <v>15</v>
      </c>
      <c r="Y51" s="214" t="s">
        <v>15</v>
      </c>
      <c r="Z51" s="214" t="s">
        <v>200</v>
      </c>
      <c r="AA51" s="214" t="s">
        <v>201</v>
      </c>
      <c r="AB51" s="214" t="s">
        <v>20</v>
      </c>
      <c r="AC51" s="214" t="s">
        <v>20</v>
      </c>
      <c r="AD51" s="322" t="s">
        <v>202</v>
      </c>
      <c r="AE51" s="322" t="s">
        <v>92</v>
      </c>
      <c r="AF51" s="162">
        <f t="shared" si="0"/>
        <v>6.7039999999999997</v>
      </c>
      <c r="AG51" s="162">
        <f t="shared" si="1"/>
        <v>11.674200000000001</v>
      </c>
      <c r="AH51" s="164">
        <f t="shared" si="2"/>
        <v>0.55649999999999999</v>
      </c>
      <c r="AI51" s="164">
        <f t="shared" si="3"/>
        <v>0.8609</v>
      </c>
      <c r="AJ51" s="369">
        <v>6.7041000000000004</v>
      </c>
      <c r="AK51" s="368"/>
      <c r="AL51" s="369">
        <v>4.9701000000000004</v>
      </c>
      <c r="AM51" s="369">
        <v>7.8301999999999996</v>
      </c>
      <c r="AN51" s="368"/>
      <c r="AO51" s="368"/>
      <c r="AP51" s="368"/>
      <c r="AQ51" s="368"/>
      <c r="AR51" s="368"/>
      <c r="AS51" s="196">
        <v>6.7039999999999997</v>
      </c>
      <c r="AT51" s="196">
        <v>19.5044</v>
      </c>
      <c r="AU51" s="378" t="s">
        <v>203</v>
      </c>
      <c r="AV51" s="394"/>
      <c r="AW51" s="359">
        <v>0.55649999999999999</v>
      </c>
      <c r="AX51" s="426"/>
      <c r="AY51" s="359">
        <v>0.3044</v>
      </c>
      <c r="AZ51" s="359">
        <v>0.49070000000000003</v>
      </c>
      <c r="BA51" s="426"/>
      <c r="BB51" s="426"/>
      <c r="BC51" s="426"/>
      <c r="BD51" s="426"/>
      <c r="BE51" s="426"/>
      <c r="BF51" s="472">
        <v>0.55649999999999999</v>
      </c>
      <c r="BG51" s="472">
        <v>1.3515999999999999</v>
      </c>
      <c r="BH51" s="335"/>
      <c r="BI51" s="446" t="s">
        <v>203</v>
      </c>
      <c r="BJ51" s="505"/>
    </row>
    <row r="52" spans="1:62" ht="15.75" customHeight="1" thickBot="1" x14ac:dyDescent="0.25">
      <c r="A52" s="174">
        <v>51</v>
      </c>
      <c r="B52" s="175">
        <v>1</v>
      </c>
      <c r="C52" s="166" t="s">
        <v>162</v>
      </c>
      <c r="D52" s="166" t="s">
        <v>2318</v>
      </c>
      <c r="E52" s="166" t="s">
        <v>196</v>
      </c>
      <c r="F52" s="166" t="s">
        <v>197</v>
      </c>
      <c r="G52" s="166" t="s">
        <v>15</v>
      </c>
      <c r="H52" s="166" t="s">
        <v>87</v>
      </c>
      <c r="I52" s="181">
        <v>2014</v>
      </c>
      <c r="J52" s="181" t="s">
        <v>198</v>
      </c>
      <c r="K52" s="181" t="s">
        <v>199</v>
      </c>
      <c r="L52" s="181" t="s">
        <v>19</v>
      </c>
      <c r="M52" s="556" t="s">
        <v>4110</v>
      </c>
      <c r="N52" s="214" t="s">
        <v>20</v>
      </c>
      <c r="O52" s="214" t="s">
        <v>20</v>
      </c>
      <c r="P52" s="214" t="s">
        <v>20</v>
      </c>
      <c r="Q52" s="214" t="s">
        <v>20</v>
      </c>
      <c r="R52" s="214" t="s">
        <v>20</v>
      </c>
      <c r="S52" s="214" t="s">
        <v>20</v>
      </c>
      <c r="T52" s="214" t="s">
        <v>15</v>
      </c>
      <c r="U52" s="214" t="s">
        <v>15</v>
      </c>
      <c r="V52" s="214" t="s">
        <v>15</v>
      </c>
      <c r="W52" s="214" t="s">
        <v>15</v>
      </c>
      <c r="X52" s="214" t="s">
        <v>15</v>
      </c>
      <c r="Y52" s="214" t="s">
        <v>15</v>
      </c>
      <c r="Z52" s="214" t="s">
        <v>200</v>
      </c>
      <c r="AA52" s="214" t="s">
        <v>205</v>
      </c>
      <c r="AB52" s="214" t="s">
        <v>20</v>
      </c>
      <c r="AC52" s="214" t="s">
        <v>20</v>
      </c>
      <c r="AD52" s="322" t="s">
        <v>202</v>
      </c>
      <c r="AE52" s="322" t="s">
        <v>92</v>
      </c>
      <c r="AF52" s="162">
        <f t="shared" si="0"/>
        <v>6.6741000000000001</v>
      </c>
      <c r="AG52" s="162">
        <f t="shared" si="1"/>
        <v>11.900141000000001</v>
      </c>
      <c r="AH52" s="164">
        <f t="shared" si="2"/>
        <v>0.55420000000000003</v>
      </c>
      <c r="AI52" s="164">
        <f t="shared" si="3"/>
        <v>0.87519999999999998</v>
      </c>
      <c r="AJ52" s="369">
        <v>6.6700410000000003</v>
      </c>
      <c r="AK52" s="369"/>
      <c r="AL52" s="369">
        <v>5.2301000000000002</v>
      </c>
      <c r="AM52" s="369">
        <v>2.1800000000000002</v>
      </c>
      <c r="AN52" s="368"/>
      <c r="AO52" s="368"/>
      <c r="AP52" s="368"/>
      <c r="AQ52" s="368"/>
      <c r="AR52" s="368"/>
      <c r="AS52" s="196">
        <v>6.6741000000000001</v>
      </c>
      <c r="AT52" s="196">
        <v>14.084199999999999</v>
      </c>
      <c r="AU52" s="378" t="s">
        <v>203</v>
      </c>
      <c r="AV52" s="394"/>
      <c r="AW52" s="359">
        <v>0.55420000000000003</v>
      </c>
      <c r="AX52" s="426"/>
      <c r="AY52" s="359">
        <v>0.32100000000000001</v>
      </c>
      <c r="AZ52" s="359">
        <v>0.1202</v>
      </c>
      <c r="BA52" s="426"/>
      <c r="BB52" s="426"/>
      <c r="BC52" s="426"/>
      <c r="BD52" s="426"/>
      <c r="BE52" s="426"/>
      <c r="BF52" s="472">
        <v>0.55420000000000003</v>
      </c>
      <c r="BG52" s="472">
        <v>0.99539999999999995</v>
      </c>
      <c r="BH52" s="335"/>
      <c r="BI52" s="446" t="s">
        <v>203</v>
      </c>
      <c r="BJ52" s="505"/>
    </row>
    <row r="53" spans="1:62" ht="15.75" customHeight="1" thickBot="1" x14ac:dyDescent="0.25">
      <c r="A53" s="176">
        <v>52</v>
      </c>
      <c r="B53" s="175">
        <v>1</v>
      </c>
      <c r="C53" s="166" t="s">
        <v>162</v>
      </c>
      <c r="D53" s="166" t="s">
        <v>2318</v>
      </c>
      <c r="E53" s="166" t="s">
        <v>196</v>
      </c>
      <c r="F53" s="166" t="s">
        <v>197</v>
      </c>
      <c r="G53" s="166" t="s">
        <v>15</v>
      </c>
      <c r="H53" s="166" t="s">
        <v>87</v>
      </c>
      <c r="I53" s="181">
        <v>2014</v>
      </c>
      <c r="J53" s="181" t="s">
        <v>198</v>
      </c>
      <c r="K53" s="181" t="s">
        <v>199</v>
      </c>
      <c r="L53" s="181" t="s">
        <v>19</v>
      </c>
      <c r="M53" s="556" t="s">
        <v>4110</v>
      </c>
      <c r="N53" s="214" t="s">
        <v>20</v>
      </c>
      <c r="O53" s="214" t="s">
        <v>20</v>
      </c>
      <c r="P53" s="214" t="s">
        <v>20</v>
      </c>
      <c r="Q53" s="214" t="s">
        <v>20</v>
      </c>
      <c r="R53" s="214" t="s">
        <v>20</v>
      </c>
      <c r="S53" s="214" t="s">
        <v>20</v>
      </c>
      <c r="T53" s="214" t="s">
        <v>15</v>
      </c>
      <c r="U53" s="214" t="s">
        <v>15</v>
      </c>
      <c r="V53" s="214" t="s">
        <v>15</v>
      </c>
      <c r="W53" s="214" t="s">
        <v>15</v>
      </c>
      <c r="X53" s="214" t="s">
        <v>15</v>
      </c>
      <c r="Y53" s="214" t="s">
        <v>15</v>
      </c>
      <c r="Z53" s="214" t="s">
        <v>200</v>
      </c>
      <c r="AA53" s="214" t="s">
        <v>206</v>
      </c>
      <c r="AB53" s="214" t="s">
        <v>20</v>
      </c>
      <c r="AC53" s="214" t="s">
        <v>20</v>
      </c>
      <c r="AD53" s="322" t="s">
        <v>202</v>
      </c>
      <c r="AE53" s="322" t="s">
        <v>92</v>
      </c>
      <c r="AF53" s="162">
        <f t="shared" si="0"/>
        <v>6.6741000000000001</v>
      </c>
      <c r="AG53" s="162">
        <f t="shared" si="1"/>
        <v>12.460141</v>
      </c>
      <c r="AH53" s="164">
        <f t="shared" si="2"/>
        <v>0.55420000000000003</v>
      </c>
      <c r="AI53" s="164">
        <f t="shared" si="3"/>
        <v>0.90739999999999998</v>
      </c>
      <c r="AJ53" s="369">
        <v>6.6700410000000003</v>
      </c>
      <c r="AK53" s="369"/>
      <c r="AL53" s="369">
        <v>5.7900999999999998</v>
      </c>
      <c r="AM53" s="369">
        <v>1.79</v>
      </c>
      <c r="AN53" s="368"/>
      <c r="AO53" s="368"/>
      <c r="AP53" s="368"/>
      <c r="AQ53" s="368"/>
      <c r="AR53" s="368"/>
      <c r="AS53" s="196">
        <v>6.6741000000000001</v>
      </c>
      <c r="AT53" s="196">
        <v>14.244199999999999</v>
      </c>
      <c r="AU53" s="378" t="s">
        <v>203</v>
      </c>
      <c r="AV53" s="394"/>
      <c r="AW53" s="359">
        <v>0.55420000000000003</v>
      </c>
      <c r="AX53" s="426"/>
      <c r="AY53" s="359">
        <v>0.35320000000000001</v>
      </c>
      <c r="AZ53" s="359">
        <v>9.7000000000000003E-2</v>
      </c>
      <c r="BA53" s="426"/>
      <c r="BB53" s="426"/>
      <c r="BC53" s="426"/>
      <c r="BD53" s="426"/>
      <c r="BE53" s="426"/>
      <c r="BF53" s="472">
        <v>0.55420000000000003</v>
      </c>
      <c r="BG53" s="472">
        <v>1.0043</v>
      </c>
      <c r="BH53" s="335"/>
      <c r="BI53" s="446" t="s">
        <v>203</v>
      </c>
      <c r="BJ53" s="505"/>
    </row>
    <row r="54" spans="1:62" ht="15.75" customHeight="1" thickBot="1" x14ac:dyDescent="0.25">
      <c r="A54" s="174">
        <v>53</v>
      </c>
      <c r="B54" s="175">
        <v>1</v>
      </c>
      <c r="C54" s="166" t="s">
        <v>162</v>
      </c>
      <c r="D54" s="166" t="s">
        <v>2318</v>
      </c>
      <c r="E54" s="166" t="s">
        <v>196</v>
      </c>
      <c r="F54" s="166" t="s">
        <v>197</v>
      </c>
      <c r="G54" s="166" t="s">
        <v>15</v>
      </c>
      <c r="H54" s="166" t="s">
        <v>87</v>
      </c>
      <c r="I54" s="181">
        <v>2014</v>
      </c>
      <c r="J54" s="181" t="s">
        <v>198</v>
      </c>
      <c r="K54" s="181" t="s">
        <v>199</v>
      </c>
      <c r="L54" s="181" t="s">
        <v>19</v>
      </c>
      <c r="M54" s="556" t="s">
        <v>4110</v>
      </c>
      <c r="N54" s="214" t="s">
        <v>20</v>
      </c>
      <c r="O54" s="214" t="s">
        <v>20</v>
      </c>
      <c r="P54" s="214" t="s">
        <v>20</v>
      </c>
      <c r="Q54" s="214" t="s">
        <v>20</v>
      </c>
      <c r="R54" s="214" t="s">
        <v>20</v>
      </c>
      <c r="S54" s="214" t="s">
        <v>20</v>
      </c>
      <c r="T54" s="214" t="s">
        <v>15</v>
      </c>
      <c r="U54" s="214" t="s">
        <v>15</v>
      </c>
      <c r="V54" s="214" t="s">
        <v>15</v>
      </c>
      <c r="W54" s="214" t="s">
        <v>15</v>
      </c>
      <c r="X54" s="214" t="s">
        <v>15</v>
      </c>
      <c r="Y54" s="214" t="s">
        <v>15</v>
      </c>
      <c r="Z54" s="214" t="s">
        <v>200</v>
      </c>
      <c r="AA54" s="214" t="s">
        <v>207</v>
      </c>
      <c r="AB54" s="214" t="s">
        <v>20</v>
      </c>
      <c r="AC54" s="214" t="s">
        <v>20</v>
      </c>
      <c r="AD54" s="322" t="s">
        <v>202</v>
      </c>
      <c r="AE54" s="322" t="s">
        <v>92</v>
      </c>
      <c r="AF54" s="162">
        <f t="shared" si="0"/>
        <v>6.8041</v>
      </c>
      <c r="AG54" s="162">
        <f t="shared" si="1"/>
        <v>12.8842</v>
      </c>
      <c r="AH54" s="164">
        <f t="shared" si="2"/>
        <v>0.56520000000000004</v>
      </c>
      <c r="AI54" s="164">
        <f t="shared" si="3"/>
        <v>0.9355</v>
      </c>
      <c r="AJ54" s="369">
        <v>6.8041</v>
      </c>
      <c r="AK54" s="369"/>
      <c r="AL54" s="369">
        <v>6.0800999999999998</v>
      </c>
      <c r="AM54" s="369">
        <v>1.78</v>
      </c>
      <c r="AN54" s="368"/>
      <c r="AO54" s="368"/>
      <c r="AP54" s="368"/>
      <c r="AQ54" s="368"/>
      <c r="AR54" s="368"/>
      <c r="AS54" s="196">
        <v>6.8041</v>
      </c>
      <c r="AT54" s="196">
        <v>14.674300000000001</v>
      </c>
      <c r="AU54" s="378" t="s">
        <v>203</v>
      </c>
      <c r="AV54" s="394"/>
      <c r="AW54" s="359">
        <v>0.56520000000000004</v>
      </c>
      <c r="AX54" s="426"/>
      <c r="AY54" s="359">
        <v>0.37030000000000002</v>
      </c>
      <c r="AZ54" s="359">
        <v>0.1007</v>
      </c>
      <c r="BA54" s="426"/>
      <c r="BB54" s="426"/>
      <c r="BC54" s="426"/>
      <c r="BD54" s="426"/>
      <c r="BE54" s="426"/>
      <c r="BF54" s="472">
        <v>0.56520000000000004</v>
      </c>
      <c r="BG54" s="472">
        <v>1.0362</v>
      </c>
      <c r="BH54" s="335"/>
      <c r="BI54" s="446" t="s">
        <v>203</v>
      </c>
      <c r="BJ54" s="505"/>
    </row>
    <row r="55" spans="1:62" ht="15.75" customHeight="1" thickBot="1" x14ac:dyDescent="0.25">
      <c r="A55" s="176">
        <v>54</v>
      </c>
      <c r="B55" s="175">
        <v>1</v>
      </c>
      <c r="C55" s="166" t="s">
        <v>162</v>
      </c>
      <c r="D55" s="166" t="s">
        <v>3073</v>
      </c>
      <c r="E55" s="166" t="s">
        <v>196</v>
      </c>
      <c r="F55" s="166" t="s">
        <v>208</v>
      </c>
      <c r="G55" s="166" t="s">
        <v>15</v>
      </c>
      <c r="H55" s="166" t="s">
        <v>87</v>
      </c>
      <c r="I55" s="181">
        <v>2014</v>
      </c>
      <c r="J55" s="181" t="s">
        <v>198</v>
      </c>
      <c r="K55" s="181" t="s">
        <v>199</v>
      </c>
      <c r="L55" s="181" t="s">
        <v>19</v>
      </c>
      <c r="M55" s="556" t="s">
        <v>4110</v>
      </c>
      <c r="N55" s="214" t="s">
        <v>20</v>
      </c>
      <c r="O55" s="214" t="s">
        <v>20</v>
      </c>
      <c r="P55" s="214" t="s">
        <v>20</v>
      </c>
      <c r="Q55" s="214" t="s">
        <v>20</v>
      </c>
      <c r="R55" s="214" t="s">
        <v>20</v>
      </c>
      <c r="S55" s="214" t="s">
        <v>20</v>
      </c>
      <c r="T55" s="214" t="s">
        <v>15</v>
      </c>
      <c r="U55" s="214" t="s">
        <v>15</v>
      </c>
      <c r="V55" s="214" t="s">
        <v>15</v>
      </c>
      <c r="W55" s="214" t="s">
        <v>15</v>
      </c>
      <c r="X55" s="214" t="s">
        <v>15</v>
      </c>
      <c r="Y55" s="214" t="s">
        <v>15</v>
      </c>
      <c r="Z55" s="214" t="s">
        <v>200</v>
      </c>
      <c r="AA55" s="214" t="s">
        <v>209</v>
      </c>
      <c r="AB55" s="214" t="s">
        <v>20</v>
      </c>
      <c r="AC55" s="214" t="s">
        <v>20</v>
      </c>
      <c r="AD55" s="322" t="s">
        <v>202</v>
      </c>
      <c r="AE55" s="322" t="s">
        <v>92</v>
      </c>
      <c r="AF55" s="162">
        <f t="shared" si="0"/>
        <v>6.6340000000000003</v>
      </c>
      <c r="AG55" s="162">
        <f t="shared" si="1"/>
        <v>11.824000000000002</v>
      </c>
      <c r="AH55" s="164">
        <f t="shared" si="2"/>
        <v>0.55049999999999999</v>
      </c>
      <c r="AI55" s="164">
        <f t="shared" si="3"/>
        <v>0.86030000000000006</v>
      </c>
      <c r="AJ55" s="369">
        <v>6.6340000000000003</v>
      </c>
      <c r="AK55" s="368"/>
      <c r="AL55" s="369">
        <v>5.19</v>
      </c>
      <c r="AM55" s="369">
        <v>12.1203</v>
      </c>
      <c r="AN55" s="368"/>
      <c r="AO55" s="368"/>
      <c r="AP55" s="368"/>
      <c r="AQ55" s="368"/>
      <c r="AR55" s="368"/>
      <c r="AS55" s="196">
        <v>6.6340000000000003</v>
      </c>
      <c r="AT55" s="196">
        <v>23.944400000000002</v>
      </c>
      <c r="AU55" s="378" t="s">
        <v>203</v>
      </c>
      <c r="AV55" s="394"/>
      <c r="AW55" s="359">
        <v>0.55049999999999999</v>
      </c>
      <c r="AX55" s="426"/>
      <c r="AY55" s="359">
        <v>0.30980000000000002</v>
      </c>
      <c r="AZ55" s="359">
        <v>0.74760000000000004</v>
      </c>
      <c r="BA55" s="426"/>
      <c r="BB55" s="426"/>
      <c r="BC55" s="426"/>
      <c r="BD55" s="426"/>
      <c r="BE55" s="426"/>
      <c r="BF55" s="472">
        <v>0.55049999999999999</v>
      </c>
      <c r="BG55" s="472">
        <v>1.6077999999999999</v>
      </c>
      <c r="BH55" s="335"/>
      <c r="BI55" s="446" t="s">
        <v>203</v>
      </c>
      <c r="BJ55" s="505"/>
    </row>
    <row r="56" spans="1:62" ht="15.75" customHeight="1" thickBot="1" x14ac:dyDescent="0.25">
      <c r="A56" s="174">
        <v>55</v>
      </c>
      <c r="B56" s="175">
        <v>1</v>
      </c>
      <c r="C56" s="166" t="s">
        <v>162</v>
      </c>
      <c r="D56" s="166" t="s">
        <v>3073</v>
      </c>
      <c r="E56" s="166" t="s">
        <v>196</v>
      </c>
      <c r="F56" s="166" t="s">
        <v>208</v>
      </c>
      <c r="G56" s="166" t="s">
        <v>15</v>
      </c>
      <c r="H56" s="166" t="s">
        <v>87</v>
      </c>
      <c r="I56" s="181">
        <v>2014</v>
      </c>
      <c r="J56" s="181" t="s">
        <v>198</v>
      </c>
      <c r="K56" s="181" t="s">
        <v>199</v>
      </c>
      <c r="L56" s="181" t="s">
        <v>19</v>
      </c>
      <c r="M56" s="556" t="s">
        <v>4110</v>
      </c>
      <c r="N56" s="214" t="s">
        <v>20</v>
      </c>
      <c r="O56" s="214" t="s">
        <v>20</v>
      </c>
      <c r="P56" s="214" t="s">
        <v>20</v>
      </c>
      <c r="Q56" s="214" t="s">
        <v>20</v>
      </c>
      <c r="R56" s="214" t="s">
        <v>20</v>
      </c>
      <c r="S56" s="214" t="s">
        <v>20</v>
      </c>
      <c r="T56" s="214" t="s">
        <v>15</v>
      </c>
      <c r="U56" s="214" t="s">
        <v>15</v>
      </c>
      <c r="V56" s="214" t="s">
        <v>15</v>
      </c>
      <c r="W56" s="214" t="s">
        <v>15</v>
      </c>
      <c r="X56" s="214" t="s">
        <v>15</v>
      </c>
      <c r="Y56" s="214" t="s">
        <v>15</v>
      </c>
      <c r="Z56" s="214" t="s">
        <v>200</v>
      </c>
      <c r="AA56" s="214" t="s">
        <v>210</v>
      </c>
      <c r="AB56" s="214" t="s">
        <v>20</v>
      </c>
      <c r="AC56" s="214" t="s">
        <v>20</v>
      </c>
      <c r="AD56" s="322" t="s">
        <v>202</v>
      </c>
      <c r="AE56" s="322" t="s">
        <v>92</v>
      </c>
      <c r="AF56" s="162">
        <f t="shared" si="0"/>
        <v>5.4733000000000001</v>
      </c>
      <c r="AG56" s="162">
        <f t="shared" si="1"/>
        <v>9.1533999999999995</v>
      </c>
      <c r="AH56" s="164">
        <f t="shared" si="2"/>
        <v>0.45419999999999999</v>
      </c>
      <c r="AI56" s="164">
        <f t="shared" si="3"/>
        <v>0.67730000000000001</v>
      </c>
      <c r="AJ56" s="369">
        <v>5.4733000000000001</v>
      </c>
      <c r="AK56" s="368"/>
      <c r="AL56" s="369">
        <v>3.6800999999999999</v>
      </c>
      <c r="AM56" s="369">
        <v>12.2705</v>
      </c>
      <c r="AN56" s="368"/>
      <c r="AO56" s="368"/>
      <c r="AP56" s="368"/>
      <c r="AQ56" s="368"/>
      <c r="AR56" s="368"/>
      <c r="AS56" s="196">
        <v>5.4733000000000001</v>
      </c>
      <c r="AT56" s="196">
        <v>21.4239</v>
      </c>
      <c r="AU56" s="378" t="s">
        <v>203</v>
      </c>
      <c r="AV56" s="394"/>
      <c r="AW56" s="359">
        <v>0.45419999999999999</v>
      </c>
      <c r="AX56" s="426"/>
      <c r="AY56" s="359">
        <v>0.22309999999999999</v>
      </c>
      <c r="AZ56" s="359">
        <v>0.82540000000000002</v>
      </c>
      <c r="BA56" s="426"/>
      <c r="BB56" s="426"/>
      <c r="BC56" s="426"/>
      <c r="BD56" s="426"/>
      <c r="BE56" s="426"/>
      <c r="BF56" s="472">
        <v>0.45419999999999999</v>
      </c>
      <c r="BG56" s="472">
        <v>1.5025999999999999</v>
      </c>
      <c r="BH56" s="335"/>
      <c r="BI56" s="446" t="s">
        <v>203</v>
      </c>
      <c r="BJ56" s="505"/>
    </row>
    <row r="57" spans="1:62" ht="15.75" customHeight="1" thickBot="1" x14ac:dyDescent="0.25">
      <c r="A57" s="176">
        <v>56</v>
      </c>
      <c r="B57" s="175">
        <v>1</v>
      </c>
      <c r="C57" s="166" t="s">
        <v>162</v>
      </c>
      <c r="D57" s="166" t="s">
        <v>3073</v>
      </c>
      <c r="E57" s="166" t="s">
        <v>196</v>
      </c>
      <c r="F57" s="166" t="s">
        <v>208</v>
      </c>
      <c r="G57" s="166" t="s">
        <v>15</v>
      </c>
      <c r="H57" s="166" t="s">
        <v>87</v>
      </c>
      <c r="I57" s="181">
        <v>2014</v>
      </c>
      <c r="J57" s="181" t="s">
        <v>198</v>
      </c>
      <c r="K57" s="181" t="s">
        <v>199</v>
      </c>
      <c r="L57" s="181" t="s">
        <v>19</v>
      </c>
      <c r="M57" s="556" t="s">
        <v>4110</v>
      </c>
      <c r="N57" s="214" t="s">
        <v>20</v>
      </c>
      <c r="O57" s="214" t="s">
        <v>20</v>
      </c>
      <c r="P57" s="214" t="s">
        <v>20</v>
      </c>
      <c r="Q57" s="214" t="s">
        <v>20</v>
      </c>
      <c r="R57" s="214" t="s">
        <v>20</v>
      </c>
      <c r="S57" s="214" t="s">
        <v>20</v>
      </c>
      <c r="T57" s="214" t="s">
        <v>15</v>
      </c>
      <c r="U57" s="214" t="s">
        <v>15</v>
      </c>
      <c r="V57" s="214" t="s">
        <v>15</v>
      </c>
      <c r="W57" s="214" t="s">
        <v>15</v>
      </c>
      <c r="X57" s="214" t="s">
        <v>15</v>
      </c>
      <c r="Y57" s="214" t="s">
        <v>15</v>
      </c>
      <c r="Z57" s="214" t="s">
        <v>200</v>
      </c>
      <c r="AA57" s="214" t="s">
        <v>210</v>
      </c>
      <c r="AB57" s="214" t="s">
        <v>20</v>
      </c>
      <c r="AC57" s="214" t="s">
        <v>20</v>
      </c>
      <c r="AD57" s="322" t="s">
        <v>202</v>
      </c>
      <c r="AE57" s="322" t="s">
        <v>92</v>
      </c>
      <c r="AF57" s="162">
        <f t="shared" si="0"/>
        <v>5.4733000000000001</v>
      </c>
      <c r="AG57" s="162">
        <f t="shared" si="1"/>
        <v>9.1533999999999995</v>
      </c>
      <c r="AH57" s="164">
        <f t="shared" si="2"/>
        <v>0.4551</v>
      </c>
      <c r="AI57" s="164">
        <f t="shared" si="3"/>
        <v>0.67820000000000003</v>
      </c>
      <c r="AJ57" s="369">
        <v>5.4733000000000001</v>
      </c>
      <c r="AK57" s="368"/>
      <c r="AL57" s="369">
        <v>3.6800999999999999</v>
      </c>
      <c r="AM57" s="369">
        <v>12.2005</v>
      </c>
      <c r="AN57" s="368"/>
      <c r="AO57" s="368"/>
      <c r="AP57" s="368"/>
      <c r="AQ57" s="368"/>
      <c r="AR57" s="368"/>
      <c r="AS57" s="196">
        <v>5.4733000000000001</v>
      </c>
      <c r="AT57" s="196">
        <v>21.353899999999999</v>
      </c>
      <c r="AU57" s="378" t="s">
        <v>203</v>
      </c>
      <c r="AV57" s="394"/>
      <c r="AW57" s="359">
        <v>0.4551</v>
      </c>
      <c r="AX57" s="426"/>
      <c r="AY57" s="359">
        <v>0.22309999999999999</v>
      </c>
      <c r="AZ57" s="359">
        <v>0.82650000000000001</v>
      </c>
      <c r="BA57" s="426"/>
      <c r="BB57" s="426"/>
      <c r="BC57" s="426"/>
      <c r="BD57" s="426"/>
      <c r="BE57" s="426"/>
      <c r="BF57" s="472">
        <v>0.4551</v>
      </c>
      <c r="BG57" s="472">
        <v>1.5038</v>
      </c>
      <c r="BH57" s="335"/>
      <c r="BI57" s="446" t="s">
        <v>203</v>
      </c>
      <c r="BJ57" s="505"/>
    </row>
    <row r="58" spans="1:62" ht="15.75" customHeight="1" thickBot="1" x14ac:dyDescent="0.25">
      <c r="A58" s="174">
        <v>57</v>
      </c>
      <c r="B58" s="175">
        <v>1</v>
      </c>
      <c r="C58" s="166" t="s">
        <v>162</v>
      </c>
      <c r="D58" s="166" t="s">
        <v>3074</v>
      </c>
      <c r="E58" s="166" t="s">
        <v>196</v>
      </c>
      <c r="F58" s="166" t="s">
        <v>211</v>
      </c>
      <c r="G58" s="166" t="s">
        <v>15</v>
      </c>
      <c r="H58" s="166" t="s">
        <v>87</v>
      </c>
      <c r="I58" s="181">
        <v>2014</v>
      </c>
      <c r="J58" s="181" t="s">
        <v>198</v>
      </c>
      <c r="K58" s="181" t="s">
        <v>199</v>
      </c>
      <c r="L58" s="181" t="s">
        <v>19</v>
      </c>
      <c r="M58" s="556" t="s">
        <v>4110</v>
      </c>
      <c r="N58" s="214" t="s">
        <v>20</v>
      </c>
      <c r="O58" s="214" t="s">
        <v>20</v>
      </c>
      <c r="P58" s="214" t="s">
        <v>20</v>
      </c>
      <c r="Q58" s="214" t="s">
        <v>20</v>
      </c>
      <c r="R58" s="214" t="s">
        <v>20</v>
      </c>
      <c r="S58" s="214" t="s">
        <v>20</v>
      </c>
      <c r="T58" s="214" t="s">
        <v>15</v>
      </c>
      <c r="U58" s="214" t="s">
        <v>15</v>
      </c>
      <c r="V58" s="214" t="s">
        <v>15</v>
      </c>
      <c r="W58" s="214" t="s">
        <v>15</v>
      </c>
      <c r="X58" s="214" t="s">
        <v>15</v>
      </c>
      <c r="Y58" s="214" t="s">
        <v>15</v>
      </c>
      <c r="Z58" s="214" t="s">
        <v>200</v>
      </c>
      <c r="AA58" s="214" t="s">
        <v>210</v>
      </c>
      <c r="AB58" s="214" t="s">
        <v>20</v>
      </c>
      <c r="AC58" s="214" t="s">
        <v>20</v>
      </c>
      <c r="AD58" s="322" t="s">
        <v>202</v>
      </c>
      <c r="AE58" s="322" t="s">
        <v>92</v>
      </c>
      <c r="AF58" s="162">
        <f t="shared" si="0"/>
        <v>4.883</v>
      </c>
      <c r="AG58" s="162">
        <f t="shared" si="1"/>
        <v>8.343</v>
      </c>
      <c r="AH58" s="164">
        <f t="shared" si="2"/>
        <v>0.4052</v>
      </c>
      <c r="AI58" s="164">
        <f t="shared" si="3"/>
        <v>0.64639999999999997</v>
      </c>
      <c r="AJ58" s="369">
        <v>4.883</v>
      </c>
      <c r="AK58" s="368"/>
      <c r="AL58" s="369">
        <v>3.46</v>
      </c>
      <c r="AM58" s="369">
        <v>10.1904</v>
      </c>
      <c r="AN58" s="368"/>
      <c r="AO58" s="368"/>
      <c r="AP58" s="368"/>
      <c r="AQ58" s="368"/>
      <c r="AR58" s="368"/>
      <c r="AS58" s="196">
        <v>4.883</v>
      </c>
      <c r="AT58" s="196">
        <v>18.5334</v>
      </c>
      <c r="AU58" s="378" t="s">
        <v>203</v>
      </c>
      <c r="AV58" s="394"/>
      <c r="AW58" s="359">
        <v>0.4052</v>
      </c>
      <c r="AX58" s="426"/>
      <c r="AY58" s="359">
        <v>0.2412</v>
      </c>
      <c r="AZ58" s="359">
        <v>0.68320000000000003</v>
      </c>
      <c r="BA58" s="426"/>
      <c r="BB58" s="426"/>
      <c r="BC58" s="426"/>
      <c r="BD58" s="426"/>
      <c r="BE58" s="426"/>
      <c r="BF58" s="472">
        <v>0.4052</v>
      </c>
      <c r="BG58" s="472">
        <v>1.3295999999999999</v>
      </c>
      <c r="BH58" s="335"/>
      <c r="BI58" s="446" t="s">
        <v>203</v>
      </c>
      <c r="BJ58" s="505"/>
    </row>
    <row r="59" spans="1:62" ht="15.75" customHeight="1" thickBot="1" x14ac:dyDescent="0.25">
      <c r="A59" s="176">
        <v>58</v>
      </c>
      <c r="B59" s="175">
        <v>1</v>
      </c>
      <c r="C59" s="166" t="s">
        <v>162</v>
      </c>
      <c r="D59" s="166" t="s">
        <v>3074</v>
      </c>
      <c r="E59" s="166" t="s">
        <v>196</v>
      </c>
      <c r="F59" s="166" t="s">
        <v>211</v>
      </c>
      <c r="G59" s="166" t="s">
        <v>15</v>
      </c>
      <c r="H59" s="166" t="s">
        <v>87</v>
      </c>
      <c r="I59" s="181">
        <v>2014</v>
      </c>
      <c r="J59" s="181" t="s">
        <v>198</v>
      </c>
      <c r="K59" s="181" t="s">
        <v>199</v>
      </c>
      <c r="L59" s="181" t="s">
        <v>19</v>
      </c>
      <c r="M59" s="556" t="s">
        <v>4110</v>
      </c>
      <c r="N59" s="214" t="s">
        <v>20</v>
      </c>
      <c r="O59" s="214" t="s">
        <v>20</v>
      </c>
      <c r="P59" s="214" t="s">
        <v>20</v>
      </c>
      <c r="Q59" s="214" t="s">
        <v>20</v>
      </c>
      <c r="R59" s="214" t="s">
        <v>20</v>
      </c>
      <c r="S59" s="214" t="s">
        <v>20</v>
      </c>
      <c r="T59" s="214" t="s">
        <v>15</v>
      </c>
      <c r="U59" s="214" t="s">
        <v>15</v>
      </c>
      <c r="V59" s="214" t="s">
        <v>15</v>
      </c>
      <c r="W59" s="214" t="s">
        <v>15</v>
      </c>
      <c r="X59" s="214" t="s">
        <v>15</v>
      </c>
      <c r="Y59" s="214" t="s">
        <v>15</v>
      </c>
      <c r="Z59" s="214" t="s">
        <v>200</v>
      </c>
      <c r="AA59" s="214" t="s">
        <v>210</v>
      </c>
      <c r="AB59" s="214" t="s">
        <v>20</v>
      </c>
      <c r="AC59" s="214" t="s">
        <v>20</v>
      </c>
      <c r="AD59" s="322" t="s">
        <v>202</v>
      </c>
      <c r="AE59" s="322" t="s">
        <v>92</v>
      </c>
      <c r="AF59" s="162">
        <f t="shared" si="0"/>
        <v>4.883</v>
      </c>
      <c r="AG59" s="162">
        <f t="shared" si="1"/>
        <v>8.343</v>
      </c>
      <c r="AH59" s="164">
        <f t="shared" si="2"/>
        <v>0.4052</v>
      </c>
      <c r="AI59" s="164">
        <f t="shared" si="3"/>
        <v>0.64670000000000005</v>
      </c>
      <c r="AJ59" s="369">
        <v>4.883</v>
      </c>
      <c r="AK59" s="368"/>
      <c r="AL59" s="369">
        <v>3.46</v>
      </c>
      <c r="AM59" s="369">
        <v>10.010400000000001</v>
      </c>
      <c r="AN59" s="368"/>
      <c r="AO59" s="368"/>
      <c r="AP59" s="368"/>
      <c r="AQ59" s="368"/>
      <c r="AR59" s="368"/>
      <c r="AS59" s="196">
        <v>4.883</v>
      </c>
      <c r="AT59" s="196">
        <v>18.353400000000001</v>
      </c>
      <c r="AU59" s="378" t="s">
        <v>203</v>
      </c>
      <c r="AV59" s="394"/>
      <c r="AW59" s="359">
        <v>0.4052</v>
      </c>
      <c r="AX59" s="426"/>
      <c r="AY59" s="359">
        <v>0.24149999999999999</v>
      </c>
      <c r="AZ59" s="359">
        <v>0.6855</v>
      </c>
      <c r="BA59" s="426"/>
      <c r="BB59" s="426"/>
      <c r="BC59" s="426"/>
      <c r="BD59" s="426"/>
      <c r="BE59" s="426"/>
      <c r="BF59" s="472">
        <v>0.4052</v>
      </c>
      <c r="BG59" s="472">
        <v>1.3321000000000001</v>
      </c>
      <c r="BH59" s="335"/>
      <c r="BI59" s="446" t="s">
        <v>203</v>
      </c>
      <c r="BJ59" s="505"/>
    </row>
    <row r="60" spans="1:62" ht="15.75" customHeight="1" thickBot="1" x14ac:dyDescent="0.25">
      <c r="A60" s="174">
        <v>59</v>
      </c>
      <c r="B60" s="175">
        <v>1</v>
      </c>
      <c r="C60" s="166" t="s">
        <v>162</v>
      </c>
      <c r="D60" s="166" t="s">
        <v>3074</v>
      </c>
      <c r="E60" s="166" t="s">
        <v>196</v>
      </c>
      <c r="F60" s="166" t="s">
        <v>211</v>
      </c>
      <c r="G60" s="166" t="s">
        <v>15</v>
      </c>
      <c r="H60" s="166" t="s">
        <v>87</v>
      </c>
      <c r="I60" s="181">
        <v>2015</v>
      </c>
      <c r="J60" s="181" t="s">
        <v>198</v>
      </c>
      <c r="K60" s="181" t="s">
        <v>199</v>
      </c>
      <c r="L60" s="181" t="s">
        <v>19</v>
      </c>
      <c r="M60" s="556" t="s">
        <v>4110</v>
      </c>
      <c r="N60" s="214" t="s">
        <v>20</v>
      </c>
      <c r="O60" s="214" t="s">
        <v>20</v>
      </c>
      <c r="P60" s="214" t="s">
        <v>20</v>
      </c>
      <c r="Q60" s="214" t="s">
        <v>20</v>
      </c>
      <c r="R60" s="214" t="s">
        <v>20</v>
      </c>
      <c r="S60" s="214" t="s">
        <v>20</v>
      </c>
      <c r="T60" s="214" t="s">
        <v>15</v>
      </c>
      <c r="U60" s="214" t="s">
        <v>15</v>
      </c>
      <c r="V60" s="214" t="s">
        <v>15</v>
      </c>
      <c r="W60" s="214" t="s">
        <v>15</v>
      </c>
      <c r="X60" s="214" t="s">
        <v>15</v>
      </c>
      <c r="Y60" s="214" t="s">
        <v>15</v>
      </c>
      <c r="Z60" s="214" t="s">
        <v>200</v>
      </c>
      <c r="AA60" s="214" t="s">
        <v>212</v>
      </c>
      <c r="AB60" s="214" t="s">
        <v>20</v>
      </c>
      <c r="AC60" s="214" t="s">
        <v>20</v>
      </c>
      <c r="AD60" s="322" t="s">
        <v>202</v>
      </c>
      <c r="AE60" s="322" t="s">
        <v>92</v>
      </c>
      <c r="AF60" s="162">
        <f t="shared" si="0"/>
        <v>5.2831999999999999</v>
      </c>
      <c r="AG60" s="162">
        <f t="shared" si="1"/>
        <v>8.5332000000000008</v>
      </c>
      <c r="AH60" s="164">
        <f t="shared" si="2"/>
        <v>0.43869999999999998</v>
      </c>
      <c r="AI60" s="164">
        <f t="shared" si="3"/>
        <v>0.66649999999999998</v>
      </c>
      <c r="AJ60" s="369">
        <v>5.2831999999999999</v>
      </c>
      <c r="AK60" s="368"/>
      <c r="AL60" s="369">
        <v>3.25</v>
      </c>
      <c r="AM60" s="369">
        <v>8.6203000000000003</v>
      </c>
      <c r="AN60" s="368"/>
      <c r="AO60" s="368"/>
      <c r="AP60" s="368"/>
      <c r="AQ60" s="368"/>
      <c r="AR60" s="368"/>
      <c r="AS60" s="196">
        <v>5.2831999999999999</v>
      </c>
      <c r="AT60" s="196">
        <v>17.153600000000001</v>
      </c>
      <c r="AU60" s="378" t="s">
        <v>203</v>
      </c>
      <c r="AV60" s="394"/>
      <c r="AW60" s="359">
        <v>0.43869999999999998</v>
      </c>
      <c r="AX60" s="426"/>
      <c r="AY60" s="359">
        <v>0.2278</v>
      </c>
      <c r="AZ60" s="359">
        <v>0.56910000000000005</v>
      </c>
      <c r="BA60" s="426"/>
      <c r="BB60" s="426"/>
      <c r="BC60" s="426"/>
      <c r="BD60" s="426"/>
      <c r="BE60" s="426"/>
      <c r="BF60" s="472">
        <v>0.43869999999999998</v>
      </c>
      <c r="BG60" s="472">
        <v>1.2357</v>
      </c>
      <c r="BH60" s="335"/>
      <c r="BI60" s="446" t="s">
        <v>203</v>
      </c>
      <c r="BJ60" s="505"/>
    </row>
    <row r="61" spans="1:62" ht="15.75" customHeight="1" thickBot="1" x14ac:dyDescent="0.25">
      <c r="A61" s="176">
        <v>60</v>
      </c>
      <c r="B61" s="175">
        <v>1</v>
      </c>
      <c r="C61" s="166" t="s">
        <v>162</v>
      </c>
      <c r="D61" s="166" t="s">
        <v>2316</v>
      </c>
      <c r="E61" s="166" t="s">
        <v>196</v>
      </c>
      <c r="F61" s="166" t="s">
        <v>213</v>
      </c>
      <c r="G61" s="166" t="s">
        <v>20</v>
      </c>
      <c r="H61" s="166" t="s">
        <v>16</v>
      </c>
      <c r="I61" s="181">
        <v>2013</v>
      </c>
      <c r="J61" s="181" t="s">
        <v>214</v>
      </c>
      <c r="K61" s="181" t="s">
        <v>215</v>
      </c>
      <c r="L61" s="181" t="s">
        <v>19</v>
      </c>
      <c r="M61" s="556" t="s">
        <v>4111</v>
      </c>
      <c r="N61" s="214" t="s">
        <v>20</v>
      </c>
      <c r="O61" s="214" t="s">
        <v>15</v>
      </c>
      <c r="P61" s="214" t="s">
        <v>20</v>
      </c>
      <c r="Q61" s="214" t="s">
        <v>20</v>
      </c>
      <c r="R61" s="214" t="s">
        <v>20</v>
      </c>
      <c r="S61" s="214" t="s">
        <v>20</v>
      </c>
      <c r="T61" s="214" t="s">
        <v>15</v>
      </c>
      <c r="U61" s="214" t="s">
        <v>15</v>
      </c>
      <c r="V61" s="214" t="s">
        <v>15</v>
      </c>
      <c r="W61" s="214" t="s">
        <v>15</v>
      </c>
      <c r="X61" s="214" t="s">
        <v>15</v>
      </c>
      <c r="Y61" s="214" t="s">
        <v>15</v>
      </c>
      <c r="Z61" s="234"/>
      <c r="AA61" s="214" t="s">
        <v>216</v>
      </c>
      <c r="AB61" s="214" t="s">
        <v>15</v>
      </c>
      <c r="AC61" s="214" t="s">
        <v>15</v>
      </c>
      <c r="AD61" s="322" t="s">
        <v>217</v>
      </c>
      <c r="AE61" s="322" t="s">
        <v>92</v>
      </c>
      <c r="AF61" s="162" t="str">
        <f t="shared" si="0"/>
        <v/>
      </c>
      <c r="AG61" s="162" t="str">
        <f t="shared" si="1"/>
        <v/>
      </c>
      <c r="AH61" s="164" t="str">
        <f t="shared" si="2"/>
        <v/>
      </c>
      <c r="AI61" s="164" t="str">
        <f t="shared" si="3"/>
        <v/>
      </c>
      <c r="AJ61" s="369"/>
      <c r="AK61" s="368"/>
      <c r="AL61" s="369"/>
      <c r="AM61" s="369"/>
      <c r="AN61" s="368"/>
      <c r="AO61" s="368"/>
      <c r="AP61" s="368"/>
      <c r="AQ61" s="368"/>
      <c r="AR61" s="368"/>
      <c r="AS61" s="196"/>
      <c r="AT61" s="194">
        <v>19.600000000000001</v>
      </c>
      <c r="AU61" s="378" t="s">
        <v>218</v>
      </c>
      <c r="AW61" s="359"/>
      <c r="AX61" s="426"/>
      <c r="AY61" s="359"/>
      <c r="AZ61" s="359"/>
      <c r="BA61" s="426"/>
      <c r="BB61" s="426"/>
      <c r="BC61" s="426"/>
      <c r="BD61" s="426"/>
      <c r="BE61" s="426"/>
      <c r="BF61" s="472"/>
      <c r="BG61" s="468">
        <v>1.5</v>
      </c>
      <c r="BH61" s="341"/>
      <c r="BI61" s="446" t="s">
        <v>219</v>
      </c>
      <c r="BJ61" s="505"/>
    </row>
    <row r="62" spans="1:62" ht="15.75" customHeight="1" thickBot="1" x14ac:dyDescent="0.25">
      <c r="A62" s="174">
        <v>61</v>
      </c>
      <c r="B62" s="175">
        <v>1</v>
      </c>
      <c r="C62" s="166" t="s">
        <v>162</v>
      </c>
      <c r="D62" s="166" t="s">
        <v>3073</v>
      </c>
      <c r="E62" s="166" t="s">
        <v>196</v>
      </c>
      <c r="F62" s="166" t="s">
        <v>220</v>
      </c>
      <c r="G62" s="166" t="s">
        <v>20</v>
      </c>
      <c r="H62" s="166" t="s">
        <v>16</v>
      </c>
      <c r="I62" s="181">
        <v>2013</v>
      </c>
      <c r="J62" s="181" t="s">
        <v>214</v>
      </c>
      <c r="K62" s="181" t="s">
        <v>215</v>
      </c>
      <c r="L62" s="181" t="s">
        <v>19</v>
      </c>
      <c r="M62" s="556" t="s">
        <v>4111</v>
      </c>
      <c r="N62" s="214" t="s">
        <v>20</v>
      </c>
      <c r="O62" s="214" t="s">
        <v>15</v>
      </c>
      <c r="P62" s="214" t="s">
        <v>20</v>
      </c>
      <c r="Q62" s="214" t="s">
        <v>20</v>
      </c>
      <c r="R62" s="214" t="s">
        <v>20</v>
      </c>
      <c r="S62" s="214" t="s">
        <v>20</v>
      </c>
      <c r="T62" s="214" t="s">
        <v>15</v>
      </c>
      <c r="U62" s="214" t="s">
        <v>15</v>
      </c>
      <c r="V62" s="214" t="s">
        <v>15</v>
      </c>
      <c r="W62" s="214" t="s">
        <v>15</v>
      </c>
      <c r="X62" s="214" t="s">
        <v>15</v>
      </c>
      <c r="Y62" s="214" t="s">
        <v>15</v>
      </c>
      <c r="Z62" s="234"/>
      <c r="AA62" s="214" t="s">
        <v>216</v>
      </c>
      <c r="AB62" s="214" t="s">
        <v>15</v>
      </c>
      <c r="AC62" s="214" t="s">
        <v>15</v>
      </c>
      <c r="AD62" s="322" t="s">
        <v>217</v>
      </c>
      <c r="AE62" s="322" t="s">
        <v>92</v>
      </c>
      <c r="AF62" s="162" t="str">
        <f t="shared" si="0"/>
        <v/>
      </c>
      <c r="AG62" s="162" t="str">
        <f t="shared" si="1"/>
        <v/>
      </c>
      <c r="AH62" s="164" t="str">
        <f t="shared" si="2"/>
        <v/>
      </c>
      <c r="AI62" s="164" t="str">
        <f t="shared" si="3"/>
        <v/>
      </c>
      <c r="AJ62" s="369"/>
      <c r="AK62" s="368"/>
      <c r="AL62" s="369"/>
      <c r="AM62" s="369"/>
      <c r="AN62" s="368"/>
      <c r="AO62" s="368"/>
      <c r="AP62" s="368"/>
      <c r="AQ62" s="368"/>
      <c r="AR62" s="368"/>
      <c r="AS62" s="196"/>
      <c r="AT62" s="194">
        <v>9.36</v>
      </c>
      <c r="AU62" s="378" t="s">
        <v>218</v>
      </c>
      <c r="AW62" s="359"/>
      <c r="AX62" s="426"/>
      <c r="AY62" s="359"/>
      <c r="AZ62" s="359"/>
      <c r="BA62" s="426"/>
      <c r="BB62" s="426"/>
      <c r="BC62" s="426"/>
      <c r="BD62" s="426"/>
      <c r="BE62" s="426"/>
      <c r="BF62" s="472"/>
      <c r="BG62" s="468">
        <v>0.71099999999999997</v>
      </c>
      <c r="BH62" s="341"/>
      <c r="BI62" s="446" t="s">
        <v>219</v>
      </c>
      <c r="BJ62" s="505"/>
    </row>
    <row r="63" spans="1:62" ht="15.75" customHeight="1" thickBot="1" x14ac:dyDescent="0.25">
      <c r="A63" s="176">
        <v>62</v>
      </c>
      <c r="B63" s="175">
        <v>1</v>
      </c>
      <c r="C63" s="166" t="s">
        <v>162</v>
      </c>
      <c r="D63" s="166" t="s">
        <v>2316</v>
      </c>
      <c r="E63" s="166" t="s">
        <v>196</v>
      </c>
      <c r="F63" s="166" t="s">
        <v>221</v>
      </c>
      <c r="G63" s="166" t="s">
        <v>20</v>
      </c>
      <c r="H63" s="166" t="s">
        <v>16</v>
      </c>
      <c r="I63" s="181">
        <v>2013</v>
      </c>
      <c r="J63" s="181" t="s">
        <v>214</v>
      </c>
      <c r="K63" s="181" t="s">
        <v>215</v>
      </c>
      <c r="L63" s="181" t="s">
        <v>19</v>
      </c>
      <c r="M63" s="556" t="s">
        <v>4111</v>
      </c>
      <c r="N63" s="214" t="s">
        <v>20</v>
      </c>
      <c r="O63" s="214" t="s">
        <v>15</v>
      </c>
      <c r="P63" s="214" t="s">
        <v>20</v>
      </c>
      <c r="Q63" s="214" t="s">
        <v>20</v>
      </c>
      <c r="R63" s="214" t="s">
        <v>20</v>
      </c>
      <c r="S63" s="214" t="s">
        <v>20</v>
      </c>
      <c r="T63" s="214" t="s">
        <v>15</v>
      </c>
      <c r="U63" s="214" t="s">
        <v>15</v>
      </c>
      <c r="V63" s="214" t="s">
        <v>15</v>
      </c>
      <c r="W63" s="214" t="s">
        <v>15</v>
      </c>
      <c r="X63" s="214" t="s">
        <v>15</v>
      </c>
      <c r="Y63" s="214" t="s">
        <v>15</v>
      </c>
      <c r="Z63" s="234"/>
      <c r="AA63" s="214" t="s">
        <v>222</v>
      </c>
      <c r="AB63" s="214" t="s">
        <v>15</v>
      </c>
      <c r="AC63" s="214" t="s">
        <v>15</v>
      </c>
      <c r="AD63" s="322" t="s">
        <v>217</v>
      </c>
      <c r="AE63" s="322" t="s">
        <v>92</v>
      </c>
      <c r="AF63" s="162" t="str">
        <f t="shared" si="0"/>
        <v/>
      </c>
      <c r="AG63" s="162" t="str">
        <f t="shared" si="1"/>
        <v/>
      </c>
      <c r="AH63" s="164" t="str">
        <f t="shared" si="2"/>
        <v/>
      </c>
      <c r="AI63" s="164" t="str">
        <f t="shared" si="3"/>
        <v/>
      </c>
      <c r="AJ63" s="369"/>
      <c r="AK63" s="368"/>
      <c r="AL63" s="369"/>
      <c r="AM63" s="369"/>
      <c r="AN63" s="368"/>
      <c r="AO63" s="368"/>
      <c r="AP63" s="368"/>
      <c r="AQ63" s="368"/>
      <c r="AR63" s="368"/>
      <c r="AS63" s="196"/>
      <c r="AT63" s="194">
        <v>20.399999999999999</v>
      </c>
      <c r="AU63" s="378" t="s">
        <v>218</v>
      </c>
      <c r="AW63" s="359"/>
      <c r="AX63" s="426"/>
      <c r="AY63" s="359"/>
      <c r="AZ63" s="359"/>
      <c r="BA63" s="426"/>
      <c r="BB63" s="426"/>
      <c r="BC63" s="426"/>
      <c r="BD63" s="426"/>
      <c r="BE63" s="426"/>
      <c r="BF63" s="472"/>
      <c r="BG63" s="468">
        <v>1.43</v>
      </c>
      <c r="BH63" s="341"/>
      <c r="BI63" s="446" t="s">
        <v>219</v>
      </c>
      <c r="BJ63" s="505"/>
    </row>
    <row r="64" spans="1:62" ht="15.75" customHeight="1" thickBot="1" x14ac:dyDescent="0.25">
      <c r="A64" s="174">
        <v>63</v>
      </c>
      <c r="B64" s="175">
        <v>1</v>
      </c>
      <c r="C64" s="166" t="s">
        <v>162</v>
      </c>
      <c r="D64" s="166" t="s">
        <v>3073</v>
      </c>
      <c r="E64" s="166" t="s">
        <v>196</v>
      </c>
      <c r="F64" s="166" t="s">
        <v>223</v>
      </c>
      <c r="G64" s="166" t="s">
        <v>20</v>
      </c>
      <c r="H64" s="166" t="s">
        <v>16</v>
      </c>
      <c r="I64" s="181">
        <v>2013</v>
      </c>
      <c r="J64" s="181" t="s">
        <v>214</v>
      </c>
      <c r="K64" s="181" t="s">
        <v>215</v>
      </c>
      <c r="L64" s="181" t="s">
        <v>19</v>
      </c>
      <c r="M64" s="556" t="s">
        <v>4111</v>
      </c>
      <c r="N64" s="214" t="s">
        <v>20</v>
      </c>
      <c r="O64" s="214" t="s">
        <v>15</v>
      </c>
      <c r="P64" s="214" t="s">
        <v>20</v>
      </c>
      <c r="Q64" s="214" t="s">
        <v>20</v>
      </c>
      <c r="R64" s="214" t="s">
        <v>20</v>
      </c>
      <c r="S64" s="214" t="s">
        <v>20</v>
      </c>
      <c r="T64" s="214" t="s">
        <v>15</v>
      </c>
      <c r="U64" s="214" t="s">
        <v>15</v>
      </c>
      <c r="V64" s="214" t="s">
        <v>15</v>
      </c>
      <c r="W64" s="214" t="s">
        <v>15</v>
      </c>
      <c r="X64" s="214" t="s">
        <v>15</v>
      </c>
      <c r="Y64" s="214" t="s">
        <v>15</v>
      </c>
      <c r="Z64" s="234"/>
      <c r="AA64" s="214" t="s">
        <v>222</v>
      </c>
      <c r="AB64" s="214" t="s">
        <v>15</v>
      </c>
      <c r="AC64" s="214" t="s">
        <v>15</v>
      </c>
      <c r="AD64" s="322" t="s">
        <v>217</v>
      </c>
      <c r="AE64" s="322" t="s">
        <v>92</v>
      </c>
      <c r="AF64" s="162" t="str">
        <f t="shared" si="0"/>
        <v/>
      </c>
      <c r="AG64" s="162" t="str">
        <f t="shared" si="1"/>
        <v/>
      </c>
      <c r="AH64" s="164" t="str">
        <f t="shared" si="2"/>
        <v/>
      </c>
      <c r="AI64" s="164" t="str">
        <f t="shared" si="3"/>
        <v/>
      </c>
      <c r="AJ64" s="369"/>
      <c r="AK64" s="368"/>
      <c r="AL64" s="369"/>
      <c r="AM64" s="369"/>
      <c r="AN64" s="368"/>
      <c r="AO64" s="368"/>
      <c r="AP64" s="368"/>
      <c r="AQ64" s="368"/>
      <c r="AR64" s="368"/>
      <c r="AS64" s="196"/>
      <c r="AT64" s="194">
        <v>11</v>
      </c>
      <c r="AU64" s="378" t="s">
        <v>218</v>
      </c>
      <c r="AW64" s="359"/>
      <c r="AX64" s="426"/>
      <c r="AY64" s="359"/>
      <c r="AZ64" s="359"/>
      <c r="BA64" s="426"/>
      <c r="BB64" s="426"/>
      <c r="BC64" s="426"/>
      <c r="BD64" s="426"/>
      <c r="BE64" s="426"/>
      <c r="BF64" s="472"/>
      <c r="BG64" s="468">
        <v>0.76500000000000001</v>
      </c>
      <c r="BH64" s="341"/>
      <c r="BI64" s="446" t="s">
        <v>219</v>
      </c>
      <c r="BJ64" s="505"/>
    </row>
    <row r="65" spans="1:62" ht="15.75" customHeight="1" thickBot="1" x14ac:dyDescent="0.25">
      <c r="A65" s="176">
        <v>64</v>
      </c>
      <c r="B65" s="175">
        <v>1</v>
      </c>
      <c r="C65" s="166" t="s">
        <v>162</v>
      </c>
      <c r="D65" s="166" t="s">
        <v>4055</v>
      </c>
      <c r="E65" s="166" t="s">
        <v>13</v>
      </c>
      <c r="F65" s="166" t="s">
        <v>224</v>
      </c>
      <c r="G65" s="166" t="s">
        <v>20</v>
      </c>
      <c r="H65" s="166" t="s">
        <v>225</v>
      </c>
      <c r="I65" s="181">
        <v>2013</v>
      </c>
      <c r="J65" s="181" t="s">
        <v>226</v>
      </c>
      <c r="K65" s="181" t="s">
        <v>227</v>
      </c>
      <c r="L65" s="181" t="s">
        <v>19</v>
      </c>
      <c r="M65" s="556" t="s">
        <v>4112</v>
      </c>
      <c r="N65" s="214" t="s">
        <v>20</v>
      </c>
      <c r="O65" s="214" t="s">
        <v>15</v>
      </c>
      <c r="P65" s="214" t="s">
        <v>20</v>
      </c>
      <c r="Q65" s="214" t="s">
        <v>15</v>
      </c>
      <c r="R65" s="214" t="s">
        <v>15</v>
      </c>
      <c r="S65" s="214" t="s">
        <v>20</v>
      </c>
      <c r="T65" s="214" t="s">
        <v>15</v>
      </c>
      <c r="U65" s="214" t="s">
        <v>15</v>
      </c>
      <c r="V65" s="214" t="s">
        <v>15</v>
      </c>
      <c r="W65" s="214" t="s">
        <v>15</v>
      </c>
      <c r="X65" s="214" t="s">
        <v>15</v>
      </c>
      <c r="Y65" s="214" t="s">
        <v>20</v>
      </c>
      <c r="Z65" s="234"/>
      <c r="AA65" s="214" t="s">
        <v>228</v>
      </c>
      <c r="AB65" s="214" t="s">
        <v>15</v>
      </c>
      <c r="AC65" s="214" t="s">
        <v>20</v>
      </c>
      <c r="AD65" s="322" t="s">
        <v>229</v>
      </c>
      <c r="AE65" s="322" t="s">
        <v>92</v>
      </c>
      <c r="AF65" s="162" t="str">
        <f t="shared" si="0"/>
        <v/>
      </c>
      <c r="AG65" s="162" t="str">
        <f t="shared" si="1"/>
        <v/>
      </c>
      <c r="AH65" s="164">
        <f t="shared" si="2"/>
        <v>1.2849999999999999</v>
      </c>
      <c r="AI65" s="164">
        <f t="shared" si="3"/>
        <v>1.2919999999999998</v>
      </c>
      <c r="AJ65" s="368"/>
      <c r="AK65" s="368"/>
      <c r="AL65" s="368"/>
      <c r="AM65" s="368"/>
      <c r="AN65" s="368"/>
      <c r="AO65" s="368"/>
      <c r="AP65" s="368"/>
      <c r="AQ65" s="368"/>
      <c r="AR65" s="368"/>
      <c r="AS65" s="195"/>
      <c r="AT65" s="195"/>
      <c r="AU65" s="377"/>
      <c r="AV65" s="382"/>
      <c r="AW65" s="426">
        <v>1.2849999999999999</v>
      </c>
      <c r="AX65" s="359">
        <v>7.0000000000000001E-3</v>
      </c>
      <c r="AY65" s="359"/>
      <c r="AZ65" s="359">
        <v>7.0999999999999994E-2</v>
      </c>
      <c r="BA65" s="426"/>
      <c r="BB65" s="426"/>
      <c r="BC65" s="426"/>
      <c r="BD65" s="426"/>
      <c r="BE65" s="426"/>
      <c r="BF65" s="469">
        <v>1.2849999999999999</v>
      </c>
      <c r="BG65" s="474">
        <v>1.367</v>
      </c>
      <c r="BH65" s="341"/>
      <c r="BI65" s="446" t="s">
        <v>230</v>
      </c>
      <c r="BJ65" s="505"/>
    </row>
    <row r="66" spans="1:62" ht="15.75" customHeight="1" thickBot="1" x14ac:dyDescent="0.25">
      <c r="A66" s="174">
        <v>65</v>
      </c>
      <c r="B66" s="175">
        <v>1</v>
      </c>
      <c r="C66" s="166" t="s">
        <v>162</v>
      </c>
      <c r="D66" s="166" t="s">
        <v>2311</v>
      </c>
      <c r="E66" s="166" t="s">
        <v>13</v>
      </c>
      <c r="F66" s="166" t="s">
        <v>231</v>
      </c>
      <c r="G66" s="166" t="s">
        <v>20</v>
      </c>
      <c r="H66" s="166" t="s">
        <v>225</v>
      </c>
      <c r="I66" s="181">
        <v>2013</v>
      </c>
      <c r="J66" s="181" t="s">
        <v>226</v>
      </c>
      <c r="K66" s="181" t="s">
        <v>227</v>
      </c>
      <c r="L66" s="181" t="s">
        <v>19</v>
      </c>
      <c r="M66" s="556" t="s">
        <v>4112</v>
      </c>
      <c r="N66" s="214" t="s">
        <v>20</v>
      </c>
      <c r="O66" s="214" t="s">
        <v>15</v>
      </c>
      <c r="P66" s="214" t="s">
        <v>20</v>
      </c>
      <c r="Q66" s="214" t="s">
        <v>15</v>
      </c>
      <c r="R66" s="214" t="s">
        <v>15</v>
      </c>
      <c r="S66" s="214" t="s">
        <v>20</v>
      </c>
      <c r="T66" s="214" t="s">
        <v>15</v>
      </c>
      <c r="U66" s="214" t="s">
        <v>15</v>
      </c>
      <c r="V66" s="214" t="s">
        <v>15</v>
      </c>
      <c r="W66" s="214" t="s">
        <v>15</v>
      </c>
      <c r="X66" s="214" t="s">
        <v>15</v>
      </c>
      <c r="Y66" s="214" t="s">
        <v>20</v>
      </c>
      <c r="Z66" s="234"/>
      <c r="AA66" s="214" t="s">
        <v>228</v>
      </c>
      <c r="AB66" s="214" t="s">
        <v>15</v>
      </c>
      <c r="AC66" s="214" t="s">
        <v>20</v>
      </c>
      <c r="AD66" s="322" t="s">
        <v>229</v>
      </c>
      <c r="AE66" s="322" t="s">
        <v>92</v>
      </c>
      <c r="AF66" s="162" t="str">
        <f t="shared" ref="AF66:AF129" si="4">IF(AS66&lt;&gt;0,AS66,"")</f>
        <v/>
      </c>
      <c r="AG66" s="162" t="str">
        <f t="shared" ref="AG66:AG129" si="5">IF(AND(SUM(AJ66:AL66)&lt;&gt;0,SUM(AJ66:AL66)&lt;&gt;AJ66),SUM(AJ66:AL66),"")</f>
        <v/>
      </c>
      <c r="AH66" s="164">
        <f t="shared" ref="AH66:AH129" si="6">IF(BF66&lt;&gt;0,BF66,"")</f>
        <v>2.1000000000000001E-2</v>
      </c>
      <c r="AI66" s="164" t="str">
        <f t="shared" ref="AI66:AI129" si="7">IF(AND(SUM(AW66:AY66)&lt;&gt;0,SUM(AW66:AY66)&lt;&gt;AW66),SUM(AW66:AY66),"")</f>
        <v/>
      </c>
      <c r="AJ66" s="368"/>
      <c r="AK66" s="368"/>
      <c r="AL66" s="368"/>
      <c r="AM66" s="368"/>
      <c r="AN66" s="368"/>
      <c r="AO66" s="368"/>
      <c r="AP66" s="368"/>
      <c r="AQ66" s="368"/>
      <c r="AR66" s="368"/>
      <c r="AS66" s="195"/>
      <c r="AT66" s="195"/>
      <c r="AU66" s="377"/>
      <c r="AV66" s="382"/>
      <c r="AW66" s="426"/>
      <c r="AX66" s="359"/>
      <c r="AY66" s="359"/>
      <c r="AZ66" s="359"/>
      <c r="BA66" s="426"/>
      <c r="BB66" s="426"/>
      <c r="BC66" s="426"/>
      <c r="BD66" s="426"/>
      <c r="BE66" s="426"/>
      <c r="BF66" s="467">
        <f>0.008+0.008+0.005</f>
        <v>2.1000000000000001E-2</v>
      </c>
      <c r="BG66" s="468">
        <v>0.109</v>
      </c>
      <c r="BH66" s="341"/>
      <c r="BI66" s="446" t="s">
        <v>230</v>
      </c>
      <c r="BJ66" s="505"/>
    </row>
    <row r="67" spans="1:62" ht="15.75" customHeight="1" thickBot="1" x14ac:dyDescent="0.25">
      <c r="A67" s="176">
        <v>66</v>
      </c>
      <c r="B67" s="175">
        <v>1</v>
      </c>
      <c r="C67" s="166" t="s">
        <v>162</v>
      </c>
      <c r="D67" s="166" t="s">
        <v>2311</v>
      </c>
      <c r="E67" s="166" t="s">
        <v>13</v>
      </c>
      <c r="F67" s="166" t="s">
        <v>232</v>
      </c>
      <c r="G67" s="166" t="s">
        <v>20</v>
      </c>
      <c r="H67" s="166" t="s">
        <v>225</v>
      </c>
      <c r="I67" s="181">
        <v>2013</v>
      </c>
      <c r="J67" s="181" t="s">
        <v>226</v>
      </c>
      <c r="K67" s="181" t="s">
        <v>227</v>
      </c>
      <c r="L67" s="181" t="s">
        <v>19</v>
      </c>
      <c r="M67" s="556" t="s">
        <v>4112</v>
      </c>
      <c r="N67" s="214" t="s">
        <v>20</v>
      </c>
      <c r="O67" s="214" t="s">
        <v>15</v>
      </c>
      <c r="P67" s="214" t="s">
        <v>20</v>
      </c>
      <c r="Q67" s="214" t="s">
        <v>15</v>
      </c>
      <c r="R67" s="214" t="s">
        <v>15</v>
      </c>
      <c r="S67" s="214" t="s">
        <v>20</v>
      </c>
      <c r="T67" s="214" t="s">
        <v>15</v>
      </c>
      <c r="U67" s="214" t="s">
        <v>15</v>
      </c>
      <c r="V67" s="214" t="s">
        <v>15</v>
      </c>
      <c r="W67" s="214" t="s">
        <v>15</v>
      </c>
      <c r="X67" s="214" t="s">
        <v>15</v>
      </c>
      <c r="Y67" s="214" t="s">
        <v>20</v>
      </c>
      <c r="Z67" s="234"/>
      <c r="AA67" s="214" t="s">
        <v>228</v>
      </c>
      <c r="AB67" s="214" t="s">
        <v>15</v>
      </c>
      <c r="AC67" s="214" t="s">
        <v>20</v>
      </c>
      <c r="AD67" s="322" t="s">
        <v>229</v>
      </c>
      <c r="AE67" s="322" t="s">
        <v>92</v>
      </c>
      <c r="AF67" s="162" t="str">
        <f t="shared" si="4"/>
        <v/>
      </c>
      <c r="AG67" s="162" t="str">
        <f t="shared" si="5"/>
        <v/>
      </c>
      <c r="AH67" s="164">
        <f t="shared" si="6"/>
        <v>0.29299999999999998</v>
      </c>
      <c r="AI67" s="164" t="str">
        <f t="shared" si="7"/>
        <v/>
      </c>
      <c r="AJ67" s="368"/>
      <c r="AK67" s="368"/>
      <c r="AL67" s="368"/>
      <c r="AM67" s="368"/>
      <c r="AN67" s="368"/>
      <c r="AO67" s="368"/>
      <c r="AP67" s="368"/>
      <c r="AQ67" s="368"/>
      <c r="AR67" s="368"/>
      <c r="AS67" s="195"/>
      <c r="AT67" s="195"/>
      <c r="AU67" s="377"/>
      <c r="AV67" s="382"/>
      <c r="AW67" s="426"/>
      <c r="AX67" s="359"/>
      <c r="AY67" s="359"/>
      <c r="AZ67" s="359"/>
      <c r="BA67" s="426"/>
      <c r="BB67" s="426"/>
      <c r="BC67" s="426"/>
      <c r="BD67" s="426"/>
      <c r="BE67" s="426"/>
      <c r="BF67" s="467">
        <f>0.07+0.061+0.103+0.059</f>
        <v>0.29299999999999998</v>
      </c>
      <c r="BG67" s="468">
        <v>0.60899999999999999</v>
      </c>
      <c r="BH67" s="341"/>
      <c r="BI67" s="446" t="s">
        <v>230</v>
      </c>
      <c r="BJ67" s="505"/>
    </row>
    <row r="68" spans="1:62" ht="15.75" customHeight="1" thickBot="1" x14ac:dyDescent="0.25">
      <c r="A68" s="174">
        <v>67</v>
      </c>
      <c r="B68" s="175">
        <v>1</v>
      </c>
      <c r="C68" s="166" t="s">
        <v>162</v>
      </c>
      <c r="D68" s="166" t="s">
        <v>2311</v>
      </c>
      <c r="E68" s="166" t="s">
        <v>13</v>
      </c>
      <c r="F68" s="166" t="s">
        <v>233</v>
      </c>
      <c r="G68" s="166" t="s">
        <v>20</v>
      </c>
      <c r="H68" s="166" t="s">
        <v>225</v>
      </c>
      <c r="I68" s="181">
        <v>2013</v>
      </c>
      <c r="J68" s="181" t="s">
        <v>226</v>
      </c>
      <c r="K68" s="181" t="s">
        <v>227</v>
      </c>
      <c r="L68" s="181" t="s">
        <v>19</v>
      </c>
      <c r="M68" s="556" t="s">
        <v>4112</v>
      </c>
      <c r="N68" s="214" t="s">
        <v>20</v>
      </c>
      <c r="O68" s="214" t="s">
        <v>15</v>
      </c>
      <c r="P68" s="214" t="s">
        <v>20</v>
      </c>
      <c r="Q68" s="214" t="s">
        <v>20</v>
      </c>
      <c r="R68" s="214" t="s">
        <v>20</v>
      </c>
      <c r="S68" s="214" t="s">
        <v>20</v>
      </c>
      <c r="T68" s="214" t="s">
        <v>15</v>
      </c>
      <c r="U68" s="214" t="s">
        <v>15</v>
      </c>
      <c r="V68" s="214" t="s">
        <v>15</v>
      </c>
      <c r="W68" s="214" t="s">
        <v>15</v>
      </c>
      <c r="X68" s="214" t="s">
        <v>15</v>
      </c>
      <c r="Y68" s="214" t="s">
        <v>20</v>
      </c>
      <c r="Z68" s="234"/>
      <c r="AA68" s="214" t="s">
        <v>228</v>
      </c>
      <c r="AB68" s="214" t="s">
        <v>15</v>
      </c>
      <c r="AC68" s="214" t="s">
        <v>20</v>
      </c>
      <c r="AD68" s="322" t="s">
        <v>229</v>
      </c>
      <c r="AE68" s="322" t="s">
        <v>92</v>
      </c>
      <c r="AF68" s="162" t="str">
        <f t="shared" si="4"/>
        <v/>
      </c>
      <c r="AG68" s="162" t="str">
        <f t="shared" si="5"/>
        <v/>
      </c>
      <c r="AH68" s="164">
        <f t="shared" si="6"/>
        <v>8.5999999999999993E-2</v>
      </c>
      <c r="AI68" s="164" t="str">
        <f t="shared" si="7"/>
        <v/>
      </c>
      <c r="AJ68" s="368"/>
      <c r="AK68" s="368"/>
      <c r="AL68" s="368"/>
      <c r="AM68" s="368"/>
      <c r="AN68" s="368"/>
      <c r="AO68" s="368"/>
      <c r="AP68" s="368"/>
      <c r="AQ68" s="368"/>
      <c r="AR68" s="368"/>
      <c r="AS68" s="195"/>
      <c r="AT68" s="195"/>
      <c r="AU68" s="377"/>
      <c r="AV68" s="382"/>
      <c r="AW68" s="426"/>
      <c r="AX68" s="359"/>
      <c r="AY68" s="359"/>
      <c r="AZ68" s="359"/>
      <c r="BA68" s="426"/>
      <c r="BB68" s="426"/>
      <c r="BC68" s="426"/>
      <c r="BD68" s="426"/>
      <c r="BE68" s="426"/>
      <c r="BF68" s="467">
        <f>0.038+0.036+0.012</f>
        <v>8.5999999999999993E-2</v>
      </c>
      <c r="BG68" s="468">
        <v>0.28100000000000003</v>
      </c>
      <c r="BH68" s="341"/>
      <c r="BI68" s="446" t="s">
        <v>230</v>
      </c>
      <c r="BJ68" s="505"/>
    </row>
    <row r="69" spans="1:62" ht="15.75" customHeight="1" thickBot="1" x14ac:dyDescent="0.25">
      <c r="A69" s="176">
        <v>68</v>
      </c>
      <c r="B69" s="175">
        <v>1</v>
      </c>
      <c r="C69" s="166" t="s">
        <v>162</v>
      </c>
      <c r="D69" s="166" t="s">
        <v>4055</v>
      </c>
      <c r="E69" s="166" t="s">
        <v>144</v>
      </c>
      <c r="F69" s="166" t="s">
        <v>224</v>
      </c>
      <c r="G69" s="166" t="s">
        <v>20</v>
      </c>
      <c r="H69" s="166" t="s">
        <v>225</v>
      </c>
      <c r="I69" s="181">
        <v>2013</v>
      </c>
      <c r="J69" s="181" t="s">
        <v>226</v>
      </c>
      <c r="K69" s="181" t="s">
        <v>227</v>
      </c>
      <c r="L69" s="181" t="s">
        <v>19</v>
      </c>
      <c r="M69" s="556" t="s">
        <v>4112</v>
      </c>
      <c r="N69" s="214" t="s">
        <v>20</v>
      </c>
      <c r="O69" s="214" t="s">
        <v>15</v>
      </c>
      <c r="P69" s="214" t="s">
        <v>20</v>
      </c>
      <c r="Q69" s="214" t="s">
        <v>15</v>
      </c>
      <c r="R69" s="214" t="s">
        <v>20</v>
      </c>
      <c r="S69" s="214" t="s">
        <v>20</v>
      </c>
      <c r="T69" s="214" t="s">
        <v>15</v>
      </c>
      <c r="U69" s="214" t="s">
        <v>15</v>
      </c>
      <c r="V69" s="214" t="s">
        <v>15</v>
      </c>
      <c r="W69" s="214" t="s">
        <v>15</v>
      </c>
      <c r="X69" s="214" t="s">
        <v>15</v>
      </c>
      <c r="Y69" s="214" t="s">
        <v>20</v>
      </c>
      <c r="Z69" s="234"/>
      <c r="AA69" s="214" t="s">
        <v>228</v>
      </c>
      <c r="AB69" s="214" t="s">
        <v>15</v>
      </c>
      <c r="AC69" s="214" t="s">
        <v>20</v>
      </c>
      <c r="AD69" s="322" t="s">
        <v>234</v>
      </c>
      <c r="AE69" s="322" t="s">
        <v>92</v>
      </c>
      <c r="AF69" s="162" t="str">
        <f t="shared" si="4"/>
        <v/>
      </c>
      <c r="AG69" s="162" t="str">
        <f t="shared" si="5"/>
        <v/>
      </c>
      <c r="AH69" s="164" t="str">
        <f t="shared" si="6"/>
        <v/>
      </c>
      <c r="AI69" s="164" t="str">
        <f t="shared" si="7"/>
        <v/>
      </c>
      <c r="AJ69" s="368"/>
      <c r="AK69" s="368"/>
      <c r="AL69" s="368"/>
      <c r="AM69" s="368"/>
      <c r="AN69" s="368"/>
      <c r="AO69" s="368"/>
      <c r="AP69" s="368"/>
      <c r="AQ69" s="368"/>
      <c r="AR69" s="368"/>
      <c r="AS69" s="195"/>
      <c r="AT69" s="195"/>
      <c r="AU69" s="377"/>
      <c r="AV69" s="382"/>
      <c r="AW69" s="426"/>
      <c r="AX69" s="359"/>
      <c r="AY69" s="359"/>
      <c r="AZ69" s="359"/>
      <c r="BA69" s="426"/>
      <c r="BB69" s="426"/>
      <c r="BC69" s="426"/>
      <c r="BD69" s="426"/>
      <c r="BE69" s="426"/>
      <c r="BF69" s="469"/>
      <c r="BG69" s="468">
        <v>1.367</v>
      </c>
      <c r="BH69" s="341"/>
      <c r="BI69" s="446" t="s">
        <v>230</v>
      </c>
      <c r="BJ69" s="505"/>
    </row>
    <row r="70" spans="1:62" ht="15.75" customHeight="1" thickBot="1" x14ac:dyDescent="0.25">
      <c r="A70" s="174">
        <v>69</v>
      </c>
      <c r="B70" s="175">
        <v>1</v>
      </c>
      <c r="C70" s="166" t="s">
        <v>162</v>
      </c>
      <c r="D70" s="166" t="s">
        <v>2311</v>
      </c>
      <c r="E70" s="166" t="s">
        <v>144</v>
      </c>
      <c r="F70" s="166" t="s">
        <v>231</v>
      </c>
      <c r="G70" s="166" t="s">
        <v>20</v>
      </c>
      <c r="H70" s="166" t="s">
        <v>225</v>
      </c>
      <c r="I70" s="181">
        <v>2013</v>
      </c>
      <c r="J70" s="181" t="s">
        <v>226</v>
      </c>
      <c r="K70" s="181" t="s">
        <v>227</v>
      </c>
      <c r="L70" s="181" t="s">
        <v>19</v>
      </c>
      <c r="M70" s="556" t="s">
        <v>4112</v>
      </c>
      <c r="N70" s="214" t="s">
        <v>20</v>
      </c>
      <c r="O70" s="214" t="s">
        <v>15</v>
      </c>
      <c r="P70" s="214" t="s">
        <v>20</v>
      </c>
      <c r="Q70" s="214" t="s">
        <v>15</v>
      </c>
      <c r="R70" s="214" t="s">
        <v>20</v>
      </c>
      <c r="S70" s="214" t="s">
        <v>20</v>
      </c>
      <c r="T70" s="214" t="s">
        <v>15</v>
      </c>
      <c r="U70" s="214" t="s">
        <v>15</v>
      </c>
      <c r="V70" s="214" t="s">
        <v>15</v>
      </c>
      <c r="W70" s="214" t="s">
        <v>15</v>
      </c>
      <c r="X70" s="214" t="s">
        <v>15</v>
      </c>
      <c r="Y70" s="214" t="s">
        <v>20</v>
      </c>
      <c r="Z70" s="234"/>
      <c r="AA70" s="214" t="s">
        <v>228</v>
      </c>
      <c r="AB70" s="214" t="s">
        <v>15</v>
      </c>
      <c r="AC70" s="214" t="s">
        <v>20</v>
      </c>
      <c r="AD70" s="322" t="s">
        <v>234</v>
      </c>
      <c r="AE70" s="322" t="s">
        <v>92</v>
      </c>
      <c r="AF70" s="162" t="str">
        <f t="shared" si="4"/>
        <v/>
      </c>
      <c r="AG70" s="162" t="str">
        <f t="shared" si="5"/>
        <v/>
      </c>
      <c r="AH70" s="164">
        <f t="shared" si="6"/>
        <v>2.1000000000000001E-2</v>
      </c>
      <c r="AI70" s="164">
        <f t="shared" si="7"/>
        <v>0.10600000000000001</v>
      </c>
      <c r="AJ70" s="368"/>
      <c r="AK70" s="368"/>
      <c r="AL70" s="368"/>
      <c r="AM70" s="368"/>
      <c r="AN70" s="368"/>
      <c r="AO70" s="368"/>
      <c r="AP70" s="368"/>
      <c r="AQ70" s="368"/>
      <c r="AR70" s="368"/>
      <c r="AS70" s="195"/>
      <c r="AT70" s="195"/>
      <c r="AU70" s="377"/>
      <c r="AV70" s="382"/>
      <c r="AW70" s="359">
        <v>2.1000000000000001E-2</v>
      </c>
      <c r="AX70" s="359">
        <v>8.5000000000000006E-2</v>
      </c>
      <c r="AY70" s="426"/>
      <c r="AZ70" s="359">
        <v>7.0999999999999994E-2</v>
      </c>
      <c r="BA70" s="426"/>
      <c r="BB70" s="426"/>
      <c r="BC70" s="426"/>
      <c r="BD70" s="426"/>
      <c r="BE70" s="426"/>
      <c r="BF70" s="469">
        <v>2.1000000000000001E-2</v>
      </c>
      <c r="BG70" s="469">
        <v>0.18</v>
      </c>
      <c r="BH70" s="341"/>
      <c r="BI70" s="446" t="s">
        <v>230</v>
      </c>
      <c r="BJ70" s="505"/>
    </row>
    <row r="71" spans="1:62" ht="15.75" customHeight="1" thickBot="1" x14ac:dyDescent="0.25">
      <c r="A71" s="176">
        <v>70</v>
      </c>
      <c r="B71" s="175">
        <v>1</v>
      </c>
      <c r="C71" s="166" t="s">
        <v>162</v>
      </c>
      <c r="D71" s="166" t="s">
        <v>2311</v>
      </c>
      <c r="E71" s="166" t="s">
        <v>144</v>
      </c>
      <c r="F71" s="166" t="s">
        <v>232</v>
      </c>
      <c r="G71" s="166" t="s">
        <v>20</v>
      </c>
      <c r="H71" s="166" t="s">
        <v>225</v>
      </c>
      <c r="I71" s="181">
        <v>2013</v>
      </c>
      <c r="J71" s="181" t="s">
        <v>226</v>
      </c>
      <c r="K71" s="181" t="s">
        <v>227</v>
      </c>
      <c r="L71" s="181" t="s">
        <v>19</v>
      </c>
      <c r="M71" s="556" t="s">
        <v>4112</v>
      </c>
      <c r="N71" s="214" t="s">
        <v>20</v>
      </c>
      <c r="O71" s="214" t="s">
        <v>15</v>
      </c>
      <c r="P71" s="214" t="s">
        <v>20</v>
      </c>
      <c r="Q71" s="214" t="s">
        <v>15</v>
      </c>
      <c r="R71" s="214" t="s">
        <v>20</v>
      </c>
      <c r="S71" s="214" t="s">
        <v>20</v>
      </c>
      <c r="T71" s="214" t="s">
        <v>15</v>
      </c>
      <c r="U71" s="214" t="s">
        <v>15</v>
      </c>
      <c r="V71" s="214" t="s">
        <v>15</v>
      </c>
      <c r="W71" s="214" t="s">
        <v>15</v>
      </c>
      <c r="X71" s="214" t="s">
        <v>15</v>
      </c>
      <c r="Y71" s="214" t="s">
        <v>20</v>
      </c>
      <c r="Z71" s="234"/>
      <c r="AA71" s="214" t="s">
        <v>228</v>
      </c>
      <c r="AB71" s="214" t="s">
        <v>15</v>
      </c>
      <c r="AC71" s="214" t="s">
        <v>20</v>
      </c>
      <c r="AD71" s="322" t="s">
        <v>234</v>
      </c>
      <c r="AE71" s="322" t="s">
        <v>92</v>
      </c>
      <c r="AF71" s="162" t="str">
        <f t="shared" si="4"/>
        <v/>
      </c>
      <c r="AG71" s="162" t="str">
        <f t="shared" si="5"/>
        <v/>
      </c>
      <c r="AH71" s="164">
        <f t="shared" si="6"/>
        <v>0.29299999999999998</v>
      </c>
      <c r="AI71" s="164">
        <f t="shared" si="7"/>
        <v>0.68500000000000005</v>
      </c>
      <c r="AJ71" s="368"/>
      <c r="AK71" s="368"/>
      <c r="AL71" s="368"/>
      <c r="AM71" s="368"/>
      <c r="AN71" s="369"/>
      <c r="AO71" s="368"/>
      <c r="AP71" s="368"/>
      <c r="AQ71" s="368"/>
      <c r="AR71" s="368"/>
      <c r="AS71" s="195"/>
      <c r="AT71" s="195"/>
      <c r="AU71" s="377"/>
      <c r="AV71" s="382"/>
      <c r="AW71" s="359">
        <v>0.29299999999999998</v>
      </c>
      <c r="AX71" s="359">
        <v>0.39200000000000002</v>
      </c>
      <c r="AY71" s="426"/>
      <c r="AZ71" s="359">
        <v>7.0999999999999994E-2</v>
      </c>
      <c r="BA71" s="359"/>
      <c r="BB71" s="426"/>
      <c r="BC71" s="426"/>
      <c r="BD71" s="426"/>
      <c r="BE71" s="426"/>
      <c r="BF71" s="474">
        <v>0.29299999999999998</v>
      </c>
      <c r="BG71" s="469">
        <v>0.75900000000000001</v>
      </c>
      <c r="BH71" s="341"/>
      <c r="BI71" s="446" t="s">
        <v>230</v>
      </c>
      <c r="BJ71" s="505"/>
    </row>
    <row r="72" spans="1:62" ht="15.75" customHeight="1" thickBot="1" x14ac:dyDescent="0.25">
      <c r="A72" s="174">
        <v>71</v>
      </c>
      <c r="B72" s="175">
        <v>1</v>
      </c>
      <c r="C72" s="166" t="s">
        <v>162</v>
      </c>
      <c r="D72" s="166" t="s">
        <v>3074</v>
      </c>
      <c r="E72" s="166" t="s">
        <v>196</v>
      </c>
      <c r="F72" s="166" t="s">
        <v>233</v>
      </c>
      <c r="G72" s="166" t="s">
        <v>20</v>
      </c>
      <c r="H72" s="166" t="s">
        <v>225</v>
      </c>
      <c r="I72" s="181">
        <v>2013</v>
      </c>
      <c r="J72" s="181" t="s">
        <v>226</v>
      </c>
      <c r="K72" s="181" t="s">
        <v>227</v>
      </c>
      <c r="L72" s="181" t="s">
        <v>19</v>
      </c>
      <c r="M72" s="556" t="s">
        <v>4112</v>
      </c>
      <c r="N72" s="214" t="s">
        <v>20</v>
      </c>
      <c r="O72" s="214" t="s">
        <v>15</v>
      </c>
      <c r="P72" s="214" t="s">
        <v>20</v>
      </c>
      <c r="Q72" s="214" t="s">
        <v>20</v>
      </c>
      <c r="R72" s="214" t="s">
        <v>20</v>
      </c>
      <c r="S72" s="214" t="s">
        <v>20</v>
      </c>
      <c r="T72" s="214" t="s">
        <v>15</v>
      </c>
      <c r="U72" s="214" t="s">
        <v>15</v>
      </c>
      <c r="V72" s="214" t="s">
        <v>15</v>
      </c>
      <c r="W72" s="214" t="s">
        <v>15</v>
      </c>
      <c r="X72" s="214" t="s">
        <v>15</v>
      </c>
      <c r="Y72" s="214" t="s">
        <v>20</v>
      </c>
      <c r="Z72" s="234"/>
      <c r="AA72" s="214" t="s">
        <v>228</v>
      </c>
      <c r="AB72" s="214" t="s">
        <v>15</v>
      </c>
      <c r="AC72" s="214" t="s">
        <v>20</v>
      </c>
      <c r="AD72" s="322" t="s">
        <v>235</v>
      </c>
      <c r="AE72" s="322" t="s">
        <v>92</v>
      </c>
      <c r="AF72" s="162" t="str">
        <f t="shared" si="4"/>
        <v/>
      </c>
      <c r="AG72" s="162" t="str">
        <f t="shared" si="5"/>
        <v/>
      </c>
      <c r="AH72" s="164">
        <f t="shared" si="6"/>
        <v>8.500000000000002E-2</v>
      </c>
      <c r="AI72" s="164">
        <f t="shared" si="7"/>
        <v>0.24200000000000005</v>
      </c>
      <c r="AJ72" s="368"/>
      <c r="AK72" s="368"/>
      <c r="AL72" s="368"/>
      <c r="AM72" s="368"/>
      <c r="AN72" s="368"/>
      <c r="AO72" s="368"/>
      <c r="AP72" s="368"/>
      <c r="AQ72" s="368"/>
      <c r="AR72" s="368"/>
      <c r="AS72" s="195"/>
      <c r="AT72" s="195"/>
      <c r="AU72" s="377"/>
      <c r="AV72" s="382"/>
      <c r="AW72" s="426">
        <f>0.281-0.196</f>
        <v>8.500000000000002E-2</v>
      </c>
      <c r="AX72" s="359">
        <v>1.7999999999999999E-2</v>
      </c>
      <c r="AY72" s="359">
        <v>0.13900000000000001</v>
      </c>
      <c r="AZ72" s="359">
        <v>0.44700000000000001</v>
      </c>
      <c r="BA72" s="359">
        <v>0.17799999999999999</v>
      </c>
      <c r="BB72" s="426"/>
      <c r="BC72" s="426"/>
      <c r="BD72" s="426"/>
      <c r="BE72" s="426"/>
      <c r="BF72" s="469">
        <f>0.281-0.196</f>
        <v>8.500000000000002E-2</v>
      </c>
      <c r="BG72" s="469">
        <v>0.86799999999999999</v>
      </c>
      <c r="BH72" s="341"/>
      <c r="BI72" s="446" t="s">
        <v>230</v>
      </c>
      <c r="BJ72" s="505"/>
    </row>
    <row r="73" spans="1:62" ht="15.75" customHeight="1" thickBot="1" x14ac:dyDescent="0.25">
      <c r="A73" s="176">
        <v>72</v>
      </c>
      <c r="B73" s="175">
        <v>1</v>
      </c>
      <c r="C73" s="166" t="s">
        <v>236</v>
      </c>
      <c r="D73" s="167" t="s">
        <v>1769</v>
      </c>
      <c r="E73" s="166" t="s">
        <v>13</v>
      </c>
      <c r="F73" s="166" t="s">
        <v>238</v>
      </c>
      <c r="G73" s="166" t="s">
        <v>20</v>
      </c>
      <c r="H73" s="166" t="s">
        <v>239</v>
      </c>
      <c r="I73" s="181">
        <v>2015</v>
      </c>
      <c r="J73" s="181" t="s">
        <v>240</v>
      </c>
      <c r="K73" s="181" t="s">
        <v>241</v>
      </c>
      <c r="L73" s="181" t="s">
        <v>19</v>
      </c>
      <c r="M73" s="556" t="s">
        <v>4113</v>
      </c>
      <c r="N73" s="214" t="s">
        <v>20</v>
      </c>
      <c r="O73" s="214" t="s">
        <v>15</v>
      </c>
      <c r="P73" s="214" t="s">
        <v>20</v>
      </c>
      <c r="Q73" s="214" t="s">
        <v>15</v>
      </c>
      <c r="R73" s="214" t="s">
        <v>20</v>
      </c>
      <c r="S73" s="214" t="s">
        <v>20</v>
      </c>
      <c r="T73" s="214" t="s">
        <v>20</v>
      </c>
      <c r="U73" s="214" t="s">
        <v>15</v>
      </c>
      <c r="V73" s="214" t="s">
        <v>15</v>
      </c>
      <c r="W73" s="214" t="s">
        <v>15</v>
      </c>
      <c r="X73" s="214" t="s">
        <v>15</v>
      </c>
      <c r="Y73" s="214" t="s">
        <v>15</v>
      </c>
      <c r="Z73" s="214" t="s">
        <v>242</v>
      </c>
      <c r="AA73" s="214" t="s">
        <v>243</v>
      </c>
      <c r="AB73" s="214" t="s">
        <v>15</v>
      </c>
      <c r="AC73" s="214" t="s">
        <v>20</v>
      </c>
      <c r="AD73" s="322" t="s">
        <v>244</v>
      </c>
      <c r="AE73" s="322" t="s">
        <v>92</v>
      </c>
      <c r="AF73" s="162" t="str">
        <f t="shared" si="4"/>
        <v/>
      </c>
      <c r="AG73" s="162" t="str">
        <f t="shared" si="5"/>
        <v/>
      </c>
      <c r="AH73" s="164">
        <f t="shared" si="6"/>
        <v>0.249</v>
      </c>
      <c r="AI73" s="164" t="str">
        <f t="shared" si="7"/>
        <v/>
      </c>
      <c r="AJ73" s="368"/>
      <c r="AK73" s="368"/>
      <c r="AL73" s="368"/>
      <c r="AM73" s="368"/>
      <c r="AN73" s="368"/>
      <c r="AO73" s="368"/>
      <c r="AP73" s="368"/>
      <c r="AQ73" s="368"/>
      <c r="AR73" s="368"/>
      <c r="AS73" s="198"/>
      <c r="AT73" s="195"/>
      <c r="AU73" s="377"/>
      <c r="AV73" s="382"/>
      <c r="AW73" s="359">
        <v>0.249</v>
      </c>
      <c r="AX73" s="359"/>
      <c r="AY73" s="359"/>
      <c r="AZ73" s="359">
        <v>0.08</v>
      </c>
      <c r="BA73" s="359">
        <f>1.28*0.49</f>
        <v>0.62719999999999998</v>
      </c>
      <c r="BB73" s="426">
        <f>1.28*0.05</f>
        <v>6.4000000000000001E-2</v>
      </c>
      <c r="BC73" s="426">
        <f>1.28*0.19</f>
        <v>0.2432</v>
      </c>
      <c r="BD73" s="359"/>
      <c r="BE73" s="359"/>
      <c r="BF73" s="474">
        <v>0.249</v>
      </c>
      <c r="BG73" s="469">
        <v>1.28</v>
      </c>
      <c r="BH73" s="449">
        <v>2.9000000000000001E-2</v>
      </c>
      <c r="BI73" s="446" t="s">
        <v>245</v>
      </c>
      <c r="BJ73" s="505" t="s">
        <v>3227</v>
      </c>
    </row>
    <row r="74" spans="1:62" ht="15.75" customHeight="1" thickBot="1" x14ac:dyDescent="0.25">
      <c r="A74" s="174">
        <v>73</v>
      </c>
      <c r="B74" s="175">
        <v>1</v>
      </c>
      <c r="C74" s="166" t="s">
        <v>236</v>
      </c>
      <c r="D74" s="167" t="s">
        <v>1769</v>
      </c>
      <c r="E74" s="166" t="s">
        <v>13</v>
      </c>
      <c r="F74" s="166" t="s">
        <v>246</v>
      </c>
      <c r="G74" s="166" t="s">
        <v>20</v>
      </c>
      <c r="H74" s="166" t="s">
        <v>239</v>
      </c>
      <c r="I74" s="181">
        <v>2015</v>
      </c>
      <c r="J74" s="181" t="s">
        <v>240</v>
      </c>
      <c r="K74" s="181" t="s">
        <v>241</v>
      </c>
      <c r="L74" s="181" t="s">
        <v>19</v>
      </c>
      <c r="M74" s="556" t="s">
        <v>4113</v>
      </c>
      <c r="N74" s="214" t="s">
        <v>20</v>
      </c>
      <c r="O74" s="214" t="s">
        <v>15</v>
      </c>
      <c r="P74" s="214" t="s">
        <v>20</v>
      </c>
      <c r="Q74" s="214" t="s">
        <v>15</v>
      </c>
      <c r="R74" s="214" t="s">
        <v>20</v>
      </c>
      <c r="S74" s="214" t="s">
        <v>20</v>
      </c>
      <c r="T74" s="214" t="s">
        <v>20</v>
      </c>
      <c r="U74" s="214" t="s">
        <v>15</v>
      </c>
      <c r="V74" s="214" t="s">
        <v>15</v>
      </c>
      <c r="W74" s="214" t="s">
        <v>15</v>
      </c>
      <c r="X74" s="214" t="s">
        <v>15</v>
      </c>
      <c r="Y74" s="214" t="s">
        <v>15</v>
      </c>
      <c r="Z74" s="214" t="s">
        <v>242</v>
      </c>
      <c r="AA74" s="214" t="s">
        <v>243</v>
      </c>
      <c r="AB74" s="214" t="s">
        <v>15</v>
      </c>
      <c r="AC74" s="214" t="s">
        <v>20</v>
      </c>
      <c r="AD74" s="322" t="s">
        <v>244</v>
      </c>
      <c r="AE74" s="322" t="s">
        <v>92</v>
      </c>
      <c r="AF74" s="162" t="str">
        <f t="shared" si="4"/>
        <v/>
      </c>
      <c r="AG74" s="162" t="str">
        <f t="shared" si="5"/>
        <v/>
      </c>
      <c r="AH74" s="164">
        <f t="shared" si="6"/>
        <v>0.30199999999999999</v>
      </c>
      <c r="AI74" s="164" t="str">
        <f t="shared" si="7"/>
        <v/>
      </c>
      <c r="AJ74" s="368"/>
      <c r="AK74" s="368"/>
      <c r="AL74" s="368"/>
      <c r="AM74" s="368"/>
      <c r="AN74" s="368"/>
      <c r="AO74" s="368"/>
      <c r="AP74" s="368"/>
      <c r="AQ74" s="368"/>
      <c r="AR74" s="368"/>
      <c r="AS74" s="198"/>
      <c r="AT74" s="195"/>
      <c r="AU74" s="377"/>
      <c r="AV74" s="382"/>
      <c r="AW74" s="359">
        <v>0.30199999999999999</v>
      </c>
      <c r="AX74" s="359"/>
      <c r="AY74" s="359"/>
      <c r="AZ74" s="359">
        <v>0.08</v>
      </c>
      <c r="BA74" s="359">
        <f>1.28*0.49</f>
        <v>0.62719999999999998</v>
      </c>
      <c r="BB74" s="426">
        <f>1.28*0.05</f>
        <v>6.4000000000000001E-2</v>
      </c>
      <c r="BC74" s="426">
        <f>1.28*0.19</f>
        <v>0.2432</v>
      </c>
      <c r="BD74" s="359"/>
      <c r="BE74" s="359"/>
      <c r="BF74" s="469">
        <v>0.30199999999999999</v>
      </c>
      <c r="BG74" s="469">
        <v>1.28</v>
      </c>
      <c r="BH74" s="449">
        <v>0.1</v>
      </c>
      <c r="BI74" s="446" t="s">
        <v>247</v>
      </c>
      <c r="BJ74" s="505" t="s">
        <v>3227</v>
      </c>
    </row>
    <row r="75" spans="1:62" ht="15.75" customHeight="1" thickBot="1" x14ac:dyDescent="0.25">
      <c r="A75" s="176">
        <v>74</v>
      </c>
      <c r="B75" s="175">
        <v>1</v>
      </c>
      <c r="C75" s="166" t="s">
        <v>11</v>
      </c>
      <c r="D75" s="170" t="s">
        <v>12</v>
      </c>
      <c r="E75" s="166" t="s">
        <v>13</v>
      </c>
      <c r="F75" s="166" t="s">
        <v>14</v>
      </c>
      <c r="G75" s="166" t="s">
        <v>15</v>
      </c>
      <c r="H75" s="166" t="s">
        <v>248</v>
      </c>
      <c r="I75" s="181">
        <v>2010</v>
      </c>
      <c r="J75" s="181" t="s">
        <v>249</v>
      </c>
      <c r="K75" s="181" t="s">
        <v>250</v>
      </c>
      <c r="L75" s="181" t="s">
        <v>19</v>
      </c>
      <c r="M75" s="556" t="s">
        <v>4114</v>
      </c>
      <c r="N75" s="214" t="s">
        <v>20</v>
      </c>
      <c r="O75" s="214" t="s">
        <v>20</v>
      </c>
      <c r="P75" s="214" t="s">
        <v>20</v>
      </c>
      <c r="Q75" s="214" t="s">
        <v>20</v>
      </c>
      <c r="R75" s="214" t="s">
        <v>20</v>
      </c>
      <c r="S75" s="214" t="s">
        <v>20</v>
      </c>
      <c r="T75" s="214" t="s">
        <v>15</v>
      </c>
      <c r="U75" s="214" t="s">
        <v>15</v>
      </c>
      <c r="V75" s="214" t="s">
        <v>15</v>
      </c>
      <c r="W75" s="214" t="s">
        <v>15</v>
      </c>
      <c r="X75" s="214" t="s">
        <v>15</v>
      </c>
      <c r="Y75" s="214" t="s">
        <v>15</v>
      </c>
      <c r="Z75" s="214"/>
      <c r="AA75" s="214" t="s">
        <v>251</v>
      </c>
      <c r="AB75" s="214" t="s">
        <v>15</v>
      </c>
      <c r="AC75" s="214" t="s">
        <v>15</v>
      </c>
      <c r="AD75" s="322" t="s">
        <v>252</v>
      </c>
      <c r="AE75" s="322" t="s">
        <v>92</v>
      </c>
      <c r="AF75" s="162" t="str">
        <f t="shared" si="4"/>
        <v/>
      </c>
      <c r="AG75" s="162" t="str">
        <f t="shared" si="5"/>
        <v/>
      </c>
      <c r="AH75" s="164" t="str">
        <f t="shared" si="6"/>
        <v/>
      </c>
      <c r="AI75" s="164" t="str">
        <f t="shared" si="7"/>
        <v/>
      </c>
      <c r="AJ75" s="368"/>
      <c r="AK75" s="368"/>
      <c r="AL75" s="368"/>
      <c r="AM75" s="368"/>
      <c r="AN75" s="368"/>
      <c r="AO75" s="368"/>
      <c r="AP75" s="368"/>
      <c r="AQ75" s="368"/>
      <c r="AR75" s="368"/>
      <c r="AS75" s="198"/>
      <c r="AT75" s="195"/>
      <c r="AU75" s="378"/>
      <c r="AW75" s="359"/>
      <c r="AX75" s="359"/>
      <c r="AY75" s="359"/>
      <c r="AZ75" s="359"/>
      <c r="BA75" s="359"/>
      <c r="BB75" s="426"/>
      <c r="BC75" s="426"/>
      <c r="BD75" s="359"/>
      <c r="BE75" s="359"/>
      <c r="BF75" s="469"/>
      <c r="BG75" s="471">
        <v>2.4</v>
      </c>
      <c r="BH75" s="335" t="s">
        <v>253</v>
      </c>
      <c r="BI75" s="446" t="s">
        <v>93</v>
      </c>
      <c r="BJ75" s="505"/>
    </row>
    <row r="76" spans="1:62" ht="15.75" customHeight="1" thickBot="1" x14ac:dyDescent="0.25">
      <c r="A76" s="174">
        <v>75</v>
      </c>
      <c r="B76" s="175">
        <v>1</v>
      </c>
      <c r="C76" s="166" t="s">
        <v>11</v>
      </c>
      <c r="D76" s="166" t="s">
        <v>254</v>
      </c>
      <c r="E76" s="166" t="s">
        <v>13</v>
      </c>
      <c r="F76" s="166" t="s">
        <v>254</v>
      </c>
      <c r="G76" s="166" t="s">
        <v>15</v>
      </c>
      <c r="H76" s="166" t="s">
        <v>108</v>
      </c>
      <c r="I76" s="181">
        <v>2010</v>
      </c>
      <c r="J76" s="181" t="s">
        <v>255</v>
      </c>
      <c r="K76" s="181"/>
      <c r="L76" s="181" t="s">
        <v>19</v>
      </c>
      <c r="M76" s="556" t="s">
        <v>4115</v>
      </c>
      <c r="N76" s="214" t="s">
        <v>20</v>
      </c>
      <c r="O76" s="214" t="s">
        <v>15</v>
      </c>
      <c r="P76" s="214" t="s">
        <v>20</v>
      </c>
      <c r="Q76" s="214" t="s">
        <v>20</v>
      </c>
      <c r="R76" s="214" t="s">
        <v>20</v>
      </c>
      <c r="S76" s="214" t="s">
        <v>15</v>
      </c>
      <c r="T76" s="214" t="s">
        <v>15</v>
      </c>
      <c r="U76" s="214" t="s">
        <v>15</v>
      </c>
      <c r="V76" s="214" t="s">
        <v>15</v>
      </c>
      <c r="W76" s="214" t="s">
        <v>15</v>
      </c>
      <c r="X76" s="214" t="s">
        <v>15</v>
      </c>
      <c r="Y76" s="214" t="s">
        <v>15</v>
      </c>
      <c r="Z76" s="214"/>
      <c r="AA76" s="214" t="s">
        <v>186</v>
      </c>
      <c r="AB76" s="214" t="s">
        <v>15</v>
      </c>
      <c r="AC76" s="214" t="s">
        <v>15</v>
      </c>
      <c r="AD76" s="322" t="s">
        <v>256</v>
      </c>
      <c r="AE76" s="322" t="s">
        <v>257</v>
      </c>
      <c r="AF76" s="162" t="str">
        <f t="shared" si="4"/>
        <v/>
      </c>
      <c r="AG76" s="162" t="str">
        <f t="shared" si="5"/>
        <v/>
      </c>
      <c r="AH76" s="164" t="str">
        <f t="shared" si="6"/>
        <v/>
      </c>
      <c r="AI76" s="164" t="str">
        <f t="shared" si="7"/>
        <v/>
      </c>
      <c r="AJ76" s="368"/>
      <c r="AK76" s="368"/>
      <c r="AL76" s="368"/>
      <c r="AM76" s="368"/>
      <c r="AN76" s="368"/>
      <c r="AO76" s="368"/>
      <c r="AP76" s="368"/>
      <c r="AQ76" s="368"/>
      <c r="AR76" s="368"/>
      <c r="AS76" s="198"/>
      <c r="AT76" s="197">
        <v>18.2</v>
      </c>
      <c r="AU76" s="378"/>
      <c r="AW76" s="359"/>
      <c r="AX76" s="359"/>
      <c r="AY76" s="359"/>
      <c r="AZ76" s="359"/>
      <c r="BA76" s="359"/>
      <c r="BB76" s="426"/>
      <c r="BC76" s="426"/>
      <c r="BD76" s="359"/>
      <c r="BE76" s="359"/>
      <c r="BF76" s="469"/>
      <c r="BG76" s="471">
        <v>1.1000000000000001</v>
      </c>
      <c r="BH76" s="335"/>
      <c r="BI76" s="446" t="s">
        <v>93</v>
      </c>
      <c r="BJ76" s="505"/>
    </row>
    <row r="77" spans="1:62" ht="15.75" customHeight="1" thickBot="1" x14ac:dyDescent="0.25">
      <c r="A77" s="176">
        <v>76</v>
      </c>
      <c r="B77" s="175">
        <v>1</v>
      </c>
      <c r="C77" s="166" t="s">
        <v>11</v>
      </c>
      <c r="D77" s="166" t="s">
        <v>143</v>
      </c>
      <c r="E77" s="166" t="s">
        <v>13</v>
      </c>
      <c r="F77" s="166" t="s">
        <v>143</v>
      </c>
      <c r="G77" s="166" t="s">
        <v>15</v>
      </c>
      <c r="H77" s="166" t="s">
        <v>108</v>
      </c>
      <c r="I77" s="181">
        <v>2010</v>
      </c>
      <c r="J77" s="181" t="s">
        <v>255</v>
      </c>
      <c r="K77" s="181"/>
      <c r="L77" s="181" t="s">
        <v>19</v>
      </c>
      <c r="M77" s="556" t="s">
        <v>4115</v>
      </c>
      <c r="N77" s="214" t="s">
        <v>20</v>
      </c>
      <c r="O77" s="214" t="s">
        <v>15</v>
      </c>
      <c r="P77" s="214" t="s">
        <v>20</v>
      </c>
      <c r="Q77" s="214" t="s">
        <v>20</v>
      </c>
      <c r="R77" s="214" t="s">
        <v>20</v>
      </c>
      <c r="S77" s="214" t="s">
        <v>15</v>
      </c>
      <c r="T77" s="214" t="s">
        <v>15</v>
      </c>
      <c r="U77" s="214" t="s">
        <v>15</v>
      </c>
      <c r="V77" s="214" t="s">
        <v>15</v>
      </c>
      <c r="W77" s="214" t="s">
        <v>15</v>
      </c>
      <c r="X77" s="214" t="s">
        <v>15</v>
      </c>
      <c r="Y77" s="214" t="s">
        <v>15</v>
      </c>
      <c r="Z77" s="214"/>
      <c r="AA77" s="214" t="s">
        <v>186</v>
      </c>
      <c r="AB77" s="214" t="s">
        <v>15</v>
      </c>
      <c r="AC77" s="214" t="s">
        <v>15</v>
      </c>
      <c r="AD77" s="322" t="s">
        <v>256</v>
      </c>
      <c r="AE77" s="322" t="s">
        <v>257</v>
      </c>
      <c r="AF77" s="162" t="str">
        <f t="shared" si="4"/>
        <v/>
      </c>
      <c r="AG77" s="162" t="str">
        <f t="shared" si="5"/>
        <v/>
      </c>
      <c r="AH77" s="164" t="str">
        <f t="shared" si="6"/>
        <v/>
      </c>
      <c r="AI77" s="164" t="str">
        <f t="shared" si="7"/>
        <v/>
      </c>
      <c r="AJ77" s="368"/>
      <c r="AK77" s="368"/>
      <c r="AL77" s="368"/>
      <c r="AM77" s="368"/>
      <c r="AN77" s="368"/>
      <c r="AO77" s="368"/>
      <c r="AP77" s="368"/>
      <c r="AQ77" s="368"/>
      <c r="AR77" s="368"/>
      <c r="AS77" s="198"/>
      <c r="AT77" s="197">
        <v>42</v>
      </c>
      <c r="AU77" s="378"/>
      <c r="AW77" s="359"/>
      <c r="AX77" s="359"/>
      <c r="AY77" s="359"/>
      <c r="AZ77" s="359"/>
      <c r="BA77" s="359"/>
      <c r="BB77" s="426"/>
      <c r="BC77" s="426"/>
      <c r="BD77" s="359"/>
      <c r="BE77" s="359"/>
      <c r="BF77" s="469"/>
      <c r="BG77" s="471">
        <v>9.6</v>
      </c>
      <c r="BH77" s="335"/>
      <c r="BI77" s="446" t="s">
        <v>93</v>
      </c>
      <c r="BJ77" s="505"/>
    </row>
    <row r="78" spans="1:62" ht="15.75" customHeight="1" thickBot="1" x14ac:dyDescent="0.25">
      <c r="A78" s="174">
        <v>77</v>
      </c>
      <c r="B78" s="175">
        <v>1</v>
      </c>
      <c r="C78" s="166" t="s">
        <v>11</v>
      </c>
      <c r="D78" s="166" t="s">
        <v>254</v>
      </c>
      <c r="E78" s="166" t="s">
        <v>13</v>
      </c>
      <c r="F78" s="166" t="s">
        <v>254</v>
      </c>
      <c r="G78" s="166" t="s">
        <v>15</v>
      </c>
      <c r="H78" s="166" t="s">
        <v>258</v>
      </c>
      <c r="I78" s="181">
        <v>2010</v>
      </c>
      <c r="J78" s="181" t="s">
        <v>255</v>
      </c>
      <c r="K78" s="181"/>
      <c r="L78" s="181" t="s">
        <v>19</v>
      </c>
      <c r="M78" s="556" t="s">
        <v>4115</v>
      </c>
      <c r="N78" s="214" t="s">
        <v>20</v>
      </c>
      <c r="O78" s="214" t="s">
        <v>15</v>
      </c>
      <c r="P78" s="214" t="s">
        <v>20</v>
      </c>
      <c r="Q78" s="214" t="s">
        <v>20</v>
      </c>
      <c r="R78" s="214" t="s">
        <v>20</v>
      </c>
      <c r="S78" s="214" t="s">
        <v>15</v>
      </c>
      <c r="T78" s="214" t="s">
        <v>15</v>
      </c>
      <c r="U78" s="214" t="s">
        <v>15</v>
      </c>
      <c r="V78" s="214" t="s">
        <v>15</v>
      </c>
      <c r="W78" s="214" t="s">
        <v>15</v>
      </c>
      <c r="X78" s="214" t="s">
        <v>15</v>
      </c>
      <c r="Y78" s="214" t="s">
        <v>15</v>
      </c>
      <c r="Z78" s="214"/>
      <c r="AA78" s="214" t="s">
        <v>186</v>
      </c>
      <c r="AB78" s="214" t="s">
        <v>15</v>
      </c>
      <c r="AC78" s="214" t="s">
        <v>15</v>
      </c>
      <c r="AD78" s="322" t="s">
        <v>256</v>
      </c>
      <c r="AE78" s="322" t="s">
        <v>257</v>
      </c>
      <c r="AF78" s="162" t="str">
        <f t="shared" si="4"/>
        <v/>
      </c>
      <c r="AG78" s="162" t="str">
        <f t="shared" si="5"/>
        <v/>
      </c>
      <c r="AH78" s="164" t="str">
        <f t="shared" si="6"/>
        <v/>
      </c>
      <c r="AI78" s="164" t="str">
        <f t="shared" si="7"/>
        <v/>
      </c>
      <c r="AJ78" s="368"/>
      <c r="AK78" s="368"/>
      <c r="AL78" s="368"/>
      <c r="AM78" s="368"/>
      <c r="AN78" s="368"/>
      <c r="AO78" s="368"/>
      <c r="AP78" s="368"/>
      <c r="AQ78" s="368"/>
      <c r="AR78" s="368"/>
      <c r="AS78" s="198"/>
      <c r="AT78" s="197">
        <v>22</v>
      </c>
      <c r="AU78" s="378"/>
      <c r="AW78" s="359"/>
      <c r="AX78" s="359"/>
      <c r="AY78" s="359"/>
      <c r="AZ78" s="359"/>
      <c r="BA78" s="359"/>
      <c r="BB78" s="426"/>
      <c r="BC78" s="426"/>
      <c r="BD78" s="359"/>
      <c r="BE78" s="359"/>
      <c r="BF78" s="469"/>
      <c r="BG78" s="471">
        <v>1.32</v>
      </c>
      <c r="BH78" s="335"/>
      <c r="BI78" s="446" t="s">
        <v>93</v>
      </c>
      <c r="BJ78" s="505"/>
    </row>
    <row r="79" spans="1:62" ht="15.75" customHeight="1" thickBot="1" x14ac:dyDescent="0.25">
      <c r="A79" s="176">
        <v>78</v>
      </c>
      <c r="B79" s="175">
        <v>1</v>
      </c>
      <c r="C79" s="166" t="s">
        <v>11</v>
      </c>
      <c r="D79" s="166" t="s">
        <v>143</v>
      </c>
      <c r="E79" s="166" t="s">
        <v>13</v>
      </c>
      <c r="F79" s="166" t="s">
        <v>143</v>
      </c>
      <c r="G79" s="166" t="s">
        <v>15</v>
      </c>
      <c r="H79" s="166" t="s">
        <v>258</v>
      </c>
      <c r="I79" s="181">
        <v>2010</v>
      </c>
      <c r="J79" s="181" t="s">
        <v>255</v>
      </c>
      <c r="K79" s="181"/>
      <c r="L79" s="181" t="s">
        <v>19</v>
      </c>
      <c r="M79" s="556" t="s">
        <v>4115</v>
      </c>
      <c r="N79" s="214" t="s">
        <v>20</v>
      </c>
      <c r="O79" s="214" t="s">
        <v>15</v>
      </c>
      <c r="P79" s="214" t="s">
        <v>20</v>
      </c>
      <c r="Q79" s="214" t="s">
        <v>20</v>
      </c>
      <c r="R79" s="214" t="s">
        <v>20</v>
      </c>
      <c r="S79" s="214" t="s">
        <v>15</v>
      </c>
      <c r="T79" s="214" t="s">
        <v>15</v>
      </c>
      <c r="U79" s="214" t="s">
        <v>15</v>
      </c>
      <c r="V79" s="214" t="s">
        <v>15</v>
      </c>
      <c r="W79" s="214" t="s">
        <v>15</v>
      </c>
      <c r="X79" s="214" t="s">
        <v>15</v>
      </c>
      <c r="Y79" s="214" t="s">
        <v>15</v>
      </c>
      <c r="Z79" s="214"/>
      <c r="AA79" s="214" t="s">
        <v>186</v>
      </c>
      <c r="AB79" s="214" t="s">
        <v>15</v>
      </c>
      <c r="AC79" s="214" t="s">
        <v>15</v>
      </c>
      <c r="AD79" s="322" t="s">
        <v>256</v>
      </c>
      <c r="AE79" s="322" t="s">
        <v>257</v>
      </c>
      <c r="AF79" s="162" t="str">
        <f t="shared" si="4"/>
        <v/>
      </c>
      <c r="AG79" s="162" t="str">
        <f t="shared" si="5"/>
        <v/>
      </c>
      <c r="AH79" s="164" t="str">
        <f t="shared" si="6"/>
        <v/>
      </c>
      <c r="AI79" s="164" t="str">
        <f t="shared" si="7"/>
        <v/>
      </c>
      <c r="AJ79" s="368"/>
      <c r="AK79" s="368"/>
      <c r="AL79" s="368"/>
      <c r="AM79" s="368"/>
      <c r="AN79" s="368"/>
      <c r="AO79" s="368"/>
      <c r="AP79" s="368"/>
      <c r="AQ79" s="368"/>
      <c r="AR79" s="368"/>
      <c r="AS79" s="198"/>
      <c r="AT79" s="197">
        <v>30</v>
      </c>
      <c r="AU79" s="378"/>
      <c r="AW79" s="359"/>
      <c r="AX79" s="359"/>
      <c r="AY79" s="359"/>
      <c r="AZ79" s="359"/>
      <c r="BA79" s="359"/>
      <c r="BB79" s="426"/>
      <c r="BC79" s="426"/>
      <c r="BD79" s="359"/>
      <c r="BE79" s="359"/>
      <c r="BF79" s="469"/>
      <c r="BG79" s="471">
        <v>9</v>
      </c>
      <c r="BH79" s="335"/>
      <c r="BI79" s="446" t="s">
        <v>93</v>
      </c>
      <c r="BJ79" s="505"/>
    </row>
    <row r="80" spans="1:62" ht="15.75" customHeight="1" thickBot="1" x14ac:dyDescent="0.25">
      <c r="A80" s="174">
        <v>79</v>
      </c>
      <c r="B80" s="175">
        <v>1</v>
      </c>
      <c r="C80" s="166" t="s">
        <v>11</v>
      </c>
      <c r="D80" s="166" t="s">
        <v>254</v>
      </c>
      <c r="E80" s="166" t="s">
        <v>13</v>
      </c>
      <c r="F80" s="166" t="s">
        <v>254</v>
      </c>
      <c r="G80" s="166" t="s">
        <v>15</v>
      </c>
      <c r="H80" s="166" t="s">
        <v>165</v>
      </c>
      <c r="I80" s="181">
        <v>2010</v>
      </c>
      <c r="J80" s="181" t="s">
        <v>255</v>
      </c>
      <c r="K80" s="181"/>
      <c r="L80" s="181" t="s">
        <v>19</v>
      </c>
      <c r="M80" s="556" t="s">
        <v>4115</v>
      </c>
      <c r="N80" s="214" t="s">
        <v>20</v>
      </c>
      <c r="O80" s="214" t="s">
        <v>15</v>
      </c>
      <c r="P80" s="214" t="s">
        <v>20</v>
      </c>
      <c r="Q80" s="214" t="s">
        <v>20</v>
      </c>
      <c r="R80" s="214" t="s">
        <v>20</v>
      </c>
      <c r="S80" s="214" t="s">
        <v>15</v>
      </c>
      <c r="T80" s="214" t="s">
        <v>15</v>
      </c>
      <c r="U80" s="214" t="s">
        <v>15</v>
      </c>
      <c r="V80" s="214" t="s">
        <v>15</v>
      </c>
      <c r="W80" s="214" t="s">
        <v>15</v>
      </c>
      <c r="X80" s="214" t="s">
        <v>15</v>
      </c>
      <c r="Y80" s="214" t="s">
        <v>15</v>
      </c>
      <c r="Z80" s="214"/>
      <c r="AA80" s="214" t="s">
        <v>186</v>
      </c>
      <c r="AB80" s="214" t="s">
        <v>15</v>
      </c>
      <c r="AC80" s="214" t="s">
        <v>15</v>
      </c>
      <c r="AD80" s="322" t="s">
        <v>256</v>
      </c>
      <c r="AE80" s="322" t="s">
        <v>257</v>
      </c>
      <c r="AF80" s="162" t="str">
        <f t="shared" si="4"/>
        <v/>
      </c>
      <c r="AG80" s="162" t="str">
        <f t="shared" si="5"/>
        <v/>
      </c>
      <c r="AH80" s="164" t="str">
        <f t="shared" si="6"/>
        <v/>
      </c>
      <c r="AI80" s="164" t="str">
        <f t="shared" si="7"/>
        <v/>
      </c>
      <c r="AJ80" s="368"/>
      <c r="AK80" s="368"/>
      <c r="AL80" s="368"/>
      <c r="AM80" s="368"/>
      <c r="AN80" s="368"/>
      <c r="AO80" s="368"/>
      <c r="AP80" s="368"/>
      <c r="AQ80" s="368"/>
      <c r="AR80" s="368"/>
      <c r="AS80" s="198"/>
      <c r="AT80" s="197">
        <v>26</v>
      </c>
      <c r="AU80" s="378"/>
      <c r="AW80" s="359"/>
      <c r="AX80" s="359"/>
      <c r="AY80" s="359"/>
      <c r="AZ80" s="359"/>
      <c r="BA80" s="359"/>
      <c r="BB80" s="426"/>
      <c r="BC80" s="426"/>
      <c r="BD80" s="359"/>
      <c r="BE80" s="359"/>
      <c r="BF80" s="469"/>
      <c r="BG80" s="471">
        <v>1.66</v>
      </c>
      <c r="BH80" s="335"/>
      <c r="BI80" s="446" t="s">
        <v>93</v>
      </c>
      <c r="BJ80" s="505"/>
    </row>
    <row r="81" spans="1:62" ht="15.75" customHeight="1" thickBot="1" x14ac:dyDescent="0.25">
      <c r="A81" s="176">
        <v>80</v>
      </c>
      <c r="B81" s="175">
        <v>1</v>
      </c>
      <c r="C81" s="166" t="s">
        <v>11</v>
      </c>
      <c r="D81" s="166" t="s">
        <v>143</v>
      </c>
      <c r="E81" s="166" t="s">
        <v>13</v>
      </c>
      <c r="F81" s="166" t="s">
        <v>143</v>
      </c>
      <c r="G81" s="166" t="s">
        <v>15</v>
      </c>
      <c r="H81" s="166" t="s">
        <v>165</v>
      </c>
      <c r="I81" s="181">
        <v>2010</v>
      </c>
      <c r="J81" s="181" t="s">
        <v>255</v>
      </c>
      <c r="K81" s="181"/>
      <c r="L81" s="181" t="s">
        <v>19</v>
      </c>
      <c r="M81" s="556" t="s">
        <v>4115</v>
      </c>
      <c r="N81" s="214" t="s">
        <v>20</v>
      </c>
      <c r="O81" s="214" t="s">
        <v>15</v>
      </c>
      <c r="P81" s="214" t="s">
        <v>20</v>
      </c>
      <c r="Q81" s="214" t="s">
        <v>20</v>
      </c>
      <c r="R81" s="214" t="s">
        <v>20</v>
      </c>
      <c r="S81" s="214" t="s">
        <v>15</v>
      </c>
      <c r="T81" s="214" t="s">
        <v>15</v>
      </c>
      <c r="U81" s="214" t="s">
        <v>15</v>
      </c>
      <c r="V81" s="214" t="s">
        <v>15</v>
      </c>
      <c r="W81" s="214" t="s">
        <v>15</v>
      </c>
      <c r="X81" s="214" t="s">
        <v>15</v>
      </c>
      <c r="Y81" s="214" t="s">
        <v>15</v>
      </c>
      <c r="Z81" s="214"/>
      <c r="AA81" s="214" t="s">
        <v>186</v>
      </c>
      <c r="AB81" s="214" t="s">
        <v>15</v>
      </c>
      <c r="AC81" s="214" t="s">
        <v>15</v>
      </c>
      <c r="AD81" s="322" t="s">
        <v>256</v>
      </c>
      <c r="AE81" s="322" t="s">
        <v>257</v>
      </c>
      <c r="AF81" s="162" t="str">
        <f t="shared" si="4"/>
        <v/>
      </c>
      <c r="AG81" s="162" t="str">
        <f t="shared" si="5"/>
        <v/>
      </c>
      <c r="AH81" s="164" t="str">
        <f t="shared" si="6"/>
        <v/>
      </c>
      <c r="AI81" s="164" t="str">
        <f t="shared" si="7"/>
        <v/>
      </c>
      <c r="AJ81" s="368"/>
      <c r="AK81" s="368"/>
      <c r="AL81" s="368"/>
      <c r="AM81" s="368"/>
      <c r="AN81" s="368"/>
      <c r="AO81" s="368"/>
      <c r="AP81" s="368"/>
      <c r="AQ81" s="368"/>
      <c r="AR81" s="368"/>
      <c r="AS81" s="198"/>
      <c r="AT81" s="197">
        <v>32</v>
      </c>
      <c r="AU81" s="378"/>
      <c r="AW81" s="359"/>
      <c r="AX81" s="359"/>
      <c r="AY81" s="359"/>
      <c r="AZ81" s="359"/>
      <c r="BA81" s="359"/>
      <c r="BB81" s="426"/>
      <c r="BC81" s="426"/>
      <c r="BD81" s="359"/>
      <c r="BE81" s="359"/>
      <c r="BF81" s="469"/>
      <c r="BG81" s="471">
        <v>7.2</v>
      </c>
      <c r="BH81" s="335"/>
      <c r="BI81" s="446" t="s">
        <v>93</v>
      </c>
      <c r="BJ81" s="505"/>
    </row>
    <row r="82" spans="1:62" ht="15.75" customHeight="1" thickBot="1" x14ac:dyDescent="0.25">
      <c r="A82" s="174">
        <v>81</v>
      </c>
      <c r="B82" s="175">
        <v>1</v>
      </c>
      <c r="C82" s="166" t="s">
        <v>259</v>
      </c>
      <c r="D82" s="166" t="s">
        <v>260</v>
      </c>
      <c r="E82" s="166" t="s">
        <v>13</v>
      </c>
      <c r="F82" s="166" t="s">
        <v>261</v>
      </c>
      <c r="G82" s="166" t="s">
        <v>15</v>
      </c>
      <c r="H82" s="166" t="s">
        <v>108</v>
      </c>
      <c r="I82" s="181">
        <v>2011</v>
      </c>
      <c r="J82" s="181" t="s">
        <v>262</v>
      </c>
      <c r="K82" s="181"/>
      <c r="L82" s="181" t="s">
        <v>19</v>
      </c>
      <c r="M82" s="556" t="s">
        <v>4116</v>
      </c>
      <c r="N82" s="214" t="s">
        <v>20</v>
      </c>
      <c r="O82" s="214" t="s">
        <v>15</v>
      </c>
      <c r="P82" s="214" t="s">
        <v>20</v>
      </c>
      <c r="Q82" s="214" t="s">
        <v>20</v>
      </c>
      <c r="R82" s="214" t="s">
        <v>20</v>
      </c>
      <c r="S82" s="214" t="s">
        <v>20</v>
      </c>
      <c r="T82" s="214" t="s">
        <v>20</v>
      </c>
      <c r="U82" s="214" t="s">
        <v>20</v>
      </c>
      <c r="V82" s="214" t="s">
        <v>20</v>
      </c>
      <c r="W82" s="214" t="s">
        <v>20</v>
      </c>
      <c r="X82" s="214" t="s">
        <v>15</v>
      </c>
      <c r="Y82" s="214" t="s">
        <v>15</v>
      </c>
      <c r="Z82" s="234"/>
      <c r="AA82" s="214" t="s">
        <v>243</v>
      </c>
      <c r="AB82" s="214" t="s">
        <v>20</v>
      </c>
      <c r="AC82" s="214" t="s">
        <v>20</v>
      </c>
      <c r="AD82" s="322" t="s">
        <v>263</v>
      </c>
      <c r="AE82" s="322" t="s">
        <v>264</v>
      </c>
      <c r="AF82" s="162" t="str">
        <f t="shared" si="4"/>
        <v/>
      </c>
      <c r="AG82" s="162" t="str">
        <f t="shared" si="5"/>
        <v/>
      </c>
      <c r="AH82" s="164">
        <f t="shared" si="6"/>
        <v>0.56147683749999999</v>
      </c>
      <c r="AI82" s="164">
        <f t="shared" si="7"/>
        <v>0.93009182499999998</v>
      </c>
      <c r="AJ82" s="372"/>
      <c r="AK82" s="372"/>
      <c r="AL82" s="372"/>
      <c r="AM82" s="372"/>
      <c r="AN82" s="372"/>
      <c r="AO82" s="372"/>
      <c r="AP82" s="372"/>
      <c r="AQ82" s="372"/>
      <c r="AR82" s="372"/>
      <c r="AS82" s="195"/>
      <c r="AT82" s="195"/>
      <c r="AU82" s="377"/>
      <c r="AV82" s="382"/>
      <c r="AW82" s="428">
        <v>0.56147683749999999</v>
      </c>
      <c r="AX82" s="359"/>
      <c r="AY82" s="428">
        <v>0.36861498749999999</v>
      </c>
      <c r="AZ82" s="428">
        <v>2.4885400000000002E-2</v>
      </c>
      <c r="BA82" s="428">
        <v>6.2057966249999999E-2</v>
      </c>
      <c r="BB82" s="428">
        <v>6.2213500000000005E-2</v>
      </c>
      <c r="BC82" s="428">
        <v>0.40376561500000002</v>
      </c>
      <c r="BD82" s="428">
        <v>7.450066625E-2</v>
      </c>
      <c r="BE82" s="428"/>
      <c r="BF82" s="469">
        <f>AW82</f>
        <v>0.56147683749999999</v>
      </c>
      <c r="BG82" s="469">
        <v>1.5553375</v>
      </c>
      <c r="BH82" s="341"/>
      <c r="BI82" s="446" t="s">
        <v>265</v>
      </c>
      <c r="BJ82" s="505"/>
    </row>
    <row r="83" spans="1:62" ht="15.75" customHeight="1" thickBot="1" x14ac:dyDescent="0.25">
      <c r="A83" s="176">
        <v>82</v>
      </c>
      <c r="B83" s="175">
        <v>1</v>
      </c>
      <c r="C83" s="166" t="s">
        <v>259</v>
      </c>
      <c r="D83" s="166" t="s">
        <v>260</v>
      </c>
      <c r="E83" s="166" t="s">
        <v>13</v>
      </c>
      <c r="F83" s="166" t="s">
        <v>266</v>
      </c>
      <c r="G83" s="166" t="s">
        <v>15</v>
      </c>
      <c r="H83" s="166" t="s">
        <v>108</v>
      </c>
      <c r="I83" s="181">
        <v>2011</v>
      </c>
      <c r="J83" s="181" t="s">
        <v>262</v>
      </c>
      <c r="K83" s="181"/>
      <c r="L83" s="181" t="s">
        <v>19</v>
      </c>
      <c r="M83" s="556" t="s">
        <v>4116</v>
      </c>
      <c r="N83" s="214" t="s">
        <v>20</v>
      </c>
      <c r="O83" s="214" t="s">
        <v>15</v>
      </c>
      <c r="P83" s="214" t="s">
        <v>20</v>
      </c>
      <c r="Q83" s="214" t="s">
        <v>20</v>
      </c>
      <c r="R83" s="214" t="s">
        <v>20</v>
      </c>
      <c r="S83" s="214" t="s">
        <v>20</v>
      </c>
      <c r="T83" s="214" t="s">
        <v>20</v>
      </c>
      <c r="U83" s="214" t="s">
        <v>20</v>
      </c>
      <c r="V83" s="214" t="s">
        <v>20</v>
      </c>
      <c r="W83" s="214" t="s">
        <v>20</v>
      </c>
      <c r="X83" s="214" t="s">
        <v>15</v>
      </c>
      <c r="Y83" s="214" t="s">
        <v>15</v>
      </c>
      <c r="Z83" s="234"/>
      <c r="AA83" s="214" t="s">
        <v>243</v>
      </c>
      <c r="AB83" s="214" t="s">
        <v>20</v>
      </c>
      <c r="AC83" s="214" t="s">
        <v>20</v>
      </c>
      <c r="AD83" s="322" t="s">
        <v>263</v>
      </c>
      <c r="AE83" s="322" t="s">
        <v>264</v>
      </c>
      <c r="AF83" s="162" t="str">
        <f t="shared" si="4"/>
        <v/>
      </c>
      <c r="AG83" s="162" t="str">
        <f t="shared" si="5"/>
        <v/>
      </c>
      <c r="AH83" s="164">
        <f t="shared" si="6"/>
        <v>0.57533104874999996</v>
      </c>
      <c r="AI83" s="164">
        <f t="shared" si="7"/>
        <v>0.94453064875000003</v>
      </c>
      <c r="AJ83" s="368"/>
      <c r="AK83" s="368"/>
      <c r="AL83" s="368"/>
      <c r="AM83" s="368"/>
      <c r="AN83" s="368"/>
      <c r="AO83" s="368"/>
      <c r="AP83" s="368"/>
      <c r="AQ83" s="368"/>
      <c r="AR83" s="368"/>
      <c r="AS83" s="195"/>
      <c r="AT83" s="195"/>
      <c r="AU83" s="377"/>
      <c r="AV83" s="382"/>
      <c r="AW83" s="428">
        <v>0.57533104874999996</v>
      </c>
      <c r="AX83" s="359"/>
      <c r="AY83" s="428">
        <v>0.36919960000000002</v>
      </c>
      <c r="AZ83" s="428">
        <v>1.4983750000000001E-2</v>
      </c>
      <c r="BA83" s="428">
        <v>6.2587123750000001E-2</v>
      </c>
      <c r="BB83" s="428">
        <v>6.8775412500000008E-2</v>
      </c>
      <c r="BC83" s="428">
        <v>0.35046991249999998</v>
      </c>
      <c r="BD83" s="428">
        <v>6.8775412500000008E-2</v>
      </c>
      <c r="BE83" s="426"/>
      <c r="BF83" s="469">
        <f>AW83</f>
        <v>0.57533104874999996</v>
      </c>
      <c r="BG83" s="469">
        <v>1.498375</v>
      </c>
      <c r="BH83" s="341"/>
      <c r="BI83" s="446" t="s">
        <v>265</v>
      </c>
      <c r="BJ83" s="505"/>
    </row>
    <row r="84" spans="1:62" ht="15.75" customHeight="1" thickBot="1" x14ac:dyDescent="0.25">
      <c r="A84" s="174">
        <v>83</v>
      </c>
      <c r="B84" s="175">
        <v>1</v>
      </c>
      <c r="C84" s="166" t="s">
        <v>259</v>
      </c>
      <c r="D84" s="166" t="s">
        <v>260</v>
      </c>
      <c r="E84" s="166" t="s">
        <v>13</v>
      </c>
      <c r="F84" s="166" t="s">
        <v>267</v>
      </c>
      <c r="G84" s="166" t="s">
        <v>15</v>
      </c>
      <c r="H84" s="166" t="s">
        <v>108</v>
      </c>
      <c r="I84" s="181">
        <v>2011</v>
      </c>
      <c r="J84" s="181" t="s">
        <v>262</v>
      </c>
      <c r="K84" s="181"/>
      <c r="L84" s="181" t="s">
        <v>19</v>
      </c>
      <c r="M84" s="556" t="s">
        <v>4116</v>
      </c>
      <c r="N84" s="214" t="s">
        <v>20</v>
      </c>
      <c r="O84" s="214" t="s">
        <v>15</v>
      </c>
      <c r="P84" s="214" t="s">
        <v>20</v>
      </c>
      <c r="Q84" s="214" t="s">
        <v>20</v>
      </c>
      <c r="R84" s="214" t="s">
        <v>20</v>
      </c>
      <c r="S84" s="214" t="s">
        <v>20</v>
      </c>
      <c r="T84" s="214" t="s">
        <v>20</v>
      </c>
      <c r="U84" s="214" t="s">
        <v>20</v>
      </c>
      <c r="V84" s="214" t="s">
        <v>20</v>
      </c>
      <c r="W84" s="214" t="s">
        <v>20</v>
      </c>
      <c r="X84" s="214" t="s">
        <v>15</v>
      </c>
      <c r="Y84" s="214" t="s">
        <v>15</v>
      </c>
      <c r="Z84" s="234"/>
      <c r="AA84" s="214" t="s">
        <v>243</v>
      </c>
      <c r="AB84" s="214" t="s">
        <v>20</v>
      </c>
      <c r="AC84" s="214" t="s">
        <v>20</v>
      </c>
      <c r="AD84" s="322" t="s">
        <v>263</v>
      </c>
      <c r="AE84" s="322" t="s">
        <v>264</v>
      </c>
      <c r="AF84" s="162" t="str">
        <f t="shared" si="4"/>
        <v/>
      </c>
      <c r="AG84" s="162" t="str">
        <f t="shared" si="5"/>
        <v/>
      </c>
      <c r="AH84" s="164">
        <f t="shared" si="6"/>
        <v>0.4567740500000001</v>
      </c>
      <c r="AI84" s="164">
        <f t="shared" si="7"/>
        <v>0.83780455500000017</v>
      </c>
      <c r="AJ84" s="368"/>
      <c r="AK84" s="368"/>
      <c r="AL84" s="368"/>
      <c r="AM84" s="368"/>
      <c r="AN84" s="368"/>
      <c r="AO84" s="368"/>
      <c r="AP84" s="368"/>
      <c r="AQ84" s="368"/>
      <c r="AR84" s="368"/>
      <c r="AS84" s="195"/>
      <c r="AT84" s="195"/>
      <c r="AU84" s="377"/>
      <c r="AV84" s="382"/>
      <c r="AW84" s="428">
        <v>0.4567740500000001</v>
      </c>
      <c r="AX84" s="359"/>
      <c r="AY84" s="428">
        <v>0.38103050500000007</v>
      </c>
      <c r="AZ84" s="428">
        <v>2.5035843500000002E-2</v>
      </c>
      <c r="BA84" s="428">
        <v>5.6316193000000014E-2</v>
      </c>
      <c r="BB84" s="428">
        <v>5.6316193000000014E-2</v>
      </c>
      <c r="BC84" s="428">
        <v>0.40618198750000012</v>
      </c>
      <c r="BD84" s="428">
        <v>6.8805205000000022E-2</v>
      </c>
      <c r="BE84" s="426"/>
      <c r="BF84" s="475">
        <f>AW84</f>
        <v>0.4567740500000001</v>
      </c>
      <c r="BG84" s="469">
        <v>1.4454875000000003</v>
      </c>
      <c r="BH84" s="341"/>
      <c r="BI84" s="446" t="s">
        <v>265</v>
      </c>
      <c r="BJ84" s="505"/>
    </row>
    <row r="85" spans="1:62" ht="15.75" customHeight="1" thickBot="1" x14ac:dyDescent="0.25">
      <c r="A85" s="176">
        <v>84</v>
      </c>
      <c r="B85" s="175">
        <v>1</v>
      </c>
      <c r="C85" s="166" t="s">
        <v>259</v>
      </c>
      <c r="D85" s="166" t="s">
        <v>260</v>
      </c>
      <c r="E85" s="166" t="s">
        <v>13</v>
      </c>
      <c r="F85" s="166" t="s">
        <v>268</v>
      </c>
      <c r="G85" s="166" t="s">
        <v>15</v>
      </c>
      <c r="H85" s="166" t="s">
        <v>108</v>
      </c>
      <c r="I85" s="181">
        <v>2011</v>
      </c>
      <c r="J85" s="181" t="s">
        <v>262</v>
      </c>
      <c r="K85" s="181"/>
      <c r="L85" s="181" t="s">
        <v>19</v>
      </c>
      <c r="M85" s="556" t="s">
        <v>4116</v>
      </c>
      <c r="N85" s="214" t="s">
        <v>20</v>
      </c>
      <c r="O85" s="214" t="s">
        <v>15</v>
      </c>
      <c r="P85" s="214" t="s">
        <v>20</v>
      </c>
      <c r="Q85" s="214" t="s">
        <v>20</v>
      </c>
      <c r="R85" s="214" t="s">
        <v>20</v>
      </c>
      <c r="S85" s="214" t="s">
        <v>20</v>
      </c>
      <c r="T85" s="214" t="s">
        <v>20</v>
      </c>
      <c r="U85" s="214" t="s">
        <v>20</v>
      </c>
      <c r="V85" s="214" t="s">
        <v>20</v>
      </c>
      <c r="W85" s="214" t="s">
        <v>20</v>
      </c>
      <c r="X85" s="214" t="s">
        <v>15</v>
      </c>
      <c r="Y85" s="214" t="s">
        <v>15</v>
      </c>
      <c r="Z85" s="234"/>
      <c r="AA85" s="214" t="s">
        <v>243</v>
      </c>
      <c r="AB85" s="214" t="s">
        <v>20</v>
      </c>
      <c r="AC85" s="214" t="s">
        <v>20</v>
      </c>
      <c r="AD85" s="322" t="s">
        <v>263</v>
      </c>
      <c r="AE85" s="322" t="s">
        <v>264</v>
      </c>
      <c r="AF85" s="162" t="str">
        <f t="shared" si="4"/>
        <v/>
      </c>
      <c r="AG85" s="162" t="str">
        <f t="shared" si="5"/>
        <v/>
      </c>
      <c r="AH85" s="164">
        <f t="shared" si="6"/>
        <v>0.45680005000000001</v>
      </c>
      <c r="AI85" s="164">
        <f t="shared" si="7"/>
        <v>0.83251461999999998</v>
      </c>
      <c r="AJ85" s="368"/>
      <c r="AK85" s="368"/>
      <c r="AL85" s="368"/>
      <c r="AM85" s="368"/>
      <c r="AN85" s="368"/>
      <c r="AO85" s="368"/>
      <c r="AP85" s="368"/>
      <c r="AQ85" s="368"/>
      <c r="AR85" s="368"/>
      <c r="AS85" s="195"/>
      <c r="AT85" s="195"/>
      <c r="AU85" s="377"/>
      <c r="AV85" s="382"/>
      <c r="AW85" s="428">
        <v>0.45680005000000001</v>
      </c>
      <c r="AX85" s="359"/>
      <c r="AY85" s="428">
        <v>0.37571457000000003</v>
      </c>
      <c r="AZ85" s="428">
        <v>2.4992099999999996E-2</v>
      </c>
      <c r="BA85" s="428">
        <v>5.6232224999999997E-2</v>
      </c>
      <c r="BB85" s="428">
        <v>5.6232224999999997E-2</v>
      </c>
      <c r="BC85" s="428">
        <v>0.35960855000000003</v>
      </c>
      <c r="BD85" s="428">
        <v>6.2480249999999994E-2</v>
      </c>
      <c r="BE85" s="426"/>
      <c r="BF85" s="469">
        <f>AW85</f>
        <v>0.45680005000000001</v>
      </c>
      <c r="BG85" s="469">
        <v>1.38845</v>
      </c>
      <c r="BH85" s="341"/>
      <c r="BI85" s="446" t="s">
        <v>265</v>
      </c>
      <c r="BJ85" s="505"/>
    </row>
    <row r="86" spans="1:62" ht="15.75" customHeight="1" thickBot="1" x14ac:dyDescent="0.25">
      <c r="A86" s="174">
        <v>85</v>
      </c>
      <c r="B86" s="175">
        <v>1</v>
      </c>
      <c r="C86" s="166" t="s">
        <v>24</v>
      </c>
      <c r="D86" s="166" t="s">
        <v>269</v>
      </c>
      <c r="E86" s="166" t="s">
        <v>13</v>
      </c>
      <c r="F86" s="166" t="s">
        <v>270</v>
      </c>
      <c r="G86" s="166" t="s">
        <v>122</v>
      </c>
      <c r="H86" s="166" t="s">
        <v>271</v>
      </c>
      <c r="I86" s="181">
        <v>2013</v>
      </c>
      <c r="J86" s="181" t="s">
        <v>272</v>
      </c>
      <c r="K86" s="181" t="s">
        <v>273</v>
      </c>
      <c r="L86" s="181" t="s">
        <v>274</v>
      </c>
      <c r="M86" s="556" t="s">
        <v>4117</v>
      </c>
      <c r="N86" s="214" t="s">
        <v>20</v>
      </c>
      <c r="O86" s="214" t="s">
        <v>15</v>
      </c>
      <c r="P86" s="214" t="s">
        <v>20</v>
      </c>
      <c r="Q86" s="214" t="s">
        <v>15</v>
      </c>
      <c r="R86" s="214" t="s">
        <v>15</v>
      </c>
      <c r="S86" s="214" t="s">
        <v>15</v>
      </c>
      <c r="T86" s="214" t="s">
        <v>15</v>
      </c>
      <c r="U86" s="214" t="s">
        <v>15</v>
      </c>
      <c r="V86" s="214" t="s">
        <v>15</v>
      </c>
      <c r="W86" s="214" t="s">
        <v>15</v>
      </c>
      <c r="X86" s="214" t="s">
        <v>15</v>
      </c>
      <c r="Y86" s="214" t="s">
        <v>15</v>
      </c>
      <c r="Z86" s="234"/>
      <c r="AA86" s="310"/>
      <c r="AB86" s="214" t="s">
        <v>15</v>
      </c>
      <c r="AC86" s="214" t="s">
        <v>20</v>
      </c>
      <c r="AD86" s="322" t="s">
        <v>275</v>
      </c>
      <c r="AE86" s="322" t="s">
        <v>276</v>
      </c>
      <c r="AF86" s="162" t="str">
        <f t="shared" si="4"/>
        <v/>
      </c>
      <c r="AG86" s="162" t="str">
        <f t="shared" si="5"/>
        <v/>
      </c>
      <c r="AH86" s="164">
        <f t="shared" si="6"/>
        <v>7.5445816186556929</v>
      </c>
      <c r="AI86" s="164" t="str">
        <f t="shared" si="7"/>
        <v/>
      </c>
      <c r="AJ86" s="368"/>
      <c r="AK86" s="368"/>
      <c r="AL86" s="368"/>
      <c r="AM86" s="368"/>
      <c r="AN86" s="368"/>
      <c r="AO86" s="368"/>
      <c r="AP86" s="368"/>
      <c r="AQ86" s="368"/>
      <c r="AR86" s="368"/>
      <c r="AS86" s="195"/>
      <c r="AT86" s="195"/>
      <c r="AU86" s="377"/>
      <c r="AV86" s="382"/>
      <c r="AW86" s="428"/>
      <c r="AX86" s="426"/>
      <c r="AY86" s="428"/>
      <c r="AZ86" s="428"/>
      <c r="BA86" s="428"/>
      <c r="BB86" s="428"/>
      <c r="BC86" s="428"/>
      <c r="BD86" s="428"/>
      <c r="BE86" s="426"/>
      <c r="BF86" s="468">
        <f>5.5/0.729</f>
        <v>7.5445816186556929</v>
      </c>
      <c r="BG86" s="468">
        <f>5.5/0.729</f>
        <v>7.5445816186556929</v>
      </c>
      <c r="BH86" s="341"/>
      <c r="BI86" s="447"/>
      <c r="BJ86" s="505"/>
    </row>
    <row r="87" spans="1:62" ht="15.75" customHeight="1" thickBot="1" x14ac:dyDescent="0.25">
      <c r="A87" s="176">
        <v>86</v>
      </c>
      <c r="B87" s="175">
        <v>1</v>
      </c>
      <c r="C87" s="166" t="s">
        <v>24</v>
      </c>
      <c r="D87" s="166" t="s">
        <v>269</v>
      </c>
      <c r="E87" s="166" t="s">
        <v>13</v>
      </c>
      <c r="F87" s="166" t="s">
        <v>277</v>
      </c>
      <c r="G87" s="166" t="s">
        <v>122</v>
      </c>
      <c r="H87" s="166" t="s">
        <v>271</v>
      </c>
      <c r="I87" s="181">
        <v>2013</v>
      </c>
      <c r="J87" s="181" t="s">
        <v>272</v>
      </c>
      <c r="K87" s="181" t="s">
        <v>273</v>
      </c>
      <c r="L87" s="181" t="s">
        <v>274</v>
      </c>
      <c r="M87" s="556" t="s">
        <v>4117</v>
      </c>
      <c r="N87" s="214" t="s">
        <v>20</v>
      </c>
      <c r="O87" s="214" t="s">
        <v>20</v>
      </c>
      <c r="P87" s="214" t="s">
        <v>20</v>
      </c>
      <c r="Q87" s="214" t="s">
        <v>20</v>
      </c>
      <c r="R87" s="214" t="s">
        <v>15</v>
      </c>
      <c r="S87" s="214" t="s">
        <v>20</v>
      </c>
      <c r="T87" s="214" t="s">
        <v>15</v>
      </c>
      <c r="U87" s="214" t="s">
        <v>15</v>
      </c>
      <c r="V87" s="214" t="s">
        <v>15</v>
      </c>
      <c r="W87" s="214" t="s">
        <v>15</v>
      </c>
      <c r="X87" s="214" t="s">
        <v>15</v>
      </c>
      <c r="Y87" s="214" t="s">
        <v>15</v>
      </c>
      <c r="Z87" s="234"/>
      <c r="AA87" s="214" t="s">
        <v>278</v>
      </c>
      <c r="AB87" s="214" t="s">
        <v>15</v>
      </c>
      <c r="AC87" s="214" t="s">
        <v>20</v>
      </c>
      <c r="AD87" s="322" t="s">
        <v>275</v>
      </c>
      <c r="AE87" s="322" t="s">
        <v>276</v>
      </c>
      <c r="AF87" s="162" t="str">
        <f t="shared" si="4"/>
        <v/>
      </c>
      <c r="AG87" s="162" t="str">
        <f t="shared" si="5"/>
        <v/>
      </c>
      <c r="AH87" s="164">
        <f t="shared" si="6"/>
        <v>8.3676268861454037</v>
      </c>
      <c r="AI87" s="164" t="str">
        <f t="shared" si="7"/>
        <v/>
      </c>
      <c r="AJ87" s="368"/>
      <c r="AK87" s="368"/>
      <c r="AL87" s="368"/>
      <c r="AM87" s="368"/>
      <c r="AN87" s="368"/>
      <c r="AO87" s="368"/>
      <c r="AP87" s="368"/>
      <c r="AQ87" s="368"/>
      <c r="AR87" s="368"/>
      <c r="AS87" s="195"/>
      <c r="AT87" s="195"/>
      <c r="AU87" s="377"/>
      <c r="AV87" s="382"/>
      <c r="AW87" s="428"/>
      <c r="AX87" s="426"/>
      <c r="AY87" s="428"/>
      <c r="AZ87" s="428"/>
      <c r="BA87" s="428"/>
      <c r="BB87" s="428"/>
      <c r="BC87" s="428"/>
      <c r="BD87" s="428"/>
      <c r="BE87" s="426"/>
      <c r="BF87" s="468">
        <f>6.1/0.729</f>
        <v>8.3676268861454037</v>
      </c>
      <c r="BG87" s="468">
        <f>6.5/0.729</f>
        <v>8.9163237311385455</v>
      </c>
      <c r="BH87" s="341"/>
      <c r="BI87" s="446" t="s">
        <v>279</v>
      </c>
      <c r="BJ87" s="505"/>
    </row>
    <row r="88" spans="1:62" ht="15.75" customHeight="1" thickBot="1" x14ac:dyDescent="0.25">
      <c r="A88" s="174">
        <v>87</v>
      </c>
      <c r="B88" s="175">
        <v>1</v>
      </c>
      <c r="C88" s="166" t="s">
        <v>24</v>
      </c>
      <c r="D88" s="166" t="s">
        <v>269</v>
      </c>
      <c r="E88" s="166" t="s">
        <v>13</v>
      </c>
      <c r="F88" s="166" t="s">
        <v>280</v>
      </c>
      <c r="G88" s="166" t="s">
        <v>122</v>
      </c>
      <c r="H88" s="166" t="s">
        <v>271</v>
      </c>
      <c r="I88" s="181">
        <v>2013</v>
      </c>
      <c r="J88" s="181" t="s">
        <v>272</v>
      </c>
      <c r="K88" s="181" t="s">
        <v>273</v>
      </c>
      <c r="L88" s="181" t="s">
        <v>274</v>
      </c>
      <c r="M88" s="556" t="s">
        <v>4117</v>
      </c>
      <c r="N88" s="214" t="s">
        <v>20</v>
      </c>
      <c r="O88" s="214" t="s">
        <v>20</v>
      </c>
      <c r="P88" s="214" t="s">
        <v>20</v>
      </c>
      <c r="Q88" s="214" t="s">
        <v>20</v>
      </c>
      <c r="R88" s="214" t="s">
        <v>15</v>
      </c>
      <c r="S88" s="214" t="s">
        <v>20</v>
      </c>
      <c r="T88" s="214" t="s">
        <v>15</v>
      </c>
      <c r="U88" s="214" t="s">
        <v>15</v>
      </c>
      <c r="V88" s="214" t="s">
        <v>15</v>
      </c>
      <c r="W88" s="214" t="s">
        <v>15</v>
      </c>
      <c r="X88" s="214" t="s">
        <v>15</v>
      </c>
      <c r="Y88" s="214" t="s">
        <v>15</v>
      </c>
      <c r="Z88" s="234"/>
      <c r="AA88" s="214" t="s">
        <v>281</v>
      </c>
      <c r="AB88" s="214" t="s">
        <v>15</v>
      </c>
      <c r="AC88" s="214" t="s">
        <v>20</v>
      </c>
      <c r="AD88" s="322" t="s">
        <v>275</v>
      </c>
      <c r="AE88" s="322" t="s">
        <v>276</v>
      </c>
      <c r="AF88" s="162" t="str">
        <f t="shared" si="4"/>
        <v/>
      </c>
      <c r="AG88" s="162" t="str">
        <f t="shared" si="5"/>
        <v/>
      </c>
      <c r="AH88" s="164">
        <f t="shared" si="6"/>
        <v>7.6817558299039774</v>
      </c>
      <c r="AI88" s="164" t="str">
        <f t="shared" si="7"/>
        <v/>
      </c>
      <c r="AJ88" s="368"/>
      <c r="AK88" s="368"/>
      <c r="AL88" s="368"/>
      <c r="AM88" s="368"/>
      <c r="AN88" s="368"/>
      <c r="AO88" s="368"/>
      <c r="AP88" s="368"/>
      <c r="AQ88" s="368"/>
      <c r="AR88" s="368"/>
      <c r="AS88" s="195"/>
      <c r="AT88" s="195"/>
      <c r="AU88" s="377"/>
      <c r="AV88" s="382"/>
      <c r="AW88" s="428"/>
      <c r="AX88" s="426"/>
      <c r="AY88" s="428"/>
      <c r="AZ88" s="428"/>
      <c r="BA88" s="428"/>
      <c r="BB88" s="428"/>
      <c r="BC88" s="428"/>
      <c r="BD88" s="428"/>
      <c r="BE88" s="426"/>
      <c r="BF88" s="468">
        <f>5.6/0.729</f>
        <v>7.6817558299039774</v>
      </c>
      <c r="BG88" s="468">
        <f>6.1/0.729</f>
        <v>8.3676268861454037</v>
      </c>
      <c r="BH88" s="341"/>
      <c r="BI88" s="446" t="s">
        <v>279</v>
      </c>
      <c r="BJ88" s="505"/>
    </row>
    <row r="89" spans="1:62" ht="15.75" customHeight="1" thickBot="1" x14ac:dyDescent="0.25">
      <c r="A89" s="176">
        <v>88</v>
      </c>
      <c r="B89" s="175">
        <v>1</v>
      </c>
      <c r="C89" s="166" t="s">
        <v>24</v>
      </c>
      <c r="D89" s="166" t="s">
        <v>269</v>
      </c>
      <c r="E89" s="166" t="s">
        <v>13</v>
      </c>
      <c r="F89" s="166" t="s">
        <v>280</v>
      </c>
      <c r="G89" s="166" t="s">
        <v>122</v>
      </c>
      <c r="H89" s="166" t="s">
        <v>282</v>
      </c>
      <c r="I89" s="181">
        <v>2013</v>
      </c>
      <c r="J89" s="181" t="s">
        <v>272</v>
      </c>
      <c r="K89" s="181" t="s">
        <v>273</v>
      </c>
      <c r="L89" s="181" t="s">
        <v>274</v>
      </c>
      <c r="M89" s="556" t="s">
        <v>4117</v>
      </c>
      <c r="N89" s="214" t="s">
        <v>20</v>
      </c>
      <c r="O89" s="214" t="s">
        <v>15</v>
      </c>
      <c r="P89" s="214" t="s">
        <v>20</v>
      </c>
      <c r="Q89" s="214" t="s">
        <v>20</v>
      </c>
      <c r="R89" s="214" t="s">
        <v>15</v>
      </c>
      <c r="S89" s="214" t="s">
        <v>20</v>
      </c>
      <c r="T89" s="214" t="s">
        <v>15</v>
      </c>
      <c r="U89" s="214" t="s">
        <v>15</v>
      </c>
      <c r="V89" s="214" t="s">
        <v>15</v>
      </c>
      <c r="W89" s="214" t="s">
        <v>15</v>
      </c>
      <c r="X89" s="214" t="s">
        <v>15</v>
      </c>
      <c r="Y89" s="214" t="s">
        <v>15</v>
      </c>
      <c r="Z89" s="311"/>
      <c r="AA89" s="311"/>
      <c r="AB89" s="214" t="s">
        <v>15</v>
      </c>
      <c r="AC89" s="214" t="s">
        <v>20</v>
      </c>
      <c r="AD89" s="322" t="s">
        <v>275</v>
      </c>
      <c r="AE89" s="322" t="s">
        <v>276</v>
      </c>
      <c r="AF89" s="162" t="str">
        <f t="shared" si="4"/>
        <v/>
      </c>
      <c r="AG89" s="162" t="str">
        <f t="shared" si="5"/>
        <v/>
      </c>
      <c r="AH89" s="164">
        <f t="shared" si="6"/>
        <v>5.6241426611796976</v>
      </c>
      <c r="AI89" s="164" t="str">
        <f t="shared" si="7"/>
        <v/>
      </c>
      <c r="AJ89" s="368"/>
      <c r="AK89" s="368"/>
      <c r="AL89" s="368"/>
      <c r="AM89" s="368"/>
      <c r="AN89" s="368"/>
      <c r="AO89" s="368"/>
      <c r="AP89" s="368"/>
      <c r="AQ89" s="368"/>
      <c r="AR89" s="368"/>
      <c r="AS89" s="195"/>
      <c r="AT89" s="195"/>
      <c r="AU89" s="377"/>
      <c r="AV89" s="382"/>
      <c r="AW89" s="428"/>
      <c r="AX89" s="426"/>
      <c r="AY89" s="428"/>
      <c r="AZ89" s="428"/>
      <c r="BA89" s="428"/>
      <c r="BB89" s="428"/>
      <c r="BC89" s="428"/>
      <c r="BD89" s="428"/>
      <c r="BE89" s="426"/>
      <c r="BF89" s="468">
        <f>4.1/0.729</f>
        <v>5.6241426611796976</v>
      </c>
      <c r="BG89" s="468">
        <f>4.6/0.729</f>
        <v>6.3100137174211248</v>
      </c>
      <c r="BH89" s="341"/>
      <c r="BI89" s="446" t="s">
        <v>279</v>
      </c>
      <c r="BJ89" s="505"/>
    </row>
    <row r="90" spans="1:62" ht="15.75" customHeight="1" thickBot="1" x14ac:dyDescent="0.25">
      <c r="A90" s="174">
        <v>89</v>
      </c>
      <c r="B90" s="175">
        <v>1</v>
      </c>
      <c r="C90" s="166" t="s">
        <v>24</v>
      </c>
      <c r="D90" s="166" t="s">
        <v>283</v>
      </c>
      <c r="E90" s="166" t="s">
        <v>13</v>
      </c>
      <c r="F90" s="233" t="s">
        <v>280</v>
      </c>
      <c r="G90" s="166" t="s">
        <v>122</v>
      </c>
      <c r="H90" s="166" t="s">
        <v>248</v>
      </c>
      <c r="I90" s="181">
        <v>2013</v>
      </c>
      <c r="J90" s="181" t="s">
        <v>272</v>
      </c>
      <c r="K90" s="181" t="s">
        <v>273</v>
      </c>
      <c r="L90" s="181" t="s">
        <v>274</v>
      </c>
      <c r="M90" s="556" t="s">
        <v>4117</v>
      </c>
      <c r="N90" s="214" t="s">
        <v>20</v>
      </c>
      <c r="O90" s="214" t="s">
        <v>20</v>
      </c>
      <c r="P90" s="214" t="s">
        <v>20</v>
      </c>
      <c r="Q90" s="214" t="s">
        <v>20</v>
      </c>
      <c r="R90" s="214" t="s">
        <v>15</v>
      </c>
      <c r="S90" s="214" t="s">
        <v>20</v>
      </c>
      <c r="T90" s="214" t="s">
        <v>15</v>
      </c>
      <c r="U90" s="214" t="s">
        <v>15</v>
      </c>
      <c r="V90" s="214" t="s">
        <v>15</v>
      </c>
      <c r="W90" s="214" t="s">
        <v>15</v>
      </c>
      <c r="X90" s="214" t="s">
        <v>15</v>
      </c>
      <c r="Y90" s="214" t="s">
        <v>15</v>
      </c>
      <c r="Z90" s="311"/>
      <c r="AA90" s="311" t="s">
        <v>284</v>
      </c>
      <c r="AB90" s="214" t="s">
        <v>15</v>
      </c>
      <c r="AC90" s="214" t="s">
        <v>20</v>
      </c>
      <c r="AD90" s="320" t="s">
        <v>275</v>
      </c>
      <c r="AE90" s="323" t="s">
        <v>2854</v>
      </c>
      <c r="AF90" s="162" t="str">
        <f t="shared" si="4"/>
        <v/>
      </c>
      <c r="AG90" s="162" t="str">
        <f t="shared" si="5"/>
        <v/>
      </c>
      <c r="AH90" s="164">
        <f t="shared" si="6"/>
        <v>6.3636363636363642</v>
      </c>
      <c r="AI90" s="164" t="str">
        <f t="shared" si="7"/>
        <v/>
      </c>
      <c r="AJ90" s="368"/>
      <c r="AK90" s="368"/>
      <c r="AL90" s="368"/>
      <c r="AM90" s="368"/>
      <c r="AN90" s="368"/>
      <c r="AO90" s="368"/>
      <c r="AP90" s="368"/>
      <c r="AQ90" s="368"/>
      <c r="AR90" s="368"/>
      <c r="AS90" s="195"/>
      <c r="AT90" s="195"/>
      <c r="AU90" s="377"/>
      <c r="AV90" s="382"/>
      <c r="AW90" s="428"/>
      <c r="AX90" s="426"/>
      <c r="AY90" s="428"/>
      <c r="AZ90" s="428"/>
      <c r="BA90" s="428"/>
      <c r="BB90" s="428"/>
      <c r="BC90" s="428"/>
      <c r="BD90" s="428"/>
      <c r="BE90" s="426"/>
      <c r="BF90" s="468">
        <f>4.9/0.77</f>
        <v>6.3636363636363642</v>
      </c>
      <c r="BG90" s="468">
        <v>5.2</v>
      </c>
      <c r="BH90" s="341"/>
      <c r="BI90" s="446" t="s">
        <v>279</v>
      </c>
      <c r="BJ90" s="505"/>
    </row>
    <row r="91" spans="1:62" ht="15.75" customHeight="1" thickBot="1" x14ac:dyDescent="0.25">
      <c r="A91" s="176">
        <v>90</v>
      </c>
      <c r="B91" s="175">
        <v>1</v>
      </c>
      <c r="C91" s="166" t="s">
        <v>24</v>
      </c>
      <c r="D91" s="166" t="s">
        <v>283</v>
      </c>
      <c r="E91" s="166" t="s">
        <v>13</v>
      </c>
      <c r="F91" s="233" t="s">
        <v>280</v>
      </c>
      <c r="G91" s="166" t="s">
        <v>122</v>
      </c>
      <c r="H91" s="166" t="s">
        <v>285</v>
      </c>
      <c r="I91" s="181">
        <v>2013</v>
      </c>
      <c r="J91" s="181" t="s">
        <v>272</v>
      </c>
      <c r="K91" s="181" t="s">
        <v>273</v>
      </c>
      <c r="L91" s="181" t="s">
        <v>274</v>
      </c>
      <c r="M91" s="556" t="s">
        <v>4117</v>
      </c>
      <c r="N91" s="214" t="s">
        <v>20</v>
      </c>
      <c r="O91" s="214" t="s">
        <v>15</v>
      </c>
      <c r="P91" s="214" t="s">
        <v>20</v>
      </c>
      <c r="Q91" s="214" t="s">
        <v>20</v>
      </c>
      <c r="R91" s="214" t="s">
        <v>15</v>
      </c>
      <c r="S91" s="214" t="s">
        <v>20</v>
      </c>
      <c r="T91" s="214" t="s">
        <v>15</v>
      </c>
      <c r="U91" s="214" t="s">
        <v>15</v>
      </c>
      <c r="V91" s="214" t="s">
        <v>15</v>
      </c>
      <c r="W91" s="214" t="s">
        <v>15</v>
      </c>
      <c r="X91" s="214" t="s">
        <v>15</v>
      </c>
      <c r="Y91" s="214" t="s">
        <v>15</v>
      </c>
      <c r="Z91" s="311"/>
      <c r="AA91" s="311"/>
      <c r="AB91" s="214" t="s">
        <v>15</v>
      </c>
      <c r="AC91" s="214" t="s">
        <v>20</v>
      </c>
      <c r="AD91" s="320" t="s">
        <v>275</v>
      </c>
      <c r="AE91" s="323" t="s">
        <v>2854</v>
      </c>
      <c r="AF91" s="162" t="str">
        <f t="shared" si="4"/>
        <v/>
      </c>
      <c r="AG91" s="162" t="str">
        <f t="shared" si="5"/>
        <v/>
      </c>
      <c r="AH91" s="164">
        <f t="shared" si="6"/>
        <v>5.1948051948051948</v>
      </c>
      <c r="AI91" s="164" t="str">
        <f t="shared" si="7"/>
        <v/>
      </c>
      <c r="AJ91" s="368"/>
      <c r="AK91" s="368"/>
      <c r="AL91" s="368"/>
      <c r="AM91" s="368"/>
      <c r="AN91" s="368"/>
      <c r="AO91" s="368"/>
      <c r="AP91" s="368"/>
      <c r="AQ91" s="368"/>
      <c r="AR91" s="368"/>
      <c r="AS91" s="195"/>
      <c r="AT91" s="195"/>
      <c r="AU91" s="377"/>
      <c r="AV91" s="382"/>
      <c r="AW91" s="428"/>
      <c r="AX91" s="426"/>
      <c r="AY91" s="428"/>
      <c r="AZ91" s="428"/>
      <c r="BA91" s="428"/>
      <c r="BB91" s="428"/>
      <c r="BC91" s="428"/>
      <c r="BD91" s="428"/>
      <c r="BE91" s="426"/>
      <c r="BF91" s="468">
        <f>4/0.77</f>
        <v>5.1948051948051948</v>
      </c>
      <c r="BG91" s="468">
        <v>4.4000000000000004</v>
      </c>
      <c r="BH91" s="341"/>
      <c r="BI91" s="446" t="s">
        <v>279</v>
      </c>
      <c r="BJ91" s="505"/>
    </row>
    <row r="92" spans="1:62" ht="15.75" customHeight="1" thickBot="1" x14ac:dyDescent="0.25">
      <c r="A92" s="174">
        <v>91</v>
      </c>
      <c r="B92" s="175">
        <v>1</v>
      </c>
      <c r="C92" s="166" t="s">
        <v>39</v>
      </c>
      <c r="D92" s="166" t="s">
        <v>40</v>
      </c>
      <c r="E92" s="166" t="s">
        <v>13</v>
      </c>
      <c r="F92" s="233" t="s">
        <v>280</v>
      </c>
      <c r="G92" s="166" t="s">
        <v>122</v>
      </c>
      <c r="H92" s="166" t="s">
        <v>248</v>
      </c>
      <c r="I92" s="181">
        <v>2013</v>
      </c>
      <c r="J92" s="181" t="s">
        <v>272</v>
      </c>
      <c r="K92" s="181" t="s">
        <v>273</v>
      </c>
      <c r="L92" s="181" t="s">
        <v>274</v>
      </c>
      <c r="M92" s="556" t="s">
        <v>4117</v>
      </c>
      <c r="N92" s="214" t="s">
        <v>20</v>
      </c>
      <c r="O92" s="214" t="s">
        <v>20</v>
      </c>
      <c r="P92" s="214" t="s">
        <v>20</v>
      </c>
      <c r="Q92" s="214" t="s">
        <v>20</v>
      </c>
      <c r="R92" s="214" t="s">
        <v>15</v>
      </c>
      <c r="S92" s="214" t="s">
        <v>20</v>
      </c>
      <c r="T92" s="214" t="s">
        <v>15</v>
      </c>
      <c r="U92" s="214" t="s">
        <v>15</v>
      </c>
      <c r="V92" s="214" t="s">
        <v>15</v>
      </c>
      <c r="W92" s="214" t="s">
        <v>15</v>
      </c>
      <c r="X92" s="214" t="s">
        <v>15</v>
      </c>
      <c r="Y92" s="214" t="s">
        <v>15</v>
      </c>
      <c r="Z92" s="311"/>
      <c r="AA92" s="311" t="s">
        <v>286</v>
      </c>
      <c r="AB92" s="214" t="s">
        <v>15</v>
      </c>
      <c r="AC92" s="214" t="s">
        <v>20</v>
      </c>
      <c r="AD92" s="320" t="s">
        <v>287</v>
      </c>
      <c r="AE92" s="320"/>
      <c r="AF92" s="162" t="str">
        <f t="shared" si="4"/>
        <v/>
      </c>
      <c r="AG92" s="162" t="str">
        <f t="shared" si="5"/>
        <v/>
      </c>
      <c r="AH92" s="164">
        <f t="shared" si="6"/>
        <v>3.4</v>
      </c>
      <c r="AI92" s="164" t="str">
        <f t="shared" si="7"/>
        <v/>
      </c>
      <c r="AJ92" s="368"/>
      <c r="AK92" s="368"/>
      <c r="AL92" s="368"/>
      <c r="AM92" s="368"/>
      <c r="AN92" s="368"/>
      <c r="AO92" s="368"/>
      <c r="AP92" s="368"/>
      <c r="AQ92" s="368"/>
      <c r="AR92" s="368"/>
      <c r="AS92" s="195"/>
      <c r="AT92" s="195"/>
      <c r="AU92" s="377"/>
      <c r="AV92" s="382"/>
      <c r="AW92" s="428"/>
      <c r="AX92" s="426"/>
      <c r="AY92" s="428"/>
      <c r="AZ92" s="428"/>
      <c r="BA92" s="428"/>
      <c r="BB92" s="428"/>
      <c r="BC92" s="428"/>
      <c r="BD92" s="428"/>
      <c r="BE92" s="426"/>
      <c r="BF92" s="468">
        <v>3.4</v>
      </c>
      <c r="BG92" s="468">
        <v>3.7</v>
      </c>
      <c r="BH92" s="341"/>
      <c r="BI92" s="446" t="s">
        <v>279</v>
      </c>
      <c r="BJ92" s="505"/>
    </row>
    <row r="93" spans="1:62" ht="15.75" customHeight="1" thickBot="1" x14ac:dyDescent="0.25">
      <c r="A93" s="176">
        <v>92</v>
      </c>
      <c r="B93" s="175">
        <v>1</v>
      </c>
      <c r="C93" s="166" t="s">
        <v>39</v>
      </c>
      <c r="D93" s="166" t="s">
        <v>40</v>
      </c>
      <c r="E93" s="166" t="s">
        <v>13</v>
      </c>
      <c r="F93" s="233" t="s">
        <v>280</v>
      </c>
      <c r="G93" s="166" t="s">
        <v>122</v>
      </c>
      <c r="H93" s="166" t="s">
        <v>285</v>
      </c>
      <c r="I93" s="181">
        <v>2013</v>
      </c>
      <c r="J93" s="181" t="s">
        <v>272</v>
      </c>
      <c r="K93" s="181" t="s">
        <v>273</v>
      </c>
      <c r="L93" s="181" t="s">
        <v>274</v>
      </c>
      <c r="M93" s="556" t="s">
        <v>4117</v>
      </c>
      <c r="N93" s="214" t="s">
        <v>20</v>
      </c>
      <c r="O93" s="214" t="s">
        <v>15</v>
      </c>
      <c r="P93" s="214" t="s">
        <v>20</v>
      </c>
      <c r="Q93" s="214" t="s">
        <v>20</v>
      </c>
      <c r="R93" s="214" t="s">
        <v>15</v>
      </c>
      <c r="S93" s="214" t="s">
        <v>20</v>
      </c>
      <c r="T93" s="214" t="s">
        <v>15</v>
      </c>
      <c r="U93" s="214" t="s">
        <v>15</v>
      </c>
      <c r="V93" s="214" t="s">
        <v>15</v>
      </c>
      <c r="W93" s="214" t="s">
        <v>15</v>
      </c>
      <c r="X93" s="214" t="s">
        <v>15</v>
      </c>
      <c r="Y93" s="214" t="s">
        <v>15</v>
      </c>
      <c r="Z93" s="311"/>
      <c r="AA93" s="311"/>
      <c r="AB93" s="214" t="s">
        <v>15</v>
      </c>
      <c r="AC93" s="214" t="s">
        <v>20</v>
      </c>
      <c r="AD93" s="320" t="s">
        <v>287</v>
      </c>
      <c r="AE93" s="320"/>
      <c r="AF93" s="162" t="str">
        <f t="shared" si="4"/>
        <v/>
      </c>
      <c r="AG93" s="162" t="str">
        <f t="shared" si="5"/>
        <v/>
      </c>
      <c r="AH93" s="164">
        <f t="shared" si="6"/>
        <v>2.75</v>
      </c>
      <c r="AI93" s="164" t="str">
        <f t="shared" si="7"/>
        <v/>
      </c>
      <c r="AJ93" s="368"/>
      <c r="AK93" s="368"/>
      <c r="AL93" s="368"/>
      <c r="AM93" s="368"/>
      <c r="AN93" s="368"/>
      <c r="AO93" s="368"/>
      <c r="AP93" s="368"/>
      <c r="AQ93" s="368"/>
      <c r="AR93" s="368"/>
      <c r="AS93" s="195"/>
      <c r="AT93" s="195"/>
      <c r="AU93" s="377"/>
      <c r="AV93" s="382"/>
      <c r="AW93" s="428"/>
      <c r="AX93" s="426"/>
      <c r="AY93" s="428"/>
      <c r="AZ93" s="428"/>
      <c r="BA93" s="428"/>
      <c r="BB93" s="428"/>
      <c r="BC93" s="428"/>
      <c r="BD93" s="428"/>
      <c r="BE93" s="426"/>
      <c r="BF93" s="468">
        <v>2.75</v>
      </c>
      <c r="BG93" s="468">
        <v>2.85</v>
      </c>
      <c r="BH93" s="341"/>
      <c r="BI93" s="446" t="s">
        <v>279</v>
      </c>
      <c r="BJ93" s="505"/>
    </row>
    <row r="94" spans="1:62" ht="15.75" customHeight="1" thickBot="1" x14ac:dyDescent="0.25">
      <c r="A94" s="174">
        <v>93</v>
      </c>
      <c r="B94" s="175">
        <v>1</v>
      </c>
      <c r="C94" s="166" t="s">
        <v>24</v>
      </c>
      <c r="D94" s="166" t="s">
        <v>53</v>
      </c>
      <c r="E94" s="166" t="s">
        <v>13</v>
      </c>
      <c r="F94" s="166" t="s">
        <v>288</v>
      </c>
      <c r="G94" s="166" t="s">
        <v>122</v>
      </c>
      <c r="H94" s="166" t="s">
        <v>289</v>
      </c>
      <c r="I94" s="181">
        <v>2013</v>
      </c>
      <c r="J94" s="181" t="s">
        <v>290</v>
      </c>
      <c r="K94" s="181" t="s">
        <v>291</v>
      </c>
      <c r="L94" s="181" t="s">
        <v>19</v>
      </c>
      <c r="M94" s="556" t="s">
        <v>4118</v>
      </c>
      <c r="N94" s="214" t="s">
        <v>20</v>
      </c>
      <c r="O94" s="214" t="s">
        <v>15</v>
      </c>
      <c r="P94" s="214" t="s">
        <v>15</v>
      </c>
      <c r="Q94" s="214" t="s">
        <v>15</v>
      </c>
      <c r="R94" s="214" t="s">
        <v>15</v>
      </c>
      <c r="S94" s="214" t="s">
        <v>15</v>
      </c>
      <c r="T94" s="214" t="s">
        <v>15</v>
      </c>
      <c r="U94" s="214" t="s">
        <v>15</v>
      </c>
      <c r="V94" s="214" t="s">
        <v>15</v>
      </c>
      <c r="W94" s="214" t="s">
        <v>15</v>
      </c>
      <c r="X94" s="214" t="s">
        <v>15</v>
      </c>
      <c r="Y94" s="214" t="s">
        <v>15</v>
      </c>
      <c r="Z94" s="234"/>
      <c r="AA94" s="234"/>
      <c r="AB94" s="214" t="s">
        <v>292</v>
      </c>
      <c r="AC94" s="214" t="s">
        <v>292</v>
      </c>
      <c r="AD94" s="320" t="s">
        <v>293</v>
      </c>
      <c r="AE94" s="320" t="s">
        <v>294</v>
      </c>
      <c r="AF94" s="162" t="str">
        <f t="shared" si="4"/>
        <v/>
      </c>
      <c r="AG94" s="162" t="str">
        <f t="shared" si="5"/>
        <v/>
      </c>
      <c r="AH94" s="164">
        <f t="shared" si="6"/>
        <v>34.482758620689651</v>
      </c>
      <c r="AI94" s="164" t="str">
        <f t="shared" si="7"/>
        <v/>
      </c>
      <c r="AJ94" s="368"/>
      <c r="AK94" s="368"/>
      <c r="AL94" s="368"/>
      <c r="AM94" s="368"/>
      <c r="AN94" s="368"/>
      <c r="AO94" s="368"/>
      <c r="AP94" s="368"/>
      <c r="AQ94" s="368"/>
      <c r="AR94" s="368"/>
      <c r="AS94" s="195"/>
      <c r="AT94" s="195"/>
      <c r="AU94" s="377"/>
      <c r="AV94" s="382"/>
      <c r="AW94" s="428"/>
      <c r="AX94" s="426"/>
      <c r="AY94" s="428"/>
      <c r="AZ94" s="428"/>
      <c r="BA94" s="428"/>
      <c r="BB94" s="428"/>
      <c r="BC94" s="428"/>
      <c r="BD94" s="428"/>
      <c r="BE94" s="426"/>
      <c r="BF94" s="467">
        <f>23/0.667</f>
        <v>34.482758620689651</v>
      </c>
      <c r="BG94" s="469"/>
      <c r="BH94" s="341"/>
      <c r="BI94" s="446" t="s">
        <v>295</v>
      </c>
      <c r="BJ94" s="505"/>
    </row>
    <row r="95" spans="1:62" ht="15.75" customHeight="1" thickBot="1" x14ac:dyDescent="0.25">
      <c r="A95" s="176">
        <v>94</v>
      </c>
      <c r="B95" s="175">
        <v>1</v>
      </c>
      <c r="C95" s="166" t="s">
        <v>24</v>
      </c>
      <c r="D95" s="166" t="s">
        <v>53</v>
      </c>
      <c r="E95" s="166" t="s">
        <v>13</v>
      </c>
      <c r="F95" s="166" t="s">
        <v>296</v>
      </c>
      <c r="G95" s="166" t="s">
        <v>122</v>
      </c>
      <c r="H95" s="166" t="s">
        <v>289</v>
      </c>
      <c r="I95" s="181">
        <v>2013</v>
      </c>
      <c r="J95" s="181" t="s">
        <v>290</v>
      </c>
      <c r="K95" s="181" t="s">
        <v>291</v>
      </c>
      <c r="L95" s="181" t="s">
        <v>19</v>
      </c>
      <c r="M95" s="556" t="s">
        <v>4118</v>
      </c>
      <c r="N95" s="214" t="s">
        <v>20</v>
      </c>
      <c r="O95" s="214" t="s">
        <v>15</v>
      </c>
      <c r="P95" s="214" t="s">
        <v>15</v>
      </c>
      <c r="Q95" s="214" t="s">
        <v>15</v>
      </c>
      <c r="R95" s="214" t="s">
        <v>15</v>
      </c>
      <c r="S95" s="214" t="s">
        <v>15</v>
      </c>
      <c r="T95" s="214" t="s">
        <v>15</v>
      </c>
      <c r="U95" s="214" t="s">
        <v>15</v>
      </c>
      <c r="V95" s="214" t="s">
        <v>15</v>
      </c>
      <c r="W95" s="214" t="s">
        <v>15</v>
      </c>
      <c r="X95" s="214" t="s">
        <v>15</v>
      </c>
      <c r="Y95" s="214" t="s">
        <v>15</v>
      </c>
      <c r="Z95" s="234"/>
      <c r="AA95" s="234"/>
      <c r="AB95" s="214" t="s">
        <v>292</v>
      </c>
      <c r="AC95" s="214" t="s">
        <v>292</v>
      </c>
      <c r="AD95" s="320" t="s">
        <v>293</v>
      </c>
      <c r="AE95" s="320" t="s">
        <v>294</v>
      </c>
      <c r="AF95" s="162" t="str">
        <f t="shared" si="4"/>
        <v/>
      </c>
      <c r="AG95" s="162" t="str">
        <f t="shared" si="5"/>
        <v/>
      </c>
      <c r="AH95" s="164">
        <f t="shared" si="6"/>
        <v>36.131934032983509</v>
      </c>
      <c r="AI95" s="164" t="str">
        <f t="shared" si="7"/>
        <v/>
      </c>
      <c r="AJ95" s="368"/>
      <c r="AK95" s="368"/>
      <c r="AL95" s="368"/>
      <c r="AM95" s="368"/>
      <c r="AN95" s="368"/>
      <c r="AO95" s="368"/>
      <c r="AP95" s="368"/>
      <c r="AQ95" s="368"/>
      <c r="AR95" s="368"/>
      <c r="AS95" s="195"/>
      <c r="AT95" s="195"/>
      <c r="AU95" s="377"/>
      <c r="AV95" s="382"/>
      <c r="AW95" s="428"/>
      <c r="AX95" s="426"/>
      <c r="AY95" s="428"/>
      <c r="AZ95" s="428"/>
      <c r="BA95" s="428"/>
      <c r="BB95" s="428"/>
      <c r="BC95" s="428"/>
      <c r="BD95" s="428"/>
      <c r="BE95" s="426"/>
      <c r="BF95" s="467">
        <f>24.1/0.667</f>
        <v>36.131934032983509</v>
      </c>
      <c r="BG95" s="469"/>
      <c r="BH95" s="341"/>
      <c r="BI95" s="446" t="s">
        <v>295</v>
      </c>
      <c r="BJ95" s="505"/>
    </row>
    <row r="96" spans="1:62" ht="15.75" customHeight="1" thickBot="1" x14ac:dyDescent="0.25">
      <c r="A96" s="174">
        <v>95</v>
      </c>
      <c r="B96" s="175">
        <v>1</v>
      </c>
      <c r="C96" s="166" t="s">
        <v>24</v>
      </c>
      <c r="D96" s="166" t="s">
        <v>53</v>
      </c>
      <c r="E96" s="166" t="s">
        <v>13</v>
      </c>
      <c r="F96" s="166" t="s">
        <v>297</v>
      </c>
      <c r="G96" s="166" t="s">
        <v>122</v>
      </c>
      <c r="H96" s="166" t="s">
        <v>289</v>
      </c>
      <c r="I96" s="181">
        <v>2013</v>
      </c>
      <c r="J96" s="181" t="s">
        <v>290</v>
      </c>
      <c r="K96" s="181" t="s">
        <v>291</v>
      </c>
      <c r="L96" s="181" t="s">
        <v>19</v>
      </c>
      <c r="M96" s="556" t="s">
        <v>4118</v>
      </c>
      <c r="N96" s="214" t="s">
        <v>20</v>
      </c>
      <c r="O96" s="214" t="s">
        <v>15</v>
      </c>
      <c r="P96" s="214" t="s">
        <v>15</v>
      </c>
      <c r="Q96" s="214" t="s">
        <v>15</v>
      </c>
      <c r="R96" s="214" t="s">
        <v>15</v>
      </c>
      <c r="S96" s="214" t="s">
        <v>15</v>
      </c>
      <c r="T96" s="214" t="s">
        <v>15</v>
      </c>
      <c r="U96" s="214" t="s">
        <v>15</v>
      </c>
      <c r="V96" s="214" t="s">
        <v>15</v>
      </c>
      <c r="W96" s="214" t="s">
        <v>15</v>
      </c>
      <c r="X96" s="214" t="s">
        <v>15</v>
      </c>
      <c r="Y96" s="214" t="s">
        <v>15</v>
      </c>
      <c r="Z96" s="234"/>
      <c r="AA96" s="234"/>
      <c r="AB96" s="214" t="s">
        <v>292</v>
      </c>
      <c r="AC96" s="214" t="s">
        <v>292</v>
      </c>
      <c r="AD96" s="320" t="s">
        <v>293</v>
      </c>
      <c r="AE96" s="320" t="s">
        <v>294</v>
      </c>
      <c r="AF96" s="162" t="str">
        <f t="shared" si="4"/>
        <v/>
      </c>
      <c r="AG96" s="162" t="str">
        <f t="shared" si="5"/>
        <v/>
      </c>
      <c r="AH96" s="164">
        <f t="shared" si="6"/>
        <v>34.332833583208391</v>
      </c>
      <c r="AI96" s="164" t="str">
        <f t="shared" si="7"/>
        <v/>
      </c>
      <c r="AJ96" s="368"/>
      <c r="AK96" s="368"/>
      <c r="AL96" s="368"/>
      <c r="AM96" s="368"/>
      <c r="AN96" s="368"/>
      <c r="AO96" s="368"/>
      <c r="AP96" s="368"/>
      <c r="AQ96" s="368"/>
      <c r="AR96" s="368"/>
      <c r="AS96" s="195"/>
      <c r="AT96" s="195"/>
      <c r="AU96" s="377"/>
      <c r="AV96" s="382"/>
      <c r="AW96" s="428"/>
      <c r="AX96" s="426"/>
      <c r="AY96" s="428"/>
      <c r="AZ96" s="428"/>
      <c r="BA96" s="428"/>
      <c r="BB96" s="428"/>
      <c r="BC96" s="428"/>
      <c r="BD96" s="428"/>
      <c r="BE96" s="426"/>
      <c r="BF96" s="467">
        <f>22.9/0.667</f>
        <v>34.332833583208391</v>
      </c>
      <c r="BG96" s="469"/>
      <c r="BH96" s="341"/>
      <c r="BI96" s="446" t="s">
        <v>295</v>
      </c>
      <c r="BJ96" s="505"/>
    </row>
    <row r="97" spans="1:62" ht="15.75" customHeight="1" thickBot="1" x14ac:dyDescent="0.25">
      <c r="A97" s="176">
        <v>96</v>
      </c>
      <c r="B97" s="175">
        <v>1</v>
      </c>
      <c r="C97" s="166" t="s">
        <v>24</v>
      </c>
      <c r="D97" s="166" t="s">
        <v>53</v>
      </c>
      <c r="E97" s="166" t="s">
        <v>13</v>
      </c>
      <c r="F97" s="166" t="s">
        <v>298</v>
      </c>
      <c r="G97" s="166" t="s">
        <v>122</v>
      </c>
      <c r="H97" s="166" t="s">
        <v>289</v>
      </c>
      <c r="I97" s="181">
        <v>2013</v>
      </c>
      <c r="J97" s="181" t="s">
        <v>290</v>
      </c>
      <c r="K97" s="181" t="s">
        <v>291</v>
      </c>
      <c r="L97" s="181" t="s">
        <v>19</v>
      </c>
      <c r="M97" s="556" t="s">
        <v>4118</v>
      </c>
      <c r="N97" s="214" t="s">
        <v>20</v>
      </c>
      <c r="O97" s="214" t="s">
        <v>15</v>
      </c>
      <c r="P97" s="214" t="s">
        <v>15</v>
      </c>
      <c r="Q97" s="214" t="s">
        <v>15</v>
      </c>
      <c r="R97" s="214" t="s">
        <v>15</v>
      </c>
      <c r="S97" s="214" t="s">
        <v>15</v>
      </c>
      <c r="T97" s="214" t="s">
        <v>15</v>
      </c>
      <c r="U97" s="214" t="s">
        <v>15</v>
      </c>
      <c r="V97" s="214" t="s">
        <v>15</v>
      </c>
      <c r="W97" s="214" t="s">
        <v>15</v>
      </c>
      <c r="X97" s="214" t="s">
        <v>15</v>
      </c>
      <c r="Y97" s="214" t="s">
        <v>15</v>
      </c>
      <c r="Z97" s="234"/>
      <c r="AA97" s="234"/>
      <c r="AB97" s="214" t="s">
        <v>292</v>
      </c>
      <c r="AC97" s="214" t="s">
        <v>292</v>
      </c>
      <c r="AD97" s="320" t="s">
        <v>293</v>
      </c>
      <c r="AE97" s="320" t="s">
        <v>294</v>
      </c>
      <c r="AF97" s="162" t="str">
        <f t="shared" si="4"/>
        <v/>
      </c>
      <c r="AG97" s="162" t="str">
        <f t="shared" si="5"/>
        <v/>
      </c>
      <c r="AH97" s="164">
        <f t="shared" si="6"/>
        <v>47.376311844077961</v>
      </c>
      <c r="AI97" s="164" t="str">
        <f t="shared" si="7"/>
        <v/>
      </c>
      <c r="AJ97" s="368"/>
      <c r="AK97" s="368"/>
      <c r="AL97" s="368"/>
      <c r="AM97" s="368"/>
      <c r="AN97" s="368"/>
      <c r="AO97" s="368"/>
      <c r="AP97" s="368"/>
      <c r="AQ97" s="368"/>
      <c r="AR97" s="368"/>
      <c r="AS97" s="195"/>
      <c r="AT97" s="195"/>
      <c r="AU97" s="377"/>
      <c r="AV97" s="382"/>
      <c r="AW97" s="428"/>
      <c r="AX97" s="426"/>
      <c r="AY97" s="428"/>
      <c r="AZ97" s="428"/>
      <c r="BA97" s="428"/>
      <c r="BB97" s="428"/>
      <c r="BC97" s="428"/>
      <c r="BD97" s="428"/>
      <c r="BE97" s="426"/>
      <c r="BF97" s="467">
        <f>31.6/0.667</f>
        <v>47.376311844077961</v>
      </c>
      <c r="BG97" s="469"/>
      <c r="BH97" s="341"/>
      <c r="BI97" s="446" t="s">
        <v>295</v>
      </c>
      <c r="BJ97" s="505"/>
    </row>
    <row r="98" spans="1:62" ht="15.75" customHeight="1" thickBot="1" x14ac:dyDescent="0.25">
      <c r="A98" s="174">
        <v>97</v>
      </c>
      <c r="B98" s="175">
        <v>1</v>
      </c>
      <c r="C98" s="166" t="s">
        <v>24</v>
      </c>
      <c r="D98" s="166" t="s">
        <v>53</v>
      </c>
      <c r="E98" s="166" t="s">
        <v>13</v>
      </c>
      <c r="F98" s="166" t="s">
        <v>299</v>
      </c>
      <c r="G98" s="166" t="s">
        <v>122</v>
      </c>
      <c r="H98" s="166" t="s">
        <v>300</v>
      </c>
      <c r="I98" s="181">
        <v>2010</v>
      </c>
      <c r="J98" s="181" t="s">
        <v>301</v>
      </c>
      <c r="K98" s="181" t="s">
        <v>302</v>
      </c>
      <c r="L98" s="181" t="s">
        <v>19</v>
      </c>
      <c r="M98" s="556" t="s">
        <v>4119</v>
      </c>
      <c r="N98" s="214" t="s">
        <v>20</v>
      </c>
      <c r="O98" s="214" t="s">
        <v>15</v>
      </c>
      <c r="P98" s="214" t="s">
        <v>15</v>
      </c>
      <c r="Q98" s="214" t="s">
        <v>15</v>
      </c>
      <c r="R98" s="214" t="s">
        <v>15</v>
      </c>
      <c r="S98" s="214" t="s">
        <v>15</v>
      </c>
      <c r="T98" s="214" t="s">
        <v>15</v>
      </c>
      <c r="U98" s="214" t="s">
        <v>15</v>
      </c>
      <c r="V98" s="214" t="s">
        <v>15</v>
      </c>
      <c r="W98" s="214" t="s">
        <v>15</v>
      </c>
      <c r="X98" s="214" t="s">
        <v>15</v>
      </c>
      <c r="Y98" s="214" t="s">
        <v>15</v>
      </c>
      <c r="Z98" s="234"/>
      <c r="AA98" s="214" t="s">
        <v>303</v>
      </c>
      <c r="AB98" s="214" t="s">
        <v>292</v>
      </c>
      <c r="AC98" s="214" t="s">
        <v>292</v>
      </c>
      <c r="AD98" s="320" t="s">
        <v>304</v>
      </c>
      <c r="AE98" s="320" t="s">
        <v>305</v>
      </c>
      <c r="AF98" s="162" t="str">
        <f t="shared" si="4"/>
        <v/>
      </c>
      <c r="AG98" s="162" t="str">
        <f t="shared" si="5"/>
        <v/>
      </c>
      <c r="AH98" s="164">
        <f t="shared" si="6"/>
        <v>36.815920398009951</v>
      </c>
      <c r="AI98" s="164" t="str">
        <f t="shared" si="7"/>
        <v/>
      </c>
      <c r="AJ98" s="368"/>
      <c r="AK98" s="368"/>
      <c r="AL98" s="368"/>
      <c r="AM98" s="368"/>
      <c r="AN98" s="368"/>
      <c r="AO98" s="368"/>
      <c r="AP98" s="368"/>
      <c r="AQ98" s="368"/>
      <c r="AR98" s="368"/>
      <c r="AS98" s="195"/>
      <c r="AT98" s="195"/>
      <c r="AU98" s="377"/>
      <c r="AV98" s="382"/>
      <c r="AW98" s="428"/>
      <c r="AX98" s="426"/>
      <c r="AY98" s="428"/>
      <c r="AZ98" s="428"/>
      <c r="BA98" s="428"/>
      <c r="BB98" s="428"/>
      <c r="BC98" s="428"/>
      <c r="BD98" s="428"/>
      <c r="BE98" s="426"/>
      <c r="BF98" s="467">
        <f>14.8/0.402</f>
        <v>36.815920398009951</v>
      </c>
      <c r="BG98" s="469"/>
      <c r="BH98" s="341"/>
      <c r="BI98" s="446" t="s">
        <v>279</v>
      </c>
      <c r="BJ98" s="505"/>
    </row>
    <row r="99" spans="1:62" ht="15.75" customHeight="1" thickBot="1" x14ac:dyDescent="0.25">
      <c r="A99" s="176">
        <v>98</v>
      </c>
      <c r="B99" s="175">
        <v>1</v>
      </c>
      <c r="C99" s="166" t="s">
        <v>24</v>
      </c>
      <c r="D99" s="166" t="s">
        <v>53</v>
      </c>
      <c r="E99" s="166" t="s">
        <v>13</v>
      </c>
      <c r="F99" s="166" t="s">
        <v>306</v>
      </c>
      <c r="G99" s="166" t="s">
        <v>122</v>
      </c>
      <c r="H99" s="166" t="s">
        <v>300</v>
      </c>
      <c r="I99" s="181">
        <v>2010</v>
      </c>
      <c r="J99" s="181" t="s">
        <v>301</v>
      </c>
      <c r="K99" s="181" t="s">
        <v>302</v>
      </c>
      <c r="L99" s="181" t="s">
        <v>19</v>
      </c>
      <c r="M99" s="556" t="s">
        <v>4119</v>
      </c>
      <c r="N99" s="214" t="s">
        <v>20</v>
      </c>
      <c r="O99" s="214" t="s">
        <v>15</v>
      </c>
      <c r="P99" s="214" t="s">
        <v>15</v>
      </c>
      <c r="Q99" s="214" t="s">
        <v>15</v>
      </c>
      <c r="R99" s="214" t="s">
        <v>15</v>
      </c>
      <c r="S99" s="214" t="s">
        <v>15</v>
      </c>
      <c r="T99" s="214" t="s">
        <v>15</v>
      </c>
      <c r="U99" s="214" t="s">
        <v>15</v>
      </c>
      <c r="V99" s="214" t="s">
        <v>15</v>
      </c>
      <c r="W99" s="214" t="s">
        <v>15</v>
      </c>
      <c r="X99" s="214" t="s">
        <v>15</v>
      </c>
      <c r="Y99" s="214" t="s">
        <v>15</v>
      </c>
      <c r="Z99" s="234"/>
      <c r="AA99" s="214" t="s">
        <v>303</v>
      </c>
      <c r="AB99" s="214" t="s">
        <v>292</v>
      </c>
      <c r="AC99" s="214" t="s">
        <v>292</v>
      </c>
      <c r="AD99" s="320" t="s">
        <v>304</v>
      </c>
      <c r="AE99" s="320" t="s">
        <v>305</v>
      </c>
      <c r="AF99" s="162" t="str">
        <f t="shared" si="4"/>
        <v/>
      </c>
      <c r="AG99" s="162" t="str">
        <f t="shared" si="5"/>
        <v/>
      </c>
      <c r="AH99" s="164">
        <f t="shared" si="6"/>
        <v>40.298507462686565</v>
      </c>
      <c r="AI99" s="164" t="str">
        <f t="shared" si="7"/>
        <v/>
      </c>
      <c r="AJ99" s="368"/>
      <c r="AK99" s="368"/>
      <c r="AL99" s="368"/>
      <c r="AM99" s="368"/>
      <c r="AN99" s="368"/>
      <c r="AO99" s="368"/>
      <c r="AP99" s="368"/>
      <c r="AQ99" s="368"/>
      <c r="AR99" s="368"/>
      <c r="AS99" s="195"/>
      <c r="AT99" s="195"/>
      <c r="AU99" s="377"/>
      <c r="AV99" s="382"/>
      <c r="AW99" s="428"/>
      <c r="AX99" s="426"/>
      <c r="AY99" s="428"/>
      <c r="AZ99" s="428"/>
      <c r="BA99" s="428"/>
      <c r="BB99" s="428"/>
      <c r="BC99" s="428"/>
      <c r="BD99" s="428"/>
      <c r="BE99" s="426"/>
      <c r="BF99" s="467">
        <f>16.2/0.402</f>
        <v>40.298507462686565</v>
      </c>
      <c r="BG99" s="469"/>
      <c r="BH99" s="341"/>
      <c r="BI99" s="446" t="s">
        <v>279</v>
      </c>
      <c r="BJ99" s="505"/>
    </row>
    <row r="100" spans="1:62" ht="15.75" customHeight="1" thickBot="1" x14ac:dyDescent="0.25">
      <c r="A100" s="174">
        <v>99</v>
      </c>
      <c r="B100" s="175">
        <v>1</v>
      </c>
      <c r="C100" s="166" t="s">
        <v>24</v>
      </c>
      <c r="D100" s="166" t="s">
        <v>53</v>
      </c>
      <c r="E100" s="166" t="s">
        <v>13</v>
      </c>
      <c r="F100" s="166" t="s">
        <v>307</v>
      </c>
      <c r="G100" s="166" t="s">
        <v>122</v>
      </c>
      <c r="H100" s="166" t="s">
        <v>300</v>
      </c>
      <c r="I100" s="181">
        <v>2010</v>
      </c>
      <c r="J100" s="181" t="s">
        <v>301</v>
      </c>
      <c r="K100" s="181" t="s">
        <v>302</v>
      </c>
      <c r="L100" s="181" t="s">
        <v>19</v>
      </c>
      <c r="M100" s="556" t="s">
        <v>4119</v>
      </c>
      <c r="N100" s="214" t="s">
        <v>20</v>
      </c>
      <c r="O100" s="214" t="s">
        <v>15</v>
      </c>
      <c r="P100" s="214" t="s">
        <v>15</v>
      </c>
      <c r="Q100" s="214" t="s">
        <v>15</v>
      </c>
      <c r="R100" s="214" t="s">
        <v>15</v>
      </c>
      <c r="S100" s="214" t="s">
        <v>15</v>
      </c>
      <c r="T100" s="214" t="s">
        <v>15</v>
      </c>
      <c r="U100" s="214" t="s">
        <v>15</v>
      </c>
      <c r="V100" s="214" t="s">
        <v>15</v>
      </c>
      <c r="W100" s="214" t="s">
        <v>15</v>
      </c>
      <c r="X100" s="214" t="s">
        <v>15</v>
      </c>
      <c r="Y100" s="214" t="s">
        <v>15</v>
      </c>
      <c r="Z100" s="234"/>
      <c r="AA100" s="214" t="s">
        <v>303</v>
      </c>
      <c r="AB100" s="214" t="s">
        <v>292</v>
      </c>
      <c r="AC100" s="214" t="s">
        <v>292</v>
      </c>
      <c r="AD100" s="320" t="s">
        <v>304</v>
      </c>
      <c r="AE100" s="320" t="s">
        <v>305</v>
      </c>
      <c r="AF100" s="162" t="str">
        <f t="shared" si="4"/>
        <v/>
      </c>
      <c r="AG100" s="162" t="str">
        <f t="shared" si="5"/>
        <v/>
      </c>
      <c r="AH100" s="164">
        <f t="shared" si="6"/>
        <v>47.761194029850742</v>
      </c>
      <c r="AI100" s="164" t="str">
        <f t="shared" si="7"/>
        <v/>
      </c>
      <c r="AJ100" s="368"/>
      <c r="AK100" s="368"/>
      <c r="AL100" s="368"/>
      <c r="AM100" s="368"/>
      <c r="AN100" s="368"/>
      <c r="AO100" s="368"/>
      <c r="AP100" s="368"/>
      <c r="AQ100" s="368"/>
      <c r="AR100" s="368"/>
      <c r="AS100" s="195"/>
      <c r="AT100" s="195"/>
      <c r="AU100" s="377"/>
      <c r="AV100" s="382"/>
      <c r="AW100" s="428"/>
      <c r="AX100" s="426"/>
      <c r="AY100" s="428"/>
      <c r="AZ100" s="428"/>
      <c r="BA100" s="428"/>
      <c r="BB100" s="428"/>
      <c r="BC100" s="428"/>
      <c r="BD100" s="428"/>
      <c r="BE100" s="426"/>
      <c r="BF100" s="467">
        <f>19.2/0.402</f>
        <v>47.761194029850742</v>
      </c>
      <c r="BG100" s="469"/>
      <c r="BH100" s="341"/>
      <c r="BI100" s="446" t="s">
        <v>279</v>
      </c>
      <c r="BJ100" s="505"/>
    </row>
    <row r="101" spans="1:62" ht="15.75" customHeight="1" thickBot="1" x14ac:dyDescent="0.25">
      <c r="A101" s="176">
        <v>100</v>
      </c>
      <c r="B101" s="175">
        <v>1</v>
      </c>
      <c r="C101" s="166" t="s">
        <v>24</v>
      </c>
      <c r="D101" s="166" t="s">
        <v>53</v>
      </c>
      <c r="E101" s="166" t="s">
        <v>13</v>
      </c>
      <c r="F101" s="166" t="s">
        <v>308</v>
      </c>
      <c r="G101" s="166" t="s">
        <v>15</v>
      </c>
      <c r="H101" s="166" t="s">
        <v>309</v>
      </c>
      <c r="I101" s="181">
        <v>2010</v>
      </c>
      <c r="J101" s="181" t="s">
        <v>310</v>
      </c>
      <c r="K101" s="181" t="s">
        <v>311</v>
      </c>
      <c r="L101" s="181" t="s">
        <v>19</v>
      </c>
      <c r="M101" s="556" t="s">
        <v>4120</v>
      </c>
      <c r="N101" s="214" t="s">
        <v>20</v>
      </c>
      <c r="O101" s="214" t="s">
        <v>15</v>
      </c>
      <c r="P101" s="214" t="s">
        <v>20</v>
      </c>
      <c r="Q101" s="214" t="s">
        <v>20</v>
      </c>
      <c r="R101" s="214" t="s">
        <v>15</v>
      </c>
      <c r="S101" s="214" t="s">
        <v>15</v>
      </c>
      <c r="T101" s="214" t="s">
        <v>15</v>
      </c>
      <c r="U101" s="214" t="s">
        <v>15</v>
      </c>
      <c r="V101" s="214" t="s">
        <v>15</v>
      </c>
      <c r="W101" s="214" t="s">
        <v>15</v>
      </c>
      <c r="X101" s="214" t="s">
        <v>15</v>
      </c>
      <c r="Y101" s="214" t="s">
        <v>15</v>
      </c>
      <c r="Z101" s="234"/>
      <c r="AA101" s="214" t="s">
        <v>312</v>
      </c>
      <c r="AB101" s="214" t="s">
        <v>292</v>
      </c>
      <c r="AC101" s="214" t="s">
        <v>292</v>
      </c>
      <c r="AD101" s="320" t="s">
        <v>313</v>
      </c>
      <c r="AE101" s="320" t="s">
        <v>294</v>
      </c>
      <c r="AF101" s="162" t="str">
        <f t="shared" si="4"/>
        <v/>
      </c>
      <c r="AG101" s="162" t="str">
        <f t="shared" si="5"/>
        <v/>
      </c>
      <c r="AH101" s="164">
        <f t="shared" si="6"/>
        <v>22.788605697151421</v>
      </c>
      <c r="AI101" s="164" t="str">
        <f t="shared" si="7"/>
        <v/>
      </c>
      <c r="AJ101" s="368"/>
      <c r="AK101" s="368"/>
      <c r="AL101" s="368"/>
      <c r="AM101" s="368"/>
      <c r="AN101" s="368"/>
      <c r="AO101" s="368"/>
      <c r="AP101" s="368"/>
      <c r="AQ101" s="368"/>
      <c r="AR101" s="368"/>
      <c r="AS101" s="195"/>
      <c r="AT101" s="195"/>
      <c r="AU101" s="378" t="s">
        <v>314</v>
      </c>
      <c r="AV101" s="382"/>
      <c r="AW101" s="428"/>
      <c r="AX101" s="426"/>
      <c r="AY101" s="428"/>
      <c r="AZ101" s="428"/>
      <c r="BA101" s="428"/>
      <c r="BB101" s="428"/>
      <c r="BC101" s="428"/>
      <c r="BD101" s="428"/>
      <c r="BE101" s="426"/>
      <c r="BF101" s="468">
        <f>15.2/0.667</f>
        <v>22.788605697151421</v>
      </c>
      <c r="BG101" s="469"/>
      <c r="BH101" s="341"/>
      <c r="BI101" s="447"/>
      <c r="BJ101" s="505"/>
    </row>
    <row r="102" spans="1:62" ht="15.75" customHeight="1" thickBot="1" x14ac:dyDescent="0.25">
      <c r="A102" s="174">
        <v>101</v>
      </c>
      <c r="B102" s="175">
        <v>1</v>
      </c>
      <c r="C102" s="166" t="s">
        <v>24</v>
      </c>
      <c r="D102" s="166" t="s">
        <v>53</v>
      </c>
      <c r="E102" s="166" t="s">
        <v>13</v>
      </c>
      <c r="F102" s="166" t="s">
        <v>315</v>
      </c>
      <c r="G102" s="166" t="s">
        <v>15</v>
      </c>
      <c r="H102" s="166" t="s">
        <v>316</v>
      </c>
      <c r="I102" s="181">
        <v>2010</v>
      </c>
      <c r="J102" s="181" t="s">
        <v>310</v>
      </c>
      <c r="K102" s="181" t="s">
        <v>311</v>
      </c>
      <c r="L102" s="181" t="s">
        <v>19</v>
      </c>
      <c r="M102" s="556" t="s">
        <v>4120</v>
      </c>
      <c r="N102" s="214" t="s">
        <v>20</v>
      </c>
      <c r="O102" s="214" t="s">
        <v>15</v>
      </c>
      <c r="P102" s="214" t="s">
        <v>20</v>
      </c>
      <c r="Q102" s="214" t="s">
        <v>20</v>
      </c>
      <c r="R102" s="214" t="s">
        <v>15</v>
      </c>
      <c r="S102" s="214" t="s">
        <v>15</v>
      </c>
      <c r="T102" s="214" t="s">
        <v>15</v>
      </c>
      <c r="U102" s="214" t="s">
        <v>15</v>
      </c>
      <c r="V102" s="214" t="s">
        <v>15</v>
      </c>
      <c r="W102" s="214" t="s">
        <v>15</v>
      </c>
      <c r="X102" s="214" t="s">
        <v>15</v>
      </c>
      <c r="Y102" s="214" t="s">
        <v>15</v>
      </c>
      <c r="Z102" s="234"/>
      <c r="AA102" s="214" t="s">
        <v>312</v>
      </c>
      <c r="AB102" s="214" t="s">
        <v>292</v>
      </c>
      <c r="AC102" s="214" t="s">
        <v>292</v>
      </c>
      <c r="AD102" s="320" t="s">
        <v>313</v>
      </c>
      <c r="AE102" s="320" t="s">
        <v>294</v>
      </c>
      <c r="AF102" s="162" t="str">
        <f t="shared" si="4"/>
        <v/>
      </c>
      <c r="AG102" s="162" t="str">
        <f t="shared" si="5"/>
        <v/>
      </c>
      <c r="AH102" s="164">
        <f t="shared" si="6"/>
        <v>22.263868065967014</v>
      </c>
      <c r="AI102" s="164" t="str">
        <f t="shared" si="7"/>
        <v/>
      </c>
      <c r="AJ102" s="368"/>
      <c r="AK102" s="368"/>
      <c r="AL102" s="368"/>
      <c r="AM102" s="368"/>
      <c r="AN102" s="368"/>
      <c r="AO102" s="368"/>
      <c r="AP102" s="368"/>
      <c r="AQ102" s="368"/>
      <c r="AR102" s="368"/>
      <c r="AS102" s="195"/>
      <c r="AT102" s="195"/>
      <c r="AU102" s="377"/>
      <c r="AV102" s="382"/>
      <c r="AW102" s="428"/>
      <c r="AX102" s="426"/>
      <c r="AY102" s="428"/>
      <c r="AZ102" s="428"/>
      <c r="BA102" s="428"/>
      <c r="BB102" s="428"/>
      <c r="BC102" s="428"/>
      <c r="BD102" s="428"/>
      <c r="BE102" s="426"/>
      <c r="BF102" s="468">
        <f>14.85/0.667</f>
        <v>22.263868065967014</v>
      </c>
      <c r="BG102" s="469"/>
      <c r="BH102" s="341"/>
      <c r="BI102" s="447"/>
      <c r="BJ102" s="505"/>
    </row>
    <row r="103" spans="1:62" ht="15.75" customHeight="1" thickBot="1" x14ac:dyDescent="0.25">
      <c r="A103" s="176">
        <v>102</v>
      </c>
      <c r="B103" s="175">
        <v>1</v>
      </c>
      <c r="C103" s="166" t="s">
        <v>24</v>
      </c>
      <c r="D103" s="169" t="s">
        <v>346</v>
      </c>
      <c r="E103" s="166" t="s">
        <v>13</v>
      </c>
      <c r="F103" s="166" t="s">
        <v>317</v>
      </c>
      <c r="G103" s="166" t="s">
        <v>15</v>
      </c>
      <c r="H103" s="233" t="s">
        <v>318</v>
      </c>
      <c r="I103" s="181">
        <v>2010</v>
      </c>
      <c r="J103" s="181" t="s">
        <v>310</v>
      </c>
      <c r="K103" s="181" t="s">
        <v>311</v>
      </c>
      <c r="L103" s="181" t="s">
        <v>19</v>
      </c>
      <c r="M103" s="556" t="s">
        <v>4120</v>
      </c>
      <c r="N103" s="214" t="s">
        <v>20</v>
      </c>
      <c r="O103" s="214" t="s">
        <v>15</v>
      </c>
      <c r="P103" s="214" t="s">
        <v>20</v>
      </c>
      <c r="Q103" s="214" t="s">
        <v>20</v>
      </c>
      <c r="R103" s="214" t="s">
        <v>15</v>
      </c>
      <c r="S103" s="214" t="s">
        <v>15</v>
      </c>
      <c r="T103" s="214" t="s">
        <v>15</v>
      </c>
      <c r="U103" s="214" t="s">
        <v>15</v>
      </c>
      <c r="V103" s="214" t="s">
        <v>15</v>
      </c>
      <c r="W103" s="214" t="s">
        <v>15</v>
      </c>
      <c r="X103" s="214" t="s">
        <v>15</v>
      </c>
      <c r="Y103" s="214" t="s">
        <v>15</v>
      </c>
      <c r="Z103" s="234"/>
      <c r="AA103" s="214" t="s">
        <v>312</v>
      </c>
      <c r="AB103" s="214" t="s">
        <v>292</v>
      </c>
      <c r="AC103" s="214" t="s">
        <v>292</v>
      </c>
      <c r="AD103" s="320" t="s">
        <v>313</v>
      </c>
      <c r="AE103" s="320" t="s">
        <v>63</v>
      </c>
      <c r="AF103" s="162" t="str">
        <f t="shared" si="4"/>
        <v/>
      </c>
      <c r="AG103" s="162" t="str">
        <f t="shared" si="5"/>
        <v/>
      </c>
      <c r="AH103" s="164">
        <f t="shared" si="6"/>
        <v>15.957446808510637</v>
      </c>
      <c r="AI103" s="164" t="str">
        <f t="shared" si="7"/>
        <v/>
      </c>
      <c r="AJ103" s="368"/>
      <c r="AK103" s="368"/>
      <c r="AL103" s="368"/>
      <c r="AM103" s="368"/>
      <c r="AN103" s="368"/>
      <c r="AO103" s="368"/>
      <c r="AP103" s="368"/>
      <c r="AQ103" s="368"/>
      <c r="AR103" s="368"/>
      <c r="AS103" s="195"/>
      <c r="AT103" s="195"/>
      <c r="AU103" s="377"/>
      <c r="AV103" s="382"/>
      <c r="AW103" s="428"/>
      <c r="AX103" s="426"/>
      <c r="AY103" s="428"/>
      <c r="AZ103" s="428"/>
      <c r="BA103" s="428"/>
      <c r="BB103" s="428"/>
      <c r="BC103" s="428"/>
      <c r="BD103" s="428"/>
      <c r="BE103" s="426"/>
      <c r="BF103" s="468">
        <f>10.5/0.658</f>
        <v>15.957446808510637</v>
      </c>
      <c r="BG103" s="469"/>
      <c r="BH103" s="341"/>
      <c r="BI103" s="447"/>
      <c r="BJ103" s="505"/>
    </row>
    <row r="104" spans="1:62" ht="15.75" customHeight="1" thickBot="1" x14ac:dyDescent="0.25">
      <c r="A104" s="174">
        <v>103</v>
      </c>
      <c r="B104" s="175">
        <v>1</v>
      </c>
      <c r="C104" s="166" t="s">
        <v>24</v>
      </c>
      <c r="D104" s="166" t="s">
        <v>53</v>
      </c>
      <c r="E104" s="166" t="s">
        <v>13</v>
      </c>
      <c r="F104" s="166" t="s">
        <v>319</v>
      </c>
      <c r="G104" s="166" t="s">
        <v>320</v>
      </c>
      <c r="H104" s="166" t="s">
        <v>16</v>
      </c>
      <c r="I104" s="181">
        <v>2013</v>
      </c>
      <c r="J104" s="181" t="s">
        <v>321</v>
      </c>
      <c r="K104" s="181" t="s">
        <v>322</v>
      </c>
      <c r="L104" s="181" t="s">
        <v>104</v>
      </c>
      <c r="M104" s="556" t="s">
        <v>4121</v>
      </c>
      <c r="N104" s="214" t="s">
        <v>122</v>
      </c>
      <c r="O104" s="214" t="s">
        <v>292</v>
      </c>
      <c r="P104" s="214" t="s">
        <v>20</v>
      </c>
      <c r="Q104" s="214" t="s">
        <v>20</v>
      </c>
      <c r="R104" s="214" t="s">
        <v>20</v>
      </c>
      <c r="S104" s="214" t="s">
        <v>20</v>
      </c>
      <c r="T104" s="214" t="s">
        <v>20</v>
      </c>
      <c r="U104" s="214" t="s">
        <v>20</v>
      </c>
      <c r="V104" s="214" t="s">
        <v>20</v>
      </c>
      <c r="W104" s="214" t="s">
        <v>20</v>
      </c>
      <c r="X104" s="214" t="s">
        <v>15</v>
      </c>
      <c r="Y104" s="214" t="s">
        <v>15</v>
      </c>
      <c r="Z104" s="214"/>
      <c r="AA104" s="214"/>
      <c r="AB104" s="214" t="s">
        <v>20</v>
      </c>
      <c r="AC104" s="214" t="s">
        <v>20</v>
      </c>
      <c r="AD104" s="320" t="s">
        <v>323</v>
      </c>
      <c r="AE104" s="320" t="s">
        <v>324</v>
      </c>
      <c r="AF104" s="162">
        <f t="shared" si="4"/>
        <v>43.805851496135176</v>
      </c>
      <c r="AG104" s="162">
        <f t="shared" si="5"/>
        <v>54.828964605379056</v>
      </c>
      <c r="AH104" s="164">
        <f t="shared" si="6"/>
        <v>41.226443028572106</v>
      </c>
      <c r="AI104" s="164">
        <f t="shared" si="7"/>
        <v>41.667367552941862</v>
      </c>
      <c r="AJ104" s="370">
        <f>19.87/0.45359237</f>
        <v>43.805851496135176</v>
      </c>
      <c r="AK104" s="368"/>
      <c r="AL104" s="370">
        <f>5/0.45359237</f>
        <v>11.023113109243878</v>
      </c>
      <c r="AM104" s="368">
        <f>8/0.45359237</f>
        <v>17.636980974790205</v>
      </c>
      <c r="AN104" s="368"/>
      <c r="AO104" s="370">
        <f>25/0.45359237</f>
        <v>55.115565546219393</v>
      </c>
      <c r="AP104" s="370">
        <f>28/0.45359237</f>
        <v>61.729433411765719</v>
      </c>
      <c r="AQ104" s="368"/>
      <c r="AR104" s="368"/>
      <c r="AS104" s="196">
        <f>AJ104</f>
        <v>43.805851496135176</v>
      </c>
      <c r="AT104" s="196">
        <f>SUM(AJ104:AR104)</f>
        <v>189.31094453815436</v>
      </c>
      <c r="AU104" s="377"/>
      <c r="AV104" s="394"/>
      <c r="AW104" s="426">
        <f>18.7/0.45359237</f>
        <v>41.226443028572106</v>
      </c>
      <c r="AX104" s="426"/>
      <c r="AY104" s="426">
        <f>0.2/0.45359237</f>
        <v>0.44092452436975516</v>
      </c>
      <c r="AZ104" s="426">
        <f>0.3/0.45359237</f>
        <v>0.66138678655463268</v>
      </c>
      <c r="BA104" s="426"/>
      <c r="BB104" s="426">
        <f>2.45/0.45359237</f>
        <v>5.4013254235295012</v>
      </c>
      <c r="BC104" s="426">
        <f>1.9/0.45359237</f>
        <v>4.1887829815126736</v>
      </c>
      <c r="BD104" s="426"/>
      <c r="BE104" s="426"/>
      <c r="BF104" s="469">
        <f>AW104</f>
        <v>41.226443028572106</v>
      </c>
      <c r="BG104" s="469">
        <v>52.029093875631112</v>
      </c>
      <c r="BH104" s="341"/>
      <c r="BI104" s="447"/>
      <c r="BJ104" s="506" t="s">
        <v>3228</v>
      </c>
    </row>
    <row r="105" spans="1:62" ht="15.75" customHeight="1" thickBot="1" x14ac:dyDescent="0.25">
      <c r="A105" s="176">
        <v>104</v>
      </c>
      <c r="B105" s="175">
        <v>1</v>
      </c>
      <c r="C105" s="166" t="s">
        <v>24</v>
      </c>
      <c r="D105" s="166" t="s">
        <v>53</v>
      </c>
      <c r="E105" s="166" t="s">
        <v>13</v>
      </c>
      <c r="F105" s="167"/>
      <c r="G105" s="166" t="s">
        <v>320</v>
      </c>
      <c r="H105" s="166" t="s">
        <v>183</v>
      </c>
      <c r="I105" s="181">
        <v>2010</v>
      </c>
      <c r="J105" s="181" t="s">
        <v>325</v>
      </c>
      <c r="K105" s="181" t="s">
        <v>326</v>
      </c>
      <c r="L105" s="181" t="s">
        <v>19</v>
      </c>
      <c r="M105" s="556" t="s">
        <v>4122</v>
      </c>
      <c r="N105" s="214" t="s">
        <v>20</v>
      </c>
      <c r="O105" s="214" t="s">
        <v>15</v>
      </c>
      <c r="P105" s="214" t="s">
        <v>15</v>
      </c>
      <c r="Q105" s="214" t="s">
        <v>15</v>
      </c>
      <c r="R105" s="214" t="s">
        <v>15</v>
      </c>
      <c r="S105" s="214" t="s">
        <v>15</v>
      </c>
      <c r="T105" s="214" t="s">
        <v>15</v>
      </c>
      <c r="U105" s="214" t="s">
        <v>15</v>
      </c>
      <c r="V105" s="214" t="s">
        <v>15</v>
      </c>
      <c r="W105" s="214" t="s">
        <v>15</v>
      </c>
      <c r="X105" s="214" t="s">
        <v>15</v>
      </c>
      <c r="Y105" s="214" t="s">
        <v>15</v>
      </c>
      <c r="Z105" s="234"/>
      <c r="AA105" s="214" t="s">
        <v>327</v>
      </c>
      <c r="AB105" s="214" t="s">
        <v>292</v>
      </c>
      <c r="AC105" s="214" t="s">
        <v>292</v>
      </c>
      <c r="AD105" s="320" t="s">
        <v>275</v>
      </c>
      <c r="AE105" s="320" t="s">
        <v>294</v>
      </c>
      <c r="AF105" s="162" t="str">
        <f t="shared" si="4"/>
        <v/>
      </c>
      <c r="AG105" s="162" t="str">
        <f t="shared" si="5"/>
        <v/>
      </c>
      <c r="AH105" s="164">
        <f t="shared" si="6"/>
        <v>32.53373313343328</v>
      </c>
      <c r="AI105" s="164" t="str">
        <f t="shared" si="7"/>
        <v/>
      </c>
      <c r="AJ105" s="370"/>
      <c r="AK105" s="368"/>
      <c r="AL105" s="370"/>
      <c r="AM105" s="368"/>
      <c r="AN105" s="368"/>
      <c r="AO105" s="370"/>
      <c r="AP105" s="370"/>
      <c r="AQ105" s="368"/>
      <c r="AR105" s="368"/>
      <c r="AS105" s="196"/>
      <c r="AT105" s="196"/>
      <c r="AU105" s="377"/>
      <c r="AV105" s="382"/>
      <c r="AW105" s="426"/>
      <c r="AX105" s="426"/>
      <c r="AY105" s="426"/>
      <c r="AZ105" s="426"/>
      <c r="BA105" s="426"/>
      <c r="BB105" s="426"/>
      <c r="BC105" s="426"/>
      <c r="BD105" s="426"/>
      <c r="BE105" s="426"/>
      <c r="BF105" s="467">
        <f>21.7/0.667</f>
        <v>32.53373313343328</v>
      </c>
      <c r="BG105" s="469"/>
      <c r="BH105" s="341"/>
      <c r="BI105" s="446" t="s">
        <v>328</v>
      </c>
      <c r="BJ105" s="505"/>
    </row>
    <row r="106" spans="1:62" ht="15.75" customHeight="1" thickBot="1" x14ac:dyDescent="0.25">
      <c r="A106" s="174">
        <v>105</v>
      </c>
      <c r="B106" s="175">
        <v>1</v>
      </c>
      <c r="C106" s="166" t="s">
        <v>24</v>
      </c>
      <c r="D106" s="166" t="s">
        <v>53</v>
      </c>
      <c r="E106" s="166" t="s">
        <v>13</v>
      </c>
      <c r="F106" s="166" t="s">
        <v>329</v>
      </c>
      <c r="G106" s="166" t="s">
        <v>320</v>
      </c>
      <c r="H106" s="166" t="s">
        <v>330</v>
      </c>
      <c r="I106" s="181">
        <v>2010</v>
      </c>
      <c r="J106" s="181" t="s">
        <v>331</v>
      </c>
      <c r="K106" s="181" t="s">
        <v>332</v>
      </c>
      <c r="L106" s="181" t="s">
        <v>19</v>
      </c>
      <c r="M106" s="556" t="s">
        <v>4123</v>
      </c>
      <c r="N106" s="214" t="s">
        <v>20</v>
      </c>
      <c r="O106" s="214" t="s">
        <v>20</v>
      </c>
      <c r="P106" s="214" t="s">
        <v>15</v>
      </c>
      <c r="Q106" s="214" t="s">
        <v>15</v>
      </c>
      <c r="R106" s="214" t="s">
        <v>15</v>
      </c>
      <c r="S106" s="214" t="s">
        <v>15</v>
      </c>
      <c r="T106" s="214" t="s">
        <v>15</v>
      </c>
      <c r="U106" s="214" t="s">
        <v>15</v>
      </c>
      <c r="V106" s="214" t="s">
        <v>15</v>
      </c>
      <c r="W106" s="214" t="s">
        <v>15</v>
      </c>
      <c r="X106" s="214" t="s">
        <v>15</v>
      </c>
      <c r="Y106" s="214" t="s">
        <v>15</v>
      </c>
      <c r="Z106" s="234"/>
      <c r="AA106" s="214" t="s">
        <v>333</v>
      </c>
      <c r="AB106" s="214" t="s">
        <v>292</v>
      </c>
      <c r="AC106" s="214" t="s">
        <v>292</v>
      </c>
      <c r="AD106" s="320" t="s">
        <v>334</v>
      </c>
      <c r="AE106" s="320"/>
      <c r="AF106" s="162" t="str">
        <f t="shared" si="4"/>
        <v/>
      </c>
      <c r="AG106" s="162" t="str">
        <f t="shared" si="5"/>
        <v/>
      </c>
      <c r="AH106" s="164">
        <f t="shared" si="6"/>
        <v>27.3</v>
      </c>
      <c r="AI106" s="164" t="str">
        <f t="shared" si="7"/>
        <v/>
      </c>
      <c r="AJ106" s="370"/>
      <c r="AK106" s="368"/>
      <c r="AL106" s="370"/>
      <c r="AM106" s="368"/>
      <c r="AN106" s="368"/>
      <c r="AO106" s="370"/>
      <c r="AP106" s="370"/>
      <c r="AQ106" s="368"/>
      <c r="AR106" s="368"/>
      <c r="AS106" s="196"/>
      <c r="AT106" s="196"/>
      <c r="AU106" s="378" t="s">
        <v>335</v>
      </c>
      <c r="AV106" s="382"/>
      <c r="AW106" s="426"/>
      <c r="AX106" s="426"/>
      <c r="AY106" s="426"/>
      <c r="AZ106" s="426"/>
      <c r="BA106" s="426"/>
      <c r="BB106" s="426"/>
      <c r="BC106" s="426"/>
      <c r="BD106" s="426"/>
      <c r="BE106" s="426"/>
      <c r="BF106" s="467">
        <f>27.3</f>
        <v>27.3</v>
      </c>
      <c r="BG106" s="469"/>
      <c r="BH106" s="341"/>
      <c r="BI106" s="446" t="s">
        <v>336</v>
      </c>
      <c r="BJ106" s="505"/>
    </row>
    <row r="107" spans="1:62" ht="15.75" customHeight="1" thickBot="1" x14ac:dyDescent="0.25">
      <c r="A107" s="176">
        <v>106</v>
      </c>
      <c r="B107" s="175">
        <v>1</v>
      </c>
      <c r="C107" s="166" t="s">
        <v>24</v>
      </c>
      <c r="D107" s="166" t="s">
        <v>4056</v>
      </c>
      <c r="E107" s="166" t="s">
        <v>13</v>
      </c>
      <c r="F107" s="166" t="s">
        <v>337</v>
      </c>
      <c r="G107" s="166" t="s">
        <v>320</v>
      </c>
      <c r="H107" s="166" t="s">
        <v>330</v>
      </c>
      <c r="I107" s="181">
        <v>2010</v>
      </c>
      <c r="J107" s="181" t="s">
        <v>331</v>
      </c>
      <c r="K107" s="181" t="s">
        <v>332</v>
      </c>
      <c r="L107" s="181" t="s">
        <v>19</v>
      </c>
      <c r="M107" s="556" t="s">
        <v>4123</v>
      </c>
      <c r="N107" s="214" t="s">
        <v>20</v>
      </c>
      <c r="O107" s="214" t="s">
        <v>20</v>
      </c>
      <c r="P107" s="214" t="s">
        <v>15</v>
      </c>
      <c r="Q107" s="214" t="s">
        <v>15</v>
      </c>
      <c r="R107" s="214" t="s">
        <v>15</v>
      </c>
      <c r="S107" s="214" t="s">
        <v>15</v>
      </c>
      <c r="T107" s="214" t="s">
        <v>15</v>
      </c>
      <c r="U107" s="214" t="s">
        <v>15</v>
      </c>
      <c r="V107" s="214" t="s">
        <v>15</v>
      </c>
      <c r="W107" s="214" t="s">
        <v>15</v>
      </c>
      <c r="X107" s="214" t="s">
        <v>15</v>
      </c>
      <c r="Y107" s="214" t="s">
        <v>15</v>
      </c>
      <c r="Z107" s="234"/>
      <c r="AA107" s="214" t="s">
        <v>333</v>
      </c>
      <c r="AB107" s="214" t="s">
        <v>292</v>
      </c>
      <c r="AC107" s="214" t="s">
        <v>292</v>
      </c>
      <c r="AD107" s="320" t="s">
        <v>334</v>
      </c>
      <c r="AE107" s="320"/>
      <c r="AF107" s="162" t="str">
        <f t="shared" si="4"/>
        <v/>
      </c>
      <c r="AG107" s="162" t="str">
        <f t="shared" si="5"/>
        <v/>
      </c>
      <c r="AH107" s="164">
        <f t="shared" si="6"/>
        <v>19.899999999999999</v>
      </c>
      <c r="AI107" s="164" t="str">
        <f t="shared" si="7"/>
        <v/>
      </c>
      <c r="AJ107" s="370"/>
      <c r="AK107" s="368"/>
      <c r="AL107" s="370"/>
      <c r="AM107" s="368"/>
      <c r="AN107" s="368"/>
      <c r="AO107" s="370"/>
      <c r="AP107" s="370"/>
      <c r="AQ107" s="368"/>
      <c r="AR107" s="368"/>
      <c r="AS107" s="196"/>
      <c r="AT107" s="196"/>
      <c r="AU107" s="378" t="s">
        <v>335</v>
      </c>
      <c r="AV107" s="382"/>
      <c r="AW107" s="426"/>
      <c r="AX107" s="426"/>
      <c r="AY107" s="426"/>
      <c r="AZ107" s="426"/>
      <c r="BA107" s="426"/>
      <c r="BB107" s="426"/>
      <c r="BC107" s="426"/>
      <c r="BD107" s="426"/>
      <c r="BE107" s="426"/>
      <c r="BF107" s="468">
        <v>19.899999999999999</v>
      </c>
      <c r="BG107" s="469"/>
      <c r="BH107" s="341"/>
      <c r="BI107" s="446" t="s">
        <v>336</v>
      </c>
      <c r="BJ107" s="505"/>
    </row>
    <row r="108" spans="1:62" ht="15.75" customHeight="1" thickBot="1" x14ac:dyDescent="0.25">
      <c r="A108" s="174">
        <v>107</v>
      </c>
      <c r="B108" s="175">
        <v>1</v>
      </c>
      <c r="C108" s="166" t="s">
        <v>24</v>
      </c>
      <c r="D108" s="166" t="s">
        <v>53</v>
      </c>
      <c r="E108" s="166" t="s">
        <v>13</v>
      </c>
      <c r="F108" s="166" t="s">
        <v>338</v>
      </c>
      <c r="G108" s="166" t="s">
        <v>122</v>
      </c>
      <c r="H108" s="166" t="s">
        <v>248</v>
      </c>
      <c r="I108" s="181">
        <v>2013</v>
      </c>
      <c r="J108" s="181" t="s">
        <v>339</v>
      </c>
      <c r="K108" s="181" t="s">
        <v>340</v>
      </c>
      <c r="L108" s="181" t="s">
        <v>274</v>
      </c>
      <c r="M108" s="556" t="s">
        <v>4124</v>
      </c>
      <c r="N108" s="214" t="s">
        <v>20</v>
      </c>
      <c r="O108" s="214" t="s">
        <v>20</v>
      </c>
      <c r="P108" s="214" t="s">
        <v>20</v>
      </c>
      <c r="Q108" s="214" t="s">
        <v>20</v>
      </c>
      <c r="R108" s="214" t="s">
        <v>15</v>
      </c>
      <c r="S108" s="214" t="s">
        <v>20</v>
      </c>
      <c r="T108" s="214" t="s">
        <v>15</v>
      </c>
      <c r="U108" s="214" t="s">
        <v>15</v>
      </c>
      <c r="V108" s="214" t="s">
        <v>15</v>
      </c>
      <c r="W108" s="214" t="s">
        <v>15</v>
      </c>
      <c r="X108" s="214" t="s">
        <v>15</v>
      </c>
      <c r="Y108" s="214" t="s">
        <v>15</v>
      </c>
      <c r="Z108" s="234"/>
      <c r="AA108" s="214" t="s">
        <v>341</v>
      </c>
      <c r="AB108" s="214" t="s">
        <v>292</v>
      </c>
      <c r="AC108" s="214" t="s">
        <v>122</v>
      </c>
      <c r="AD108" s="320" t="s">
        <v>275</v>
      </c>
      <c r="AE108" s="320" t="s">
        <v>294</v>
      </c>
      <c r="AF108" s="162" t="str">
        <f t="shared" si="4"/>
        <v/>
      </c>
      <c r="AG108" s="162" t="str">
        <f t="shared" si="5"/>
        <v/>
      </c>
      <c r="AH108" s="164">
        <f t="shared" si="6"/>
        <v>58.620689655172413</v>
      </c>
      <c r="AI108" s="164" t="str">
        <f t="shared" si="7"/>
        <v/>
      </c>
      <c r="AJ108" s="368"/>
      <c r="AK108" s="368"/>
      <c r="AL108" s="368"/>
      <c r="AM108" s="368"/>
      <c r="AN108" s="368"/>
      <c r="AO108" s="368"/>
      <c r="AP108" s="368"/>
      <c r="AQ108" s="368"/>
      <c r="AR108" s="368"/>
      <c r="AS108" s="195"/>
      <c r="AT108" s="195"/>
      <c r="AU108" s="377"/>
      <c r="AV108" s="382"/>
      <c r="AW108" s="426">
        <v>58.620689655172413</v>
      </c>
      <c r="AX108" s="426"/>
      <c r="AY108" s="426"/>
      <c r="AZ108" s="426">
        <f>0.05/0.667</f>
        <v>7.4962518740629688E-2</v>
      </c>
      <c r="BA108" s="426"/>
      <c r="BB108" s="426"/>
      <c r="BC108" s="426"/>
      <c r="BD108" s="426"/>
      <c r="BE108" s="426"/>
      <c r="BF108" s="469">
        <v>58.620689655172413</v>
      </c>
      <c r="BG108" s="469">
        <v>59.070464767616187</v>
      </c>
      <c r="BH108" s="341"/>
      <c r="BI108" s="446" t="s">
        <v>279</v>
      </c>
      <c r="BJ108" s="506" t="s">
        <v>3229</v>
      </c>
    </row>
    <row r="109" spans="1:62" ht="15.75" customHeight="1" thickBot="1" x14ac:dyDescent="0.25">
      <c r="A109" s="176">
        <v>108</v>
      </c>
      <c r="B109" s="175">
        <v>1</v>
      </c>
      <c r="C109" s="166" t="s">
        <v>24</v>
      </c>
      <c r="D109" s="166" t="s">
        <v>53</v>
      </c>
      <c r="E109" s="166" t="s">
        <v>13</v>
      </c>
      <c r="F109" s="166" t="s">
        <v>338</v>
      </c>
      <c r="G109" s="166" t="s">
        <v>122</v>
      </c>
      <c r="H109" s="166" t="s">
        <v>342</v>
      </c>
      <c r="I109" s="181">
        <v>2013</v>
      </c>
      <c r="J109" s="181" t="s">
        <v>339</v>
      </c>
      <c r="K109" s="181" t="s">
        <v>340</v>
      </c>
      <c r="L109" s="181" t="s">
        <v>274</v>
      </c>
      <c r="M109" s="556" t="s">
        <v>4124</v>
      </c>
      <c r="N109" s="214" t="s">
        <v>20</v>
      </c>
      <c r="O109" s="214" t="s">
        <v>20</v>
      </c>
      <c r="P109" s="214" t="s">
        <v>20</v>
      </c>
      <c r="Q109" s="214" t="s">
        <v>20</v>
      </c>
      <c r="R109" s="214" t="s">
        <v>15</v>
      </c>
      <c r="S109" s="214" t="s">
        <v>20</v>
      </c>
      <c r="T109" s="214" t="s">
        <v>15</v>
      </c>
      <c r="U109" s="214" t="s">
        <v>15</v>
      </c>
      <c r="V109" s="214" t="s">
        <v>15</v>
      </c>
      <c r="W109" s="214" t="s">
        <v>15</v>
      </c>
      <c r="X109" s="214" t="s">
        <v>15</v>
      </c>
      <c r="Y109" s="214" t="s">
        <v>15</v>
      </c>
      <c r="Z109" s="234"/>
      <c r="AA109" s="214" t="s">
        <v>341</v>
      </c>
      <c r="AB109" s="214" t="s">
        <v>292</v>
      </c>
      <c r="AC109" s="214" t="s">
        <v>122</v>
      </c>
      <c r="AD109" s="320" t="s">
        <v>275</v>
      </c>
      <c r="AE109" s="320" t="s">
        <v>294</v>
      </c>
      <c r="AF109" s="162" t="str">
        <f t="shared" si="4"/>
        <v/>
      </c>
      <c r="AG109" s="162" t="str">
        <f t="shared" si="5"/>
        <v/>
      </c>
      <c r="AH109" s="164">
        <f t="shared" si="6"/>
        <v>43.478260869565212</v>
      </c>
      <c r="AI109" s="164" t="str">
        <f t="shared" si="7"/>
        <v/>
      </c>
      <c r="AJ109" s="368"/>
      <c r="AK109" s="368"/>
      <c r="AL109" s="368"/>
      <c r="AM109" s="368"/>
      <c r="AN109" s="368"/>
      <c r="AO109" s="368"/>
      <c r="AP109" s="368"/>
      <c r="AQ109" s="368"/>
      <c r="AR109" s="368"/>
      <c r="AS109" s="195"/>
      <c r="AT109" s="195"/>
      <c r="AU109" s="377"/>
      <c r="AV109" s="382"/>
      <c r="AW109" s="426">
        <v>43.478260869565212</v>
      </c>
      <c r="AX109" s="426"/>
      <c r="AY109" s="426"/>
      <c r="AZ109" s="426">
        <f>0.05/0.667</f>
        <v>7.4962518740629688E-2</v>
      </c>
      <c r="BA109" s="426"/>
      <c r="BB109" s="426"/>
      <c r="BC109" s="426"/>
      <c r="BD109" s="426"/>
      <c r="BE109" s="426"/>
      <c r="BF109" s="469">
        <v>43.478260869565212</v>
      </c>
      <c r="BG109" s="469">
        <v>43.778110944527732</v>
      </c>
      <c r="BH109" s="341"/>
      <c r="BI109" s="446" t="s">
        <v>279</v>
      </c>
      <c r="BJ109" s="506" t="s">
        <v>3230</v>
      </c>
    </row>
    <row r="110" spans="1:62" ht="15.75" customHeight="1" thickBot="1" x14ac:dyDescent="0.25">
      <c r="A110" s="174">
        <v>109</v>
      </c>
      <c r="B110" s="175">
        <v>1</v>
      </c>
      <c r="C110" s="166" t="s">
        <v>11</v>
      </c>
      <c r="D110" s="170" t="s">
        <v>12</v>
      </c>
      <c r="E110" s="166" t="s">
        <v>13</v>
      </c>
      <c r="F110" s="166" t="s">
        <v>338</v>
      </c>
      <c r="G110" s="166" t="s">
        <v>122</v>
      </c>
      <c r="H110" s="166" t="s">
        <v>248</v>
      </c>
      <c r="I110" s="181">
        <v>2013</v>
      </c>
      <c r="J110" s="181" t="s">
        <v>339</v>
      </c>
      <c r="K110" s="181" t="s">
        <v>340</v>
      </c>
      <c r="L110" s="181" t="s">
        <v>274</v>
      </c>
      <c r="M110" s="556" t="s">
        <v>4124</v>
      </c>
      <c r="N110" s="214" t="s">
        <v>20</v>
      </c>
      <c r="O110" s="214" t="s">
        <v>20</v>
      </c>
      <c r="P110" s="214" t="s">
        <v>20</v>
      </c>
      <c r="Q110" s="214" t="s">
        <v>20</v>
      </c>
      <c r="R110" s="214" t="s">
        <v>15</v>
      </c>
      <c r="S110" s="214" t="s">
        <v>20</v>
      </c>
      <c r="T110" s="214" t="s">
        <v>15</v>
      </c>
      <c r="U110" s="214" t="s">
        <v>15</v>
      </c>
      <c r="V110" s="214" t="s">
        <v>15</v>
      </c>
      <c r="W110" s="214" t="s">
        <v>15</v>
      </c>
      <c r="X110" s="214" t="s">
        <v>15</v>
      </c>
      <c r="Y110" s="214" t="s">
        <v>15</v>
      </c>
      <c r="Z110" s="234"/>
      <c r="AA110" s="214" t="s">
        <v>341</v>
      </c>
      <c r="AB110" s="214" t="s">
        <v>292</v>
      </c>
      <c r="AC110" s="214" t="s">
        <v>122</v>
      </c>
      <c r="AD110" s="320" t="s">
        <v>343</v>
      </c>
      <c r="AE110" s="320"/>
      <c r="AF110" s="162" t="str">
        <f t="shared" si="4"/>
        <v/>
      </c>
      <c r="AG110" s="162" t="str">
        <f t="shared" si="5"/>
        <v/>
      </c>
      <c r="AH110" s="164">
        <f t="shared" si="6"/>
        <v>2.61</v>
      </c>
      <c r="AI110" s="164" t="str">
        <f t="shared" si="7"/>
        <v/>
      </c>
      <c r="AJ110" s="368"/>
      <c r="AK110" s="368"/>
      <c r="AL110" s="368"/>
      <c r="AM110" s="368"/>
      <c r="AN110" s="368"/>
      <c r="AO110" s="368"/>
      <c r="AP110" s="368"/>
      <c r="AQ110" s="368"/>
      <c r="AR110" s="368"/>
      <c r="AS110" s="195"/>
      <c r="AT110" s="195"/>
      <c r="AU110" s="377"/>
      <c r="AV110" s="382"/>
      <c r="AW110" s="426"/>
      <c r="AX110" s="426"/>
      <c r="AY110" s="426"/>
      <c r="AZ110" s="426"/>
      <c r="BA110" s="426"/>
      <c r="BB110" s="426"/>
      <c r="BC110" s="426"/>
      <c r="BD110" s="426"/>
      <c r="BE110" s="426"/>
      <c r="BF110" s="468">
        <v>2.61</v>
      </c>
      <c r="BG110" s="468">
        <v>2.79</v>
      </c>
      <c r="BH110" s="341"/>
      <c r="BI110" s="446" t="s">
        <v>279</v>
      </c>
      <c r="BJ110" s="505"/>
    </row>
    <row r="111" spans="1:62" ht="15.75" customHeight="1" thickBot="1" x14ac:dyDescent="0.25">
      <c r="A111" s="176">
        <v>110</v>
      </c>
      <c r="B111" s="175">
        <v>1</v>
      </c>
      <c r="C111" s="166" t="s">
        <v>11</v>
      </c>
      <c r="D111" s="170" t="s">
        <v>12</v>
      </c>
      <c r="E111" s="166" t="s">
        <v>13</v>
      </c>
      <c r="F111" s="166" t="s">
        <v>338</v>
      </c>
      <c r="G111" s="166" t="s">
        <v>122</v>
      </c>
      <c r="H111" s="166" t="s">
        <v>342</v>
      </c>
      <c r="I111" s="181">
        <v>2013</v>
      </c>
      <c r="J111" s="181" t="s">
        <v>339</v>
      </c>
      <c r="K111" s="181" t="s">
        <v>340</v>
      </c>
      <c r="L111" s="181" t="s">
        <v>274</v>
      </c>
      <c r="M111" s="556" t="s">
        <v>4124</v>
      </c>
      <c r="N111" s="214" t="s">
        <v>20</v>
      </c>
      <c r="O111" s="214" t="s">
        <v>20</v>
      </c>
      <c r="P111" s="214" t="s">
        <v>20</v>
      </c>
      <c r="Q111" s="214" t="s">
        <v>20</v>
      </c>
      <c r="R111" s="214" t="s">
        <v>15</v>
      </c>
      <c r="S111" s="214" t="s">
        <v>20</v>
      </c>
      <c r="T111" s="214" t="s">
        <v>15</v>
      </c>
      <c r="U111" s="214" t="s">
        <v>15</v>
      </c>
      <c r="V111" s="214" t="s">
        <v>15</v>
      </c>
      <c r="W111" s="214" t="s">
        <v>15</v>
      </c>
      <c r="X111" s="214" t="s">
        <v>15</v>
      </c>
      <c r="Y111" s="214" t="s">
        <v>15</v>
      </c>
      <c r="Z111" s="234"/>
      <c r="AA111" s="214" t="s">
        <v>341</v>
      </c>
      <c r="AB111" s="214" t="s">
        <v>292</v>
      </c>
      <c r="AC111" s="214" t="s">
        <v>122</v>
      </c>
      <c r="AD111" s="320" t="s">
        <v>343</v>
      </c>
      <c r="AE111" s="320"/>
      <c r="AF111" s="162" t="str">
        <f t="shared" si="4"/>
        <v/>
      </c>
      <c r="AG111" s="162" t="str">
        <f t="shared" si="5"/>
        <v/>
      </c>
      <c r="AH111" s="164">
        <f t="shared" si="6"/>
        <v>1.41</v>
      </c>
      <c r="AI111" s="164" t="str">
        <f t="shared" si="7"/>
        <v/>
      </c>
      <c r="AJ111" s="368"/>
      <c r="AK111" s="368"/>
      <c r="AL111" s="368"/>
      <c r="AM111" s="368"/>
      <c r="AN111" s="368"/>
      <c r="AO111" s="368"/>
      <c r="AP111" s="368"/>
      <c r="AQ111" s="368"/>
      <c r="AR111" s="368"/>
      <c r="AS111" s="195"/>
      <c r="AT111" s="195"/>
      <c r="AU111" s="377"/>
      <c r="AV111" s="382"/>
      <c r="AW111" s="426"/>
      <c r="AX111" s="426"/>
      <c r="AY111" s="426"/>
      <c r="AZ111" s="426"/>
      <c r="BA111" s="426"/>
      <c r="BB111" s="426"/>
      <c r="BC111" s="426"/>
      <c r="BD111" s="426"/>
      <c r="BE111" s="426"/>
      <c r="BF111" s="468">
        <v>1.41</v>
      </c>
      <c r="BG111" s="468">
        <v>1.69</v>
      </c>
      <c r="BH111" s="341"/>
      <c r="BI111" s="446" t="s">
        <v>279</v>
      </c>
      <c r="BJ111" s="505"/>
    </row>
    <row r="112" spans="1:62" ht="15.75" customHeight="1" thickBot="1" x14ac:dyDescent="0.25">
      <c r="A112" s="174">
        <v>111</v>
      </c>
      <c r="B112" s="175">
        <v>1</v>
      </c>
      <c r="C112" s="166" t="s">
        <v>11</v>
      </c>
      <c r="D112" s="166" t="s">
        <v>344</v>
      </c>
      <c r="E112" s="166" t="s">
        <v>13</v>
      </c>
      <c r="F112" s="166" t="s">
        <v>345</v>
      </c>
      <c r="G112" s="166" t="s">
        <v>122</v>
      </c>
      <c r="H112" s="166" t="s">
        <v>248</v>
      </c>
      <c r="I112" s="181">
        <v>2013</v>
      </c>
      <c r="J112" s="181" t="s">
        <v>339</v>
      </c>
      <c r="K112" s="181" t="s">
        <v>340</v>
      </c>
      <c r="L112" s="181" t="s">
        <v>274</v>
      </c>
      <c r="M112" s="556" t="s">
        <v>4124</v>
      </c>
      <c r="N112" s="214" t="s">
        <v>20</v>
      </c>
      <c r="O112" s="214" t="s">
        <v>20</v>
      </c>
      <c r="P112" s="214" t="s">
        <v>20</v>
      </c>
      <c r="Q112" s="214" t="s">
        <v>20</v>
      </c>
      <c r="R112" s="214" t="s">
        <v>15</v>
      </c>
      <c r="S112" s="214" t="s">
        <v>20</v>
      </c>
      <c r="T112" s="214" t="s">
        <v>15</v>
      </c>
      <c r="U112" s="214" t="s">
        <v>15</v>
      </c>
      <c r="V112" s="214" t="s">
        <v>15</v>
      </c>
      <c r="W112" s="214" t="s">
        <v>15</v>
      </c>
      <c r="X112" s="214" t="s">
        <v>15</v>
      </c>
      <c r="Y112" s="214" t="s">
        <v>15</v>
      </c>
      <c r="Z112" s="234"/>
      <c r="AA112" s="214" t="s">
        <v>341</v>
      </c>
      <c r="AB112" s="214" t="s">
        <v>292</v>
      </c>
      <c r="AC112" s="214" t="s">
        <v>122</v>
      </c>
      <c r="AD112" s="320" t="s">
        <v>343</v>
      </c>
      <c r="AE112" s="320"/>
      <c r="AF112" s="162" t="str">
        <f t="shared" si="4"/>
        <v/>
      </c>
      <c r="AG112" s="162" t="str">
        <f t="shared" si="5"/>
        <v/>
      </c>
      <c r="AH112" s="164">
        <f t="shared" si="6"/>
        <v>3.16</v>
      </c>
      <c r="AI112" s="164" t="str">
        <f t="shared" si="7"/>
        <v/>
      </c>
      <c r="AJ112" s="368"/>
      <c r="AK112" s="368"/>
      <c r="AL112" s="368"/>
      <c r="AM112" s="368"/>
      <c r="AN112" s="368"/>
      <c r="AO112" s="368"/>
      <c r="AP112" s="368"/>
      <c r="AQ112" s="368"/>
      <c r="AR112" s="368"/>
      <c r="AS112" s="195"/>
      <c r="AT112" s="195"/>
      <c r="AU112" s="377"/>
      <c r="AV112" s="382"/>
      <c r="AW112" s="426"/>
      <c r="AX112" s="426"/>
      <c r="AY112" s="426"/>
      <c r="AZ112" s="426"/>
      <c r="BA112" s="426"/>
      <c r="BB112" s="426"/>
      <c r="BC112" s="426"/>
      <c r="BD112" s="426"/>
      <c r="BE112" s="426"/>
      <c r="BF112" s="468">
        <v>3.16</v>
      </c>
      <c r="BG112" s="468">
        <v>3.38</v>
      </c>
      <c r="BH112" s="341"/>
      <c r="BI112" s="446" t="s">
        <v>279</v>
      </c>
      <c r="BJ112" s="505"/>
    </row>
    <row r="113" spans="1:62" ht="15.75" customHeight="1" thickBot="1" x14ac:dyDescent="0.25">
      <c r="A113" s="176">
        <v>112</v>
      </c>
      <c r="B113" s="175">
        <v>1</v>
      </c>
      <c r="C113" s="166" t="s">
        <v>24</v>
      </c>
      <c r="D113" s="166" t="s">
        <v>346</v>
      </c>
      <c r="E113" s="166" t="s">
        <v>13</v>
      </c>
      <c r="F113" s="166" t="s">
        <v>338</v>
      </c>
      <c r="G113" s="166" t="s">
        <v>122</v>
      </c>
      <c r="H113" s="166" t="s">
        <v>248</v>
      </c>
      <c r="I113" s="181">
        <v>2013</v>
      </c>
      <c r="J113" s="181" t="s">
        <v>339</v>
      </c>
      <c r="K113" s="181" t="s">
        <v>340</v>
      </c>
      <c r="L113" s="181" t="s">
        <v>274</v>
      </c>
      <c r="M113" s="556" t="s">
        <v>4124</v>
      </c>
      <c r="N113" s="214" t="s">
        <v>20</v>
      </c>
      <c r="O113" s="214" t="s">
        <v>20</v>
      </c>
      <c r="P113" s="214" t="s">
        <v>20</v>
      </c>
      <c r="Q113" s="214" t="s">
        <v>20</v>
      </c>
      <c r="R113" s="214" t="s">
        <v>15</v>
      </c>
      <c r="S113" s="214" t="s">
        <v>20</v>
      </c>
      <c r="T113" s="214" t="s">
        <v>15</v>
      </c>
      <c r="U113" s="214" t="s">
        <v>15</v>
      </c>
      <c r="V113" s="214" t="s">
        <v>15</v>
      </c>
      <c r="W113" s="214" t="s">
        <v>15</v>
      </c>
      <c r="X113" s="214" t="s">
        <v>15</v>
      </c>
      <c r="Y113" s="214" t="s">
        <v>15</v>
      </c>
      <c r="Z113" s="234"/>
      <c r="AA113" s="214" t="s">
        <v>341</v>
      </c>
      <c r="AB113" s="214" t="s">
        <v>292</v>
      </c>
      <c r="AC113" s="214" t="s">
        <v>122</v>
      </c>
      <c r="AD113" s="320" t="s">
        <v>275</v>
      </c>
      <c r="AE113" s="320" t="s">
        <v>63</v>
      </c>
      <c r="AF113" s="162" t="str">
        <f t="shared" si="4"/>
        <v/>
      </c>
      <c r="AG113" s="162">
        <f t="shared" si="5"/>
        <v>6.8389057750759878</v>
      </c>
      <c r="AH113" s="164">
        <f t="shared" si="6"/>
        <v>36.398176291793312</v>
      </c>
      <c r="AI113" s="164" t="str">
        <f t="shared" si="7"/>
        <v/>
      </c>
      <c r="AJ113" s="368"/>
      <c r="AK113" s="368"/>
      <c r="AL113" s="368">
        <f>4.5/0.658</f>
        <v>6.8389057750759878</v>
      </c>
      <c r="AM113" s="368"/>
      <c r="AN113" s="368"/>
      <c r="AO113" s="368"/>
      <c r="AP113" s="368"/>
      <c r="AQ113" s="368"/>
      <c r="AR113" s="368"/>
      <c r="AS113" s="195"/>
      <c r="AT113" s="195"/>
      <c r="AU113" s="377"/>
      <c r="AV113" s="382"/>
      <c r="AW113" s="426">
        <f>(24-0.05)/0.658</f>
        <v>36.398176291793312</v>
      </c>
      <c r="AX113" s="426"/>
      <c r="AY113" s="426"/>
      <c r="AZ113" s="426">
        <f>0.05/0.658</f>
        <v>7.598784194528875E-2</v>
      </c>
      <c r="BA113" s="426"/>
      <c r="BB113" s="426"/>
      <c r="BC113" s="426"/>
      <c r="BD113" s="426"/>
      <c r="BE113" s="426"/>
      <c r="BF113" s="467">
        <f>AW113</f>
        <v>36.398176291793312</v>
      </c>
      <c r="BG113" s="469">
        <v>36.474164133738597</v>
      </c>
      <c r="BH113" s="341"/>
      <c r="BI113" s="446" t="s">
        <v>279</v>
      </c>
      <c r="BJ113" s="507"/>
    </row>
    <row r="114" spans="1:62" ht="15.75" customHeight="1" thickBot="1" x14ac:dyDescent="0.25">
      <c r="A114" s="174">
        <v>113</v>
      </c>
      <c r="B114" s="175">
        <v>1</v>
      </c>
      <c r="C114" s="166" t="s">
        <v>11</v>
      </c>
      <c r="D114" s="166" t="s">
        <v>347</v>
      </c>
      <c r="E114" s="166" t="s">
        <v>13</v>
      </c>
      <c r="F114" s="166" t="s">
        <v>338</v>
      </c>
      <c r="G114" s="166" t="s">
        <v>122</v>
      </c>
      <c r="H114" s="166" t="s">
        <v>248</v>
      </c>
      <c r="I114" s="181">
        <v>2013</v>
      </c>
      <c r="J114" s="181" t="s">
        <v>339</v>
      </c>
      <c r="K114" s="181" t="s">
        <v>340</v>
      </c>
      <c r="L114" s="181" t="s">
        <v>274</v>
      </c>
      <c r="M114" s="556" t="s">
        <v>4124</v>
      </c>
      <c r="N114" s="214" t="s">
        <v>20</v>
      </c>
      <c r="O114" s="214" t="s">
        <v>20</v>
      </c>
      <c r="P114" s="214" t="s">
        <v>20</v>
      </c>
      <c r="Q114" s="214" t="s">
        <v>20</v>
      </c>
      <c r="R114" s="214" t="s">
        <v>15</v>
      </c>
      <c r="S114" s="214" t="s">
        <v>20</v>
      </c>
      <c r="T114" s="214" t="s">
        <v>15</v>
      </c>
      <c r="U114" s="214" t="s">
        <v>15</v>
      </c>
      <c r="V114" s="214" t="s">
        <v>15</v>
      </c>
      <c r="W114" s="214" t="s">
        <v>15</v>
      </c>
      <c r="X114" s="214" t="s">
        <v>15</v>
      </c>
      <c r="Y114" s="214" t="s">
        <v>15</v>
      </c>
      <c r="Z114" s="234"/>
      <c r="AA114" s="214" t="s">
        <v>341</v>
      </c>
      <c r="AB114" s="214" t="s">
        <v>292</v>
      </c>
      <c r="AC114" s="214" t="s">
        <v>122</v>
      </c>
      <c r="AD114" s="320" t="s">
        <v>343</v>
      </c>
      <c r="AE114" s="320"/>
      <c r="AF114" s="162" t="str">
        <f t="shared" si="4"/>
        <v/>
      </c>
      <c r="AG114" s="162" t="str">
        <f t="shared" si="5"/>
        <v/>
      </c>
      <c r="AH114" s="164" t="str">
        <f t="shared" si="6"/>
        <v/>
      </c>
      <c r="AI114" s="164" t="str">
        <f t="shared" si="7"/>
        <v/>
      </c>
      <c r="AJ114" s="368"/>
      <c r="AK114" s="368"/>
      <c r="AL114" s="368"/>
      <c r="AM114" s="368"/>
      <c r="AN114" s="368"/>
      <c r="AO114" s="368"/>
      <c r="AP114" s="368"/>
      <c r="AQ114" s="368"/>
      <c r="AR114" s="368"/>
      <c r="AS114" s="195"/>
      <c r="AT114" s="195"/>
      <c r="AU114" s="377"/>
      <c r="AV114" s="382"/>
      <c r="AW114" s="426"/>
      <c r="AX114" s="426"/>
      <c r="AY114" s="426"/>
      <c r="AZ114" s="426"/>
      <c r="BA114" s="426"/>
      <c r="BB114" s="426"/>
      <c r="BC114" s="426"/>
      <c r="BD114" s="426"/>
      <c r="BE114" s="426"/>
      <c r="BF114" s="467"/>
      <c r="BG114" s="467">
        <f>8.4</f>
        <v>8.4</v>
      </c>
      <c r="BH114" s="341"/>
      <c r="BI114" s="446" t="s">
        <v>279</v>
      </c>
      <c r="BJ114" s="507"/>
    </row>
    <row r="115" spans="1:62" ht="15.75" customHeight="1" thickBot="1" x14ac:dyDescent="0.25">
      <c r="A115" s="176">
        <v>114</v>
      </c>
      <c r="B115" s="175">
        <v>1</v>
      </c>
      <c r="C115" s="166" t="s">
        <v>24</v>
      </c>
      <c r="D115" s="166" t="s">
        <v>348</v>
      </c>
      <c r="E115" s="166" t="s">
        <v>13</v>
      </c>
      <c r="F115" s="166" t="s">
        <v>338</v>
      </c>
      <c r="G115" s="166" t="s">
        <v>122</v>
      </c>
      <c r="H115" s="166" t="s">
        <v>248</v>
      </c>
      <c r="I115" s="181">
        <v>2013</v>
      </c>
      <c r="J115" s="181" t="s">
        <v>339</v>
      </c>
      <c r="K115" s="181" t="s">
        <v>340</v>
      </c>
      <c r="L115" s="181" t="s">
        <v>274</v>
      </c>
      <c r="M115" s="556" t="s">
        <v>4124</v>
      </c>
      <c r="N115" s="214" t="s">
        <v>20</v>
      </c>
      <c r="O115" s="214" t="s">
        <v>20</v>
      </c>
      <c r="P115" s="214" t="s">
        <v>20</v>
      </c>
      <c r="Q115" s="214" t="s">
        <v>20</v>
      </c>
      <c r="R115" s="214" t="s">
        <v>15</v>
      </c>
      <c r="S115" s="214" t="s">
        <v>20</v>
      </c>
      <c r="T115" s="214" t="s">
        <v>15</v>
      </c>
      <c r="U115" s="214" t="s">
        <v>15</v>
      </c>
      <c r="V115" s="214" t="s">
        <v>15</v>
      </c>
      <c r="W115" s="214" t="s">
        <v>15</v>
      </c>
      <c r="X115" s="214" t="s">
        <v>15</v>
      </c>
      <c r="Y115" s="214" t="s">
        <v>15</v>
      </c>
      <c r="Z115" s="234"/>
      <c r="AA115" s="214" t="s">
        <v>341</v>
      </c>
      <c r="AB115" s="214" t="s">
        <v>292</v>
      </c>
      <c r="AC115" s="214" t="s">
        <v>122</v>
      </c>
      <c r="AD115" s="320" t="s">
        <v>275</v>
      </c>
      <c r="AE115" s="320" t="s">
        <v>349</v>
      </c>
      <c r="AF115" s="162" t="str">
        <f t="shared" si="4"/>
        <v/>
      </c>
      <c r="AG115" s="162" t="str">
        <f t="shared" si="5"/>
        <v/>
      </c>
      <c r="AH115" s="164" t="str">
        <f t="shared" si="6"/>
        <v/>
      </c>
      <c r="AI115" s="164" t="str">
        <f t="shared" si="7"/>
        <v/>
      </c>
      <c r="AJ115" s="368"/>
      <c r="AK115" s="368"/>
      <c r="AL115" s="368"/>
      <c r="AM115" s="368"/>
      <c r="AN115" s="368"/>
      <c r="AO115" s="368"/>
      <c r="AP115" s="368"/>
      <c r="AQ115" s="368"/>
      <c r="AR115" s="368"/>
      <c r="AS115" s="195"/>
      <c r="AT115" s="195"/>
      <c r="AU115" s="377"/>
      <c r="AV115" s="382"/>
      <c r="AW115" s="426"/>
      <c r="AX115" s="426"/>
      <c r="AY115" s="426"/>
      <c r="AZ115" s="426"/>
      <c r="BA115" s="426"/>
      <c r="BB115" s="426"/>
      <c r="BC115" s="426"/>
      <c r="BD115" s="426"/>
      <c r="BE115" s="426"/>
      <c r="BF115" s="467"/>
      <c r="BG115" s="467">
        <f>23.5/0.658</f>
        <v>35.714285714285715</v>
      </c>
      <c r="BH115" s="341"/>
      <c r="BI115" s="446" t="s">
        <v>279</v>
      </c>
      <c r="BJ115" s="507"/>
    </row>
    <row r="116" spans="1:62" ht="15.75" customHeight="1" thickBot="1" x14ac:dyDescent="0.25">
      <c r="A116" s="174">
        <v>115</v>
      </c>
      <c r="B116" s="175">
        <v>1</v>
      </c>
      <c r="C116" s="166" t="s">
        <v>11</v>
      </c>
      <c r="D116" s="166" t="s">
        <v>425</v>
      </c>
      <c r="E116" s="166" t="s">
        <v>13</v>
      </c>
      <c r="F116" s="166" t="s">
        <v>338</v>
      </c>
      <c r="G116" s="166" t="s">
        <v>122</v>
      </c>
      <c r="H116" s="166" t="s">
        <v>248</v>
      </c>
      <c r="I116" s="181">
        <v>2013</v>
      </c>
      <c r="J116" s="181" t="s">
        <v>339</v>
      </c>
      <c r="K116" s="181" t="s">
        <v>340</v>
      </c>
      <c r="L116" s="181" t="s">
        <v>274</v>
      </c>
      <c r="M116" s="556" t="s">
        <v>4124</v>
      </c>
      <c r="N116" s="214" t="s">
        <v>20</v>
      </c>
      <c r="O116" s="214" t="s">
        <v>20</v>
      </c>
      <c r="P116" s="214" t="s">
        <v>20</v>
      </c>
      <c r="Q116" s="214" t="s">
        <v>20</v>
      </c>
      <c r="R116" s="214" t="s">
        <v>15</v>
      </c>
      <c r="S116" s="214" t="s">
        <v>20</v>
      </c>
      <c r="T116" s="214" t="s">
        <v>15</v>
      </c>
      <c r="U116" s="214" t="s">
        <v>15</v>
      </c>
      <c r="V116" s="214" t="s">
        <v>15</v>
      </c>
      <c r="W116" s="214" t="s">
        <v>15</v>
      </c>
      <c r="X116" s="214" t="s">
        <v>15</v>
      </c>
      <c r="Y116" s="214" t="s">
        <v>15</v>
      </c>
      <c r="Z116" s="234"/>
      <c r="AA116" s="214" t="s">
        <v>341</v>
      </c>
      <c r="AB116" s="214" t="s">
        <v>292</v>
      </c>
      <c r="AC116" s="214" t="s">
        <v>122</v>
      </c>
      <c r="AD116" s="320" t="s">
        <v>343</v>
      </c>
      <c r="AE116" s="320"/>
      <c r="AF116" s="162" t="str">
        <f t="shared" si="4"/>
        <v/>
      </c>
      <c r="AG116" s="162" t="str">
        <f t="shared" si="5"/>
        <v/>
      </c>
      <c r="AH116" s="164" t="str">
        <f t="shared" si="6"/>
        <v/>
      </c>
      <c r="AI116" s="164" t="str">
        <f t="shared" si="7"/>
        <v/>
      </c>
      <c r="AJ116" s="368"/>
      <c r="AK116" s="368"/>
      <c r="AL116" s="368"/>
      <c r="AM116" s="368"/>
      <c r="AN116" s="368"/>
      <c r="AO116" s="368"/>
      <c r="AP116" s="368"/>
      <c r="AQ116" s="368"/>
      <c r="AR116" s="368"/>
      <c r="AS116" s="195"/>
      <c r="AT116" s="195"/>
      <c r="AU116" s="377"/>
      <c r="AV116" s="382"/>
      <c r="AW116" s="426"/>
      <c r="AX116" s="426"/>
      <c r="AY116" s="426"/>
      <c r="AZ116" s="426"/>
      <c r="BA116" s="426"/>
      <c r="BB116" s="426"/>
      <c r="BC116" s="426"/>
      <c r="BD116" s="426"/>
      <c r="BE116" s="426"/>
      <c r="BF116" s="467"/>
      <c r="BG116" s="467">
        <f>5.2</f>
        <v>5.2</v>
      </c>
      <c r="BH116" s="341"/>
      <c r="BI116" s="446" t="s">
        <v>279</v>
      </c>
      <c r="BJ116" s="507"/>
    </row>
    <row r="117" spans="1:62" ht="15.75" customHeight="1" thickBot="1" x14ac:dyDescent="0.25">
      <c r="A117" s="176">
        <v>116</v>
      </c>
      <c r="B117" s="175">
        <v>1</v>
      </c>
      <c r="C117" s="166" t="s">
        <v>24</v>
      </c>
      <c r="D117" s="166" t="s">
        <v>53</v>
      </c>
      <c r="E117" s="166" t="s">
        <v>13</v>
      </c>
      <c r="F117" s="166" t="s">
        <v>350</v>
      </c>
      <c r="G117" s="166" t="s">
        <v>122</v>
      </c>
      <c r="H117" s="166" t="s">
        <v>351</v>
      </c>
      <c r="I117" s="181">
        <v>2012</v>
      </c>
      <c r="J117" s="181" t="s">
        <v>352</v>
      </c>
      <c r="K117" s="181" t="s">
        <v>353</v>
      </c>
      <c r="L117" s="181" t="s">
        <v>19</v>
      </c>
      <c r="M117" s="556" t="s">
        <v>4125</v>
      </c>
      <c r="N117" s="214" t="s">
        <v>20</v>
      </c>
      <c r="O117" s="234"/>
      <c r="P117" s="214" t="s">
        <v>20</v>
      </c>
      <c r="Q117" s="214" t="s">
        <v>15</v>
      </c>
      <c r="R117" s="214" t="s">
        <v>15</v>
      </c>
      <c r="S117" s="214" t="s">
        <v>15</v>
      </c>
      <c r="T117" s="214" t="s">
        <v>15</v>
      </c>
      <c r="U117" s="214" t="s">
        <v>15</v>
      </c>
      <c r="V117" s="214" t="s">
        <v>15</v>
      </c>
      <c r="W117" s="214" t="s">
        <v>15</v>
      </c>
      <c r="X117" s="214" t="s">
        <v>15</v>
      </c>
      <c r="Y117" s="214" t="s">
        <v>15</v>
      </c>
      <c r="Z117" s="234"/>
      <c r="AA117" s="234"/>
      <c r="AB117" s="214" t="s">
        <v>292</v>
      </c>
      <c r="AC117" s="214" t="s">
        <v>292</v>
      </c>
      <c r="AD117" s="320" t="s">
        <v>275</v>
      </c>
      <c r="AE117" s="320" t="s">
        <v>294</v>
      </c>
      <c r="AF117" s="162" t="str">
        <f t="shared" si="4"/>
        <v/>
      </c>
      <c r="AG117" s="162" t="str">
        <f t="shared" si="5"/>
        <v/>
      </c>
      <c r="AH117" s="164" t="str">
        <f t="shared" si="6"/>
        <v/>
      </c>
      <c r="AI117" s="164" t="str">
        <f t="shared" si="7"/>
        <v/>
      </c>
      <c r="AJ117" s="368"/>
      <c r="AK117" s="368"/>
      <c r="AL117" s="368"/>
      <c r="AM117" s="368"/>
      <c r="AN117" s="368"/>
      <c r="AO117" s="368"/>
      <c r="AP117" s="368"/>
      <c r="AQ117" s="368"/>
      <c r="AR117" s="368"/>
      <c r="AS117" s="195"/>
      <c r="AT117" s="199">
        <f>8.8/0.667</f>
        <v>13.193403298350825</v>
      </c>
      <c r="AU117" s="377"/>
      <c r="AW117" s="426"/>
      <c r="AX117" s="426"/>
      <c r="AY117" s="426"/>
      <c r="AZ117" s="426"/>
      <c r="BA117" s="426"/>
      <c r="BB117" s="426"/>
      <c r="BC117" s="426"/>
      <c r="BD117" s="426"/>
      <c r="BE117" s="426"/>
      <c r="BF117" s="467"/>
      <c r="BG117" s="468">
        <f>16/0.667</f>
        <v>23.988005997001498</v>
      </c>
      <c r="BH117" s="341"/>
      <c r="BI117" s="447"/>
      <c r="BJ117" s="507"/>
    </row>
    <row r="118" spans="1:62" ht="15.75" customHeight="1" thickBot="1" x14ac:dyDescent="0.25">
      <c r="A118" s="174">
        <v>117</v>
      </c>
      <c r="B118" s="175">
        <v>1</v>
      </c>
      <c r="C118" s="166" t="s">
        <v>24</v>
      </c>
      <c r="D118" s="166" t="s">
        <v>53</v>
      </c>
      <c r="E118" s="166" t="s">
        <v>13</v>
      </c>
      <c r="F118" s="166" t="s">
        <v>354</v>
      </c>
      <c r="G118" s="166" t="s">
        <v>122</v>
      </c>
      <c r="H118" s="166" t="s">
        <v>351</v>
      </c>
      <c r="I118" s="181">
        <v>2012</v>
      </c>
      <c r="J118" s="181" t="s">
        <v>352</v>
      </c>
      <c r="K118" s="181" t="s">
        <v>353</v>
      </c>
      <c r="L118" s="181" t="s">
        <v>19</v>
      </c>
      <c r="M118" s="556" t="s">
        <v>4125</v>
      </c>
      <c r="N118" s="214" t="s">
        <v>20</v>
      </c>
      <c r="O118" s="234"/>
      <c r="P118" s="214" t="s">
        <v>20</v>
      </c>
      <c r="Q118" s="214" t="s">
        <v>15</v>
      </c>
      <c r="R118" s="214" t="s">
        <v>15</v>
      </c>
      <c r="S118" s="214" t="s">
        <v>15</v>
      </c>
      <c r="T118" s="214" t="s">
        <v>15</v>
      </c>
      <c r="U118" s="214" t="s">
        <v>15</v>
      </c>
      <c r="V118" s="214" t="s">
        <v>15</v>
      </c>
      <c r="W118" s="214" t="s">
        <v>15</v>
      </c>
      <c r="X118" s="214" t="s">
        <v>15</v>
      </c>
      <c r="Y118" s="214" t="s">
        <v>15</v>
      </c>
      <c r="Z118" s="234"/>
      <c r="AA118" s="234"/>
      <c r="AB118" s="214" t="s">
        <v>292</v>
      </c>
      <c r="AC118" s="214" t="s">
        <v>292</v>
      </c>
      <c r="AD118" s="320" t="s">
        <v>275</v>
      </c>
      <c r="AE118" s="320" t="s">
        <v>294</v>
      </c>
      <c r="AF118" s="162" t="str">
        <f t="shared" si="4"/>
        <v/>
      </c>
      <c r="AG118" s="162" t="str">
        <f t="shared" si="5"/>
        <v/>
      </c>
      <c r="AH118" s="164" t="str">
        <f t="shared" si="6"/>
        <v/>
      </c>
      <c r="AI118" s="164" t="str">
        <f t="shared" si="7"/>
        <v/>
      </c>
      <c r="AJ118" s="368"/>
      <c r="AK118" s="368"/>
      <c r="AL118" s="368"/>
      <c r="AM118" s="368"/>
      <c r="AN118" s="368"/>
      <c r="AO118" s="368"/>
      <c r="AP118" s="368"/>
      <c r="AQ118" s="368"/>
      <c r="AR118" s="368"/>
      <c r="AS118" s="195"/>
      <c r="AT118" s="199">
        <f>10.3/0.667</f>
        <v>15.442278860569715</v>
      </c>
      <c r="AU118" s="377"/>
      <c r="AW118" s="426"/>
      <c r="AX118" s="426"/>
      <c r="AY118" s="426"/>
      <c r="AZ118" s="426"/>
      <c r="BA118" s="426"/>
      <c r="BB118" s="426"/>
      <c r="BC118" s="426"/>
      <c r="BD118" s="426"/>
      <c r="BE118" s="426"/>
      <c r="BF118" s="467"/>
      <c r="BG118" s="467">
        <f>18.8/0.667</f>
        <v>28.18590704647676</v>
      </c>
      <c r="BH118" s="341"/>
      <c r="BI118" s="447"/>
      <c r="BJ118" s="507"/>
    </row>
    <row r="119" spans="1:62" ht="15.75" customHeight="1" thickBot="1" x14ac:dyDescent="0.25">
      <c r="A119" s="176">
        <v>118</v>
      </c>
      <c r="B119" s="175">
        <v>1</v>
      </c>
      <c r="C119" s="166" t="s">
        <v>24</v>
      </c>
      <c r="D119" s="166" t="s">
        <v>53</v>
      </c>
      <c r="E119" s="166" t="s">
        <v>13</v>
      </c>
      <c r="F119" s="166" t="s">
        <v>355</v>
      </c>
      <c r="G119" s="166" t="s">
        <v>122</v>
      </c>
      <c r="H119" s="166" t="s">
        <v>351</v>
      </c>
      <c r="I119" s="181">
        <v>2012</v>
      </c>
      <c r="J119" s="181" t="s">
        <v>352</v>
      </c>
      <c r="K119" s="181" t="s">
        <v>353</v>
      </c>
      <c r="L119" s="181" t="s">
        <v>19</v>
      </c>
      <c r="M119" s="556" t="s">
        <v>4125</v>
      </c>
      <c r="N119" s="214" t="s">
        <v>20</v>
      </c>
      <c r="O119" s="234"/>
      <c r="P119" s="214" t="s">
        <v>20</v>
      </c>
      <c r="Q119" s="214" t="s">
        <v>15</v>
      </c>
      <c r="R119" s="214" t="s">
        <v>15</v>
      </c>
      <c r="S119" s="214" t="s">
        <v>15</v>
      </c>
      <c r="T119" s="214" t="s">
        <v>15</v>
      </c>
      <c r="U119" s="214" t="s">
        <v>15</v>
      </c>
      <c r="V119" s="214" t="s">
        <v>15</v>
      </c>
      <c r="W119" s="214" t="s">
        <v>15</v>
      </c>
      <c r="X119" s="214" t="s">
        <v>15</v>
      </c>
      <c r="Y119" s="214" t="s">
        <v>15</v>
      </c>
      <c r="Z119" s="234"/>
      <c r="AA119" s="234"/>
      <c r="AB119" s="214" t="s">
        <v>292</v>
      </c>
      <c r="AC119" s="214" t="s">
        <v>292</v>
      </c>
      <c r="AD119" s="320" t="s">
        <v>275</v>
      </c>
      <c r="AE119" s="320" t="s">
        <v>294</v>
      </c>
      <c r="AF119" s="162" t="str">
        <f t="shared" si="4"/>
        <v/>
      </c>
      <c r="AG119" s="162" t="str">
        <f t="shared" si="5"/>
        <v/>
      </c>
      <c r="AH119" s="164" t="str">
        <f t="shared" si="6"/>
        <v/>
      </c>
      <c r="AI119" s="164" t="str">
        <f t="shared" si="7"/>
        <v/>
      </c>
      <c r="AJ119" s="368"/>
      <c r="AK119" s="368"/>
      <c r="AL119" s="368"/>
      <c r="AM119" s="368"/>
      <c r="AN119" s="368"/>
      <c r="AO119" s="368"/>
      <c r="AP119" s="368"/>
      <c r="AQ119" s="368"/>
      <c r="AR119" s="368"/>
      <c r="AS119" s="195"/>
      <c r="AT119" s="199">
        <f>12.3/0.667</f>
        <v>18.440779610194902</v>
      </c>
      <c r="AU119" s="377"/>
      <c r="AW119" s="426"/>
      <c r="AX119" s="426"/>
      <c r="AY119" s="426"/>
      <c r="AZ119" s="426"/>
      <c r="BA119" s="426"/>
      <c r="BB119" s="426"/>
      <c r="BC119" s="426"/>
      <c r="BD119" s="426"/>
      <c r="BE119" s="426"/>
      <c r="BF119" s="467"/>
      <c r="BG119" s="467">
        <f>26.8/0.667</f>
        <v>40.179910044977511</v>
      </c>
      <c r="BH119" s="341"/>
      <c r="BI119" s="447"/>
      <c r="BJ119" s="507"/>
    </row>
    <row r="120" spans="1:62" ht="15.75" customHeight="1" thickBot="1" x14ac:dyDescent="0.25">
      <c r="A120" s="174">
        <v>119</v>
      </c>
      <c r="B120" s="175">
        <v>1</v>
      </c>
      <c r="C120" s="166" t="s">
        <v>24</v>
      </c>
      <c r="D120" s="166" t="s">
        <v>53</v>
      </c>
      <c r="E120" s="166" t="s">
        <v>13</v>
      </c>
      <c r="F120" s="166" t="s">
        <v>356</v>
      </c>
      <c r="G120" s="166" t="s">
        <v>122</v>
      </c>
      <c r="H120" s="166" t="s">
        <v>357</v>
      </c>
      <c r="I120" s="181">
        <v>2012</v>
      </c>
      <c r="J120" s="181" t="s">
        <v>358</v>
      </c>
      <c r="K120" s="181" t="s">
        <v>359</v>
      </c>
      <c r="L120" s="181" t="s">
        <v>19</v>
      </c>
      <c r="M120" s="556" t="s">
        <v>4126</v>
      </c>
      <c r="N120" s="214" t="s">
        <v>20</v>
      </c>
      <c r="O120" s="214" t="s">
        <v>15</v>
      </c>
      <c r="P120" s="214" t="s">
        <v>15</v>
      </c>
      <c r="Q120" s="214" t="s">
        <v>15</v>
      </c>
      <c r="R120" s="214" t="s">
        <v>15</v>
      </c>
      <c r="S120" s="214" t="s">
        <v>15</v>
      </c>
      <c r="T120" s="214" t="s">
        <v>15</v>
      </c>
      <c r="U120" s="214" t="s">
        <v>15</v>
      </c>
      <c r="V120" s="214" t="s">
        <v>15</v>
      </c>
      <c r="W120" s="214" t="s">
        <v>15</v>
      </c>
      <c r="X120" s="214" t="s">
        <v>15</v>
      </c>
      <c r="Y120" s="214" t="s">
        <v>15</v>
      </c>
      <c r="Z120" s="234"/>
      <c r="AA120" s="214" t="s">
        <v>360</v>
      </c>
      <c r="AB120" s="214" t="s">
        <v>292</v>
      </c>
      <c r="AC120" s="214" t="s">
        <v>292</v>
      </c>
      <c r="AD120" s="320" t="s">
        <v>275</v>
      </c>
      <c r="AE120" s="320" t="s">
        <v>294</v>
      </c>
      <c r="AF120" s="162" t="str">
        <f t="shared" si="4"/>
        <v/>
      </c>
      <c r="AG120" s="162" t="str">
        <f t="shared" si="5"/>
        <v/>
      </c>
      <c r="AH120" s="164">
        <f t="shared" si="6"/>
        <v>33.883058470764617</v>
      </c>
      <c r="AI120" s="164" t="str">
        <f t="shared" si="7"/>
        <v/>
      </c>
      <c r="AJ120" s="368"/>
      <c r="AK120" s="368"/>
      <c r="AL120" s="368"/>
      <c r="AM120" s="368"/>
      <c r="AN120" s="368"/>
      <c r="AO120" s="368"/>
      <c r="AP120" s="368"/>
      <c r="AQ120" s="368"/>
      <c r="AR120" s="368"/>
      <c r="AS120" s="195"/>
      <c r="AT120" s="195"/>
      <c r="AU120" s="377"/>
      <c r="AV120" s="382"/>
      <c r="AW120" s="426"/>
      <c r="AX120" s="426"/>
      <c r="AY120" s="426"/>
      <c r="AZ120" s="426"/>
      <c r="BA120" s="426"/>
      <c r="BB120" s="426"/>
      <c r="BC120" s="426"/>
      <c r="BD120" s="426"/>
      <c r="BE120" s="426"/>
      <c r="BF120" s="467">
        <f>22.6/0.667</f>
        <v>33.883058470764617</v>
      </c>
      <c r="BG120" s="469"/>
      <c r="BH120" s="341"/>
      <c r="BI120" s="446" t="s">
        <v>279</v>
      </c>
      <c r="BJ120" s="507"/>
    </row>
    <row r="121" spans="1:62" ht="15.75" customHeight="1" thickBot="1" x14ac:dyDescent="0.25">
      <c r="A121" s="176">
        <v>120</v>
      </c>
      <c r="B121" s="175">
        <v>1</v>
      </c>
      <c r="C121" s="166" t="s">
        <v>24</v>
      </c>
      <c r="D121" s="166" t="s">
        <v>53</v>
      </c>
      <c r="E121" s="166" t="s">
        <v>13</v>
      </c>
      <c r="F121" s="166" t="s">
        <v>361</v>
      </c>
      <c r="G121" s="166" t="s">
        <v>122</v>
      </c>
      <c r="H121" s="166" t="s">
        <v>357</v>
      </c>
      <c r="I121" s="181">
        <v>2012</v>
      </c>
      <c r="J121" s="181" t="s">
        <v>358</v>
      </c>
      <c r="K121" s="181" t="s">
        <v>359</v>
      </c>
      <c r="L121" s="181" t="s">
        <v>19</v>
      </c>
      <c r="M121" s="556" t="s">
        <v>4126</v>
      </c>
      <c r="N121" s="214" t="s">
        <v>20</v>
      </c>
      <c r="O121" s="214" t="s">
        <v>15</v>
      </c>
      <c r="P121" s="214" t="s">
        <v>15</v>
      </c>
      <c r="Q121" s="214" t="s">
        <v>15</v>
      </c>
      <c r="R121" s="214" t="s">
        <v>15</v>
      </c>
      <c r="S121" s="214" t="s">
        <v>15</v>
      </c>
      <c r="T121" s="214" t="s">
        <v>15</v>
      </c>
      <c r="U121" s="214" t="s">
        <v>15</v>
      </c>
      <c r="V121" s="214" t="s">
        <v>15</v>
      </c>
      <c r="W121" s="214" t="s">
        <v>15</v>
      </c>
      <c r="X121" s="214" t="s">
        <v>15</v>
      </c>
      <c r="Y121" s="214" t="s">
        <v>15</v>
      </c>
      <c r="Z121" s="234"/>
      <c r="AA121" s="214" t="s">
        <v>360</v>
      </c>
      <c r="AB121" s="214" t="s">
        <v>292</v>
      </c>
      <c r="AC121" s="214" t="s">
        <v>292</v>
      </c>
      <c r="AD121" s="320" t="s">
        <v>275</v>
      </c>
      <c r="AE121" s="320" t="s">
        <v>294</v>
      </c>
      <c r="AF121" s="162" t="str">
        <f t="shared" si="4"/>
        <v/>
      </c>
      <c r="AG121" s="162" t="str">
        <f t="shared" si="5"/>
        <v/>
      </c>
      <c r="AH121" s="164">
        <f t="shared" si="6"/>
        <v>31.934032983508246</v>
      </c>
      <c r="AI121" s="164" t="str">
        <f t="shared" si="7"/>
        <v/>
      </c>
      <c r="AJ121" s="368"/>
      <c r="AK121" s="368"/>
      <c r="AL121" s="368"/>
      <c r="AM121" s="368"/>
      <c r="AN121" s="368"/>
      <c r="AO121" s="368"/>
      <c r="AP121" s="368"/>
      <c r="AQ121" s="368"/>
      <c r="AR121" s="368"/>
      <c r="AS121" s="195"/>
      <c r="AT121" s="195"/>
      <c r="AU121" s="377"/>
      <c r="AV121" s="382"/>
      <c r="AW121" s="426"/>
      <c r="AX121" s="426"/>
      <c r="AY121" s="426"/>
      <c r="AZ121" s="426"/>
      <c r="BA121" s="426"/>
      <c r="BB121" s="426"/>
      <c r="BC121" s="426"/>
      <c r="BD121" s="426"/>
      <c r="BE121" s="426"/>
      <c r="BF121" s="467">
        <f>21.3/0.667</f>
        <v>31.934032983508246</v>
      </c>
      <c r="BG121" s="469"/>
      <c r="BH121" s="341"/>
      <c r="BI121" s="446" t="s">
        <v>279</v>
      </c>
      <c r="BJ121" s="507"/>
    </row>
    <row r="122" spans="1:62" ht="15.75" customHeight="1" thickBot="1" x14ac:dyDescent="0.25">
      <c r="A122" s="174">
        <v>121</v>
      </c>
      <c r="B122" s="175">
        <v>1</v>
      </c>
      <c r="C122" s="166" t="s">
        <v>24</v>
      </c>
      <c r="D122" s="166" t="s">
        <v>4056</v>
      </c>
      <c r="E122" s="166" t="s">
        <v>13</v>
      </c>
      <c r="F122" s="166" t="s">
        <v>362</v>
      </c>
      <c r="G122" s="166" t="s">
        <v>122</v>
      </c>
      <c r="H122" s="166" t="s">
        <v>357</v>
      </c>
      <c r="I122" s="181">
        <v>2012</v>
      </c>
      <c r="J122" s="181" t="s">
        <v>358</v>
      </c>
      <c r="K122" s="181" t="s">
        <v>359</v>
      </c>
      <c r="L122" s="181" t="s">
        <v>19</v>
      </c>
      <c r="M122" s="556" t="s">
        <v>4126</v>
      </c>
      <c r="N122" s="214" t="s">
        <v>20</v>
      </c>
      <c r="O122" s="214" t="s">
        <v>15</v>
      </c>
      <c r="P122" s="214" t="s">
        <v>15</v>
      </c>
      <c r="Q122" s="214" t="s">
        <v>15</v>
      </c>
      <c r="R122" s="214" t="s">
        <v>15</v>
      </c>
      <c r="S122" s="214" t="s">
        <v>15</v>
      </c>
      <c r="T122" s="214" t="s">
        <v>15</v>
      </c>
      <c r="U122" s="214" t="s">
        <v>15</v>
      </c>
      <c r="V122" s="214" t="s">
        <v>15</v>
      </c>
      <c r="W122" s="214" t="s">
        <v>15</v>
      </c>
      <c r="X122" s="214" t="s">
        <v>15</v>
      </c>
      <c r="Y122" s="214" t="s">
        <v>15</v>
      </c>
      <c r="Z122" s="234"/>
      <c r="AA122" s="214" t="s">
        <v>360</v>
      </c>
      <c r="AB122" s="214" t="s">
        <v>292</v>
      </c>
      <c r="AC122" s="214" t="s">
        <v>292</v>
      </c>
      <c r="AD122" s="320" t="s">
        <v>275</v>
      </c>
      <c r="AE122" s="320" t="s">
        <v>294</v>
      </c>
      <c r="AF122" s="162" t="str">
        <f t="shared" si="4"/>
        <v/>
      </c>
      <c r="AG122" s="162" t="str">
        <f t="shared" si="5"/>
        <v/>
      </c>
      <c r="AH122" s="164">
        <f t="shared" si="6"/>
        <v>16.04197901049475</v>
      </c>
      <c r="AI122" s="164" t="str">
        <f t="shared" si="7"/>
        <v/>
      </c>
      <c r="AJ122" s="368"/>
      <c r="AK122" s="368"/>
      <c r="AL122" s="368"/>
      <c r="AM122" s="368"/>
      <c r="AN122" s="368"/>
      <c r="AO122" s="368"/>
      <c r="AP122" s="368"/>
      <c r="AQ122" s="368"/>
      <c r="AR122" s="368"/>
      <c r="AS122" s="195"/>
      <c r="AT122" s="195"/>
      <c r="AU122" s="377"/>
      <c r="AV122" s="382"/>
      <c r="AW122" s="426"/>
      <c r="AX122" s="426"/>
      <c r="AY122" s="426"/>
      <c r="AZ122" s="426"/>
      <c r="BA122" s="426"/>
      <c r="BB122" s="426"/>
      <c r="BC122" s="426"/>
      <c r="BD122" s="426"/>
      <c r="BE122" s="426"/>
      <c r="BF122" s="467">
        <f>10.7/0.667</f>
        <v>16.04197901049475</v>
      </c>
      <c r="BG122" s="469"/>
      <c r="BH122" s="341"/>
      <c r="BI122" s="446" t="s">
        <v>279</v>
      </c>
      <c r="BJ122" s="507"/>
    </row>
    <row r="123" spans="1:62" ht="15.75" customHeight="1" thickBot="1" x14ac:dyDescent="0.25">
      <c r="A123" s="176">
        <v>122</v>
      </c>
      <c r="B123" s="175">
        <v>1</v>
      </c>
      <c r="C123" s="166" t="s">
        <v>24</v>
      </c>
      <c r="D123" s="166" t="s">
        <v>53</v>
      </c>
      <c r="E123" s="166" t="s">
        <v>13</v>
      </c>
      <c r="F123" s="166" t="s">
        <v>363</v>
      </c>
      <c r="G123" s="166" t="s">
        <v>122</v>
      </c>
      <c r="H123" s="166" t="s">
        <v>80</v>
      </c>
      <c r="I123" s="181">
        <v>2015</v>
      </c>
      <c r="J123" s="181" t="s">
        <v>364</v>
      </c>
      <c r="K123" s="181" t="s">
        <v>365</v>
      </c>
      <c r="L123" s="181" t="s">
        <v>19</v>
      </c>
      <c r="M123" s="556" t="s">
        <v>4127</v>
      </c>
      <c r="N123" s="214" t="s">
        <v>20</v>
      </c>
      <c r="O123" s="214" t="s">
        <v>20</v>
      </c>
      <c r="P123" s="214" t="s">
        <v>15</v>
      </c>
      <c r="Q123" s="214" t="s">
        <v>15</v>
      </c>
      <c r="R123" s="214" t="s">
        <v>15</v>
      </c>
      <c r="S123" s="214" t="s">
        <v>15</v>
      </c>
      <c r="T123" s="214" t="s">
        <v>15</v>
      </c>
      <c r="U123" s="214" t="s">
        <v>15</v>
      </c>
      <c r="V123" s="214" t="s">
        <v>15</v>
      </c>
      <c r="W123" s="214" t="s">
        <v>15</v>
      </c>
      <c r="X123" s="214" t="s">
        <v>15</v>
      </c>
      <c r="Y123" s="214" t="s">
        <v>15</v>
      </c>
      <c r="Z123" s="234"/>
      <c r="AA123" s="214" t="s">
        <v>366</v>
      </c>
      <c r="AB123" s="214" t="s">
        <v>292</v>
      </c>
      <c r="AC123" s="214" t="s">
        <v>292</v>
      </c>
      <c r="AD123" s="320" t="s">
        <v>275</v>
      </c>
      <c r="AE123" s="320" t="s">
        <v>294</v>
      </c>
      <c r="AF123" s="162" t="str">
        <f t="shared" si="4"/>
        <v/>
      </c>
      <c r="AG123" s="162" t="str">
        <f t="shared" si="5"/>
        <v/>
      </c>
      <c r="AH123" s="164">
        <f t="shared" si="6"/>
        <v>34.632683658170912</v>
      </c>
      <c r="AI123" s="164" t="str">
        <f t="shared" si="7"/>
        <v/>
      </c>
      <c r="AJ123" s="368"/>
      <c r="AK123" s="368"/>
      <c r="AL123" s="368"/>
      <c r="AM123" s="368"/>
      <c r="AN123" s="368"/>
      <c r="AO123" s="368"/>
      <c r="AP123" s="368"/>
      <c r="AQ123" s="368"/>
      <c r="AR123" s="368"/>
      <c r="AS123" s="195"/>
      <c r="AT123" s="195"/>
      <c r="AU123" s="377"/>
      <c r="AV123" s="382"/>
      <c r="AW123" s="426"/>
      <c r="AX123" s="426"/>
      <c r="AY123" s="426"/>
      <c r="AZ123" s="426"/>
      <c r="BA123" s="426"/>
      <c r="BB123" s="426"/>
      <c r="BC123" s="426"/>
      <c r="BD123" s="426"/>
      <c r="BE123" s="426"/>
      <c r="BF123" s="467">
        <f>23.1/0.667</f>
        <v>34.632683658170912</v>
      </c>
      <c r="BG123" s="469"/>
      <c r="BH123" s="341"/>
      <c r="BI123" s="447"/>
      <c r="BJ123" s="507"/>
    </row>
    <row r="124" spans="1:62" ht="15.75" customHeight="1" thickBot="1" x14ac:dyDescent="0.25">
      <c r="A124" s="174">
        <v>123</v>
      </c>
      <c r="B124" s="175">
        <v>1</v>
      </c>
      <c r="C124" s="166" t="s">
        <v>24</v>
      </c>
      <c r="D124" s="166" t="s">
        <v>53</v>
      </c>
      <c r="E124" s="166" t="s">
        <v>13</v>
      </c>
      <c r="F124" s="166" t="s">
        <v>363</v>
      </c>
      <c r="G124" s="166" t="s">
        <v>122</v>
      </c>
      <c r="H124" s="166" t="s">
        <v>101</v>
      </c>
      <c r="I124" s="181">
        <v>2015</v>
      </c>
      <c r="J124" s="181" t="s">
        <v>364</v>
      </c>
      <c r="K124" s="181" t="s">
        <v>365</v>
      </c>
      <c r="L124" s="181" t="s">
        <v>19</v>
      </c>
      <c r="M124" s="556" t="s">
        <v>4127</v>
      </c>
      <c r="N124" s="214" t="s">
        <v>20</v>
      </c>
      <c r="O124" s="214" t="s">
        <v>20</v>
      </c>
      <c r="P124" s="214" t="s">
        <v>15</v>
      </c>
      <c r="Q124" s="214" t="s">
        <v>15</v>
      </c>
      <c r="R124" s="214" t="s">
        <v>15</v>
      </c>
      <c r="S124" s="214" t="s">
        <v>15</v>
      </c>
      <c r="T124" s="214" t="s">
        <v>15</v>
      </c>
      <c r="U124" s="214" t="s">
        <v>15</v>
      </c>
      <c r="V124" s="214" t="s">
        <v>15</v>
      </c>
      <c r="W124" s="214" t="s">
        <v>15</v>
      </c>
      <c r="X124" s="214" t="s">
        <v>15</v>
      </c>
      <c r="Y124" s="214" t="s">
        <v>15</v>
      </c>
      <c r="Z124" s="234"/>
      <c r="AA124" s="214" t="s">
        <v>366</v>
      </c>
      <c r="AB124" s="214" t="s">
        <v>292</v>
      </c>
      <c r="AC124" s="214" t="s">
        <v>292</v>
      </c>
      <c r="AD124" s="320" t="s">
        <v>275</v>
      </c>
      <c r="AE124" s="320" t="s">
        <v>294</v>
      </c>
      <c r="AF124" s="162" t="str">
        <f t="shared" si="4"/>
        <v/>
      </c>
      <c r="AG124" s="162" t="str">
        <f t="shared" si="5"/>
        <v/>
      </c>
      <c r="AH124" s="164">
        <f t="shared" si="6"/>
        <v>38.080959520239873</v>
      </c>
      <c r="AI124" s="164" t="str">
        <f t="shared" si="7"/>
        <v/>
      </c>
      <c r="AJ124" s="368"/>
      <c r="AK124" s="368"/>
      <c r="AL124" s="368"/>
      <c r="AM124" s="368"/>
      <c r="AN124" s="368"/>
      <c r="AO124" s="368"/>
      <c r="AP124" s="368"/>
      <c r="AQ124" s="368"/>
      <c r="AR124" s="368"/>
      <c r="AS124" s="195"/>
      <c r="AT124" s="195"/>
      <c r="AU124" s="377"/>
      <c r="AV124" s="382"/>
      <c r="AW124" s="426"/>
      <c r="AX124" s="426"/>
      <c r="AY124" s="426"/>
      <c r="AZ124" s="426"/>
      <c r="BA124" s="426"/>
      <c r="BB124" s="426"/>
      <c r="BC124" s="426"/>
      <c r="BD124" s="426"/>
      <c r="BE124" s="426"/>
      <c r="BF124" s="467">
        <f>25.4/0.667</f>
        <v>38.080959520239873</v>
      </c>
      <c r="BG124" s="469"/>
      <c r="BH124" s="341"/>
      <c r="BI124" s="447"/>
      <c r="BJ124" s="507"/>
    </row>
    <row r="125" spans="1:62" ht="15.75" customHeight="1" thickBot="1" x14ac:dyDescent="0.25">
      <c r="A125" s="176">
        <v>124</v>
      </c>
      <c r="B125" s="175">
        <v>1</v>
      </c>
      <c r="C125" s="166" t="s">
        <v>24</v>
      </c>
      <c r="D125" s="166" t="s">
        <v>53</v>
      </c>
      <c r="E125" s="166" t="s">
        <v>13</v>
      </c>
      <c r="F125" s="166" t="s">
        <v>367</v>
      </c>
      <c r="G125" s="166" t="s">
        <v>122</v>
      </c>
      <c r="H125" s="166" t="s">
        <v>80</v>
      </c>
      <c r="I125" s="181">
        <v>2015</v>
      </c>
      <c r="J125" s="181" t="s">
        <v>364</v>
      </c>
      <c r="K125" s="181" t="s">
        <v>365</v>
      </c>
      <c r="L125" s="181" t="s">
        <v>19</v>
      </c>
      <c r="M125" s="556" t="s">
        <v>4127</v>
      </c>
      <c r="N125" s="214" t="s">
        <v>20</v>
      </c>
      <c r="O125" s="214" t="s">
        <v>20</v>
      </c>
      <c r="P125" s="214" t="s">
        <v>15</v>
      </c>
      <c r="Q125" s="214" t="s">
        <v>15</v>
      </c>
      <c r="R125" s="214" t="s">
        <v>15</v>
      </c>
      <c r="S125" s="214" t="s">
        <v>15</v>
      </c>
      <c r="T125" s="214" t="s">
        <v>15</v>
      </c>
      <c r="U125" s="214" t="s">
        <v>15</v>
      </c>
      <c r="V125" s="214" t="s">
        <v>15</v>
      </c>
      <c r="W125" s="214" t="s">
        <v>15</v>
      </c>
      <c r="X125" s="214" t="s">
        <v>15</v>
      </c>
      <c r="Y125" s="214" t="s">
        <v>15</v>
      </c>
      <c r="Z125" s="234"/>
      <c r="AA125" s="214" t="s">
        <v>366</v>
      </c>
      <c r="AB125" s="214" t="s">
        <v>292</v>
      </c>
      <c r="AC125" s="214" t="s">
        <v>292</v>
      </c>
      <c r="AD125" s="320" t="s">
        <v>275</v>
      </c>
      <c r="AE125" s="320" t="s">
        <v>294</v>
      </c>
      <c r="AF125" s="162" t="str">
        <f t="shared" si="4"/>
        <v/>
      </c>
      <c r="AG125" s="162" t="str">
        <f t="shared" si="5"/>
        <v/>
      </c>
      <c r="AH125" s="164">
        <f t="shared" si="6"/>
        <v>44.527736131934027</v>
      </c>
      <c r="AI125" s="164" t="str">
        <f t="shared" si="7"/>
        <v/>
      </c>
      <c r="AJ125" s="368"/>
      <c r="AK125" s="368"/>
      <c r="AL125" s="368"/>
      <c r="AM125" s="368"/>
      <c r="AN125" s="368"/>
      <c r="AO125" s="368"/>
      <c r="AP125" s="368"/>
      <c r="AQ125" s="368"/>
      <c r="AR125" s="368"/>
      <c r="AS125" s="195"/>
      <c r="AT125" s="195"/>
      <c r="AU125" s="377"/>
      <c r="AV125" s="382"/>
      <c r="AW125" s="426"/>
      <c r="AX125" s="426"/>
      <c r="AY125" s="426"/>
      <c r="AZ125" s="426"/>
      <c r="BA125" s="426"/>
      <c r="BB125" s="426"/>
      <c r="BC125" s="426"/>
      <c r="BD125" s="426"/>
      <c r="BE125" s="426"/>
      <c r="BF125" s="467">
        <f>29.7/0.667</f>
        <v>44.527736131934027</v>
      </c>
      <c r="BG125" s="469"/>
      <c r="BH125" s="341"/>
      <c r="BI125" s="447"/>
      <c r="BJ125" s="507"/>
    </row>
    <row r="126" spans="1:62" ht="15.75" customHeight="1" thickBot="1" x14ac:dyDescent="0.25">
      <c r="A126" s="174">
        <v>125</v>
      </c>
      <c r="B126" s="175">
        <v>1</v>
      </c>
      <c r="C126" s="166" t="s">
        <v>24</v>
      </c>
      <c r="D126" s="166" t="s">
        <v>4056</v>
      </c>
      <c r="E126" s="166" t="s">
        <v>13</v>
      </c>
      <c r="F126" s="166" t="s">
        <v>368</v>
      </c>
      <c r="G126" s="166" t="s">
        <v>122</v>
      </c>
      <c r="H126" s="166" t="s">
        <v>80</v>
      </c>
      <c r="I126" s="181">
        <v>2015</v>
      </c>
      <c r="J126" s="181" t="s">
        <v>364</v>
      </c>
      <c r="K126" s="181" t="s">
        <v>365</v>
      </c>
      <c r="L126" s="181" t="s">
        <v>19</v>
      </c>
      <c r="M126" s="556" t="s">
        <v>4127</v>
      </c>
      <c r="N126" s="214" t="s">
        <v>20</v>
      </c>
      <c r="O126" s="214" t="s">
        <v>20</v>
      </c>
      <c r="P126" s="214" t="s">
        <v>15</v>
      </c>
      <c r="Q126" s="214" t="s">
        <v>15</v>
      </c>
      <c r="R126" s="214" t="s">
        <v>15</v>
      </c>
      <c r="S126" s="214" t="s">
        <v>15</v>
      </c>
      <c r="T126" s="214" t="s">
        <v>15</v>
      </c>
      <c r="U126" s="214" t="s">
        <v>15</v>
      </c>
      <c r="V126" s="214" t="s">
        <v>15</v>
      </c>
      <c r="W126" s="214" t="s">
        <v>15</v>
      </c>
      <c r="X126" s="214" t="s">
        <v>15</v>
      </c>
      <c r="Y126" s="214" t="s">
        <v>15</v>
      </c>
      <c r="Z126" s="234"/>
      <c r="AA126" s="214" t="s">
        <v>366</v>
      </c>
      <c r="AB126" s="214" t="s">
        <v>292</v>
      </c>
      <c r="AC126" s="214" t="s">
        <v>292</v>
      </c>
      <c r="AD126" s="320" t="s">
        <v>275</v>
      </c>
      <c r="AE126" s="320" t="s">
        <v>294</v>
      </c>
      <c r="AF126" s="162" t="str">
        <f t="shared" si="4"/>
        <v/>
      </c>
      <c r="AG126" s="162" t="str">
        <f t="shared" si="5"/>
        <v/>
      </c>
      <c r="AH126" s="164">
        <f t="shared" si="6"/>
        <v>24.887556221889056</v>
      </c>
      <c r="AI126" s="164" t="str">
        <f t="shared" si="7"/>
        <v/>
      </c>
      <c r="AJ126" s="368"/>
      <c r="AK126" s="368"/>
      <c r="AL126" s="368"/>
      <c r="AM126" s="368"/>
      <c r="AN126" s="368"/>
      <c r="AO126" s="368"/>
      <c r="AP126" s="368"/>
      <c r="AQ126" s="368"/>
      <c r="AR126" s="368"/>
      <c r="AS126" s="195"/>
      <c r="AT126" s="195"/>
      <c r="AU126" s="377"/>
      <c r="AV126" s="382"/>
      <c r="AW126" s="426"/>
      <c r="AX126" s="426"/>
      <c r="AY126" s="426"/>
      <c r="AZ126" s="426"/>
      <c r="BA126" s="426"/>
      <c r="BB126" s="426"/>
      <c r="BC126" s="426"/>
      <c r="BD126" s="426"/>
      <c r="BE126" s="426"/>
      <c r="BF126" s="467">
        <f>16.6/0.667</f>
        <v>24.887556221889056</v>
      </c>
      <c r="BG126" s="469"/>
      <c r="BH126" s="341"/>
      <c r="BI126" s="447"/>
      <c r="BJ126" s="507"/>
    </row>
    <row r="127" spans="1:62" ht="15.75" customHeight="1" thickBot="1" x14ac:dyDescent="0.25">
      <c r="A127" s="176">
        <v>126</v>
      </c>
      <c r="B127" s="175">
        <v>1</v>
      </c>
      <c r="C127" s="166" t="s">
        <v>24</v>
      </c>
      <c r="D127" s="166" t="s">
        <v>4056</v>
      </c>
      <c r="E127" s="166" t="s">
        <v>13</v>
      </c>
      <c r="F127" s="166" t="s">
        <v>368</v>
      </c>
      <c r="G127" s="166" t="s">
        <v>122</v>
      </c>
      <c r="H127" s="166" t="s">
        <v>101</v>
      </c>
      <c r="I127" s="181">
        <v>2015</v>
      </c>
      <c r="J127" s="181" t="s">
        <v>364</v>
      </c>
      <c r="K127" s="181" t="s">
        <v>365</v>
      </c>
      <c r="L127" s="181" t="s">
        <v>19</v>
      </c>
      <c r="M127" s="556" t="s">
        <v>4127</v>
      </c>
      <c r="N127" s="214" t="s">
        <v>20</v>
      </c>
      <c r="O127" s="214" t="s">
        <v>20</v>
      </c>
      <c r="P127" s="214" t="s">
        <v>15</v>
      </c>
      <c r="Q127" s="214" t="s">
        <v>15</v>
      </c>
      <c r="R127" s="214" t="s">
        <v>15</v>
      </c>
      <c r="S127" s="214" t="s">
        <v>15</v>
      </c>
      <c r="T127" s="214" t="s">
        <v>15</v>
      </c>
      <c r="U127" s="214" t="s">
        <v>15</v>
      </c>
      <c r="V127" s="214" t="s">
        <v>15</v>
      </c>
      <c r="W127" s="214" t="s">
        <v>15</v>
      </c>
      <c r="X127" s="214" t="s">
        <v>15</v>
      </c>
      <c r="Y127" s="214" t="s">
        <v>15</v>
      </c>
      <c r="Z127" s="234"/>
      <c r="AA127" s="214" t="s">
        <v>366</v>
      </c>
      <c r="AB127" s="214" t="s">
        <v>292</v>
      </c>
      <c r="AC127" s="214" t="s">
        <v>292</v>
      </c>
      <c r="AD127" s="320" t="s">
        <v>275</v>
      </c>
      <c r="AE127" s="320" t="s">
        <v>294</v>
      </c>
      <c r="AF127" s="162" t="str">
        <f t="shared" si="4"/>
        <v/>
      </c>
      <c r="AG127" s="162" t="str">
        <f t="shared" si="5"/>
        <v/>
      </c>
      <c r="AH127" s="164">
        <f t="shared" si="6"/>
        <v>25.487256371814091</v>
      </c>
      <c r="AI127" s="164" t="str">
        <f t="shared" si="7"/>
        <v/>
      </c>
      <c r="AJ127" s="368"/>
      <c r="AK127" s="368"/>
      <c r="AL127" s="368"/>
      <c r="AM127" s="368"/>
      <c r="AN127" s="368"/>
      <c r="AO127" s="368"/>
      <c r="AP127" s="368"/>
      <c r="AQ127" s="368"/>
      <c r="AR127" s="368"/>
      <c r="AS127" s="195"/>
      <c r="AT127" s="195"/>
      <c r="AU127" s="377"/>
      <c r="AV127" s="382"/>
      <c r="AW127" s="426"/>
      <c r="AX127" s="426"/>
      <c r="AY127" s="426"/>
      <c r="AZ127" s="426"/>
      <c r="BA127" s="426"/>
      <c r="BB127" s="426"/>
      <c r="BC127" s="426"/>
      <c r="BD127" s="426"/>
      <c r="BE127" s="426"/>
      <c r="BF127" s="467">
        <f>17/0.667</f>
        <v>25.487256371814091</v>
      </c>
      <c r="BG127" s="469"/>
      <c r="BH127" s="341"/>
      <c r="BI127" s="447"/>
      <c r="BJ127" s="507"/>
    </row>
    <row r="128" spans="1:62" ht="15.75" customHeight="1" thickBot="1" x14ac:dyDescent="0.25">
      <c r="A128" s="174">
        <v>127</v>
      </c>
      <c r="B128" s="175">
        <v>1</v>
      </c>
      <c r="C128" s="166" t="s">
        <v>24</v>
      </c>
      <c r="D128" s="166" t="s">
        <v>53</v>
      </c>
      <c r="E128" s="166" t="s">
        <v>13</v>
      </c>
      <c r="F128" s="166"/>
      <c r="G128" s="166" t="s">
        <v>122</v>
      </c>
      <c r="H128" s="166" t="s">
        <v>369</v>
      </c>
      <c r="I128" s="181">
        <v>2011</v>
      </c>
      <c r="J128" s="181" t="s">
        <v>370</v>
      </c>
      <c r="K128" s="181" t="s">
        <v>371</v>
      </c>
      <c r="L128" s="181" t="s">
        <v>83</v>
      </c>
      <c r="M128" s="556" t="s">
        <v>4128</v>
      </c>
      <c r="N128" s="214" t="s">
        <v>20</v>
      </c>
      <c r="O128" s="214" t="s">
        <v>20</v>
      </c>
      <c r="P128" s="214" t="s">
        <v>20</v>
      </c>
      <c r="Q128" s="214" t="s">
        <v>20</v>
      </c>
      <c r="R128" s="214" t="s">
        <v>15</v>
      </c>
      <c r="S128" s="214" t="s">
        <v>20</v>
      </c>
      <c r="T128" s="214" t="s">
        <v>20</v>
      </c>
      <c r="U128" s="214" t="s">
        <v>15</v>
      </c>
      <c r="V128" s="214" t="s">
        <v>15</v>
      </c>
      <c r="W128" s="214" t="s">
        <v>15</v>
      </c>
      <c r="X128" s="214" t="s">
        <v>15</v>
      </c>
      <c r="Y128" s="214" t="s">
        <v>15</v>
      </c>
      <c r="Z128" s="234"/>
      <c r="AA128" s="214" t="s">
        <v>372</v>
      </c>
      <c r="AB128" s="214" t="s">
        <v>292</v>
      </c>
      <c r="AC128" s="214" t="s">
        <v>292</v>
      </c>
      <c r="AD128" s="320" t="s">
        <v>373</v>
      </c>
      <c r="AE128" s="320"/>
      <c r="AF128" s="162" t="str">
        <f t="shared" si="4"/>
        <v/>
      </c>
      <c r="AG128" s="162" t="str">
        <f t="shared" si="5"/>
        <v/>
      </c>
      <c r="AH128" s="164" t="str">
        <f t="shared" si="6"/>
        <v/>
      </c>
      <c r="AI128" s="164" t="str">
        <f t="shared" si="7"/>
        <v/>
      </c>
      <c r="AJ128" s="368"/>
      <c r="AK128" s="368"/>
      <c r="AL128" s="368"/>
      <c r="AM128" s="368"/>
      <c r="AN128" s="368"/>
      <c r="AO128" s="368"/>
      <c r="AP128" s="368"/>
      <c r="AQ128" s="368"/>
      <c r="AR128" s="368"/>
      <c r="AS128" s="195"/>
      <c r="AT128" s="195"/>
      <c r="AU128" s="377"/>
      <c r="AV128" s="382"/>
      <c r="AW128" s="426"/>
      <c r="AX128" s="426"/>
      <c r="AY128" s="426"/>
      <c r="AZ128" s="426"/>
      <c r="BA128" s="426"/>
      <c r="BB128" s="426"/>
      <c r="BC128" s="426"/>
      <c r="BD128" s="426"/>
      <c r="BE128" s="426"/>
      <c r="BF128" s="469"/>
      <c r="BG128" s="467">
        <v>46.1</v>
      </c>
      <c r="BH128" s="341"/>
      <c r="BI128" s="446" t="s">
        <v>374</v>
      </c>
      <c r="BJ128" s="507"/>
    </row>
    <row r="129" spans="1:62" ht="15.75" customHeight="1" thickBot="1" x14ac:dyDescent="0.25">
      <c r="A129" s="176">
        <v>128</v>
      </c>
      <c r="B129" s="175">
        <v>1</v>
      </c>
      <c r="C129" s="166" t="s">
        <v>24</v>
      </c>
      <c r="D129" s="166" t="s">
        <v>53</v>
      </c>
      <c r="E129" s="166" t="s">
        <v>13</v>
      </c>
      <c r="F129" s="166"/>
      <c r="G129" s="166" t="s">
        <v>122</v>
      </c>
      <c r="H129" s="166" t="s">
        <v>375</v>
      </c>
      <c r="I129" s="181">
        <v>2011</v>
      </c>
      <c r="J129" s="181" t="s">
        <v>370</v>
      </c>
      <c r="K129" s="181" t="s">
        <v>371</v>
      </c>
      <c r="L129" s="181" t="s">
        <v>83</v>
      </c>
      <c r="M129" s="556" t="s">
        <v>4128</v>
      </c>
      <c r="N129" s="214" t="s">
        <v>20</v>
      </c>
      <c r="O129" s="214" t="s">
        <v>20</v>
      </c>
      <c r="P129" s="214" t="s">
        <v>20</v>
      </c>
      <c r="Q129" s="214" t="s">
        <v>20</v>
      </c>
      <c r="R129" s="214" t="s">
        <v>15</v>
      </c>
      <c r="S129" s="214" t="s">
        <v>20</v>
      </c>
      <c r="T129" s="214" t="s">
        <v>20</v>
      </c>
      <c r="U129" s="214" t="s">
        <v>15</v>
      </c>
      <c r="V129" s="214" t="s">
        <v>15</v>
      </c>
      <c r="W129" s="214" t="s">
        <v>15</v>
      </c>
      <c r="X129" s="214" t="s">
        <v>15</v>
      </c>
      <c r="Y129" s="214" t="s">
        <v>15</v>
      </c>
      <c r="Z129" s="234"/>
      <c r="AA129" s="214" t="s">
        <v>372</v>
      </c>
      <c r="AB129" s="214" t="s">
        <v>292</v>
      </c>
      <c r="AC129" s="214" t="s">
        <v>292</v>
      </c>
      <c r="AD129" s="320" t="s">
        <v>373</v>
      </c>
      <c r="AE129" s="320"/>
      <c r="AF129" s="162" t="str">
        <f t="shared" si="4"/>
        <v/>
      </c>
      <c r="AG129" s="162" t="str">
        <f t="shared" si="5"/>
        <v/>
      </c>
      <c r="AH129" s="164" t="str">
        <f t="shared" si="6"/>
        <v/>
      </c>
      <c r="AI129" s="164" t="str">
        <f t="shared" si="7"/>
        <v/>
      </c>
      <c r="AJ129" s="368"/>
      <c r="AK129" s="368"/>
      <c r="AL129" s="368"/>
      <c r="AM129" s="368"/>
      <c r="AN129" s="368"/>
      <c r="AO129" s="368"/>
      <c r="AP129" s="368"/>
      <c r="AQ129" s="368"/>
      <c r="AR129" s="368"/>
      <c r="AS129" s="195"/>
      <c r="AT129" s="195"/>
      <c r="AU129" s="377"/>
      <c r="AV129" s="382"/>
      <c r="AW129" s="426"/>
      <c r="AX129" s="426"/>
      <c r="AY129" s="426"/>
      <c r="AZ129" s="426"/>
      <c r="BA129" s="426"/>
      <c r="BB129" s="426"/>
      <c r="BC129" s="426"/>
      <c r="BD129" s="426"/>
      <c r="BE129" s="426"/>
      <c r="BF129" s="469"/>
      <c r="BG129" s="467">
        <v>87.1</v>
      </c>
      <c r="BH129" s="341"/>
      <c r="BI129" s="446" t="s">
        <v>374</v>
      </c>
      <c r="BJ129" s="507"/>
    </row>
    <row r="130" spans="1:62" ht="15.75" customHeight="1" thickBot="1" x14ac:dyDescent="0.25">
      <c r="A130" s="174">
        <v>129</v>
      </c>
      <c r="B130" s="175">
        <v>1</v>
      </c>
      <c r="C130" s="166" t="s">
        <v>24</v>
      </c>
      <c r="D130" s="166" t="s">
        <v>53</v>
      </c>
      <c r="E130" s="166" t="s">
        <v>13</v>
      </c>
      <c r="F130" s="166"/>
      <c r="G130" s="166" t="s">
        <v>122</v>
      </c>
      <c r="H130" s="166" t="s">
        <v>258</v>
      </c>
      <c r="I130" s="181">
        <v>2011</v>
      </c>
      <c r="J130" s="181" t="s">
        <v>370</v>
      </c>
      <c r="K130" s="181" t="s">
        <v>371</v>
      </c>
      <c r="L130" s="181" t="s">
        <v>83</v>
      </c>
      <c r="M130" s="556" t="s">
        <v>4128</v>
      </c>
      <c r="N130" s="214" t="s">
        <v>20</v>
      </c>
      <c r="O130" s="214" t="s">
        <v>20</v>
      </c>
      <c r="P130" s="214" t="s">
        <v>20</v>
      </c>
      <c r="Q130" s="214" t="s">
        <v>20</v>
      </c>
      <c r="R130" s="214" t="s">
        <v>15</v>
      </c>
      <c r="S130" s="214" t="s">
        <v>20</v>
      </c>
      <c r="T130" s="214" t="s">
        <v>20</v>
      </c>
      <c r="U130" s="214" t="s">
        <v>15</v>
      </c>
      <c r="V130" s="214" t="s">
        <v>15</v>
      </c>
      <c r="W130" s="214" t="s">
        <v>15</v>
      </c>
      <c r="X130" s="214" t="s">
        <v>15</v>
      </c>
      <c r="Y130" s="214" t="s">
        <v>15</v>
      </c>
      <c r="Z130" s="234"/>
      <c r="AA130" s="214" t="s">
        <v>372</v>
      </c>
      <c r="AB130" s="214" t="s">
        <v>292</v>
      </c>
      <c r="AC130" s="214" t="s">
        <v>292</v>
      </c>
      <c r="AD130" s="320" t="s">
        <v>373</v>
      </c>
      <c r="AE130" s="320"/>
      <c r="AF130" s="162" t="str">
        <f t="shared" ref="AF130:AF193" si="8">IF(AS130&lt;&gt;0,AS130,"")</f>
        <v/>
      </c>
      <c r="AG130" s="162" t="str">
        <f t="shared" ref="AG130:AG193" si="9">IF(AND(SUM(AJ130:AL130)&lt;&gt;0,SUM(AJ130:AL130)&lt;&gt;AJ130),SUM(AJ130:AL130),"")</f>
        <v/>
      </c>
      <c r="AH130" s="164" t="str">
        <f t="shared" ref="AH130:AH193" si="10">IF(BF130&lt;&gt;0,BF130,"")</f>
        <v/>
      </c>
      <c r="AI130" s="164" t="str">
        <f t="shared" ref="AI130:AI193" si="11">IF(AND(SUM(AW130:AY130)&lt;&gt;0,SUM(AW130:AY130)&lt;&gt;AW130),SUM(AW130:AY130),"")</f>
        <v/>
      </c>
      <c r="AJ130" s="368"/>
      <c r="AK130" s="368"/>
      <c r="AL130" s="368"/>
      <c r="AM130" s="368"/>
      <c r="AN130" s="368"/>
      <c r="AO130" s="368"/>
      <c r="AP130" s="368"/>
      <c r="AQ130" s="368"/>
      <c r="AR130" s="368"/>
      <c r="AS130" s="195"/>
      <c r="AT130" s="195"/>
      <c r="AU130" s="377"/>
      <c r="AV130" s="382"/>
      <c r="AW130" s="426"/>
      <c r="AX130" s="426"/>
      <c r="AY130" s="426"/>
      <c r="AZ130" s="426"/>
      <c r="BA130" s="426"/>
      <c r="BB130" s="426"/>
      <c r="BC130" s="426"/>
      <c r="BD130" s="426"/>
      <c r="BE130" s="426"/>
      <c r="BF130" s="469"/>
      <c r="BG130" s="467">
        <v>20.3</v>
      </c>
      <c r="BH130" s="341"/>
      <c r="BI130" s="446" t="s">
        <v>374</v>
      </c>
      <c r="BJ130" s="507"/>
    </row>
    <row r="131" spans="1:62" ht="15.75" customHeight="1" thickBot="1" x14ac:dyDescent="0.25">
      <c r="A131" s="176">
        <v>130</v>
      </c>
      <c r="B131" s="175">
        <v>1</v>
      </c>
      <c r="C131" s="166" t="s">
        <v>24</v>
      </c>
      <c r="D131" s="166" t="s">
        <v>53</v>
      </c>
      <c r="E131" s="166" t="s">
        <v>13</v>
      </c>
      <c r="F131" s="166"/>
      <c r="G131" s="166" t="s">
        <v>122</v>
      </c>
      <c r="H131" s="166" t="s">
        <v>376</v>
      </c>
      <c r="I131" s="181">
        <v>2011</v>
      </c>
      <c r="J131" s="181" t="s">
        <v>370</v>
      </c>
      <c r="K131" s="181" t="s">
        <v>371</v>
      </c>
      <c r="L131" s="181" t="s">
        <v>83</v>
      </c>
      <c r="M131" s="556" t="s">
        <v>4128</v>
      </c>
      <c r="N131" s="214" t="s">
        <v>20</v>
      </c>
      <c r="O131" s="214" t="s">
        <v>20</v>
      </c>
      <c r="P131" s="214" t="s">
        <v>20</v>
      </c>
      <c r="Q131" s="214" t="s">
        <v>20</v>
      </c>
      <c r="R131" s="214" t="s">
        <v>15</v>
      </c>
      <c r="S131" s="214" t="s">
        <v>20</v>
      </c>
      <c r="T131" s="214" t="s">
        <v>20</v>
      </c>
      <c r="U131" s="214" t="s">
        <v>15</v>
      </c>
      <c r="V131" s="214" t="s">
        <v>15</v>
      </c>
      <c r="W131" s="214" t="s">
        <v>15</v>
      </c>
      <c r="X131" s="214" t="s">
        <v>15</v>
      </c>
      <c r="Y131" s="214" t="s">
        <v>15</v>
      </c>
      <c r="Z131" s="234"/>
      <c r="AA131" s="214" t="s">
        <v>372</v>
      </c>
      <c r="AB131" s="214" t="s">
        <v>292</v>
      </c>
      <c r="AC131" s="214" t="s">
        <v>292</v>
      </c>
      <c r="AD131" s="320" t="s">
        <v>373</v>
      </c>
      <c r="AE131" s="320"/>
      <c r="AF131" s="162" t="str">
        <f t="shared" si="8"/>
        <v/>
      </c>
      <c r="AG131" s="162" t="str">
        <f t="shared" si="9"/>
        <v/>
      </c>
      <c r="AH131" s="164" t="str">
        <f t="shared" si="10"/>
        <v/>
      </c>
      <c r="AI131" s="164" t="str">
        <f t="shared" si="11"/>
        <v/>
      </c>
      <c r="AJ131" s="368"/>
      <c r="AK131" s="368"/>
      <c r="AL131" s="368"/>
      <c r="AM131" s="368"/>
      <c r="AN131" s="368"/>
      <c r="AO131" s="368"/>
      <c r="AP131" s="368"/>
      <c r="AQ131" s="368"/>
      <c r="AR131" s="368"/>
      <c r="AS131" s="195"/>
      <c r="AT131" s="195"/>
      <c r="AU131" s="377"/>
      <c r="AV131" s="382"/>
      <c r="AW131" s="426"/>
      <c r="AX131" s="426"/>
      <c r="AY131" s="426"/>
      <c r="AZ131" s="426"/>
      <c r="BA131" s="426"/>
      <c r="BB131" s="426"/>
      <c r="BC131" s="426"/>
      <c r="BD131" s="426"/>
      <c r="BE131" s="426"/>
      <c r="BF131" s="469"/>
      <c r="BG131" s="467">
        <v>25.6</v>
      </c>
      <c r="BH131" s="341"/>
      <c r="BI131" s="446" t="s">
        <v>374</v>
      </c>
      <c r="BJ131" s="507"/>
    </row>
    <row r="132" spans="1:62" ht="15.75" customHeight="1" thickBot="1" x14ac:dyDescent="0.25">
      <c r="A132" s="174">
        <v>131</v>
      </c>
      <c r="B132" s="175">
        <v>1</v>
      </c>
      <c r="C132" s="166" t="s">
        <v>24</v>
      </c>
      <c r="D132" s="166" t="s">
        <v>53</v>
      </c>
      <c r="E132" s="166" t="s">
        <v>13</v>
      </c>
      <c r="F132" s="166"/>
      <c r="G132" s="166" t="s">
        <v>122</v>
      </c>
      <c r="H132" s="166" t="s">
        <v>377</v>
      </c>
      <c r="I132" s="181">
        <v>2011</v>
      </c>
      <c r="J132" s="181" t="s">
        <v>370</v>
      </c>
      <c r="K132" s="181" t="s">
        <v>371</v>
      </c>
      <c r="L132" s="181" t="s">
        <v>83</v>
      </c>
      <c r="M132" s="556" t="s">
        <v>4128</v>
      </c>
      <c r="N132" s="214" t="s">
        <v>20</v>
      </c>
      <c r="O132" s="214" t="s">
        <v>20</v>
      </c>
      <c r="P132" s="214" t="s">
        <v>20</v>
      </c>
      <c r="Q132" s="214" t="s">
        <v>20</v>
      </c>
      <c r="R132" s="214" t="s">
        <v>15</v>
      </c>
      <c r="S132" s="214" t="s">
        <v>20</v>
      </c>
      <c r="T132" s="214" t="s">
        <v>20</v>
      </c>
      <c r="U132" s="214" t="s">
        <v>15</v>
      </c>
      <c r="V132" s="214" t="s">
        <v>15</v>
      </c>
      <c r="W132" s="214" t="s">
        <v>15</v>
      </c>
      <c r="X132" s="214" t="s">
        <v>15</v>
      </c>
      <c r="Y132" s="214" t="s">
        <v>15</v>
      </c>
      <c r="Z132" s="234"/>
      <c r="AA132" s="214" t="s">
        <v>372</v>
      </c>
      <c r="AB132" s="214" t="s">
        <v>292</v>
      </c>
      <c r="AC132" s="214" t="s">
        <v>292</v>
      </c>
      <c r="AD132" s="320" t="s">
        <v>373</v>
      </c>
      <c r="AE132" s="320"/>
      <c r="AF132" s="162" t="str">
        <f t="shared" si="8"/>
        <v/>
      </c>
      <c r="AG132" s="162" t="str">
        <f t="shared" si="9"/>
        <v/>
      </c>
      <c r="AH132" s="164" t="str">
        <f t="shared" si="10"/>
        <v/>
      </c>
      <c r="AI132" s="164" t="str">
        <f t="shared" si="11"/>
        <v/>
      </c>
      <c r="AJ132" s="368"/>
      <c r="AK132" s="368"/>
      <c r="AL132" s="368"/>
      <c r="AM132" s="368"/>
      <c r="AN132" s="368"/>
      <c r="AO132" s="368"/>
      <c r="AP132" s="368"/>
      <c r="AQ132" s="368"/>
      <c r="AR132" s="368"/>
      <c r="AS132" s="195"/>
      <c r="AT132" s="195"/>
      <c r="AU132" s="377"/>
      <c r="AV132" s="382"/>
      <c r="AW132" s="426"/>
      <c r="AX132" s="426"/>
      <c r="AY132" s="426"/>
      <c r="AZ132" s="426"/>
      <c r="BA132" s="426"/>
      <c r="BB132" s="426"/>
      <c r="BC132" s="426"/>
      <c r="BD132" s="426"/>
      <c r="BE132" s="426"/>
      <c r="BF132" s="469"/>
      <c r="BG132" s="467">
        <v>26.7</v>
      </c>
      <c r="BH132" s="341"/>
      <c r="BI132" s="446" t="s">
        <v>374</v>
      </c>
      <c r="BJ132" s="507"/>
    </row>
    <row r="133" spans="1:62" ht="15.75" customHeight="1" thickBot="1" x14ac:dyDescent="0.25">
      <c r="A133" s="176">
        <v>132</v>
      </c>
      <c r="B133" s="175">
        <v>1</v>
      </c>
      <c r="C133" s="166" t="s">
        <v>24</v>
      </c>
      <c r="D133" s="166" t="s">
        <v>53</v>
      </c>
      <c r="E133" s="166" t="s">
        <v>13</v>
      </c>
      <c r="F133" s="166" t="s">
        <v>378</v>
      </c>
      <c r="G133" s="166" t="s">
        <v>122</v>
      </c>
      <c r="H133" s="166" t="s">
        <v>42</v>
      </c>
      <c r="I133" s="181">
        <v>2011</v>
      </c>
      <c r="J133" s="181" t="s">
        <v>370</v>
      </c>
      <c r="K133" s="181" t="s">
        <v>371</v>
      </c>
      <c r="L133" s="181" t="s">
        <v>83</v>
      </c>
      <c r="M133" s="556" t="s">
        <v>4128</v>
      </c>
      <c r="N133" s="214" t="s">
        <v>20</v>
      </c>
      <c r="O133" s="214" t="s">
        <v>20</v>
      </c>
      <c r="P133" s="214" t="s">
        <v>20</v>
      </c>
      <c r="Q133" s="214" t="s">
        <v>20</v>
      </c>
      <c r="R133" s="214" t="s">
        <v>15</v>
      </c>
      <c r="S133" s="214" t="s">
        <v>20</v>
      </c>
      <c r="T133" s="214" t="s">
        <v>20</v>
      </c>
      <c r="U133" s="214" t="s">
        <v>15</v>
      </c>
      <c r="V133" s="214" t="s">
        <v>15</v>
      </c>
      <c r="W133" s="214" t="s">
        <v>15</v>
      </c>
      <c r="X133" s="214" t="s">
        <v>15</v>
      </c>
      <c r="Y133" s="214" t="s">
        <v>15</v>
      </c>
      <c r="Z133" s="234"/>
      <c r="AA133" s="214" t="s">
        <v>372</v>
      </c>
      <c r="AB133" s="214" t="s">
        <v>292</v>
      </c>
      <c r="AC133" s="214" t="s">
        <v>292</v>
      </c>
      <c r="AD133" s="320" t="s">
        <v>373</v>
      </c>
      <c r="AE133" s="320"/>
      <c r="AF133" s="162" t="str">
        <f t="shared" si="8"/>
        <v/>
      </c>
      <c r="AG133" s="162" t="str">
        <f t="shared" si="9"/>
        <v/>
      </c>
      <c r="AH133" s="164" t="str">
        <f t="shared" si="10"/>
        <v/>
      </c>
      <c r="AI133" s="164" t="str">
        <f t="shared" si="11"/>
        <v/>
      </c>
      <c r="AJ133" s="368"/>
      <c r="AK133" s="368"/>
      <c r="AL133" s="368"/>
      <c r="AM133" s="368"/>
      <c r="AN133" s="368"/>
      <c r="AO133" s="368"/>
      <c r="AP133" s="368"/>
      <c r="AQ133" s="368"/>
      <c r="AR133" s="368"/>
      <c r="AS133" s="195"/>
      <c r="AT133" s="195"/>
      <c r="AU133" s="377"/>
      <c r="AV133" s="382"/>
      <c r="AW133" s="426"/>
      <c r="AX133" s="426"/>
      <c r="AY133" s="426"/>
      <c r="AZ133" s="426"/>
      <c r="BA133" s="426"/>
      <c r="BB133" s="426"/>
      <c r="BC133" s="426"/>
      <c r="BD133" s="426"/>
      <c r="BE133" s="426"/>
      <c r="BF133" s="469"/>
      <c r="BG133" s="467">
        <v>23.9</v>
      </c>
      <c r="BH133" s="341"/>
      <c r="BI133" s="446" t="s">
        <v>374</v>
      </c>
      <c r="BJ133" s="507"/>
    </row>
    <row r="134" spans="1:62" ht="15.75" customHeight="1" thickBot="1" x14ac:dyDescent="0.25">
      <c r="A134" s="174">
        <v>133</v>
      </c>
      <c r="B134" s="175">
        <v>1</v>
      </c>
      <c r="C134" s="166" t="s">
        <v>24</v>
      </c>
      <c r="D134" s="166" t="s">
        <v>53</v>
      </c>
      <c r="E134" s="166" t="s">
        <v>13</v>
      </c>
      <c r="F134" s="166" t="s">
        <v>379</v>
      </c>
      <c r="G134" s="166" t="s">
        <v>122</v>
      </c>
      <c r="H134" s="166" t="s">
        <v>42</v>
      </c>
      <c r="I134" s="181">
        <v>2011</v>
      </c>
      <c r="J134" s="181" t="s">
        <v>370</v>
      </c>
      <c r="K134" s="181" t="s">
        <v>371</v>
      </c>
      <c r="L134" s="181" t="s">
        <v>83</v>
      </c>
      <c r="M134" s="556" t="s">
        <v>4128</v>
      </c>
      <c r="N134" s="214" t="s">
        <v>20</v>
      </c>
      <c r="O134" s="214" t="s">
        <v>20</v>
      </c>
      <c r="P134" s="214" t="s">
        <v>20</v>
      </c>
      <c r="Q134" s="214" t="s">
        <v>20</v>
      </c>
      <c r="R134" s="214" t="s">
        <v>15</v>
      </c>
      <c r="S134" s="214" t="s">
        <v>20</v>
      </c>
      <c r="T134" s="214" t="s">
        <v>20</v>
      </c>
      <c r="U134" s="214" t="s">
        <v>15</v>
      </c>
      <c r="V134" s="214" t="s">
        <v>15</v>
      </c>
      <c r="W134" s="214" t="s">
        <v>15</v>
      </c>
      <c r="X134" s="214" t="s">
        <v>15</v>
      </c>
      <c r="Y134" s="214" t="s">
        <v>15</v>
      </c>
      <c r="Z134" s="234"/>
      <c r="AA134" s="214" t="s">
        <v>372</v>
      </c>
      <c r="AB134" s="214" t="s">
        <v>292</v>
      </c>
      <c r="AC134" s="214" t="s">
        <v>292</v>
      </c>
      <c r="AD134" s="320" t="s">
        <v>373</v>
      </c>
      <c r="AE134" s="320"/>
      <c r="AF134" s="162" t="str">
        <f t="shared" si="8"/>
        <v/>
      </c>
      <c r="AG134" s="162" t="str">
        <f t="shared" si="9"/>
        <v/>
      </c>
      <c r="AH134" s="164" t="str">
        <f t="shared" si="10"/>
        <v/>
      </c>
      <c r="AI134" s="164" t="str">
        <f t="shared" si="11"/>
        <v/>
      </c>
      <c r="AJ134" s="368"/>
      <c r="AK134" s="368"/>
      <c r="AL134" s="368"/>
      <c r="AM134" s="368"/>
      <c r="AN134" s="368"/>
      <c r="AO134" s="368"/>
      <c r="AP134" s="368"/>
      <c r="AQ134" s="368"/>
      <c r="AR134" s="368"/>
      <c r="AS134" s="195"/>
      <c r="AT134" s="195"/>
      <c r="AU134" s="377"/>
      <c r="AV134" s="382"/>
      <c r="AW134" s="426"/>
      <c r="AX134" s="426"/>
      <c r="AY134" s="426"/>
      <c r="AZ134" s="426"/>
      <c r="BA134" s="426"/>
      <c r="BB134" s="426"/>
      <c r="BC134" s="426"/>
      <c r="BD134" s="426"/>
      <c r="BE134" s="426"/>
      <c r="BF134" s="469"/>
      <c r="BG134" s="467">
        <v>23.6</v>
      </c>
      <c r="BH134" s="341"/>
      <c r="BI134" s="446" t="s">
        <v>374</v>
      </c>
      <c r="BJ134" s="507"/>
    </row>
    <row r="135" spans="1:62" ht="15.75" customHeight="1" thickBot="1" x14ac:dyDescent="0.25">
      <c r="A135" s="176">
        <v>134</v>
      </c>
      <c r="B135" s="175">
        <v>1</v>
      </c>
      <c r="C135" s="166" t="s">
        <v>24</v>
      </c>
      <c r="D135" s="166" t="s">
        <v>53</v>
      </c>
      <c r="E135" s="166" t="s">
        <v>13</v>
      </c>
      <c r="F135" s="166" t="s">
        <v>380</v>
      </c>
      <c r="G135" s="166" t="s">
        <v>122</v>
      </c>
      <c r="H135" s="166" t="s">
        <v>42</v>
      </c>
      <c r="I135" s="181">
        <v>2011</v>
      </c>
      <c r="J135" s="181" t="s">
        <v>370</v>
      </c>
      <c r="K135" s="181" t="s">
        <v>371</v>
      </c>
      <c r="L135" s="181" t="s">
        <v>83</v>
      </c>
      <c r="M135" s="556" t="s">
        <v>4128</v>
      </c>
      <c r="N135" s="214" t="s">
        <v>20</v>
      </c>
      <c r="O135" s="214" t="s">
        <v>20</v>
      </c>
      <c r="P135" s="214" t="s">
        <v>20</v>
      </c>
      <c r="Q135" s="214" t="s">
        <v>20</v>
      </c>
      <c r="R135" s="214" t="s">
        <v>15</v>
      </c>
      <c r="S135" s="214" t="s">
        <v>20</v>
      </c>
      <c r="T135" s="214" t="s">
        <v>20</v>
      </c>
      <c r="U135" s="214" t="s">
        <v>15</v>
      </c>
      <c r="V135" s="214" t="s">
        <v>15</v>
      </c>
      <c r="W135" s="214" t="s">
        <v>15</v>
      </c>
      <c r="X135" s="214" t="s">
        <v>15</v>
      </c>
      <c r="Y135" s="214" t="s">
        <v>15</v>
      </c>
      <c r="Z135" s="234"/>
      <c r="AA135" s="214" t="s">
        <v>372</v>
      </c>
      <c r="AB135" s="214" t="s">
        <v>292</v>
      </c>
      <c r="AC135" s="214" t="s">
        <v>292</v>
      </c>
      <c r="AD135" s="320" t="s">
        <v>373</v>
      </c>
      <c r="AE135" s="320"/>
      <c r="AF135" s="162" t="str">
        <f t="shared" si="8"/>
        <v/>
      </c>
      <c r="AG135" s="162" t="str">
        <f t="shared" si="9"/>
        <v/>
      </c>
      <c r="AH135" s="164" t="str">
        <f t="shared" si="10"/>
        <v/>
      </c>
      <c r="AI135" s="164" t="str">
        <f t="shared" si="11"/>
        <v/>
      </c>
      <c r="AJ135" s="368"/>
      <c r="AK135" s="368"/>
      <c r="AL135" s="368"/>
      <c r="AM135" s="368"/>
      <c r="AN135" s="368"/>
      <c r="AO135" s="368"/>
      <c r="AP135" s="368"/>
      <c r="AQ135" s="368"/>
      <c r="AR135" s="368"/>
      <c r="AS135" s="195"/>
      <c r="AT135" s="195"/>
      <c r="AU135" s="377"/>
      <c r="AV135" s="382"/>
      <c r="AW135" s="426"/>
      <c r="AX135" s="426"/>
      <c r="AY135" s="426"/>
      <c r="AZ135" s="426"/>
      <c r="BA135" s="426"/>
      <c r="BB135" s="426"/>
      <c r="BC135" s="426"/>
      <c r="BD135" s="426"/>
      <c r="BE135" s="426"/>
      <c r="BF135" s="469"/>
      <c r="BG135" s="467">
        <v>25.7</v>
      </c>
      <c r="BH135" s="341"/>
      <c r="BI135" s="446" t="s">
        <v>374</v>
      </c>
      <c r="BJ135" s="507"/>
    </row>
    <row r="136" spans="1:62" ht="15.75" customHeight="1" thickBot="1" x14ac:dyDescent="0.25">
      <c r="A136" s="174">
        <v>135</v>
      </c>
      <c r="B136" s="175">
        <v>1</v>
      </c>
      <c r="C136" s="166" t="s">
        <v>24</v>
      </c>
      <c r="D136" s="166" t="s">
        <v>53</v>
      </c>
      <c r="E136" s="166" t="s">
        <v>13</v>
      </c>
      <c r="F136" s="166" t="s">
        <v>381</v>
      </c>
      <c r="G136" s="166" t="s">
        <v>122</v>
      </c>
      <c r="H136" s="166" t="s">
        <v>42</v>
      </c>
      <c r="I136" s="181">
        <v>2011</v>
      </c>
      <c r="J136" s="181" t="s">
        <v>370</v>
      </c>
      <c r="K136" s="181" t="s">
        <v>371</v>
      </c>
      <c r="L136" s="181" t="s">
        <v>83</v>
      </c>
      <c r="M136" s="556" t="s">
        <v>4128</v>
      </c>
      <c r="N136" s="214" t="s">
        <v>20</v>
      </c>
      <c r="O136" s="214" t="s">
        <v>20</v>
      </c>
      <c r="P136" s="214" t="s">
        <v>20</v>
      </c>
      <c r="Q136" s="214" t="s">
        <v>20</v>
      </c>
      <c r="R136" s="214" t="s">
        <v>15</v>
      </c>
      <c r="S136" s="214" t="s">
        <v>20</v>
      </c>
      <c r="T136" s="214" t="s">
        <v>20</v>
      </c>
      <c r="U136" s="214" t="s">
        <v>15</v>
      </c>
      <c r="V136" s="214" t="s">
        <v>15</v>
      </c>
      <c r="W136" s="214" t="s">
        <v>15</v>
      </c>
      <c r="X136" s="214" t="s">
        <v>15</v>
      </c>
      <c r="Y136" s="214" t="s">
        <v>15</v>
      </c>
      <c r="Z136" s="234"/>
      <c r="AA136" s="214" t="s">
        <v>372</v>
      </c>
      <c r="AB136" s="214" t="s">
        <v>292</v>
      </c>
      <c r="AC136" s="214" t="s">
        <v>292</v>
      </c>
      <c r="AD136" s="320" t="s">
        <v>373</v>
      </c>
      <c r="AE136" s="320"/>
      <c r="AF136" s="162" t="str">
        <f t="shared" si="8"/>
        <v/>
      </c>
      <c r="AG136" s="162" t="str">
        <f t="shared" si="9"/>
        <v/>
      </c>
      <c r="AH136" s="164" t="str">
        <f t="shared" si="10"/>
        <v/>
      </c>
      <c r="AI136" s="164" t="str">
        <f t="shared" si="11"/>
        <v/>
      </c>
      <c r="AJ136" s="368"/>
      <c r="AK136" s="368"/>
      <c r="AL136" s="368"/>
      <c r="AM136" s="368"/>
      <c r="AN136" s="368"/>
      <c r="AO136" s="368"/>
      <c r="AP136" s="368"/>
      <c r="AQ136" s="368"/>
      <c r="AR136" s="368"/>
      <c r="AS136" s="195"/>
      <c r="AT136" s="195"/>
      <c r="AU136" s="377"/>
      <c r="AV136" s="382"/>
      <c r="AW136" s="426"/>
      <c r="AX136" s="426"/>
      <c r="AY136" s="426"/>
      <c r="AZ136" s="426"/>
      <c r="BA136" s="426"/>
      <c r="BB136" s="426"/>
      <c r="BC136" s="426"/>
      <c r="BD136" s="426"/>
      <c r="BE136" s="426"/>
      <c r="BF136" s="469"/>
      <c r="BG136" s="467">
        <v>12.6</v>
      </c>
      <c r="BH136" s="341"/>
      <c r="BI136" s="446" t="s">
        <v>374</v>
      </c>
      <c r="BJ136" s="507"/>
    </row>
    <row r="137" spans="1:62" ht="15.75" customHeight="1" thickBot="1" x14ac:dyDescent="0.25">
      <c r="A137" s="176">
        <v>136</v>
      </c>
      <c r="B137" s="175">
        <v>1</v>
      </c>
      <c r="C137" s="166" t="s">
        <v>24</v>
      </c>
      <c r="D137" s="166" t="s">
        <v>53</v>
      </c>
      <c r="E137" s="166" t="s">
        <v>13</v>
      </c>
      <c r="F137" s="166" t="s">
        <v>382</v>
      </c>
      <c r="G137" s="166" t="s">
        <v>122</v>
      </c>
      <c r="H137" s="166" t="s">
        <v>42</v>
      </c>
      <c r="I137" s="181">
        <v>2011</v>
      </c>
      <c r="J137" s="181" t="s">
        <v>370</v>
      </c>
      <c r="K137" s="181" t="s">
        <v>371</v>
      </c>
      <c r="L137" s="181" t="s">
        <v>83</v>
      </c>
      <c r="M137" s="556" t="s">
        <v>4128</v>
      </c>
      <c r="N137" s="214" t="s">
        <v>20</v>
      </c>
      <c r="O137" s="214" t="s">
        <v>20</v>
      </c>
      <c r="P137" s="214" t="s">
        <v>20</v>
      </c>
      <c r="Q137" s="214" t="s">
        <v>20</v>
      </c>
      <c r="R137" s="214" t="s">
        <v>15</v>
      </c>
      <c r="S137" s="214" t="s">
        <v>20</v>
      </c>
      <c r="T137" s="214" t="s">
        <v>20</v>
      </c>
      <c r="U137" s="214" t="s">
        <v>15</v>
      </c>
      <c r="V137" s="214" t="s">
        <v>15</v>
      </c>
      <c r="W137" s="214" t="s">
        <v>15</v>
      </c>
      <c r="X137" s="214" t="s">
        <v>15</v>
      </c>
      <c r="Y137" s="214" t="s">
        <v>15</v>
      </c>
      <c r="Z137" s="234"/>
      <c r="AA137" s="214" t="s">
        <v>372</v>
      </c>
      <c r="AB137" s="214" t="s">
        <v>292</v>
      </c>
      <c r="AC137" s="214" t="s">
        <v>292</v>
      </c>
      <c r="AD137" s="320" t="s">
        <v>373</v>
      </c>
      <c r="AE137" s="320"/>
      <c r="AF137" s="162" t="str">
        <f t="shared" si="8"/>
        <v/>
      </c>
      <c r="AG137" s="162" t="str">
        <f t="shared" si="9"/>
        <v/>
      </c>
      <c r="AH137" s="164" t="str">
        <f t="shared" si="10"/>
        <v/>
      </c>
      <c r="AI137" s="164" t="str">
        <f t="shared" si="11"/>
        <v/>
      </c>
      <c r="AJ137" s="368"/>
      <c r="AK137" s="368"/>
      <c r="AL137" s="368"/>
      <c r="AM137" s="368"/>
      <c r="AN137" s="368"/>
      <c r="AO137" s="368"/>
      <c r="AP137" s="368"/>
      <c r="AQ137" s="368"/>
      <c r="AR137" s="368"/>
      <c r="AS137" s="195"/>
      <c r="AT137" s="195"/>
      <c r="AU137" s="377"/>
      <c r="AV137" s="382"/>
      <c r="AW137" s="426"/>
      <c r="AX137" s="426"/>
      <c r="AY137" s="426"/>
      <c r="AZ137" s="426"/>
      <c r="BA137" s="426"/>
      <c r="BB137" s="426"/>
      <c r="BC137" s="426"/>
      <c r="BD137" s="426"/>
      <c r="BE137" s="426"/>
      <c r="BF137" s="469"/>
      <c r="BG137" s="467">
        <v>9.1999999999999993</v>
      </c>
      <c r="BH137" s="341"/>
      <c r="BI137" s="446" t="s">
        <v>374</v>
      </c>
      <c r="BJ137" s="507"/>
    </row>
    <row r="138" spans="1:62" ht="15.75" customHeight="1" thickBot="1" x14ac:dyDescent="0.25">
      <c r="A138" s="174">
        <v>137</v>
      </c>
      <c r="B138" s="175">
        <v>1</v>
      </c>
      <c r="C138" s="166" t="s">
        <v>24</v>
      </c>
      <c r="D138" s="166" t="s">
        <v>53</v>
      </c>
      <c r="E138" s="166" t="s">
        <v>13</v>
      </c>
      <c r="F138" s="166" t="s">
        <v>383</v>
      </c>
      <c r="G138" s="166" t="s">
        <v>122</v>
      </c>
      <c r="H138" s="166" t="s">
        <v>42</v>
      </c>
      <c r="I138" s="181">
        <v>2011</v>
      </c>
      <c r="J138" s="181" t="s">
        <v>370</v>
      </c>
      <c r="K138" s="181" t="s">
        <v>371</v>
      </c>
      <c r="L138" s="181" t="s">
        <v>83</v>
      </c>
      <c r="M138" s="556" t="s">
        <v>4128</v>
      </c>
      <c r="N138" s="214" t="s">
        <v>20</v>
      </c>
      <c r="O138" s="214" t="s">
        <v>20</v>
      </c>
      <c r="P138" s="214" t="s">
        <v>20</v>
      </c>
      <c r="Q138" s="214" t="s">
        <v>20</v>
      </c>
      <c r="R138" s="214" t="s">
        <v>15</v>
      </c>
      <c r="S138" s="214" t="s">
        <v>20</v>
      </c>
      <c r="T138" s="214" t="s">
        <v>20</v>
      </c>
      <c r="U138" s="214" t="s">
        <v>15</v>
      </c>
      <c r="V138" s="214" t="s">
        <v>15</v>
      </c>
      <c r="W138" s="214" t="s">
        <v>15</v>
      </c>
      <c r="X138" s="214" t="s">
        <v>15</v>
      </c>
      <c r="Y138" s="214" t="s">
        <v>15</v>
      </c>
      <c r="Z138" s="234"/>
      <c r="AA138" s="214" t="s">
        <v>372</v>
      </c>
      <c r="AB138" s="214" t="s">
        <v>292</v>
      </c>
      <c r="AC138" s="214" t="s">
        <v>292</v>
      </c>
      <c r="AD138" s="320" t="s">
        <v>373</v>
      </c>
      <c r="AE138" s="320"/>
      <c r="AF138" s="162" t="str">
        <f t="shared" si="8"/>
        <v/>
      </c>
      <c r="AG138" s="162" t="str">
        <f t="shared" si="9"/>
        <v/>
      </c>
      <c r="AH138" s="164" t="str">
        <f t="shared" si="10"/>
        <v/>
      </c>
      <c r="AI138" s="164" t="str">
        <f t="shared" si="11"/>
        <v/>
      </c>
      <c r="AJ138" s="368"/>
      <c r="AK138" s="368"/>
      <c r="AL138" s="368"/>
      <c r="AM138" s="368"/>
      <c r="AN138" s="368"/>
      <c r="AO138" s="368"/>
      <c r="AP138" s="368"/>
      <c r="AQ138" s="368"/>
      <c r="AR138" s="368"/>
      <c r="AS138" s="195"/>
      <c r="AT138" s="195"/>
      <c r="AU138" s="377"/>
      <c r="AV138" s="382"/>
      <c r="AW138" s="426"/>
      <c r="AX138" s="426"/>
      <c r="AY138" s="426"/>
      <c r="AZ138" s="426"/>
      <c r="BA138" s="426"/>
      <c r="BB138" s="426"/>
      <c r="BC138" s="426"/>
      <c r="BD138" s="426"/>
      <c r="BE138" s="426"/>
      <c r="BF138" s="469"/>
      <c r="BG138" s="467">
        <v>9</v>
      </c>
      <c r="BH138" s="341"/>
      <c r="BI138" s="446" t="s">
        <v>374</v>
      </c>
      <c r="BJ138" s="507"/>
    </row>
    <row r="139" spans="1:62" ht="15.75" customHeight="1" thickBot="1" x14ac:dyDescent="0.25">
      <c r="A139" s="176">
        <v>138</v>
      </c>
      <c r="B139" s="175">
        <v>1</v>
      </c>
      <c r="C139" s="166" t="s">
        <v>24</v>
      </c>
      <c r="D139" s="166" t="s">
        <v>269</v>
      </c>
      <c r="E139" s="166" t="s">
        <v>13</v>
      </c>
      <c r="F139" s="166" t="s">
        <v>378</v>
      </c>
      <c r="G139" s="166" t="s">
        <v>122</v>
      </c>
      <c r="H139" s="166" t="s">
        <v>42</v>
      </c>
      <c r="I139" s="181">
        <v>2011</v>
      </c>
      <c r="J139" s="181" t="s">
        <v>370</v>
      </c>
      <c r="K139" s="181" t="s">
        <v>371</v>
      </c>
      <c r="L139" s="181" t="s">
        <v>83</v>
      </c>
      <c r="M139" s="556" t="s">
        <v>4128</v>
      </c>
      <c r="N139" s="214" t="s">
        <v>20</v>
      </c>
      <c r="O139" s="214" t="s">
        <v>20</v>
      </c>
      <c r="P139" s="214" t="s">
        <v>20</v>
      </c>
      <c r="Q139" s="214" t="s">
        <v>20</v>
      </c>
      <c r="R139" s="214" t="s">
        <v>15</v>
      </c>
      <c r="S139" s="214" t="s">
        <v>20</v>
      </c>
      <c r="T139" s="214" t="s">
        <v>20</v>
      </c>
      <c r="U139" s="214" t="s">
        <v>15</v>
      </c>
      <c r="V139" s="214" t="s">
        <v>15</v>
      </c>
      <c r="W139" s="214" t="s">
        <v>15</v>
      </c>
      <c r="X139" s="214" t="s">
        <v>15</v>
      </c>
      <c r="Y139" s="214" t="s">
        <v>15</v>
      </c>
      <c r="Z139" s="234"/>
      <c r="AA139" s="214" t="s">
        <v>372</v>
      </c>
      <c r="AB139" s="214" t="s">
        <v>292</v>
      </c>
      <c r="AC139" s="214" t="s">
        <v>292</v>
      </c>
      <c r="AD139" s="320" t="s">
        <v>373</v>
      </c>
      <c r="AE139" s="320"/>
      <c r="AF139" s="162" t="str">
        <f t="shared" si="8"/>
        <v/>
      </c>
      <c r="AG139" s="162" t="str">
        <f t="shared" si="9"/>
        <v/>
      </c>
      <c r="AH139" s="164" t="str">
        <f t="shared" si="10"/>
        <v/>
      </c>
      <c r="AI139" s="164" t="str">
        <f t="shared" si="11"/>
        <v/>
      </c>
      <c r="AJ139" s="368"/>
      <c r="AK139" s="368"/>
      <c r="AL139" s="368"/>
      <c r="AM139" s="368"/>
      <c r="AN139" s="368"/>
      <c r="AO139" s="368"/>
      <c r="AP139" s="368"/>
      <c r="AQ139" s="368"/>
      <c r="AR139" s="368"/>
      <c r="AS139" s="195"/>
      <c r="AT139" s="195"/>
      <c r="AU139" s="377"/>
      <c r="AV139" s="382"/>
      <c r="AW139" s="426"/>
      <c r="AX139" s="426"/>
      <c r="AY139" s="426"/>
      <c r="AZ139" s="426"/>
      <c r="BA139" s="426"/>
      <c r="BB139" s="426"/>
      <c r="BC139" s="426"/>
      <c r="BD139" s="426"/>
      <c r="BE139" s="426"/>
      <c r="BF139" s="469"/>
      <c r="BG139" s="467">
        <v>9.01</v>
      </c>
      <c r="BH139" s="341"/>
      <c r="BI139" s="446" t="s">
        <v>374</v>
      </c>
      <c r="BJ139" s="507"/>
    </row>
    <row r="140" spans="1:62" ht="15.75" customHeight="1" thickBot="1" x14ac:dyDescent="0.25">
      <c r="A140" s="174">
        <v>139</v>
      </c>
      <c r="B140" s="175">
        <v>1</v>
      </c>
      <c r="C140" s="166" t="s">
        <v>24</v>
      </c>
      <c r="D140" s="166" t="s">
        <v>269</v>
      </c>
      <c r="E140" s="166" t="s">
        <v>13</v>
      </c>
      <c r="F140" s="166" t="s">
        <v>379</v>
      </c>
      <c r="G140" s="166" t="s">
        <v>122</v>
      </c>
      <c r="H140" s="166" t="s">
        <v>42</v>
      </c>
      <c r="I140" s="181">
        <v>2011</v>
      </c>
      <c r="J140" s="181" t="s">
        <v>370</v>
      </c>
      <c r="K140" s="181" t="s">
        <v>371</v>
      </c>
      <c r="L140" s="181" t="s">
        <v>83</v>
      </c>
      <c r="M140" s="556" t="s">
        <v>4128</v>
      </c>
      <c r="N140" s="214" t="s">
        <v>20</v>
      </c>
      <c r="O140" s="214" t="s">
        <v>20</v>
      </c>
      <c r="P140" s="214" t="s">
        <v>20</v>
      </c>
      <c r="Q140" s="214" t="s">
        <v>20</v>
      </c>
      <c r="R140" s="214" t="s">
        <v>15</v>
      </c>
      <c r="S140" s="214" t="s">
        <v>20</v>
      </c>
      <c r="T140" s="214" t="s">
        <v>20</v>
      </c>
      <c r="U140" s="214" t="s">
        <v>15</v>
      </c>
      <c r="V140" s="214" t="s">
        <v>15</v>
      </c>
      <c r="W140" s="214" t="s">
        <v>15</v>
      </c>
      <c r="X140" s="214" t="s">
        <v>15</v>
      </c>
      <c r="Y140" s="214" t="s">
        <v>15</v>
      </c>
      <c r="Z140" s="234"/>
      <c r="AA140" s="214" t="s">
        <v>372</v>
      </c>
      <c r="AB140" s="214" t="s">
        <v>292</v>
      </c>
      <c r="AC140" s="214" t="s">
        <v>292</v>
      </c>
      <c r="AD140" s="320" t="s">
        <v>373</v>
      </c>
      <c r="AE140" s="320"/>
      <c r="AF140" s="162" t="str">
        <f t="shared" si="8"/>
        <v/>
      </c>
      <c r="AG140" s="162" t="str">
        <f t="shared" si="9"/>
        <v/>
      </c>
      <c r="AH140" s="164" t="str">
        <f t="shared" si="10"/>
        <v/>
      </c>
      <c r="AI140" s="164" t="str">
        <f t="shared" si="11"/>
        <v/>
      </c>
      <c r="AJ140" s="368"/>
      <c r="AK140" s="368"/>
      <c r="AL140" s="368"/>
      <c r="AM140" s="368"/>
      <c r="AN140" s="368"/>
      <c r="AO140" s="368"/>
      <c r="AP140" s="368"/>
      <c r="AQ140" s="368"/>
      <c r="AR140" s="368"/>
      <c r="AS140" s="195"/>
      <c r="AT140" s="195"/>
      <c r="AU140" s="377"/>
      <c r="AV140" s="382"/>
      <c r="AW140" s="426"/>
      <c r="AX140" s="426"/>
      <c r="AY140" s="426"/>
      <c r="AZ140" s="426"/>
      <c r="BA140" s="426"/>
      <c r="BB140" s="426"/>
      <c r="BC140" s="426"/>
      <c r="BD140" s="426"/>
      <c r="BE140" s="426"/>
      <c r="BF140" s="469"/>
      <c r="BG140" s="467">
        <v>10.26</v>
      </c>
      <c r="BH140" s="341"/>
      <c r="BI140" s="446" t="s">
        <v>374</v>
      </c>
      <c r="BJ140" s="507"/>
    </row>
    <row r="141" spans="1:62" ht="15.75" customHeight="1" thickBot="1" x14ac:dyDescent="0.25">
      <c r="A141" s="176">
        <v>140</v>
      </c>
      <c r="B141" s="175">
        <v>1</v>
      </c>
      <c r="C141" s="166" t="s">
        <v>24</v>
      </c>
      <c r="D141" s="166" t="s">
        <v>269</v>
      </c>
      <c r="E141" s="166" t="s">
        <v>13</v>
      </c>
      <c r="F141" s="166" t="s">
        <v>384</v>
      </c>
      <c r="G141" s="166" t="s">
        <v>122</v>
      </c>
      <c r="H141" s="166" t="s">
        <v>42</v>
      </c>
      <c r="I141" s="181">
        <v>2011</v>
      </c>
      <c r="J141" s="181" t="s">
        <v>370</v>
      </c>
      <c r="K141" s="181" t="s">
        <v>371</v>
      </c>
      <c r="L141" s="181" t="s">
        <v>83</v>
      </c>
      <c r="M141" s="556" t="s">
        <v>4128</v>
      </c>
      <c r="N141" s="214" t="s">
        <v>20</v>
      </c>
      <c r="O141" s="214" t="s">
        <v>20</v>
      </c>
      <c r="P141" s="214" t="s">
        <v>20</v>
      </c>
      <c r="Q141" s="214" t="s">
        <v>20</v>
      </c>
      <c r="R141" s="214" t="s">
        <v>15</v>
      </c>
      <c r="S141" s="214" t="s">
        <v>20</v>
      </c>
      <c r="T141" s="214" t="s">
        <v>20</v>
      </c>
      <c r="U141" s="214" t="s">
        <v>15</v>
      </c>
      <c r="V141" s="214" t="s">
        <v>15</v>
      </c>
      <c r="W141" s="214" t="s">
        <v>15</v>
      </c>
      <c r="X141" s="214" t="s">
        <v>15</v>
      </c>
      <c r="Y141" s="214" t="s">
        <v>15</v>
      </c>
      <c r="Z141" s="234"/>
      <c r="AA141" s="214" t="s">
        <v>372</v>
      </c>
      <c r="AB141" s="214" t="s">
        <v>292</v>
      </c>
      <c r="AC141" s="214" t="s">
        <v>292</v>
      </c>
      <c r="AD141" s="320" t="s">
        <v>373</v>
      </c>
      <c r="AE141" s="320"/>
      <c r="AF141" s="162" t="str">
        <f t="shared" si="8"/>
        <v/>
      </c>
      <c r="AG141" s="162" t="str">
        <f t="shared" si="9"/>
        <v/>
      </c>
      <c r="AH141" s="164" t="str">
        <f t="shared" si="10"/>
        <v/>
      </c>
      <c r="AI141" s="164" t="str">
        <f t="shared" si="11"/>
        <v/>
      </c>
      <c r="AJ141" s="368"/>
      <c r="AK141" s="368"/>
      <c r="AL141" s="368"/>
      <c r="AM141" s="368"/>
      <c r="AN141" s="368"/>
      <c r="AO141" s="368"/>
      <c r="AP141" s="368"/>
      <c r="AQ141" s="368"/>
      <c r="AR141" s="368"/>
      <c r="AS141" s="195"/>
      <c r="AT141" s="195"/>
      <c r="AU141" s="377"/>
      <c r="AV141" s="382"/>
      <c r="AW141" s="426"/>
      <c r="AX141" s="426"/>
      <c r="AY141" s="426"/>
      <c r="AZ141" s="426"/>
      <c r="BA141" s="426"/>
      <c r="BB141" s="426"/>
      <c r="BC141" s="426"/>
      <c r="BD141" s="426"/>
      <c r="BE141" s="426"/>
      <c r="BF141" s="469"/>
      <c r="BG141" s="467">
        <v>9.01</v>
      </c>
      <c r="BH141" s="341"/>
      <c r="BI141" s="446" t="s">
        <v>374</v>
      </c>
      <c r="BJ141" s="507"/>
    </row>
    <row r="142" spans="1:62" ht="15.75" customHeight="1" thickBot="1" x14ac:dyDescent="0.25">
      <c r="A142" s="174">
        <v>141</v>
      </c>
      <c r="B142" s="175">
        <v>1</v>
      </c>
      <c r="C142" s="166" t="s">
        <v>24</v>
      </c>
      <c r="D142" s="166" t="s">
        <v>269</v>
      </c>
      <c r="E142" s="166" t="s">
        <v>13</v>
      </c>
      <c r="F142" s="166" t="s">
        <v>385</v>
      </c>
      <c r="G142" s="166" t="s">
        <v>122</v>
      </c>
      <c r="H142" s="166" t="s">
        <v>386</v>
      </c>
      <c r="I142" s="181">
        <v>2011</v>
      </c>
      <c r="J142" s="181" t="s">
        <v>370</v>
      </c>
      <c r="K142" s="181" t="s">
        <v>371</v>
      </c>
      <c r="L142" s="181" t="s">
        <v>83</v>
      </c>
      <c r="M142" s="556" t="s">
        <v>4128</v>
      </c>
      <c r="N142" s="214" t="s">
        <v>20</v>
      </c>
      <c r="O142" s="214" t="s">
        <v>20</v>
      </c>
      <c r="P142" s="214" t="s">
        <v>20</v>
      </c>
      <c r="Q142" s="214" t="s">
        <v>20</v>
      </c>
      <c r="R142" s="214" t="s">
        <v>15</v>
      </c>
      <c r="S142" s="214" t="s">
        <v>20</v>
      </c>
      <c r="T142" s="214" t="s">
        <v>20</v>
      </c>
      <c r="U142" s="214" t="s">
        <v>15</v>
      </c>
      <c r="V142" s="214" t="s">
        <v>15</v>
      </c>
      <c r="W142" s="214" t="s">
        <v>15</v>
      </c>
      <c r="X142" s="214" t="s">
        <v>15</v>
      </c>
      <c r="Y142" s="214" t="s">
        <v>15</v>
      </c>
      <c r="Z142" s="234"/>
      <c r="AA142" s="214" t="s">
        <v>372</v>
      </c>
      <c r="AB142" s="214" t="s">
        <v>292</v>
      </c>
      <c r="AC142" s="214" t="s">
        <v>292</v>
      </c>
      <c r="AD142" s="320" t="s">
        <v>373</v>
      </c>
      <c r="AE142" s="320"/>
      <c r="AF142" s="162" t="str">
        <f t="shared" si="8"/>
        <v/>
      </c>
      <c r="AG142" s="162" t="str">
        <f t="shared" si="9"/>
        <v/>
      </c>
      <c r="AH142" s="164" t="str">
        <f t="shared" si="10"/>
        <v/>
      </c>
      <c r="AI142" s="164" t="str">
        <f t="shared" si="11"/>
        <v/>
      </c>
      <c r="AJ142" s="368"/>
      <c r="AK142" s="368"/>
      <c r="AL142" s="368"/>
      <c r="AM142" s="368"/>
      <c r="AN142" s="368"/>
      <c r="AO142" s="368"/>
      <c r="AP142" s="368"/>
      <c r="AQ142" s="368"/>
      <c r="AR142" s="368"/>
      <c r="AS142" s="195"/>
      <c r="AT142" s="195"/>
      <c r="AU142" s="377"/>
      <c r="AV142" s="382"/>
      <c r="AW142" s="426"/>
      <c r="AX142" s="426"/>
      <c r="AY142" s="426"/>
      <c r="AZ142" s="426"/>
      <c r="BA142" s="426"/>
      <c r="BB142" s="426"/>
      <c r="BC142" s="426"/>
      <c r="BD142" s="426"/>
      <c r="BE142" s="426"/>
      <c r="BF142" s="469"/>
      <c r="BG142" s="467">
        <v>9.4</v>
      </c>
      <c r="BH142" s="341"/>
      <c r="BI142" s="446" t="s">
        <v>374</v>
      </c>
      <c r="BJ142" s="507"/>
    </row>
    <row r="143" spans="1:62" ht="15.75" customHeight="1" thickBot="1" x14ac:dyDescent="0.25">
      <c r="A143" s="176">
        <v>142</v>
      </c>
      <c r="B143" s="175">
        <v>1</v>
      </c>
      <c r="C143" s="166" t="s">
        <v>24</v>
      </c>
      <c r="D143" s="166" t="s">
        <v>269</v>
      </c>
      <c r="E143" s="166" t="s">
        <v>13</v>
      </c>
      <c r="F143" s="166" t="s">
        <v>387</v>
      </c>
      <c r="G143" s="166" t="s">
        <v>122</v>
      </c>
      <c r="H143" s="166" t="s">
        <v>42</v>
      </c>
      <c r="I143" s="181">
        <v>2011</v>
      </c>
      <c r="J143" s="181" t="s">
        <v>370</v>
      </c>
      <c r="K143" s="181" t="s">
        <v>371</v>
      </c>
      <c r="L143" s="181" t="s">
        <v>83</v>
      </c>
      <c r="M143" s="556" t="s">
        <v>4128</v>
      </c>
      <c r="N143" s="214" t="s">
        <v>20</v>
      </c>
      <c r="O143" s="214" t="s">
        <v>20</v>
      </c>
      <c r="P143" s="214" t="s">
        <v>20</v>
      </c>
      <c r="Q143" s="214" t="s">
        <v>20</v>
      </c>
      <c r="R143" s="214" t="s">
        <v>15</v>
      </c>
      <c r="S143" s="214" t="s">
        <v>20</v>
      </c>
      <c r="T143" s="214" t="s">
        <v>20</v>
      </c>
      <c r="U143" s="214" t="s">
        <v>15</v>
      </c>
      <c r="V143" s="214" t="s">
        <v>15</v>
      </c>
      <c r="W143" s="214" t="s">
        <v>15</v>
      </c>
      <c r="X143" s="214" t="s">
        <v>15</v>
      </c>
      <c r="Y143" s="214" t="s">
        <v>15</v>
      </c>
      <c r="Z143" s="234"/>
      <c r="AA143" s="214" t="s">
        <v>372</v>
      </c>
      <c r="AB143" s="214" t="s">
        <v>292</v>
      </c>
      <c r="AC143" s="214" t="s">
        <v>292</v>
      </c>
      <c r="AD143" s="320" t="s">
        <v>373</v>
      </c>
      <c r="AE143" s="320"/>
      <c r="AF143" s="162" t="str">
        <f t="shared" si="8"/>
        <v/>
      </c>
      <c r="AG143" s="162" t="str">
        <f t="shared" si="9"/>
        <v/>
      </c>
      <c r="AH143" s="164" t="str">
        <f t="shared" si="10"/>
        <v/>
      </c>
      <c r="AI143" s="164" t="str">
        <f t="shared" si="11"/>
        <v/>
      </c>
      <c r="AJ143" s="368"/>
      <c r="AK143" s="368"/>
      <c r="AL143" s="368"/>
      <c r="AM143" s="368"/>
      <c r="AN143" s="368"/>
      <c r="AO143" s="368"/>
      <c r="AP143" s="368"/>
      <c r="AQ143" s="368"/>
      <c r="AR143" s="368"/>
      <c r="AS143" s="195"/>
      <c r="AT143" s="195"/>
      <c r="AU143" s="377"/>
      <c r="AV143" s="382"/>
      <c r="AW143" s="426"/>
      <c r="AX143" s="426"/>
      <c r="AY143" s="426"/>
      <c r="AZ143" s="426"/>
      <c r="BA143" s="426"/>
      <c r="BB143" s="426"/>
      <c r="BC143" s="426"/>
      <c r="BD143" s="426"/>
      <c r="BE143" s="426"/>
      <c r="BF143" s="469"/>
      <c r="BG143" s="467">
        <v>9.01</v>
      </c>
      <c r="BH143" s="341"/>
      <c r="BI143" s="446" t="s">
        <v>374</v>
      </c>
      <c r="BJ143" s="507"/>
    </row>
    <row r="144" spans="1:62" ht="15.75" customHeight="1" thickBot="1" x14ac:dyDescent="0.25">
      <c r="A144" s="174">
        <v>143</v>
      </c>
      <c r="B144" s="175">
        <v>1</v>
      </c>
      <c r="C144" s="166" t="s">
        <v>24</v>
      </c>
      <c r="D144" s="166" t="s">
        <v>269</v>
      </c>
      <c r="E144" s="166" t="s">
        <v>13</v>
      </c>
      <c r="F144" s="166" t="s">
        <v>388</v>
      </c>
      <c r="G144" s="166" t="s">
        <v>122</v>
      </c>
      <c r="H144" s="166" t="s">
        <v>42</v>
      </c>
      <c r="I144" s="181">
        <v>2011</v>
      </c>
      <c r="J144" s="181" t="s">
        <v>370</v>
      </c>
      <c r="K144" s="181" t="s">
        <v>371</v>
      </c>
      <c r="L144" s="181" t="s">
        <v>83</v>
      </c>
      <c r="M144" s="556" t="s">
        <v>4128</v>
      </c>
      <c r="N144" s="214" t="s">
        <v>20</v>
      </c>
      <c r="O144" s="214" t="s">
        <v>20</v>
      </c>
      <c r="P144" s="214" t="s">
        <v>20</v>
      </c>
      <c r="Q144" s="214" t="s">
        <v>20</v>
      </c>
      <c r="R144" s="214" t="s">
        <v>15</v>
      </c>
      <c r="S144" s="214" t="s">
        <v>20</v>
      </c>
      <c r="T144" s="214" t="s">
        <v>20</v>
      </c>
      <c r="U144" s="214" t="s">
        <v>15</v>
      </c>
      <c r="V144" s="214" t="s">
        <v>15</v>
      </c>
      <c r="W144" s="214" t="s">
        <v>15</v>
      </c>
      <c r="X144" s="214" t="s">
        <v>15</v>
      </c>
      <c r="Y144" s="214" t="s">
        <v>15</v>
      </c>
      <c r="Z144" s="234"/>
      <c r="AA144" s="214" t="s">
        <v>372</v>
      </c>
      <c r="AB144" s="214" t="s">
        <v>292</v>
      </c>
      <c r="AC144" s="214" t="s">
        <v>292</v>
      </c>
      <c r="AD144" s="320" t="s">
        <v>373</v>
      </c>
      <c r="AE144" s="320"/>
      <c r="AF144" s="162" t="str">
        <f t="shared" si="8"/>
        <v/>
      </c>
      <c r="AG144" s="162" t="str">
        <f t="shared" si="9"/>
        <v/>
      </c>
      <c r="AH144" s="164" t="str">
        <f t="shared" si="10"/>
        <v/>
      </c>
      <c r="AI144" s="164" t="str">
        <f t="shared" si="11"/>
        <v/>
      </c>
      <c r="AJ144" s="368"/>
      <c r="AK144" s="368"/>
      <c r="AL144" s="368"/>
      <c r="AM144" s="368"/>
      <c r="AN144" s="368"/>
      <c r="AO144" s="368"/>
      <c r="AP144" s="368"/>
      <c r="AQ144" s="368"/>
      <c r="AR144" s="368"/>
      <c r="AS144" s="195"/>
      <c r="AT144" s="195"/>
      <c r="AU144" s="377"/>
      <c r="AV144" s="382"/>
      <c r="AW144" s="426"/>
      <c r="AX144" s="426"/>
      <c r="AY144" s="426"/>
      <c r="AZ144" s="426"/>
      <c r="BA144" s="426"/>
      <c r="BB144" s="426"/>
      <c r="BC144" s="426"/>
      <c r="BD144" s="426"/>
      <c r="BE144" s="426"/>
      <c r="BF144" s="469"/>
      <c r="BG144" s="467">
        <v>9.01</v>
      </c>
      <c r="BH144" s="341"/>
      <c r="BI144" s="446" t="s">
        <v>374</v>
      </c>
      <c r="BJ144" s="507"/>
    </row>
    <row r="145" spans="1:62" ht="15.75" customHeight="1" thickBot="1" x14ac:dyDescent="0.25">
      <c r="A145" s="176">
        <v>144</v>
      </c>
      <c r="B145" s="175">
        <v>1</v>
      </c>
      <c r="C145" s="166" t="s">
        <v>24</v>
      </c>
      <c r="D145" s="166" t="s">
        <v>283</v>
      </c>
      <c r="E145" s="166" t="s">
        <v>13</v>
      </c>
      <c r="F145" s="166"/>
      <c r="G145" s="166" t="s">
        <v>122</v>
      </c>
      <c r="H145" s="166" t="s">
        <v>375</v>
      </c>
      <c r="I145" s="181">
        <v>2011</v>
      </c>
      <c r="J145" s="181" t="s">
        <v>370</v>
      </c>
      <c r="K145" s="181" t="s">
        <v>371</v>
      </c>
      <c r="L145" s="181" t="s">
        <v>83</v>
      </c>
      <c r="M145" s="556" t="s">
        <v>4128</v>
      </c>
      <c r="N145" s="214" t="s">
        <v>20</v>
      </c>
      <c r="O145" s="214" t="s">
        <v>20</v>
      </c>
      <c r="P145" s="214" t="s">
        <v>20</v>
      </c>
      <c r="Q145" s="214" t="s">
        <v>20</v>
      </c>
      <c r="R145" s="214" t="s">
        <v>15</v>
      </c>
      <c r="S145" s="214" t="s">
        <v>20</v>
      </c>
      <c r="T145" s="214" t="s">
        <v>20</v>
      </c>
      <c r="U145" s="214" t="s">
        <v>15</v>
      </c>
      <c r="V145" s="214" t="s">
        <v>15</v>
      </c>
      <c r="W145" s="214" t="s">
        <v>15</v>
      </c>
      <c r="X145" s="214" t="s">
        <v>15</v>
      </c>
      <c r="Y145" s="214" t="s">
        <v>15</v>
      </c>
      <c r="Z145" s="234"/>
      <c r="AA145" s="214" t="s">
        <v>372</v>
      </c>
      <c r="AB145" s="214" t="s">
        <v>292</v>
      </c>
      <c r="AC145" s="214" t="s">
        <v>292</v>
      </c>
      <c r="AD145" s="320" t="s">
        <v>373</v>
      </c>
      <c r="AE145" s="320"/>
      <c r="AF145" s="162" t="str">
        <f t="shared" si="8"/>
        <v/>
      </c>
      <c r="AG145" s="162" t="str">
        <f t="shared" si="9"/>
        <v/>
      </c>
      <c r="AH145" s="164" t="str">
        <f t="shared" si="10"/>
        <v/>
      </c>
      <c r="AI145" s="164" t="str">
        <f t="shared" si="11"/>
        <v/>
      </c>
      <c r="AJ145" s="368"/>
      <c r="AK145" s="368"/>
      <c r="AL145" s="368"/>
      <c r="AM145" s="368"/>
      <c r="AN145" s="368"/>
      <c r="AO145" s="368"/>
      <c r="AP145" s="368"/>
      <c r="AQ145" s="368"/>
      <c r="AR145" s="368"/>
      <c r="AS145" s="195"/>
      <c r="AT145" s="195"/>
      <c r="AU145" s="377"/>
      <c r="AV145" s="382"/>
      <c r="AW145" s="426"/>
      <c r="AX145" s="426"/>
      <c r="AY145" s="426"/>
      <c r="AZ145" s="426"/>
      <c r="BA145" s="426"/>
      <c r="BB145" s="426"/>
      <c r="BC145" s="426"/>
      <c r="BD145" s="426"/>
      <c r="BE145" s="426"/>
      <c r="BF145" s="469"/>
      <c r="BG145" s="467">
        <v>5.75</v>
      </c>
      <c r="BH145" s="341"/>
      <c r="BI145" s="446" t="s">
        <v>374</v>
      </c>
      <c r="BJ145" s="507"/>
    </row>
    <row r="146" spans="1:62" ht="15.75" customHeight="1" thickBot="1" x14ac:dyDescent="0.25">
      <c r="A146" s="174">
        <v>145</v>
      </c>
      <c r="B146" s="175">
        <v>1</v>
      </c>
      <c r="C146" s="166" t="s">
        <v>24</v>
      </c>
      <c r="D146" s="166" t="s">
        <v>283</v>
      </c>
      <c r="E146" s="166" t="s">
        <v>13</v>
      </c>
      <c r="F146" s="166" t="s">
        <v>389</v>
      </c>
      <c r="G146" s="166" t="s">
        <v>122</v>
      </c>
      <c r="H146" s="166" t="s">
        <v>165</v>
      </c>
      <c r="I146" s="181">
        <v>2011</v>
      </c>
      <c r="J146" s="181" t="s">
        <v>370</v>
      </c>
      <c r="K146" s="181" t="s">
        <v>371</v>
      </c>
      <c r="L146" s="181" t="s">
        <v>83</v>
      </c>
      <c r="M146" s="556" t="s">
        <v>4128</v>
      </c>
      <c r="N146" s="214" t="s">
        <v>20</v>
      </c>
      <c r="O146" s="214" t="s">
        <v>20</v>
      </c>
      <c r="P146" s="214" t="s">
        <v>20</v>
      </c>
      <c r="Q146" s="214" t="s">
        <v>20</v>
      </c>
      <c r="R146" s="214" t="s">
        <v>15</v>
      </c>
      <c r="S146" s="214" t="s">
        <v>20</v>
      </c>
      <c r="T146" s="214" t="s">
        <v>20</v>
      </c>
      <c r="U146" s="214" t="s">
        <v>15</v>
      </c>
      <c r="V146" s="214" t="s">
        <v>15</v>
      </c>
      <c r="W146" s="214" t="s">
        <v>15</v>
      </c>
      <c r="X146" s="214" t="s">
        <v>15</v>
      </c>
      <c r="Y146" s="214" t="s">
        <v>15</v>
      </c>
      <c r="Z146" s="234"/>
      <c r="AA146" s="214" t="s">
        <v>372</v>
      </c>
      <c r="AB146" s="214" t="s">
        <v>292</v>
      </c>
      <c r="AC146" s="214" t="s">
        <v>292</v>
      </c>
      <c r="AD146" s="320" t="s">
        <v>373</v>
      </c>
      <c r="AE146" s="320"/>
      <c r="AF146" s="162" t="str">
        <f t="shared" si="8"/>
        <v/>
      </c>
      <c r="AG146" s="162" t="str">
        <f t="shared" si="9"/>
        <v/>
      </c>
      <c r="AH146" s="164" t="str">
        <f t="shared" si="10"/>
        <v/>
      </c>
      <c r="AI146" s="164" t="str">
        <f t="shared" si="11"/>
        <v/>
      </c>
      <c r="AJ146" s="368"/>
      <c r="AK146" s="368"/>
      <c r="AL146" s="368"/>
      <c r="AM146" s="368"/>
      <c r="AN146" s="368"/>
      <c r="AO146" s="368"/>
      <c r="AP146" s="368"/>
      <c r="AQ146" s="368"/>
      <c r="AR146" s="368"/>
      <c r="AS146" s="195"/>
      <c r="AT146" s="195"/>
      <c r="AU146" s="377"/>
      <c r="AV146" s="382"/>
      <c r="AW146" s="426"/>
      <c r="AX146" s="426"/>
      <c r="AY146" s="426"/>
      <c r="AZ146" s="426"/>
      <c r="BA146" s="426"/>
      <c r="BB146" s="426"/>
      <c r="BC146" s="426"/>
      <c r="BD146" s="426"/>
      <c r="BE146" s="426"/>
      <c r="BF146" s="469"/>
      <c r="BG146" s="467">
        <v>4.82</v>
      </c>
      <c r="BH146" s="341"/>
      <c r="BI146" s="446" t="s">
        <v>374</v>
      </c>
      <c r="BJ146" s="507"/>
    </row>
    <row r="147" spans="1:62" ht="15.75" customHeight="1" thickBot="1" x14ac:dyDescent="0.25">
      <c r="A147" s="176">
        <v>146</v>
      </c>
      <c r="B147" s="175">
        <v>1</v>
      </c>
      <c r="C147" s="166" t="s">
        <v>24</v>
      </c>
      <c r="D147" s="166" t="s">
        <v>283</v>
      </c>
      <c r="E147" s="166" t="s">
        <v>13</v>
      </c>
      <c r="F147" s="166" t="s">
        <v>378</v>
      </c>
      <c r="G147" s="166" t="s">
        <v>122</v>
      </c>
      <c r="H147" s="166" t="s">
        <v>42</v>
      </c>
      <c r="I147" s="181">
        <v>2011</v>
      </c>
      <c r="J147" s="181" t="s">
        <v>370</v>
      </c>
      <c r="K147" s="181" t="s">
        <v>371</v>
      </c>
      <c r="L147" s="181" t="s">
        <v>83</v>
      </c>
      <c r="M147" s="556" t="s">
        <v>4128</v>
      </c>
      <c r="N147" s="214" t="s">
        <v>20</v>
      </c>
      <c r="O147" s="214" t="s">
        <v>20</v>
      </c>
      <c r="P147" s="214" t="s">
        <v>20</v>
      </c>
      <c r="Q147" s="214" t="s">
        <v>20</v>
      </c>
      <c r="R147" s="214" t="s">
        <v>15</v>
      </c>
      <c r="S147" s="214" t="s">
        <v>20</v>
      </c>
      <c r="T147" s="214" t="s">
        <v>20</v>
      </c>
      <c r="U147" s="214" t="s">
        <v>15</v>
      </c>
      <c r="V147" s="214" t="s">
        <v>15</v>
      </c>
      <c r="W147" s="214" t="s">
        <v>15</v>
      </c>
      <c r="X147" s="214" t="s">
        <v>15</v>
      </c>
      <c r="Y147" s="214" t="s">
        <v>15</v>
      </c>
      <c r="Z147" s="234"/>
      <c r="AA147" s="214" t="s">
        <v>372</v>
      </c>
      <c r="AB147" s="214" t="s">
        <v>292</v>
      </c>
      <c r="AC147" s="214" t="s">
        <v>292</v>
      </c>
      <c r="AD147" s="320" t="s">
        <v>373</v>
      </c>
      <c r="AE147" s="320"/>
      <c r="AF147" s="162" t="str">
        <f t="shared" si="8"/>
        <v/>
      </c>
      <c r="AG147" s="162" t="str">
        <f t="shared" si="9"/>
        <v/>
      </c>
      <c r="AH147" s="164" t="str">
        <f t="shared" si="10"/>
        <v/>
      </c>
      <c r="AI147" s="164" t="str">
        <f t="shared" si="11"/>
        <v/>
      </c>
      <c r="AJ147" s="368"/>
      <c r="AK147" s="368"/>
      <c r="AL147" s="368"/>
      <c r="AM147" s="368"/>
      <c r="AN147" s="368"/>
      <c r="AO147" s="368"/>
      <c r="AP147" s="368"/>
      <c r="AQ147" s="368"/>
      <c r="AR147" s="368"/>
      <c r="AS147" s="195"/>
      <c r="AT147" s="195"/>
      <c r="AU147" s="377"/>
      <c r="AV147" s="382"/>
      <c r="AW147" s="426"/>
      <c r="AX147" s="426"/>
      <c r="AY147" s="426"/>
      <c r="AZ147" s="426"/>
      <c r="BA147" s="426"/>
      <c r="BB147" s="426"/>
      <c r="BC147" s="426"/>
      <c r="BD147" s="426"/>
      <c r="BE147" s="426"/>
      <c r="BF147" s="469"/>
      <c r="BG147" s="467">
        <v>5.96</v>
      </c>
      <c r="BH147" s="341"/>
      <c r="BI147" s="446" t="s">
        <v>374</v>
      </c>
      <c r="BJ147" s="507"/>
    </row>
    <row r="148" spans="1:62" ht="15.75" customHeight="1" thickBot="1" x14ac:dyDescent="0.25">
      <c r="A148" s="174">
        <v>147</v>
      </c>
      <c r="B148" s="175">
        <v>1</v>
      </c>
      <c r="C148" s="166" t="s">
        <v>24</v>
      </c>
      <c r="D148" s="166" t="s">
        <v>283</v>
      </c>
      <c r="E148" s="166" t="s">
        <v>13</v>
      </c>
      <c r="F148" s="166" t="s">
        <v>379</v>
      </c>
      <c r="G148" s="166" t="s">
        <v>122</v>
      </c>
      <c r="H148" s="166" t="s">
        <v>42</v>
      </c>
      <c r="I148" s="181">
        <v>2011</v>
      </c>
      <c r="J148" s="181" t="s">
        <v>370</v>
      </c>
      <c r="K148" s="181" t="s">
        <v>371</v>
      </c>
      <c r="L148" s="181" t="s">
        <v>83</v>
      </c>
      <c r="M148" s="556" t="s">
        <v>4128</v>
      </c>
      <c r="N148" s="214" t="s">
        <v>20</v>
      </c>
      <c r="O148" s="214" t="s">
        <v>20</v>
      </c>
      <c r="P148" s="214" t="s">
        <v>20</v>
      </c>
      <c r="Q148" s="214" t="s">
        <v>20</v>
      </c>
      <c r="R148" s="214" t="s">
        <v>15</v>
      </c>
      <c r="S148" s="214" t="s">
        <v>20</v>
      </c>
      <c r="T148" s="214" t="s">
        <v>20</v>
      </c>
      <c r="U148" s="214" t="s">
        <v>15</v>
      </c>
      <c r="V148" s="214" t="s">
        <v>15</v>
      </c>
      <c r="W148" s="214" t="s">
        <v>15</v>
      </c>
      <c r="X148" s="214" t="s">
        <v>15</v>
      </c>
      <c r="Y148" s="214" t="s">
        <v>15</v>
      </c>
      <c r="Z148" s="234"/>
      <c r="AA148" s="214" t="s">
        <v>372</v>
      </c>
      <c r="AB148" s="214" t="s">
        <v>292</v>
      </c>
      <c r="AC148" s="214" t="s">
        <v>292</v>
      </c>
      <c r="AD148" s="320" t="s">
        <v>373</v>
      </c>
      <c r="AE148" s="320"/>
      <c r="AF148" s="162" t="str">
        <f t="shared" si="8"/>
        <v/>
      </c>
      <c r="AG148" s="162" t="str">
        <f t="shared" si="9"/>
        <v/>
      </c>
      <c r="AH148" s="164" t="str">
        <f t="shared" si="10"/>
        <v/>
      </c>
      <c r="AI148" s="164" t="str">
        <f t="shared" si="11"/>
        <v/>
      </c>
      <c r="AJ148" s="368"/>
      <c r="AK148" s="368"/>
      <c r="AL148" s="368"/>
      <c r="AM148" s="368"/>
      <c r="AN148" s="368"/>
      <c r="AO148" s="368"/>
      <c r="AP148" s="368"/>
      <c r="AQ148" s="368"/>
      <c r="AR148" s="368"/>
      <c r="AS148" s="195"/>
      <c r="AT148" s="195"/>
      <c r="AU148" s="377"/>
      <c r="AV148" s="382"/>
      <c r="AW148" s="426"/>
      <c r="AX148" s="426"/>
      <c r="AY148" s="426"/>
      <c r="AZ148" s="426"/>
      <c r="BA148" s="426"/>
      <c r="BB148" s="426"/>
      <c r="BC148" s="426"/>
      <c r="BD148" s="426"/>
      <c r="BE148" s="426"/>
      <c r="BF148" s="469"/>
      <c r="BG148" s="467">
        <v>5.78</v>
      </c>
      <c r="BH148" s="341"/>
      <c r="BI148" s="446" t="s">
        <v>374</v>
      </c>
      <c r="BJ148" s="507"/>
    </row>
    <row r="149" spans="1:62" ht="15.75" customHeight="1" thickBot="1" x14ac:dyDescent="0.25">
      <c r="A149" s="176">
        <v>148</v>
      </c>
      <c r="B149" s="175">
        <v>1</v>
      </c>
      <c r="C149" s="166" t="s">
        <v>24</v>
      </c>
      <c r="D149" s="166" t="s">
        <v>283</v>
      </c>
      <c r="E149" s="166" t="s">
        <v>13</v>
      </c>
      <c r="F149" s="166" t="s">
        <v>390</v>
      </c>
      <c r="G149" s="166" t="s">
        <v>122</v>
      </c>
      <c r="H149" s="166" t="s">
        <v>42</v>
      </c>
      <c r="I149" s="181">
        <v>2011</v>
      </c>
      <c r="J149" s="181" t="s">
        <v>370</v>
      </c>
      <c r="K149" s="181" t="s">
        <v>371</v>
      </c>
      <c r="L149" s="181" t="s">
        <v>83</v>
      </c>
      <c r="M149" s="556" t="s">
        <v>4128</v>
      </c>
      <c r="N149" s="214" t="s">
        <v>20</v>
      </c>
      <c r="O149" s="214" t="s">
        <v>20</v>
      </c>
      <c r="P149" s="214" t="s">
        <v>20</v>
      </c>
      <c r="Q149" s="214" t="s">
        <v>20</v>
      </c>
      <c r="R149" s="214" t="s">
        <v>15</v>
      </c>
      <c r="S149" s="214" t="s">
        <v>20</v>
      </c>
      <c r="T149" s="214" t="s">
        <v>20</v>
      </c>
      <c r="U149" s="214" t="s">
        <v>15</v>
      </c>
      <c r="V149" s="214" t="s">
        <v>15</v>
      </c>
      <c r="W149" s="214" t="s">
        <v>15</v>
      </c>
      <c r="X149" s="214" t="s">
        <v>15</v>
      </c>
      <c r="Y149" s="214" t="s">
        <v>15</v>
      </c>
      <c r="Z149" s="234"/>
      <c r="AA149" s="214" t="s">
        <v>372</v>
      </c>
      <c r="AB149" s="214" t="s">
        <v>292</v>
      </c>
      <c r="AC149" s="214" t="s">
        <v>292</v>
      </c>
      <c r="AD149" s="320" t="s">
        <v>373</v>
      </c>
      <c r="AE149" s="320"/>
      <c r="AF149" s="162" t="str">
        <f t="shared" si="8"/>
        <v/>
      </c>
      <c r="AG149" s="162" t="str">
        <f t="shared" si="9"/>
        <v/>
      </c>
      <c r="AH149" s="164" t="str">
        <f t="shared" si="10"/>
        <v/>
      </c>
      <c r="AI149" s="164" t="str">
        <f t="shared" si="11"/>
        <v/>
      </c>
      <c r="AJ149" s="368"/>
      <c r="AK149" s="368"/>
      <c r="AL149" s="368"/>
      <c r="AM149" s="368"/>
      <c r="AN149" s="368"/>
      <c r="AO149" s="368"/>
      <c r="AP149" s="368"/>
      <c r="AQ149" s="368"/>
      <c r="AR149" s="368"/>
      <c r="AS149" s="195"/>
      <c r="AT149" s="195"/>
      <c r="AU149" s="377"/>
      <c r="AV149" s="382"/>
      <c r="AW149" s="426"/>
      <c r="AX149" s="426"/>
      <c r="AY149" s="426"/>
      <c r="AZ149" s="426"/>
      <c r="BA149" s="426"/>
      <c r="BB149" s="426"/>
      <c r="BC149" s="426"/>
      <c r="BD149" s="426"/>
      <c r="BE149" s="426"/>
      <c r="BF149" s="469"/>
      <c r="BG149" s="467">
        <v>4.2699999999999996</v>
      </c>
      <c r="BH149" s="341"/>
      <c r="BI149" s="446" t="s">
        <v>374</v>
      </c>
      <c r="BJ149" s="507"/>
    </row>
    <row r="150" spans="1:62" ht="15.75" customHeight="1" thickBot="1" x14ac:dyDescent="0.25">
      <c r="A150" s="174">
        <v>149</v>
      </c>
      <c r="B150" s="175">
        <v>1</v>
      </c>
      <c r="C150" s="166" t="s">
        <v>24</v>
      </c>
      <c r="D150" s="166" t="s">
        <v>283</v>
      </c>
      <c r="E150" s="166" t="s">
        <v>13</v>
      </c>
      <c r="F150" s="166" t="s">
        <v>391</v>
      </c>
      <c r="G150" s="166" t="s">
        <v>122</v>
      </c>
      <c r="H150" s="166" t="s">
        <v>42</v>
      </c>
      <c r="I150" s="181">
        <v>2011</v>
      </c>
      <c r="J150" s="181" t="s">
        <v>370</v>
      </c>
      <c r="K150" s="181" t="s">
        <v>371</v>
      </c>
      <c r="L150" s="181" t="s">
        <v>83</v>
      </c>
      <c r="M150" s="556" t="s">
        <v>4128</v>
      </c>
      <c r="N150" s="214" t="s">
        <v>20</v>
      </c>
      <c r="O150" s="214" t="s">
        <v>20</v>
      </c>
      <c r="P150" s="214" t="s">
        <v>20</v>
      </c>
      <c r="Q150" s="214" t="s">
        <v>20</v>
      </c>
      <c r="R150" s="214" t="s">
        <v>15</v>
      </c>
      <c r="S150" s="214" t="s">
        <v>20</v>
      </c>
      <c r="T150" s="214" t="s">
        <v>20</v>
      </c>
      <c r="U150" s="214" t="s">
        <v>15</v>
      </c>
      <c r="V150" s="214" t="s">
        <v>15</v>
      </c>
      <c r="W150" s="214" t="s">
        <v>15</v>
      </c>
      <c r="X150" s="214" t="s">
        <v>15</v>
      </c>
      <c r="Y150" s="214" t="s">
        <v>15</v>
      </c>
      <c r="Z150" s="234"/>
      <c r="AA150" s="214" t="s">
        <v>372</v>
      </c>
      <c r="AB150" s="214" t="s">
        <v>292</v>
      </c>
      <c r="AC150" s="214" t="s">
        <v>292</v>
      </c>
      <c r="AD150" s="320" t="s">
        <v>373</v>
      </c>
      <c r="AE150" s="320"/>
      <c r="AF150" s="162" t="str">
        <f t="shared" si="8"/>
        <v/>
      </c>
      <c r="AG150" s="162" t="str">
        <f t="shared" si="9"/>
        <v/>
      </c>
      <c r="AH150" s="164" t="str">
        <f t="shared" si="10"/>
        <v/>
      </c>
      <c r="AI150" s="164" t="str">
        <f t="shared" si="11"/>
        <v/>
      </c>
      <c r="AJ150" s="368"/>
      <c r="AK150" s="368"/>
      <c r="AL150" s="368"/>
      <c r="AM150" s="368"/>
      <c r="AN150" s="368"/>
      <c r="AO150" s="368"/>
      <c r="AP150" s="368"/>
      <c r="AQ150" s="368"/>
      <c r="AR150" s="368"/>
      <c r="AS150" s="195"/>
      <c r="AT150" s="195"/>
      <c r="AU150" s="377"/>
      <c r="AV150" s="382"/>
      <c r="AW150" s="426"/>
      <c r="AX150" s="426"/>
      <c r="AY150" s="426"/>
      <c r="AZ150" s="426"/>
      <c r="BA150" s="426"/>
      <c r="BB150" s="426"/>
      <c r="BC150" s="426"/>
      <c r="BD150" s="426"/>
      <c r="BE150" s="426"/>
      <c r="BF150" s="469"/>
      <c r="BG150" s="467">
        <v>6.4</v>
      </c>
      <c r="BH150" s="341"/>
      <c r="BI150" s="446" t="s">
        <v>374</v>
      </c>
      <c r="BJ150" s="507"/>
    </row>
    <row r="151" spans="1:62" ht="15.75" customHeight="1" thickBot="1" x14ac:dyDescent="0.25">
      <c r="A151" s="176">
        <v>150</v>
      </c>
      <c r="B151" s="175">
        <v>1</v>
      </c>
      <c r="C151" s="166" t="s">
        <v>24</v>
      </c>
      <c r="D151" s="166" t="s">
        <v>283</v>
      </c>
      <c r="E151" s="166" t="s">
        <v>13</v>
      </c>
      <c r="F151" s="166" t="s">
        <v>392</v>
      </c>
      <c r="G151" s="166" t="s">
        <v>122</v>
      </c>
      <c r="H151" s="166" t="s">
        <v>42</v>
      </c>
      <c r="I151" s="181">
        <v>2011</v>
      </c>
      <c r="J151" s="181" t="s">
        <v>370</v>
      </c>
      <c r="K151" s="181" t="s">
        <v>371</v>
      </c>
      <c r="L151" s="181" t="s">
        <v>83</v>
      </c>
      <c r="M151" s="556" t="s">
        <v>4128</v>
      </c>
      <c r="N151" s="214" t="s">
        <v>20</v>
      </c>
      <c r="O151" s="214" t="s">
        <v>20</v>
      </c>
      <c r="P151" s="214" t="s">
        <v>20</v>
      </c>
      <c r="Q151" s="214" t="s">
        <v>20</v>
      </c>
      <c r="R151" s="214" t="s">
        <v>15</v>
      </c>
      <c r="S151" s="214" t="s">
        <v>20</v>
      </c>
      <c r="T151" s="214" t="s">
        <v>20</v>
      </c>
      <c r="U151" s="214" t="s">
        <v>15</v>
      </c>
      <c r="V151" s="214" t="s">
        <v>15</v>
      </c>
      <c r="W151" s="214" t="s">
        <v>15</v>
      </c>
      <c r="X151" s="214" t="s">
        <v>15</v>
      </c>
      <c r="Y151" s="214" t="s">
        <v>15</v>
      </c>
      <c r="Z151" s="234"/>
      <c r="AA151" s="214" t="s">
        <v>372</v>
      </c>
      <c r="AB151" s="214" t="s">
        <v>292</v>
      </c>
      <c r="AC151" s="214" t="s">
        <v>292</v>
      </c>
      <c r="AD151" s="320" t="s">
        <v>373</v>
      </c>
      <c r="AE151" s="320"/>
      <c r="AF151" s="162" t="str">
        <f t="shared" si="8"/>
        <v/>
      </c>
      <c r="AG151" s="162" t="str">
        <f t="shared" si="9"/>
        <v/>
      </c>
      <c r="AH151" s="164" t="str">
        <f t="shared" si="10"/>
        <v/>
      </c>
      <c r="AI151" s="164" t="str">
        <f t="shared" si="11"/>
        <v/>
      </c>
      <c r="AJ151" s="368"/>
      <c r="AK151" s="368"/>
      <c r="AL151" s="368"/>
      <c r="AM151" s="368"/>
      <c r="AN151" s="368"/>
      <c r="AO151" s="368"/>
      <c r="AP151" s="368"/>
      <c r="AQ151" s="368"/>
      <c r="AR151" s="368"/>
      <c r="AS151" s="195"/>
      <c r="AT151" s="195"/>
      <c r="AU151" s="377"/>
      <c r="AV151" s="382"/>
      <c r="AW151" s="426"/>
      <c r="AX151" s="426"/>
      <c r="AY151" s="426"/>
      <c r="AZ151" s="426"/>
      <c r="BA151" s="426"/>
      <c r="BB151" s="426"/>
      <c r="BC151" s="426"/>
      <c r="BD151" s="426"/>
      <c r="BE151" s="426"/>
      <c r="BF151" s="469"/>
      <c r="BG151" s="467">
        <v>6.26</v>
      </c>
      <c r="BH151" s="341"/>
      <c r="BI151" s="446" t="s">
        <v>374</v>
      </c>
      <c r="BJ151" s="507"/>
    </row>
    <row r="152" spans="1:62" ht="15.75" customHeight="1" thickBot="1" x14ac:dyDescent="0.25">
      <c r="A152" s="174">
        <v>151</v>
      </c>
      <c r="B152" s="175">
        <v>1</v>
      </c>
      <c r="C152" s="166" t="s">
        <v>24</v>
      </c>
      <c r="D152" s="278" t="s">
        <v>4010</v>
      </c>
      <c r="E152" s="166" t="s">
        <v>13</v>
      </c>
      <c r="F152" s="169" t="s">
        <v>393</v>
      </c>
      <c r="G152" s="166" t="s">
        <v>122</v>
      </c>
      <c r="H152" s="166" t="s">
        <v>42</v>
      </c>
      <c r="I152" s="181">
        <v>2011</v>
      </c>
      <c r="J152" s="181" t="s">
        <v>370</v>
      </c>
      <c r="K152" s="181" t="s">
        <v>371</v>
      </c>
      <c r="L152" s="181" t="s">
        <v>83</v>
      </c>
      <c r="M152" s="556" t="s">
        <v>4128</v>
      </c>
      <c r="N152" s="214" t="s">
        <v>20</v>
      </c>
      <c r="O152" s="214" t="s">
        <v>20</v>
      </c>
      <c r="P152" s="214" t="s">
        <v>20</v>
      </c>
      <c r="Q152" s="214" t="s">
        <v>20</v>
      </c>
      <c r="R152" s="214" t="s">
        <v>15</v>
      </c>
      <c r="S152" s="214" t="s">
        <v>20</v>
      </c>
      <c r="T152" s="214" t="s">
        <v>20</v>
      </c>
      <c r="U152" s="214" t="s">
        <v>15</v>
      </c>
      <c r="V152" s="214" t="s">
        <v>15</v>
      </c>
      <c r="W152" s="214" t="s">
        <v>15</v>
      </c>
      <c r="X152" s="214" t="s">
        <v>15</v>
      </c>
      <c r="Y152" s="214" t="s">
        <v>15</v>
      </c>
      <c r="Z152" s="234"/>
      <c r="AA152" s="214" t="s">
        <v>372</v>
      </c>
      <c r="AB152" s="214" t="s">
        <v>292</v>
      </c>
      <c r="AC152" s="214" t="s">
        <v>292</v>
      </c>
      <c r="AD152" s="320" t="s">
        <v>373</v>
      </c>
      <c r="AE152" s="320"/>
      <c r="AF152" s="162" t="str">
        <f t="shared" si="8"/>
        <v/>
      </c>
      <c r="AG152" s="162" t="str">
        <f t="shared" si="9"/>
        <v/>
      </c>
      <c r="AH152" s="164" t="str">
        <f t="shared" si="10"/>
        <v/>
      </c>
      <c r="AI152" s="164" t="str">
        <f t="shared" si="11"/>
        <v/>
      </c>
      <c r="AJ152" s="368"/>
      <c r="AK152" s="368"/>
      <c r="AL152" s="368"/>
      <c r="AM152" s="368"/>
      <c r="AN152" s="368"/>
      <c r="AO152" s="368"/>
      <c r="AP152" s="368"/>
      <c r="AQ152" s="368"/>
      <c r="AR152" s="368"/>
      <c r="AS152" s="195"/>
      <c r="AT152" s="195"/>
      <c r="AU152" s="377"/>
      <c r="AV152" s="382"/>
      <c r="AW152" s="426"/>
      <c r="AX152" s="426"/>
      <c r="AY152" s="426"/>
      <c r="AZ152" s="426"/>
      <c r="BA152" s="426"/>
      <c r="BB152" s="426"/>
      <c r="BC152" s="426"/>
      <c r="BD152" s="426"/>
      <c r="BE152" s="426"/>
      <c r="BF152" s="469"/>
      <c r="BG152" s="467">
        <v>6.11</v>
      </c>
      <c r="BH152" s="341"/>
      <c r="BI152" s="446" t="s">
        <v>374</v>
      </c>
      <c r="BJ152" s="507"/>
    </row>
    <row r="153" spans="1:62" ht="15.75" customHeight="1" thickBot="1" x14ac:dyDescent="0.25">
      <c r="A153" s="176">
        <v>152</v>
      </c>
      <c r="B153" s="175">
        <v>1</v>
      </c>
      <c r="C153" s="166" t="s">
        <v>24</v>
      </c>
      <c r="D153" s="166" t="s">
        <v>173</v>
      </c>
      <c r="E153" s="166" t="s">
        <v>13</v>
      </c>
      <c r="F153" s="166"/>
      <c r="G153" s="166" t="s">
        <v>122</v>
      </c>
      <c r="H153" s="166" t="s">
        <v>375</v>
      </c>
      <c r="I153" s="181">
        <v>2011</v>
      </c>
      <c r="J153" s="181" t="s">
        <v>370</v>
      </c>
      <c r="K153" s="181" t="s">
        <v>371</v>
      </c>
      <c r="L153" s="181" t="s">
        <v>83</v>
      </c>
      <c r="M153" s="556" t="s">
        <v>4128</v>
      </c>
      <c r="N153" s="214" t="s">
        <v>20</v>
      </c>
      <c r="O153" s="214" t="s">
        <v>20</v>
      </c>
      <c r="P153" s="214" t="s">
        <v>20</v>
      </c>
      <c r="Q153" s="214" t="s">
        <v>20</v>
      </c>
      <c r="R153" s="214" t="s">
        <v>15</v>
      </c>
      <c r="S153" s="214" t="s">
        <v>20</v>
      </c>
      <c r="T153" s="214" t="s">
        <v>20</v>
      </c>
      <c r="U153" s="214" t="s">
        <v>15</v>
      </c>
      <c r="V153" s="214" t="s">
        <v>15</v>
      </c>
      <c r="W153" s="214" t="s">
        <v>15</v>
      </c>
      <c r="X153" s="214" t="s">
        <v>15</v>
      </c>
      <c r="Y153" s="214" t="s">
        <v>15</v>
      </c>
      <c r="Z153" s="234"/>
      <c r="AA153" s="214" t="s">
        <v>372</v>
      </c>
      <c r="AB153" s="214" t="s">
        <v>292</v>
      </c>
      <c r="AC153" s="214" t="s">
        <v>292</v>
      </c>
      <c r="AD153" s="320" t="s">
        <v>373</v>
      </c>
      <c r="AE153" s="320"/>
      <c r="AF153" s="162" t="str">
        <f t="shared" si="8"/>
        <v/>
      </c>
      <c r="AG153" s="162" t="str">
        <f t="shared" si="9"/>
        <v/>
      </c>
      <c r="AH153" s="164" t="str">
        <f t="shared" si="10"/>
        <v/>
      </c>
      <c r="AI153" s="164" t="str">
        <f t="shared" si="11"/>
        <v/>
      </c>
      <c r="AJ153" s="368"/>
      <c r="AK153" s="368"/>
      <c r="AL153" s="368"/>
      <c r="AM153" s="368"/>
      <c r="AN153" s="368"/>
      <c r="AO153" s="368"/>
      <c r="AP153" s="368"/>
      <c r="AQ153" s="368"/>
      <c r="AR153" s="368"/>
      <c r="AS153" s="195"/>
      <c r="AT153" s="195"/>
      <c r="AU153" s="377"/>
      <c r="AV153" s="382"/>
      <c r="AW153" s="426"/>
      <c r="AX153" s="426"/>
      <c r="AY153" s="426"/>
      <c r="AZ153" s="426"/>
      <c r="BA153" s="426"/>
      <c r="BB153" s="426"/>
      <c r="BC153" s="426"/>
      <c r="BD153" s="426"/>
      <c r="BE153" s="426"/>
      <c r="BF153" s="469"/>
      <c r="BG153" s="467">
        <v>8.85</v>
      </c>
      <c r="BH153" s="341"/>
      <c r="BI153" s="446" t="s">
        <v>374</v>
      </c>
      <c r="BJ153" s="507"/>
    </row>
    <row r="154" spans="1:62" ht="15.75" customHeight="1" thickBot="1" x14ac:dyDescent="0.25">
      <c r="A154" s="174">
        <v>153</v>
      </c>
      <c r="B154" s="175">
        <v>1</v>
      </c>
      <c r="C154" s="166" t="s">
        <v>24</v>
      </c>
      <c r="D154" s="166" t="s">
        <v>173</v>
      </c>
      <c r="E154" s="166" t="s">
        <v>13</v>
      </c>
      <c r="F154" s="166"/>
      <c r="G154" s="166" t="s">
        <v>122</v>
      </c>
      <c r="H154" s="166" t="s">
        <v>42</v>
      </c>
      <c r="I154" s="181">
        <v>2011</v>
      </c>
      <c r="J154" s="181" t="s">
        <v>370</v>
      </c>
      <c r="K154" s="181" t="s">
        <v>371</v>
      </c>
      <c r="L154" s="181" t="s">
        <v>83</v>
      </c>
      <c r="M154" s="556" t="s">
        <v>4128</v>
      </c>
      <c r="N154" s="214" t="s">
        <v>20</v>
      </c>
      <c r="O154" s="214" t="s">
        <v>20</v>
      </c>
      <c r="P154" s="214" t="s">
        <v>20</v>
      </c>
      <c r="Q154" s="214" t="s">
        <v>20</v>
      </c>
      <c r="R154" s="214" t="s">
        <v>15</v>
      </c>
      <c r="S154" s="214" t="s">
        <v>20</v>
      </c>
      <c r="T154" s="214" t="s">
        <v>20</v>
      </c>
      <c r="U154" s="214" t="s">
        <v>15</v>
      </c>
      <c r="V154" s="214" t="s">
        <v>15</v>
      </c>
      <c r="W154" s="214" t="s">
        <v>15</v>
      </c>
      <c r="X154" s="214" t="s">
        <v>15</v>
      </c>
      <c r="Y154" s="214" t="s">
        <v>15</v>
      </c>
      <c r="Z154" s="234"/>
      <c r="AA154" s="214" t="s">
        <v>372</v>
      </c>
      <c r="AB154" s="214" t="s">
        <v>292</v>
      </c>
      <c r="AC154" s="214" t="s">
        <v>292</v>
      </c>
      <c r="AD154" s="320" t="s">
        <v>373</v>
      </c>
      <c r="AE154" s="320"/>
      <c r="AF154" s="162" t="str">
        <f t="shared" si="8"/>
        <v/>
      </c>
      <c r="AG154" s="162" t="str">
        <f t="shared" si="9"/>
        <v/>
      </c>
      <c r="AH154" s="164" t="str">
        <f t="shared" si="10"/>
        <v/>
      </c>
      <c r="AI154" s="164" t="str">
        <f t="shared" si="11"/>
        <v/>
      </c>
      <c r="AJ154" s="368"/>
      <c r="AK154" s="368"/>
      <c r="AL154" s="368"/>
      <c r="AM154" s="368"/>
      <c r="AN154" s="368"/>
      <c r="AO154" s="368"/>
      <c r="AP154" s="368"/>
      <c r="AQ154" s="368"/>
      <c r="AR154" s="368"/>
      <c r="AS154" s="195"/>
      <c r="AT154" s="195"/>
      <c r="AU154" s="377"/>
      <c r="AV154" s="382"/>
      <c r="AW154" s="426"/>
      <c r="AX154" s="426"/>
      <c r="AY154" s="426"/>
      <c r="AZ154" s="426"/>
      <c r="BA154" s="426"/>
      <c r="BB154" s="426"/>
      <c r="BC154" s="426"/>
      <c r="BD154" s="426"/>
      <c r="BE154" s="426"/>
      <c r="BF154" s="469"/>
      <c r="BG154" s="467">
        <v>9.34</v>
      </c>
      <c r="BH154" s="341"/>
      <c r="BI154" s="446" t="s">
        <v>374</v>
      </c>
      <c r="BJ154" s="507"/>
    </row>
    <row r="155" spans="1:62" ht="15.75" customHeight="1" thickBot="1" x14ac:dyDescent="0.25">
      <c r="A155" s="176">
        <v>154</v>
      </c>
      <c r="B155" s="175">
        <v>1</v>
      </c>
      <c r="C155" s="166" t="s">
        <v>24</v>
      </c>
      <c r="D155" s="169" t="s">
        <v>346</v>
      </c>
      <c r="E155" s="166"/>
      <c r="F155" s="166" t="s">
        <v>378</v>
      </c>
      <c r="G155" s="166" t="s">
        <v>122</v>
      </c>
      <c r="H155" s="166"/>
      <c r="I155" s="181">
        <v>2011</v>
      </c>
      <c r="J155" s="181" t="s">
        <v>370</v>
      </c>
      <c r="K155" s="181" t="s">
        <v>371</v>
      </c>
      <c r="L155" s="181" t="s">
        <v>83</v>
      </c>
      <c r="M155" s="556" t="s">
        <v>4128</v>
      </c>
      <c r="N155" s="214" t="s">
        <v>20</v>
      </c>
      <c r="O155" s="214" t="s">
        <v>20</v>
      </c>
      <c r="P155" s="214" t="s">
        <v>20</v>
      </c>
      <c r="Q155" s="214" t="s">
        <v>20</v>
      </c>
      <c r="R155" s="214" t="s">
        <v>15</v>
      </c>
      <c r="S155" s="214" t="s">
        <v>20</v>
      </c>
      <c r="T155" s="214" t="s">
        <v>20</v>
      </c>
      <c r="U155" s="214" t="s">
        <v>15</v>
      </c>
      <c r="V155" s="214" t="s">
        <v>15</v>
      </c>
      <c r="W155" s="214" t="s">
        <v>15</v>
      </c>
      <c r="X155" s="214" t="s">
        <v>15</v>
      </c>
      <c r="Y155" s="214" t="s">
        <v>15</v>
      </c>
      <c r="Z155" s="234"/>
      <c r="AA155" s="214" t="s">
        <v>372</v>
      </c>
      <c r="AB155" s="214" t="s">
        <v>292</v>
      </c>
      <c r="AC155" s="214" t="s">
        <v>292</v>
      </c>
      <c r="AD155" s="320" t="s">
        <v>373</v>
      </c>
      <c r="AE155" s="320"/>
      <c r="AF155" s="162" t="str">
        <f t="shared" si="8"/>
        <v/>
      </c>
      <c r="AG155" s="162" t="str">
        <f t="shared" si="9"/>
        <v/>
      </c>
      <c r="AH155" s="164" t="str">
        <f t="shared" si="10"/>
        <v/>
      </c>
      <c r="AI155" s="164" t="str">
        <f t="shared" si="11"/>
        <v/>
      </c>
      <c r="AJ155" s="368"/>
      <c r="AK155" s="368"/>
      <c r="AL155" s="368"/>
      <c r="AM155" s="368"/>
      <c r="AN155" s="368"/>
      <c r="AO155" s="368"/>
      <c r="AP155" s="368"/>
      <c r="AQ155" s="368"/>
      <c r="AR155" s="368"/>
      <c r="AS155" s="195"/>
      <c r="AT155" s="195"/>
      <c r="AU155" s="377"/>
      <c r="AV155" s="382"/>
      <c r="AW155" s="426"/>
      <c r="AX155" s="426"/>
      <c r="AY155" s="426"/>
      <c r="AZ155" s="426"/>
      <c r="BA155" s="426"/>
      <c r="BB155" s="426"/>
      <c r="BC155" s="426"/>
      <c r="BD155" s="426"/>
      <c r="BE155" s="426"/>
      <c r="BF155" s="469"/>
      <c r="BG155" s="467">
        <v>15.1</v>
      </c>
      <c r="BH155" s="341"/>
      <c r="BI155" s="446" t="s">
        <v>374</v>
      </c>
      <c r="BJ155" s="507"/>
    </row>
    <row r="156" spans="1:62" ht="15.75" customHeight="1" thickBot="1" x14ac:dyDescent="0.25">
      <c r="A156" s="174">
        <v>155</v>
      </c>
      <c r="B156" s="175">
        <v>1</v>
      </c>
      <c r="C156" s="166" t="s">
        <v>24</v>
      </c>
      <c r="D156" s="169" t="s">
        <v>346</v>
      </c>
      <c r="E156" s="166"/>
      <c r="F156" s="166" t="s">
        <v>379</v>
      </c>
      <c r="G156" s="166" t="s">
        <v>122</v>
      </c>
      <c r="H156" s="166"/>
      <c r="I156" s="181">
        <v>2011</v>
      </c>
      <c r="J156" s="181" t="s">
        <v>370</v>
      </c>
      <c r="K156" s="181" t="s">
        <v>371</v>
      </c>
      <c r="L156" s="181" t="s">
        <v>83</v>
      </c>
      <c r="M156" s="556" t="s">
        <v>4128</v>
      </c>
      <c r="N156" s="214" t="s">
        <v>20</v>
      </c>
      <c r="O156" s="214" t="s">
        <v>20</v>
      </c>
      <c r="P156" s="214" t="s">
        <v>20</v>
      </c>
      <c r="Q156" s="214" t="s">
        <v>20</v>
      </c>
      <c r="R156" s="214" t="s">
        <v>15</v>
      </c>
      <c r="S156" s="214" t="s">
        <v>20</v>
      </c>
      <c r="T156" s="214" t="s">
        <v>20</v>
      </c>
      <c r="U156" s="214" t="s">
        <v>15</v>
      </c>
      <c r="V156" s="214" t="s">
        <v>15</v>
      </c>
      <c r="W156" s="214" t="s">
        <v>15</v>
      </c>
      <c r="X156" s="214" t="s">
        <v>15</v>
      </c>
      <c r="Y156" s="214" t="s">
        <v>15</v>
      </c>
      <c r="Z156" s="234"/>
      <c r="AA156" s="214" t="s">
        <v>372</v>
      </c>
      <c r="AB156" s="214" t="s">
        <v>292</v>
      </c>
      <c r="AC156" s="214" t="s">
        <v>292</v>
      </c>
      <c r="AD156" s="320" t="s">
        <v>373</v>
      </c>
      <c r="AE156" s="320"/>
      <c r="AF156" s="162" t="str">
        <f t="shared" si="8"/>
        <v/>
      </c>
      <c r="AG156" s="162" t="str">
        <f t="shared" si="9"/>
        <v/>
      </c>
      <c r="AH156" s="164" t="str">
        <f t="shared" si="10"/>
        <v/>
      </c>
      <c r="AI156" s="164" t="str">
        <f t="shared" si="11"/>
        <v/>
      </c>
      <c r="AJ156" s="368"/>
      <c r="AK156" s="368"/>
      <c r="AL156" s="368"/>
      <c r="AM156" s="368"/>
      <c r="AN156" s="368"/>
      <c r="AO156" s="368"/>
      <c r="AP156" s="368"/>
      <c r="AQ156" s="368"/>
      <c r="AR156" s="368"/>
      <c r="AS156" s="195"/>
      <c r="AT156" s="195"/>
      <c r="AU156" s="377"/>
      <c r="AV156" s="382"/>
      <c r="AW156" s="426"/>
      <c r="AX156" s="426"/>
      <c r="AY156" s="426"/>
      <c r="AZ156" s="426"/>
      <c r="BA156" s="426"/>
      <c r="BB156" s="426"/>
      <c r="BC156" s="426"/>
      <c r="BD156" s="426"/>
      <c r="BE156" s="426"/>
      <c r="BF156" s="469"/>
      <c r="BG156" s="467">
        <v>16.600000000000001</v>
      </c>
      <c r="BH156" s="341"/>
      <c r="BI156" s="446" t="s">
        <v>374</v>
      </c>
      <c r="BJ156" s="507"/>
    </row>
    <row r="157" spans="1:62" ht="15.75" customHeight="1" thickBot="1" x14ac:dyDescent="0.25">
      <c r="A157" s="176">
        <v>156</v>
      </c>
      <c r="B157" s="175">
        <v>1</v>
      </c>
      <c r="C157" s="166" t="s">
        <v>24</v>
      </c>
      <c r="D157" s="166" t="s">
        <v>394</v>
      </c>
      <c r="E157" s="166"/>
      <c r="F157" s="166" t="s">
        <v>395</v>
      </c>
      <c r="G157" s="166" t="s">
        <v>122</v>
      </c>
      <c r="H157" s="166"/>
      <c r="I157" s="181">
        <v>2011</v>
      </c>
      <c r="J157" s="181" t="s">
        <v>370</v>
      </c>
      <c r="K157" s="181" t="s">
        <v>371</v>
      </c>
      <c r="L157" s="181" t="s">
        <v>83</v>
      </c>
      <c r="M157" s="556" t="s">
        <v>4128</v>
      </c>
      <c r="N157" s="214" t="s">
        <v>20</v>
      </c>
      <c r="O157" s="214" t="s">
        <v>20</v>
      </c>
      <c r="P157" s="214" t="s">
        <v>20</v>
      </c>
      <c r="Q157" s="214" t="s">
        <v>20</v>
      </c>
      <c r="R157" s="214" t="s">
        <v>15</v>
      </c>
      <c r="S157" s="214" t="s">
        <v>20</v>
      </c>
      <c r="T157" s="214" t="s">
        <v>20</v>
      </c>
      <c r="U157" s="214" t="s">
        <v>15</v>
      </c>
      <c r="V157" s="214" t="s">
        <v>15</v>
      </c>
      <c r="W157" s="214" t="s">
        <v>15</v>
      </c>
      <c r="X157" s="214" t="s">
        <v>15</v>
      </c>
      <c r="Y157" s="214" t="s">
        <v>15</v>
      </c>
      <c r="Z157" s="234"/>
      <c r="AA157" s="214" t="s">
        <v>372</v>
      </c>
      <c r="AB157" s="214" t="s">
        <v>292</v>
      </c>
      <c r="AC157" s="214" t="s">
        <v>292</v>
      </c>
      <c r="AD157" s="320" t="s">
        <v>373</v>
      </c>
      <c r="AE157" s="320"/>
      <c r="AF157" s="162" t="str">
        <f t="shared" si="8"/>
        <v/>
      </c>
      <c r="AG157" s="162" t="str">
        <f t="shared" si="9"/>
        <v/>
      </c>
      <c r="AH157" s="164" t="str">
        <f t="shared" si="10"/>
        <v/>
      </c>
      <c r="AI157" s="164" t="str">
        <f t="shared" si="11"/>
        <v/>
      </c>
      <c r="AJ157" s="368"/>
      <c r="AK157" s="368"/>
      <c r="AL157" s="368"/>
      <c r="AM157" s="368"/>
      <c r="AN157" s="368"/>
      <c r="AO157" s="368"/>
      <c r="AP157" s="368"/>
      <c r="AQ157" s="368"/>
      <c r="AR157" s="368"/>
      <c r="AS157" s="195"/>
      <c r="AT157" s="195"/>
      <c r="AU157" s="377"/>
      <c r="AV157" s="382"/>
      <c r="AW157" s="426"/>
      <c r="AX157" s="426"/>
      <c r="AY157" s="426"/>
      <c r="AZ157" s="426"/>
      <c r="BA157" s="426"/>
      <c r="BB157" s="426"/>
      <c r="BC157" s="426"/>
      <c r="BD157" s="426"/>
      <c r="BE157" s="426"/>
      <c r="BF157" s="469"/>
      <c r="BG157" s="467">
        <v>27.4</v>
      </c>
      <c r="BH157" s="341"/>
      <c r="BI157" s="446" t="s">
        <v>374</v>
      </c>
      <c r="BJ157" s="507"/>
    </row>
    <row r="158" spans="1:62" ht="15.75" customHeight="1" thickBot="1" x14ac:dyDescent="0.25">
      <c r="A158" s="174">
        <v>157</v>
      </c>
      <c r="B158" s="175">
        <v>1</v>
      </c>
      <c r="C158" s="166" t="s">
        <v>24</v>
      </c>
      <c r="D158" s="166" t="s">
        <v>394</v>
      </c>
      <c r="E158" s="166"/>
      <c r="F158" s="166" t="s">
        <v>396</v>
      </c>
      <c r="G158" s="166" t="s">
        <v>122</v>
      </c>
      <c r="H158" s="166"/>
      <c r="I158" s="181">
        <v>2011</v>
      </c>
      <c r="J158" s="181" t="s">
        <v>370</v>
      </c>
      <c r="K158" s="181" t="s">
        <v>371</v>
      </c>
      <c r="L158" s="181" t="s">
        <v>83</v>
      </c>
      <c r="M158" s="556" t="s">
        <v>4128</v>
      </c>
      <c r="N158" s="214" t="s">
        <v>20</v>
      </c>
      <c r="O158" s="214" t="s">
        <v>20</v>
      </c>
      <c r="P158" s="214" t="s">
        <v>20</v>
      </c>
      <c r="Q158" s="214" t="s">
        <v>20</v>
      </c>
      <c r="R158" s="214" t="s">
        <v>15</v>
      </c>
      <c r="S158" s="214" t="s">
        <v>20</v>
      </c>
      <c r="T158" s="214" t="s">
        <v>20</v>
      </c>
      <c r="U158" s="214" t="s">
        <v>15</v>
      </c>
      <c r="V158" s="214" t="s">
        <v>15</v>
      </c>
      <c r="W158" s="214" t="s">
        <v>15</v>
      </c>
      <c r="X158" s="214" t="s">
        <v>15</v>
      </c>
      <c r="Y158" s="214" t="s">
        <v>15</v>
      </c>
      <c r="Z158" s="234"/>
      <c r="AA158" s="214" t="s">
        <v>372</v>
      </c>
      <c r="AB158" s="214" t="s">
        <v>292</v>
      </c>
      <c r="AC158" s="214" t="s">
        <v>292</v>
      </c>
      <c r="AD158" s="320" t="s">
        <v>373</v>
      </c>
      <c r="AE158" s="320"/>
      <c r="AF158" s="162" t="str">
        <f t="shared" si="8"/>
        <v/>
      </c>
      <c r="AG158" s="162" t="str">
        <f t="shared" si="9"/>
        <v/>
      </c>
      <c r="AH158" s="164" t="str">
        <f t="shared" si="10"/>
        <v/>
      </c>
      <c r="AI158" s="164" t="str">
        <f t="shared" si="11"/>
        <v/>
      </c>
      <c r="AJ158" s="368"/>
      <c r="AK158" s="368"/>
      <c r="AL158" s="368"/>
      <c r="AM158" s="368"/>
      <c r="AN158" s="368"/>
      <c r="AO158" s="368"/>
      <c r="AP158" s="368"/>
      <c r="AQ158" s="368"/>
      <c r="AR158" s="368"/>
      <c r="AS158" s="195"/>
      <c r="AT158" s="195"/>
      <c r="AU158" s="377"/>
      <c r="AV158" s="382"/>
      <c r="AW158" s="426"/>
      <c r="AX158" s="426"/>
      <c r="AY158" s="426"/>
      <c r="AZ158" s="426"/>
      <c r="BA158" s="426"/>
      <c r="BB158" s="426"/>
      <c r="BC158" s="426"/>
      <c r="BD158" s="426"/>
      <c r="BE158" s="426"/>
      <c r="BF158" s="469"/>
      <c r="BG158" s="467">
        <v>15.8</v>
      </c>
      <c r="BH158" s="341"/>
      <c r="BI158" s="446" t="s">
        <v>374</v>
      </c>
      <c r="BJ158" s="507"/>
    </row>
    <row r="159" spans="1:62" ht="15.75" customHeight="1" thickBot="1" x14ac:dyDescent="0.25">
      <c r="A159" s="176">
        <v>158</v>
      </c>
      <c r="B159" s="175">
        <v>1</v>
      </c>
      <c r="C159" s="166" t="s">
        <v>24</v>
      </c>
      <c r="D159" s="166" t="s">
        <v>394</v>
      </c>
      <c r="E159" s="166"/>
      <c r="F159" s="166" t="s">
        <v>397</v>
      </c>
      <c r="G159" s="166" t="s">
        <v>122</v>
      </c>
      <c r="H159" s="166"/>
      <c r="I159" s="181">
        <v>2011</v>
      </c>
      <c r="J159" s="181" t="s">
        <v>370</v>
      </c>
      <c r="K159" s="181" t="s">
        <v>371</v>
      </c>
      <c r="L159" s="181" t="s">
        <v>83</v>
      </c>
      <c r="M159" s="556" t="s">
        <v>4128</v>
      </c>
      <c r="N159" s="214" t="s">
        <v>20</v>
      </c>
      <c r="O159" s="214" t="s">
        <v>20</v>
      </c>
      <c r="P159" s="214" t="s">
        <v>20</v>
      </c>
      <c r="Q159" s="214" t="s">
        <v>20</v>
      </c>
      <c r="R159" s="214" t="s">
        <v>15</v>
      </c>
      <c r="S159" s="214" t="s">
        <v>20</v>
      </c>
      <c r="T159" s="214" t="s">
        <v>20</v>
      </c>
      <c r="U159" s="214" t="s">
        <v>15</v>
      </c>
      <c r="V159" s="214" t="s">
        <v>15</v>
      </c>
      <c r="W159" s="214" t="s">
        <v>15</v>
      </c>
      <c r="X159" s="214" t="s">
        <v>15</v>
      </c>
      <c r="Y159" s="214" t="s">
        <v>15</v>
      </c>
      <c r="Z159" s="234"/>
      <c r="AA159" s="214" t="s">
        <v>372</v>
      </c>
      <c r="AB159" s="214" t="s">
        <v>292</v>
      </c>
      <c r="AC159" s="214" t="s">
        <v>292</v>
      </c>
      <c r="AD159" s="320" t="s">
        <v>373</v>
      </c>
      <c r="AE159" s="320"/>
      <c r="AF159" s="162" t="str">
        <f t="shared" si="8"/>
        <v/>
      </c>
      <c r="AG159" s="162" t="str">
        <f t="shared" si="9"/>
        <v/>
      </c>
      <c r="AH159" s="164" t="str">
        <f t="shared" si="10"/>
        <v/>
      </c>
      <c r="AI159" s="164" t="str">
        <f t="shared" si="11"/>
        <v/>
      </c>
      <c r="AJ159" s="368"/>
      <c r="AK159" s="368"/>
      <c r="AL159" s="368"/>
      <c r="AM159" s="368"/>
      <c r="AN159" s="368"/>
      <c r="AO159" s="368"/>
      <c r="AP159" s="368"/>
      <c r="AQ159" s="368"/>
      <c r="AR159" s="368"/>
      <c r="AS159" s="195"/>
      <c r="AT159" s="195"/>
      <c r="AU159" s="377"/>
      <c r="AV159" s="382"/>
      <c r="AW159" s="426"/>
      <c r="AX159" s="426"/>
      <c r="AY159" s="426"/>
      <c r="AZ159" s="426"/>
      <c r="BA159" s="426"/>
      <c r="BB159" s="426"/>
      <c r="BC159" s="426"/>
      <c r="BD159" s="426"/>
      <c r="BE159" s="426"/>
      <c r="BF159" s="469"/>
      <c r="BG159" s="467">
        <v>26.3</v>
      </c>
      <c r="BH159" s="341"/>
      <c r="BI159" s="446" t="s">
        <v>374</v>
      </c>
      <c r="BJ159" s="507"/>
    </row>
    <row r="160" spans="1:62" ht="15.75" customHeight="1" thickBot="1" x14ac:dyDescent="0.25">
      <c r="A160" s="174">
        <v>159</v>
      </c>
      <c r="B160" s="175">
        <v>1</v>
      </c>
      <c r="C160" s="166" t="s">
        <v>24</v>
      </c>
      <c r="D160" s="166" t="s">
        <v>2224</v>
      </c>
      <c r="E160" s="166"/>
      <c r="F160" s="166"/>
      <c r="G160" s="166" t="s">
        <v>122</v>
      </c>
      <c r="H160" s="166" t="s">
        <v>42</v>
      </c>
      <c r="I160" s="181">
        <v>2011</v>
      </c>
      <c r="J160" s="181" t="s">
        <v>370</v>
      </c>
      <c r="K160" s="181" t="s">
        <v>371</v>
      </c>
      <c r="L160" s="181" t="s">
        <v>83</v>
      </c>
      <c r="M160" s="556" t="s">
        <v>4128</v>
      </c>
      <c r="N160" s="214" t="s">
        <v>20</v>
      </c>
      <c r="O160" s="214" t="s">
        <v>20</v>
      </c>
      <c r="P160" s="214" t="s">
        <v>20</v>
      </c>
      <c r="Q160" s="214" t="s">
        <v>20</v>
      </c>
      <c r="R160" s="214" t="s">
        <v>15</v>
      </c>
      <c r="S160" s="214" t="s">
        <v>20</v>
      </c>
      <c r="T160" s="214" t="s">
        <v>20</v>
      </c>
      <c r="U160" s="214" t="s">
        <v>15</v>
      </c>
      <c r="V160" s="214" t="s">
        <v>15</v>
      </c>
      <c r="W160" s="214" t="s">
        <v>15</v>
      </c>
      <c r="X160" s="214" t="s">
        <v>15</v>
      </c>
      <c r="Y160" s="214" t="s">
        <v>15</v>
      </c>
      <c r="Z160" s="234"/>
      <c r="AA160" s="214" t="s">
        <v>372</v>
      </c>
      <c r="AB160" s="214" t="s">
        <v>292</v>
      </c>
      <c r="AC160" s="214" t="s">
        <v>292</v>
      </c>
      <c r="AD160" s="320" t="s">
        <v>373</v>
      </c>
      <c r="AE160" s="320"/>
      <c r="AF160" s="162" t="str">
        <f t="shared" si="8"/>
        <v/>
      </c>
      <c r="AG160" s="162" t="str">
        <f t="shared" si="9"/>
        <v/>
      </c>
      <c r="AH160" s="164" t="str">
        <f t="shared" si="10"/>
        <v/>
      </c>
      <c r="AI160" s="164" t="str">
        <f t="shared" si="11"/>
        <v/>
      </c>
      <c r="AJ160" s="368"/>
      <c r="AK160" s="368"/>
      <c r="AL160" s="368"/>
      <c r="AM160" s="368"/>
      <c r="AN160" s="368"/>
      <c r="AO160" s="368"/>
      <c r="AP160" s="368"/>
      <c r="AQ160" s="368"/>
      <c r="AR160" s="368"/>
      <c r="AS160" s="195"/>
      <c r="AT160" s="195"/>
      <c r="AU160" s="377"/>
      <c r="AV160" s="382"/>
      <c r="AW160" s="426"/>
      <c r="AX160" s="426"/>
      <c r="AY160" s="426"/>
      <c r="AZ160" s="426"/>
      <c r="BA160" s="426"/>
      <c r="BB160" s="426"/>
      <c r="BC160" s="426"/>
      <c r="BD160" s="426"/>
      <c r="BE160" s="426"/>
      <c r="BF160" s="469"/>
      <c r="BG160" s="467">
        <v>20.14</v>
      </c>
      <c r="BH160" s="341"/>
      <c r="BI160" s="446" t="s">
        <v>374</v>
      </c>
      <c r="BJ160" s="507"/>
    </row>
    <row r="161" spans="1:62" ht="15.75" customHeight="1" thickBot="1" x14ac:dyDescent="0.25">
      <c r="A161" s="176">
        <v>160</v>
      </c>
      <c r="B161" s="175">
        <v>1</v>
      </c>
      <c r="C161" s="166" t="s">
        <v>24</v>
      </c>
      <c r="D161" s="166" t="s">
        <v>2224</v>
      </c>
      <c r="E161" s="166"/>
      <c r="F161" s="166"/>
      <c r="G161" s="166" t="s">
        <v>122</v>
      </c>
      <c r="H161" s="166" t="s">
        <v>369</v>
      </c>
      <c r="I161" s="181">
        <v>2011</v>
      </c>
      <c r="J161" s="181" t="s">
        <v>370</v>
      </c>
      <c r="K161" s="181" t="s">
        <v>371</v>
      </c>
      <c r="L161" s="181" t="s">
        <v>83</v>
      </c>
      <c r="M161" s="556" t="s">
        <v>4128</v>
      </c>
      <c r="N161" s="214" t="s">
        <v>20</v>
      </c>
      <c r="O161" s="214" t="s">
        <v>20</v>
      </c>
      <c r="P161" s="214" t="s">
        <v>20</v>
      </c>
      <c r="Q161" s="214" t="s">
        <v>20</v>
      </c>
      <c r="R161" s="214" t="s">
        <v>15</v>
      </c>
      <c r="S161" s="214" t="s">
        <v>20</v>
      </c>
      <c r="T161" s="214" t="s">
        <v>20</v>
      </c>
      <c r="U161" s="214" t="s">
        <v>15</v>
      </c>
      <c r="V161" s="214" t="s">
        <v>15</v>
      </c>
      <c r="W161" s="214" t="s">
        <v>15</v>
      </c>
      <c r="X161" s="214" t="s">
        <v>15</v>
      </c>
      <c r="Y161" s="214" t="s">
        <v>15</v>
      </c>
      <c r="Z161" s="234"/>
      <c r="AA161" s="214" t="s">
        <v>372</v>
      </c>
      <c r="AB161" s="214" t="s">
        <v>292</v>
      </c>
      <c r="AC161" s="214" t="s">
        <v>292</v>
      </c>
      <c r="AD161" s="320" t="s">
        <v>373</v>
      </c>
      <c r="AE161" s="320"/>
      <c r="AF161" s="162" t="str">
        <f t="shared" si="8"/>
        <v/>
      </c>
      <c r="AG161" s="162" t="str">
        <f t="shared" si="9"/>
        <v/>
      </c>
      <c r="AH161" s="164" t="str">
        <f t="shared" si="10"/>
        <v/>
      </c>
      <c r="AI161" s="164" t="str">
        <f t="shared" si="11"/>
        <v/>
      </c>
      <c r="AJ161" s="368"/>
      <c r="AK161" s="368"/>
      <c r="AL161" s="368"/>
      <c r="AM161" s="368"/>
      <c r="AN161" s="368"/>
      <c r="AO161" s="368"/>
      <c r="AP161" s="368"/>
      <c r="AQ161" s="368"/>
      <c r="AR161" s="368"/>
      <c r="AS161" s="195"/>
      <c r="AT161" s="195"/>
      <c r="AU161" s="377"/>
      <c r="AV161" s="382"/>
      <c r="AW161" s="426"/>
      <c r="AX161" s="426"/>
      <c r="AY161" s="426"/>
      <c r="AZ161" s="426"/>
      <c r="BA161" s="426"/>
      <c r="BB161" s="426"/>
      <c r="BC161" s="426"/>
      <c r="BD161" s="426"/>
      <c r="BE161" s="426"/>
      <c r="BF161" s="469"/>
      <c r="BG161" s="467">
        <v>8.27</v>
      </c>
      <c r="BH161" s="341"/>
      <c r="BI161" s="446" t="s">
        <v>374</v>
      </c>
      <c r="BJ161" s="507"/>
    </row>
    <row r="162" spans="1:62" ht="15.75" customHeight="1" thickBot="1" x14ac:dyDescent="0.25">
      <c r="A162" s="174">
        <v>161</v>
      </c>
      <c r="B162" s="175">
        <v>1</v>
      </c>
      <c r="C162" s="166" t="s">
        <v>24</v>
      </c>
      <c r="D162" s="166" t="s">
        <v>2224</v>
      </c>
      <c r="E162" s="166"/>
      <c r="F162" s="166"/>
      <c r="G162" s="166" t="s">
        <v>122</v>
      </c>
      <c r="H162" s="166" t="s">
        <v>42</v>
      </c>
      <c r="I162" s="181">
        <v>2011</v>
      </c>
      <c r="J162" s="181" t="s">
        <v>370</v>
      </c>
      <c r="K162" s="181" t="s">
        <v>371</v>
      </c>
      <c r="L162" s="181" t="s">
        <v>83</v>
      </c>
      <c r="M162" s="556" t="s">
        <v>4128</v>
      </c>
      <c r="N162" s="214" t="s">
        <v>20</v>
      </c>
      <c r="O162" s="214" t="s">
        <v>20</v>
      </c>
      <c r="P162" s="214" t="s">
        <v>20</v>
      </c>
      <c r="Q162" s="214" t="s">
        <v>20</v>
      </c>
      <c r="R162" s="214" t="s">
        <v>15</v>
      </c>
      <c r="S162" s="214" t="s">
        <v>20</v>
      </c>
      <c r="T162" s="214" t="s">
        <v>20</v>
      </c>
      <c r="U162" s="214" t="s">
        <v>15</v>
      </c>
      <c r="V162" s="214" t="s">
        <v>15</v>
      </c>
      <c r="W162" s="214" t="s">
        <v>15</v>
      </c>
      <c r="X162" s="214" t="s">
        <v>15</v>
      </c>
      <c r="Y162" s="214" t="s">
        <v>15</v>
      </c>
      <c r="Z162" s="234"/>
      <c r="AA162" s="214" t="s">
        <v>372</v>
      </c>
      <c r="AB162" s="214" t="s">
        <v>292</v>
      </c>
      <c r="AC162" s="214" t="s">
        <v>292</v>
      </c>
      <c r="AD162" s="320" t="s">
        <v>373</v>
      </c>
      <c r="AE162" s="320"/>
      <c r="AF162" s="162" t="str">
        <f t="shared" si="8"/>
        <v/>
      </c>
      <c r="AG162" s="162" t="str">
        <f t="shared" si="9"/>
        <v/>
      </c>
      <c r="AH162" s="164" t="str">
        <f t="shared" si="10"/>
        <v/>
      </c>
      <c r="AI162" s="164" t="str">
        <f t="shared" si="11"/>
        <v/>
      </c>
      <c r="AJ162" s="368"/>
      <c r="AK162" s="368"/>
      <c r="AL162" s="368"/>
      <c r="AM162" s="368"/>
      <c r="AN162" s="368"/>
      <c r="AO162" s="368"/>
      <c r="AP162" s="368"/>
      <c r="AQ162" s="368"/>
      <c r="AR162" s="368"/>
      <c r="AS162" s="195"/>
      <c r="AT162" s="195"/>
      <c r="AU162" s="377"/>
      <c r="AV162" s="382"/>
      <c r="AW162" s="426"/>
      <c r="AX162" s="426"/>
      <c r="AY162" s="426"/>
      <c r="AZ162" s="426"/>
      <c r="BA162" s="426"/>
      <c r="BB162" s="426"/>
      <c r="BC162" s="426"/>
      <c r="BD162" s="426"/>
      <c r="BE162" s="426"/>
      <c r="BF162" s="469"/>
      <c r="BG162" s="467">
        <v>7.81</v>
      </c>
      <c r="BH162" s="341"/>
      <c r="BI162" s="446" t="s">
        <v>374</v>
      </c>
      <c r="BJ162" s="507"/>
    </row>
    <row r="163" spans="1:62" ht="15.75" customHeight="1" thickBot="1" x14ac:dyDescent="0.25">
      <c r="A163" s="176">
        <v>162</v>
      </c>
      <c r="B163" s="175">
        <v>1</v>
      </c>
      <c r="C163" s="166" t="s">
        <v>398</v>
      </c>
      <c r="D163" s="166" t="s">
        <v>399</v>
      </c>
      <c r="E163" s="166"/>
      <c r="F163" s="166"/>
      <c r="G163" s="166" t="s">
        <v>122</v>
      </c>
      <c r="H163" s="166"/>
      <c r="I163" s="181">
        <v>2011</v>
      </c>
      <c r="J163" s="181" t="s">
        <v>370</v>
      </c>
      <c r="K163" s="181" t="s">
        <v>371</v>
      </c>
      <c r="L163" s="181" t="s">
        <v>83</v>
      </c>
      <c r="M163" s="556" t="s">
        <v>4128</v>
      </c>
      <c r="N163" s="214" t="s">
        <v>20</v>
      </c>
      <c r="O163" s="214" t="s">
        <v>20</v>
      </c>
      <c r="P163" s="214" t="s">
        <v>20</v>
      </c>
      <c r="Q163" s="214" t="s">
        <v>20</v>
      </c>
      <c r="R163" s="214" t="s">
        <v>15</v>
      </c>
      <c r="S163" s="214" t="s">
        <v>20</v>
      </c>
      <c r="T163" s="214" t="s">
        <v>20</v>
      </c>
      <c r="U163" s="214" t="s">
        <v>15</v>
      </c>
      <c r="V163" s="214" t="s">
        <v>15</v>
      </c>
      <c r="W163" s="214" t="s">
        <v>15</v>
      </c>
      <c r="X163" s="214" t="s">
        <v>15</v>
      </c>
      <c r="Y163" s="214" t="s">
        <v>15</v>
      </c>
      <c r="Z163" s="234"/>
      <c r="AA163" s="214" t="s">
        <v>372</v>
      </c>
      <c r="AB163" s="214" t="s">
        <v>292</v>
      </c>
      <c r="AC163" s="214" t="s">
        <v>292</v>
      </c>
      <c r="AD163" s="320" t="s">
        <v>373</v>
      </c>
      <c r="AE163" s="320"/>
      <c r="AF163" s="162" t="str">
        <f t="shared" si="8"/>
        <v/>
      </c>
      <c r="AG163" s="162" t="str">
        <f t="shared" si="9"/>
        <v/>
      </c>
      <c r="AH163" s="164" t="str">
        <f t="shared" si="10"/>
        <v/>
      </c>
      <c r="AI163" s="164" t="str">
        <f t="shared" si="11"/>
        <v/>
      </c>
      <c r="AJ163" s="368"/>
      <c r="AK163" s="368"/>
      <c r="AL163" s="368"/>
      <c r="AM163" s="368"/>
      <c r="AN163" s="368"/>
      <c r="AO163" s="368"/>
      <c r="AP163" s="368"/>
      <c r="AQ163" s="368"/>
      <c r="AR163" s="368"/>
      <c r="AS163" s="195"/>
      <c r="AT163" s="195"/>
      <c r="AU163" s="377"/>
      <c r="AV163" s="382"/>
      <c r="AW163" s="426"/>
      <c r="AX163" s="426"/>
      <c r="AY163" s="426"/>
      <c r="AZ163" s="426"/>
      <c r="BA163" s="426"/>
      <c r="BB163" s="426"/>
      <c r="BC163" s="426"/>
      <c r="BD163" s="426"/>
      <c r="BE163" s="426"/>
      <c r="BF163" s="469"/>
      <c r="BG163" s="467">
        <v>2.5099999999999998</v>
      </c>
      <c r="BH163" s="341"/>
      <c r="BI163" s="446" t="s">
        <v>374</v>
      </c>
      <c r="BJ163" s="507"/>
    </row>
    <row r="164" spans="1:62" ht="15.75" customHeight="1" thickBot="1" x14ac:dyDescent="0.25">
      <c r="A164" s="174">
        <v>163</v>
      </c>
      <c r="B164" s="175">
        <v>1</v>
      </c>
      <c r="C164" s="166" t="s">
        <v>398</v>
      </c>
      <c r="D164" s="166" t="s">
        <v>400</v>
      </c>
      <c r="E164" s="166"/>
      <c r="F164" s="293" t="s">
        <v>401</v>
      </c>
      <c r="G164" s="166" t="s">
        <v>122</v>
      </c>
      <c r="H164" s="166"/>
      <c r="I164" s="181">
        <v>2011</v>
      </c>
      <c r="J164" s="181" t="s">
        <v>370</v>
      </c>
      <c r="K164" s="181" t="s">
        <v>371</v>
      </c>
      <c r="L164" s="181" t="s">
        <v>83</v>
      </c>
      <c r="M164" s="556" t="s">
        <v>4128</v>
      </c>
      <c r="N164" s="214" t="s">
        <v>20</v>
      </c>
      <c r="O164" s="214" t="s">
        <v>20</v>
      </c>
      <c r="P164" s="214" t="s">
        <v>20</v>
      </c>
      <c r="Q164" s="214" t="s">
        <v>20</v>
      </c>
      <c r="R164" s="214" t="s">
        <v>15</v>
      </c>
      <c r="S164" s="214" t="s">
        <v>20</v>
      </c>
      <c r="T164" s="214" t="s">
        <v>20</v>
      </c>
      <c r="U164" s="214" t="s">
        <v>15</v>
      </c>
      <c r="V164" s="214" t="s">
        <v>15</v>
      </c>
      <c r="W164" s="214" t="s">
        <v>15</v>
      </c>
      <c r="X164" s="214" t="s">
        <v>15</v>
      </c>
      <c r="Y164" s="214" t="s">
        <v>15</v>
      </c>
      <c r="Z164" s="234"/>
      <c r="AA164" s="214" t="s">
        <v>372</v>
      </c>
      <c r="AB164" s="214" t="s">
        <v>292</v>
      </c>
      <c r="AC164" s="214" t="s">
        <v>292</v>
      </c>
      <c r="AD164" s="320" t="s">
        <v>373</v>
      </c>
      <c r="AE164" s="320"/>
      <c r="AF164" s="162" t="str">
        <f t="shared" si="8"/>
        <v/>
      </c>
      <c r="AG164" s="162" t="str">
        <f t="shared" si="9"/>
        <v/>
      </c>
      <c r="AH164" s="164" t="str">
        <f t="shared" si="10"/>
        <v/>
      </c>
      <c r="AI164" s="164" t="str">
        <f t="shared" si="11"/>
        <v/>
      </c>
      <c r="AJ164" s="368"/>
      <c r="AK164" s="368"/>
      <c r="AL164" s="368"/>
      <c r="AM164" s="368"/>
      <c r="AN164" s="368"/>
      <c r="AO164" s="368"/>
      <c r="AP164" s="368"/>
      <c r="AQ164" s="368"/>
      <c r="AR164" s="368"/>
      <c r="AS164" s="195"/>
      <c r="AT164" s="195"/>
      <c r="AU164" s="377"/>
      <c r="AV164" s="382"/>
      <c r="AW164" s="426"/>
      <c r="AX164" s="426"/>
      <c r="AY164" s="426"/>
      <c r="AZ164" s="426"/>
      <c r="BA164" s="426"/>
      <c r="BB164" s="426"/>
      <c r="BC164" s="426"/>
      <c r="BD164" s="426"/>
      <c r="BE164" s="426"/>
      <c r="BF164" s="469"/>
      <c r="BG164" s="467">
        <v>2.95</v>
      </c>
      <c r="BH164" s="341"/>
      <c r="BI164" s="446" t="s">
        <v>374</v>
      </c>
      <c r="BJ164" s="507"/>
    </row>
    <row r="165" spans="1:62" ht="15.75" customHeight="1" thickBot="1" x14ac:dyDescent="0.25">
      <c r="A165" s="176">
        <v>164</v>
      </c>
      <c r="B165" s="175">
        <v>1</v>
      </c>
      <c r="C165" s="166" t="s">
        <v>398</v>
      </c>
      <c r="D165" s="166" t="s">
        <v>402</v>
      </c>
      <c r="E165" s="166"/>
      <c r="F165" s="166" t="s">
        <v>403</v>
      </c>
      <c r="G165" s="166" t="s">
        <v>122</v>
      </c>
      <c r="H165" s="166"/>
      <c r="I165" s="181">
        <v>2011</v>
      </c>
      <c r="J165" s="181" t="s">
        <v>370</v>
      </c>
      <c r="K165" s="181" t="s">
        <v>371</v>
      </c>
      <c r="L165" s="181" t="s">
        <v>83</v>
      </c>
      <c r="M165" s="556" t="s">
        <v>4128</v>
      </c>
      <c r="N165" s="214" t="s">
        <v>20</v>
      </c>
      <c r="O165" s="214" t="s">
        <v>20</v>
      </c>
      <c r="P165" s="214" t="s">
        <v>20</v>
      </c>
      <c r="Q165" s="214" t="s">
        <v>20</v>
      </c>
      <c r="R165" s="214" t="s">
        <v>15</v>
      </c>
      <c r="S165" s="214" t="s">
        <v>20</v>
      </c>
      <c r="T165" s="214" t="s">
        <v>20</v>
      </c>
      <c r="U165" s="214" t="s">
        <v>15</v>
      </c>
      <c r="V165" s="214" t="s">
        <v>15</v>
      </c>
      <c r="W165" s="214" t="s">
        <v>15</v>
      </c>
      <c r="X165" s="214" t="s">
        <v>15</v>
      </c>
      <c r="Y165" s="214" t="s">
        <v>15</v>
      </c>
      <c r="Z165" s="234"/>
      <c r="AA165" s="214" t="s">
        <v>372</v>
      </c>
      <c r="AB165" s="214" t="s">
        <v>292</v>
      </c>
      <c r="AC165" s="214" t="s">
        <v>292</v>
      </c>
      <c r="AD165" s="320" t="s">
        <v>373</v>
      </c>
      <c r="AE165" s="320"/>
      <c r="AF165" s="162" t="str">
        <f t="shared" si="8"/>
        <v/>
      </c>
      <c r="AG165" s="162" t="str">
        <f t="shared" si="9"/>
        <v/>
      </c>
      <c r="AH165" s="164" t="str">
        <f t="shared" si="10"/>
        <v/>
      </c>
      <c r="AI165" s="164" t="str">
        <f t="shared" si="11"/>
        <v/>
      </c>
      <c r="AJ165" s="368"/>
      <c r="AK165" s="368"/>
      <c r="AL165" s="368"/>
      <c r="AM165" s="368"/>
      <c r="AN165" s="368"/>
      <c r="AO165" s="368"/>
      <c r="AP165" s="368"/>
      <c r="AQ165" s="368"/>
      <c r="AR165" s="368"/>
      <c r="AS165" s="195"/>
      <c r="AT165" s="195"/>
      <c r="AU165" s="377"/>
      <c r="AV165" s="382"/>
      <c r="AW165" s="426"/>
      <c r="AX165" s="426"/>
      <c r="AY165" s="426"/>
      <c r="AZ165" s="426"/>
      <c r="BA165" s="426"/>
      <c r="BB165" s="426"/>
      <c r="BC165" s="426"/>
      <c r="BD165" s="426"/>
      <c r="BE165" s="426"/>
      <c r="BF165" s="469"/>
      <c r="BG165" s="467">
        <v>2.29</v>
      </c>
      <c r="BH165" s="341"/>
      <c r="BI165" s="446" t="s">
        <v>374</v>
      </c>
      <c r="BJ165" s="507"/>
    </row>
    <row r="166" spans="1:62" ht="15.75" customHeight="1" thickBot="1" x14ac:dyDescent="0.25">
      <c r="A166" s="174">
        <v>165</v>
      </c>
      <c r="B166" s="175">
        <v>1</v>
      </c>
      <c r="C166" s="166" t="s">
        <v>398</v>
      </c>
      <c r="D166" s="166" t="s">
        <v>404</v>
      </c>
      <c r="E166" s="166"/>
      <c r="F166" s="166" t="s">
        <v>405</v>
      </c>
      <c r="G166" s="166" t="s">
        <v>122</v>
      </c>
      <c r="H166" s="166"/>
      <c r="I166" s="181">
        <v>2011</v>
      </c>
      <c r="J166" s="181" t="s">
        <v>370</v>
      </c>
      <c r="K166" s="181" t="s">
        <v>371</v>
      </c>
      <c r="L166" s="181" t="s">
        <v>83</v>
      </c>
      <c r="M166" s="556" t="s">
        <v>4128</v>
      </c>
      <c r="N166" s="214" t="s">
        <v>20</v>
      </c>
      <c r="O166" s="214" t="s">
        <v>20</v>
      </c>
      <c r="P166" s="214" t="s">
        <v>20</v>
      </c>
      <c r="Q166" s="214" t="s">
        <v>20</v>
      </c>
      <c r="R166" s="214" t="s">
        <v>15</v>
      </c>
      <c r="S166" s="214" t="s">
        <v>20</v>
      </c>
      <c r="T166" s="214" t="s">
        <v>20</v>
      </c>
      <c r="U166" s="214" t="s">
        <v>15</v>
      </c>
      <c r="V166" s="214" t="s">
        <v>15</v>
      </c>
      <c r="W166" s="214" t="s">
        <v>15</v>
      </c>
      <c r="X166" s="214" t="s">
        <v>15</v>
      </c>
      <c r="Y166" s="214" t="s">
        <v>15</v>
      </c>
      <c r="Z166" s="234"/>
      <c r="AA166" s="214" t="s">
        <v>372</v>
      </c>
      <c r="AB166" s="214" t="s">
        <v>292</v>
      </c>
      <c r="AC166" s="214" t="s">
        <v>292</v>
      </c>
      <c r="AD166" s="320" t="s">
        <v>373</v>
      </c>
      <c r="AE166" s="320"/>
      <c r="AF166" s="162" t="str">
        <f t="shared" si="8"/>
        <v/>
      </c>
      <c r="AG166" s="162" t="str">
        <f t="shared" si="9"/>
        <v/>
      </c>
      <c r="AH166" s="164" t="str">
        <f t="shared" si="10"/>
        <v/>
      </c>
      <c r="AI166" s="164" t="str">
        <f t="shared" si="11"/>
        <v/>
      </c>
      <c r="AJ166" s="368"/>
      <c r="AK166" s="368"/>
      <c r="AL166" s="368"/>
      <c r="AM166" s="368"/>
      <c r="AN166" s="368"/>
      <c r="AO166" s="368"/>
      <c r="AP166" s="368"/>
      <c r="AQ166" s="368"/>
      <c r="AR166" s="368"/>
      <c r="AS166" s="195"/>
      <c r="AT166" s="195"/>
      <c r="AU166" s="377"/>
      <c r="AV166" s="382"/>
      <c r="AW166" s="426"/>
      <c r="AX166" s="426"/>
      <c r="AY166" s="426"/>
      <c r="AZ166" s="426"/>
      <c r="BA166" s="426"/>
      <c r="BB166" s="426"/>
      <c r="BC166" s="426"/>
      <c r="BD166" s="426"/>
      <c r="BE166" s="426"/>
      <c r="BF166" s="469"/>
      <c r="BG166" s="467">
        <v>2.4</v>
      </c>
      <c r="BH166" s="341"/>
      <c r="BI166" s="446" t="s">
        <v>374</v>
      </c>
      <c r="BJ166" s="507"/>
    </row>
    <row r="167" spans="1:62" ht="15.75" customHeight="1" thickBot="1" x14ac:dyDescent="0.25">
      <c r="A167" s="176">
        <v>166</v>
      </c>
      <c r="B167" s="175">
        <v>1</v>
      </c>
      <c r="C167" s="166" t="s">
        <v>398</v>
      </c>
      <c r="D167" s="166" t="s">
        <v>406</v>
      </c>
      <c r="E167" s="166"/>
      <c r="F167" s="166" t="s">
        <v>407</v>
      </c>
      <c r="G167" s="166" t="s">
        <v>122</v>
      </c>
      <c r="H167" s="166"/>
      <c r="I167" s="181">
        <v>2011</v>
      </c>
      <c r="J167" s="181" t="s">
        <v>370</v>
      </c>
      <c r="K167" s="181" t="s">
        <v>371</v>
      </c>
      <c r="L167" s="181" t="s">
        <v>83</v>
      </c>
      <c r="M167" s="556" t="s">
        <v>4128</v>
      </c>
      <c r="N167" s="214" t="s">
        <v>20</v>
      </c>
      <c r="O167" s="214" t="s">
        <v>20</v>
      </c>
      <c r="P167" s="214" t="s">
        <v>20</v>
      </c>
      <c r="Q167" s="214" t="s">
        <v>20</v>
      </c>
      <c r="R167" s="214" t="s">
        <v>15</v>
      </c>
      <c r="S167" s="214" t="s">
        <v>20</v>
      </c>
      <c r="T167" s="214" t="s">
        <v>20</v>
      </c>
      <c r="U167" s="214" t="s">
        <v>15</v>
      </c>
      <c r="V167" s="214" t="s">
        <v>15</v>
      </c>
      <c r="W167" s="214" t="s">
        <v>15</v>
      </c>
      <c r="X167" s="214" t="s">
        <v>15</v>
      </c>
      <c r="Y167" s="214" t="s">
        <v>15</v>
      </c>
      <c r="Z167" s="234"/>
      <c r="AA167" s="214" t="s">
        <v>372</v>
      </c>
      <c r="AB167" s="214" t="s">
        <v>292</v>
      </c>
      <c r="AC167" s="214" t="s">
        <v>292</v>
      </c>
      <c r="AD167" s="320" t="s">
        <v>373</v>
      </c>
      <c r="AE167" s="320"/>
      <c r="AF167" s="162" t="str">
        <f t="shared" si="8"/>
        <v/>
      </c>
      <c r="AG167" s="162" t="str">
        <f t="shared" si="9"/>
        <v/>
      </c>
      <c r="AH167" s="164" t="str">
        <f t="shared" si="10"/>
        <v/>
      </c>
      <c r="AI167" s="164" t="str">
        <f t="shared" si="11"/>
        <v/>
      </c>
      <c r="AJ167" s="368"/>
      <c r="AK167" s="368"/>
      <c r="AL167" s="368"/>
      <c r="AM167" s="368"/>
      <c r="AN167" s="368"/>
      <c r="AO167" s="368"/>
      <c r="AP167" s="368"/>
      <c r="AQ167" s="368"/>
      <c r="AR167" s="368"/>
      <c r="AS167" s="195"/>
      <c r="AT167" s="195"/>
      <c r="AU167" s="377"/>
      <c r="AV167" s="382"/>
      <c r="AW167" s="426"/>
      <c r="AX167" s="426"/>
      <c r="AY167" s="426"/>
      <c r="AZ167" s="426"/>
      <c r="BA167" s="426"/>
      <c r="BB167" s="426"/>
      <c r="BC167" s="426"/>
      <c r="BD167" s="426"/>
      <c r="BE167" s="426"/>
      <c r="BF167" s="469"/>
      <c r="BG167" s="467">
        <v>2.54</v>
      </c>
      <c r="BH167" s="341"/>
      <c r="BI167" s="446" t="s">
        <v>374</v>
      </c>
      <c r="BJ167" s="507"/>
    </row>
    <row r="168" spans="1:62" ht="15.75" customHeight="1" thickBot="1" x14ac:dyDescent="0.25">
      <c r="A168" s="174">
        <v>167</v>
      </c>
      <c r="B168" s="175">
        <v>1</v>
      </c>
      <c r="C168" s="166" t="s">
        <v>398</v>
      </c>
      <c r="D168" s="166" t="s">
        <v>406</v>
      </c>
      <c r="E168" s="166"/>
      <c r="F168" s="166" t="s">
        <v>408</v>
      </c>
      <c r="G168" s="166" t="s">
        <v>122</v>
      </c>
      <c r="H168" s="166"/>
      <c r="I168" s="181">
        <v>2011</v>
      </c>
      <c r="J168" s="181" t="s">
        <v>370</v>
      </c>
      <c r="K168" s="181" t="s">
        <v>371</v>
      </c>
      <c r="L168" s="181" t="s">
        <v>83</v>
      </c>
      <c r="M168" s="556" t="s">
        <v>4128</v>
      </c>
      <c r="N168" s="214" t="s">
        <v>20</v>
      </c>
      <c r="O168" s="214" t="s">
        <v>20</v>
      </c>
      <c r="P168" s="214" t="s">
        <v>20</v>
      </c>
      <c r="Q168" s="214" t="s">
        <v>20</v>
      </c>
      <c r="R168" s="214" t="s">
        <v>15</v>
      </c>
      <c r="S168" s="214" t="s">
        <v>20</v>
      </c>
      <c r="T168" s="214" t="s">
        <v>20</v>
      </c>
      <c r="U168" s="214" t="s">
        <v>15</v>
      </c>
      <c r="V168" s="214" t="s">
        <v>15</v>
      </c>
      <c r="W168" s="214" t="s">
        <v>15</v>
      </c>
      <c r="X168" s="214" t="s">
        <v>15</v>
      </c>
      <c r="Y168" s="214" t="s">
        <v>15</v>
      </c>
      <c r="Z168" s="234"/>
      <c r="AA168" s="214" t="s">
        <v>372</v>
      </c>
      <c r="AB168" s="214" t="s">
        <v>292</v>
      </c>
      <c r="AC168" s="214" t="s">
        <v>292</v>
      </c>
      <c r="AD168" s="320" t="s">
        <v>373</v>
      </c>
      <c r="AE168" s="320"/>
      <c r="AF168" s="162" t="str">
        <f t="shared" si="8"/>
        <v/>
      </c>
      <c r="AG168" s="162" t="str">
        <f t="shared" si="9"/>
        <v/>
      </c>
      <c r="AH168" s="164" t="str">
        <f t="shared" si="10"/>
        <v/>
      </c>
      <c r="AI168" s="164" t="str">
        <f t="shared" si="11"/>
        <v/>
      </c>
      <c r="AJ168" s="368"/>
      <c r="AK168" s="368"/>
      <c r="AL168" s="368"/>
      <c r="AM168" s="368"/>
      <c r="AN168" s="368"/>
      <c r="AO168" s="368"/>
      <c r="AP168" s="368"/>
      <c r="AQ168" s="368"/>
      <c r="AR168" s="368"/>
      <c r="AS168" s="195"/>
      <c r="AT168" s="195"/>
      <c r="AU168" s="377"/>
      <c r="AV168" s="382"/>
      <c r="AW168" s="426"/>
      <c r="AX168" s="426"/>
      <c r="AY168" s="426"/>
      <c r="AZ168" s="426"/>
      <c r="BA168" s="426"/>
      <c r="BB168" s="426"/>
      <c r="BC168" s="426"/>
      <c r="BD168" s="426"/>
      <c r="BE168" s="426"/>
      <c r="BF168" s="469"/>
      <c r="BG168" s="467">
        <v>3</v>
      </c>
      <c r="BH168" s="341"/>
      <c r="BI168" s="446" t="s">
        <v>374</v>
      </c>
      <c r="BJ168" s="507"/>
    </row>
    <row r="169" spans="1:62" ht="15.75" customHeight="1" thickBot="1" x14ac:dyDescent="0.25">
      <c r="A169" s="176">
        <v>168</v>
      </c>
      <c r="B169" s="175">
        <v>1</v>
      </c>
      <c r="C169" s="166" t="s">
        <v>398</v>
      </c>
      <c r="D169" s="166" t="s">
        <v>406</v>
      </c>
      <c r="E169" s="166"/>
      <c r="F169" s="166" t="s">
        <v>409</v>
      </c>
      <c r="G169" s="166" t="s">
        <v>122</v>
      </c>
      <c r="H169" s="166"/>
      <c r="I169" s="181">
        <v>2011</v>
      </c>
      <c r="J169" s="181" t="s">
        <v>370</v>
      </c>
      <c r="K169" s="181" t="s">
        <v>371</v>
      </c>
      <c r="L169" s="181" t="s">
        <v>83</v>
      </c>
      <c r="M169" s="556" t="s">
        <v>4128</v>
      </c>
      <c r="N169" s="214" t="s">
        <v>20</v>
      </c>
      <c r="O169" s="214" t="s">
        <v>20</v>
      </c>
      <c r="P169" s="214" t="s">
        <v>20</v>
      </c>
      <c r="Q169" s="214" t="s">
        <v>20</v>
      </c>
      <c r="R169" s="214" t="s">
        <v>15</v>
      </c>
      <c r="S169" s="214" t="s">
        <v>20</v>
      </c>
      <c r="T169" s="214" t="s">
        <v>20</v>
      </c>
      <c r="U169" s="214" t="s">
        <v>15</v>
      </c>
      <c r="V169" s="214" t="s">
        <v>15</v>
      </c>
      <c r="W169" s="214" t="s">
        <v>15</v>
      </c>
      <c r="X169" s="214" t="s">
        <v>15</v>
      </c>
      <c r="Y169" s="214" t="s">
        <v>15</v>
      </c>
      <c r="Z169" s="234"/>
      <c r="AA169" s="214" t="s">
        <v>372</v>
      </c>
      <c r="AB169" s="214" t="s">
        <v>292</v>
      </c>
      <c r="AC169" s="214" t="s">
        <v>292</v>
      </c>
      <c r="AD169" s="320" t="s">
        <v>373</v>
      </c>
      <c r="AE169" s="320"/>
      <c r="AF169" s="162" t="str">
        <f t="shared" si="8"/>
        <v/>
      </c>
      <c r="AG169" s="162" t="str">
        <f t="shared" si="9"/>
        <v/>
      </c>
      <c r="AH169" s="164" t="str">
        <f t="shared" si="10"/>
        <v/>
      </c>
      <c r="AI169" s="164" t="str">
        <f t="shared" si="11"/>
        <v/>
      </c>
      <c r="AJ169" s="368"/>
      <c r="AK169" s="368"/>
      <c r="AL169" s="368"/>
      <c r="AM169" s="368"/>
      <c r="AN169" s="368"/>
      <c r="AO169" s="368"/>
      <c r="AP169" s="368"/>
      <c r="AQ169" s="368"/>
      <c r="AR169" s="368"/>
      <c r="AS169" s="195"/>
      <c r="AT169" s="195"/>
      <c r="AU169" s="377"/>
      <c r="AV169" s="382"/>
      <c r="AW169" s="426"/>
      <c r="AX169" s="426"/>
      <c r="AY169" s="426"/>
      <c r="AZ169" s="426"/>
      <c r="BA169" s="426"/>
      <c r="BB169" s="426"/>
      <c r="BC169" s="426"/>
      <c r="BD169" s="426"/>
      <c r="BE169" s="426"/>
      <c r="BF169" s="469"/>
      <c r="BG169" s="467">
        <v>3.72</v>
      </c>
      <c r="BH169" s="341"/>
      <c r="BI169" s="446" t="s">
        <v>374</v>
      </c>
      <c r="BJ169" s="507"/>
    </row>
    <row r="170" spans="1:62" ht="15.75" customHeight="1" thickBot="1" x14ac:dyDescent="0.25">
      <c r="A170" s="174">
        <v>169</v>
      </c>
      <c r="B170" s="175">
        <v>1</v>
      </c>
      <c r="C170" s="166" t="s">
        <v>398</v>
      </c>
      <c r="D170" s="166" t="s">
        <v>406</v>
      </c>
      <c r="E170" s="166"/>
      <c r="F170" s="166" t="s">
        <v>410</v>
      </c>
      <c r="G170" s="166" t="s">
        <v>122</v>
      </c>
      <c r="H170" s="166"/>
      <c r="I170" s="181">
        <v>2011</v>
      </c>
      <c r="J170" s="181" t="s">
        <v>370</v>
      </c>
      <c r="K170" s="181" t="s">
        <v>371</v>
      </c>
      <c r="L170" s="181" t="s">
        <v>83</v>
      </c>
      <c r="M170" s="556" t="s">
        <v>4128</v>
      </c>
      <c r="N170" s="214" t="s">
        <v>20</v>
      </c>
      <c r="O170" s="214" t="s">
        <v>20</v>
      </c>
      <c r="P170" s="214" t="s">
        <v>20</v>
      </c>
      <c r="Q170" s="214" t="s">
        <v>20</v>
      </c>
      <c r="R170" s="214" t="s">
        <v>15</v>
      </c>
      <c r="S170" s="214" t="s">
        <v>20</v>
      </c>
      <c r="T170" s="214" t="s">
        <v>20</v>
      </c>
      <c r="U170" s="214" t="s">
        <v>15</v>
      </c>
      <c r="V170" s="214" t="s">
        <v>15</v>
      </c>
      <c r="W170" s="214" t="s">
        <v>15</v>
      </c>
      <c r="X170" s="214" t="s">
        <v>15</v>
      </c>
      <c r="Y170" s="214" t="s">
        <v>15</v>
      </c>
      <c r="Z170" s="234"/>
      <c r="AA170" s="214" t="s">
        <v>372</v>
      </c>
      <c r="AB170" s="214" t="s">
        <v>292</v>
      </c>
      <c r="AC170" s="214" t="s">
        <v>292</v>
      </c>
      <c r="AD170" s="320" t="s">
        <v>373</v>
      </c>
      <c r="AE170" s="320"/>
      <c r="AF170" s="162" t="str">
        <f t="shared" si="8"/>
        <v/>
      </c>
      <c r="AG170" s="162" t="str">
        <f t="shared" si="9"/>
        <v/>
      </c>
      <c r="AH170" s="164" t="str">
        <f t="shared" si="10"/>
        <v/>
      </c>
      <c r="AI170" s="164" t="str">
        <f t="shared" si="11"/>
        <v/>
      </c>
      <c r="AJ170" s="368"/>
      <c r="AK170" s="368"/>
      <c r="AL170" s="368"/>
      <c r="AM170" s="368"/>
      <c r="AN170" s="368"/>
      <c r="AO170" s="368"/>
      <c r="AP170" s="368"/>
      <c r="AQ170" s="368"/>
      <c r="AR170" s="368"/>
      <c r="AS170" s="195"/>
      <c r="AT170" s="195"/>
      <c r="AU170" s="377"/>
      <c r="AV170" s="382"/>
      <c r="AW170" s="426"/>
      <c r="AX170" s="426"/>
      <c r="AY170" s="426"/>
      <c r="AZ170" s="426"/>
      <c r="BA170" s="426"/>
      <c r="BB170" s="426"/>
      <c r="BC170" s="426"/>
      <c r="BD170" s="426"/>
      <c r="BE170" s="426"/>
      <c r="BF170" s="469"/>
      <c r="BG170" s="467">
        <v>3.24</v>
      </c>
      <c r="BH170" s="341"/>
      <c r="BI170" s="446" t="s">
        <v>374</v>
      </c>
      <c r="BJ170" s="507"/>
    </row>
    <row r="171" spans="1:62" ht="15.75" customHeight="1" thickBot="1" x14ac:dyDescent="0.25">
      <c r="A171" s="176">
        <v>170</v>
      </c>
      <c r="B171" s="175">
        <v>1</v>
      </c>
      <c r="C171" s="166" t="s">
        <v>398</v>
      </c>
      <c r="D171" s="166" t="s">
        <v>411</v>
      </c>
      <c r="E171" s="166"/>
      <c r="F171" s="166" t="s">
        <v>412</v>
      </c>
      <c r="G171" s="166" t="s">
        <v>122</v>
      </c>
      <c r="H171" s="166"/>
      <c r="I171" s="181">
        <v>2011</v>
      </c>
      <c r="J171" s="181" t="s">
        <v>370</v>
      </c>
      <c r="K171" s="181" t="s">
        <v>371</v>
      </c>
      <c r="L171" s="181" t="s">
        <v>83</v>
      </c>
      <c r="M171" s="556" t="s">
        <v>4128</v>
      </c>
      <c r="N171" s="214" t="s">
        <v>20</v>
      </c>
      <c r="O171" s="214" t="s">
        <v>20</v>
      </c>
      <c r="P171" s="214" t="s">
        <v>20</v>
      </c>
      <c r="Q171" s="214" t="s">
        <v>20</v>
      </c>
      <c r="R171" s="214" t="s">
        <v>15</v>
      </c>
      <c r="S171" s="214" t="s">
        <v>20</v>
      </c>
      <c r="T171" s="214" t="s">
        <v>20</v>
      </c>
      <c r="U171" s="214" t="s">
        <v>15</v>
      </c>
      <c r="V171" s="214" t="s">
        <v>15</v>
      </c>
      <c r="W171" s="214" t="s">
        <v>15</v>
      </c>
      <c r="X171" s="214" t="s">
        <v>15</v>
      </c>
      <c r="Y171" s="214" t="s">
        <v>15</v>
      </c>
      <c r="Z171" s="234"/>
      <c r="AA171" s="214" t="s">
        <v>372</v>
      </c>
      <c r="AB171" s="214" t="s">
        <v>292</v>
      </c>
      <c r="AC171" s="214" t="s">
        <v>292</v>
      </c>
      <c r="AD171" s="320" t="s">
        <v>373</v>
      </c>
      <c r="AE171" s="320"/>
      <c r="AF171" s="162" t="str">
        <f t="shared" si="8"/>
        <v/>
      </c>
      <c r="AG171" s="162" t="str">
        <f t="shared" si="9"/>
        <v/>
      </c>
      <c r="AH171" s="164" t="str">
        <f t="shared" si="10"/>
        <v/>
      </c>
      <c r="AI171" s="164" t="str">
        <f t="shared" si="11"/>
        <v/>
      </c>
      <c r="AJ171" s="368"/>
      <c r="AK171" s="368"/>
      <c r="AL171" s="368"/>
      <c r="AM171" s="368"/>
      <c r="AN171" s="368"/>
      <c r="AO171" s="368"/>
      <c r="AP171" s="368"/>
      <c r="AQ171" s="368"/>
      <c r="AR171" s="368"/>
      <c r="AS171" s="195"/>
      <c r="AT171" s="195"/>
      <c r="AU171" s="377"/>
      <c r="AV171" s="382"/>
      <c r="AW171" s="426"/>
      <c r="AX171" s="426"/>
      <c r="AY171" s="426"/>
      <c r="AZ171" s="426"/>
      <c r="BA171" s="426"/>
      <c r="BB171" s="426"/>
      <c r="BC171" s="426"/>
      <c r="BD171" s="426"/>
      <c r="BE171" s="426"/>
      <c r="BF171" s="469"/>
      <c r="BG171" s="467">
        <v>3.79</v>
      </c>
      <c r="BH171" s="341"/>
      <c r="BI171" s="446" t="s">
        <v>374</v>
      </c>
      <c r="BJ171" s="507"/>
    </row>
    <row r="172" spans="1:62" ht="15.75" customHeight="1" thickBot="1" x14ac:dyDescent="0.25">
      <c r="A172" s="174">
        <v>171</v>
      </c>
      <c r="B172" s="175">
        <v>1</v>
      </c>
      <c r="C172" s="166" t="s">
        <v>11</v>
      </c>
      <c r="D172" s="166" t="s">
        <v>12</v>
      </c>
      <c r="E172" s="166"/>
      <c r="F172" s="166" t="s">
        <v>413</v>
      </c>
      <c r="G172" s="166" t="s">
        <v>122</v>
      </c>
      <c r="H172" s="166"/>
      <c r="I172" s="181">
        <v>2011</v>
      </c>
      <c r="J172" s="181" t="s">
        <v>370</v>
      </c>
      <c r="K172" s="181" t="s">
        <v>371</v>
      </c>
      <c r="L172" s="181" t="s">
        <v>83</v>
      </c>
      <c r="M172" s="556" t="s">
        <v>4128</v>
      </c>
      <c r="N172" s="214" t="s">
        <v>20</v>
      </c>
      <c r="O172" s="214" t="s">
        <v>20</v>
      </c>
      <c r="P172" s="214" t="s">
        <v>20</v>
      </c>
      <c r="Q172" s="214" t="s">
        <v>20</v>
      </c>
      <c r="R172" s="214" t="s">
        <v>15</v>
      </c>
      <c r="S172" s="214" t="s">
        <v>20</v>
      </c>
      <c r="T172" s="214" t="s">
        <v>20</v>
      </c>
      <c r="U172" s="214" t="s">
        <v>15</v>
      </c>
      <c r="V172" s="214" t="s">
        <v>15</v>
      </c>
      <c r="W172" s="214" t="s">
        <v>15</v>
      </c>
      <c r="X172" s="214" t="s">
        <v>15</v>
      </c>
      <c r="Y172" s="214" t="s">
        <v>15</v>
      </c>
      <c r="Z172" s="234"/>
      <c r="AA172" s="214" t="s">
        <v>372</v>
      </c>
      <c r="AB172" s="214" t="s">
        <v>292</v>
      </c>
      <c r="AC172" s="214" t="s">
        <v>292</v>
      </c>
      <c r="AD172" s="320" t="s">
        <v>373</v>
      </c>
      <c r="AE172" s="320"/>
      <c r="AF172" s="162" t="str">
        <f t="shared" si="8"/>
        <v/>
      </c>
      <c r="AG172" s="162" t="str">
        <f t="shared" si="9"/>
        <v/>
      </c>
      <c r="AH172" s="164" t="str">
        <f t="shared" si="10"/>
        <v/>
      </c>
      <c r="AI172" s="164" t="str">
        <f t="shared" si="11"/>
        <v/>
      </c>
      <c r="AJ172" s="368"/>
      <c r="AK172" s="368"/>
      <c r="AL172" s="368"/>
      <c r="AM172" s="368"/>
      <c r="AN172" s="368"/>
      <c r="AO172" s="368"/>
      <c r="AP172" s="368"/>
      <c r="AQ172" s="368"/>
      <c r="AR172" s="368"/>
      <c r="AS172" s="195"/>
      <c r="AT172" s="195"/>
      <c r="AU172" s="377"/>
      <c r="AV172" s="382"/>
      <c r="AW172" s="426"/>
      <c r="AX172" s="426"/>
      <c r="AY172" s="426"/>
      <c r="AZ172" s="426"/>
      <c r="BA172" s="426"/>
      <c r="BB172" s="426"/>
      <c r="BC172" s="426"/>
      <c r="BD172" s="426"/>
      <c r="BE172" s="426"/>
      <c r="BF172" s="469"/>
      <c r="BG172" s="467">
        <v>1.31</v>
      </c>
      <c r="BH172" s="341"/>
      <c r="BI172" s="446" t="s">
        <v>374</v>
      </c>
      <c r="BJ172" s="507"/>
    </row>
    <row r="173" spans="1:62" ht="15.75" customHeight="1" thickBot="1" x14ac:dyDescent="0.25">
      <c r="A173" s="176">
        <v>172</v>
      </c>
      <c r="B173" s="175">
        <v>1</v>
      </c>
      <c r="C173" s="166" t="s">
        <v>11</v>
      </c>
      <c r="D173" s="166" t="s">
        <v>12</v>
      </c>
      <c r="E173" s="166"/>
      <c r="F173" s="166" t="s">
        <v>414</v>
      </c>
      <c r="G173" s="166" t="s">
        <v>122</v>
      </c>
      <c r="H173" s="166"/>
      <c r="I173" s="181">
        <v>2011</v>
      </c>
      <c r="J173" s="181" t="s">
        <v>370</v>
      </c>
      <c r="K173" s="181" t="s">
        <v>371</v>
      </c>
      <c r="L173" s="181" t="s">
        <v>83</v>
      </c>
      <c r="M173" s="556" t="s">
        <v>4128</v>
      </c>
      <c r="N173" s="214" t="s">
        <v>20</v>
      </c>
      <c r="O173" s="214" t="s">
        <v>20</v>
      </c>
      <c r="P173" s="214" t="s">
        <v>20</v>
      </c>
      <c r="Q173" s="214" t="s">
        <v>20</v>
      </c>
      <c r="R173" s="214" t="s">
        <v>15</v>
      </c>
      <c r="S173" s="214" t="s">
        <v>20</v>
      </c>
      <c r="T173" s="214" t="s">
        <v>20</v>
      </c>
      <c r="U173" s="214" t="s">
        <v>15</v>
      </c>
      <c r="V173" s="214" t="s">
        <v>15</v>
      </c>
      <c r="W173" s="214" t="s">
        <v>15</v>
      </c>
      <c r="X173" s="214" t="s">
        <v>15</v>
      </c>
      <c r="Y173" s="214" t="s">
        <v>15</v>
      </c>
      <c r="Z173" s="234"/>
      <c r="AA173" s="214" t="s">
        <v>372</v>
      </c>
      <c r="AB173" s="214" t="s">
        <v>292</v>
      </c>
      <c r="AC173" s="214" t="s">
        <v>292</v>
      </c>
      <c r="AD173" s="320" t="s">
        <v>373</v>
      </c>
      <c r="AE173" s="320"/>
      <c r="AF173" s="162" t="str">
        <f t="shared" si="8"/>
        <v/>
      </c>
      <c r="AG173" s="162" t="str">
        <f t="shared" si="9"/>
        <v/>
      </c>
      <c r="AH173" s="164" t="str">
        <f t="shared" si="10"/>
        <v/>
      </c>
      <c r="AI173" s="164" t="str">
        <f t="shared" si="11"/>
        <v/>
      </c>
      <c r="AJ173" s="368"/>
      <c r="AK173" s="368"/>
      <c r="AL173" s="368"/>
      <c r="AM173" s="368"/>
      <c r="AN173" s="368"/>
      <c r="AO173" s="368"/>
      <c r="AP173" s="368"/>
      <c r="AQ173" s="368"/>
      <c r="AR173" s="368"/>
      <c r="AS173" s="195"/>
      <c r="AT173" s="195"/>
      <c r="AU173" s="377"/>
      <c r="AV173" s="382"/>
      <c r="AW173" s="426"/>
      <c r="AX173" s="426"/>
      <c r="AY173" s="426"/>
      <c r="AZ173" s="426"/>
      <c r="BA173" s="426"/>
      <c r="BB173" s="426"/>
      <c r="BC173" s="426"/>
      <c r="BD173" s="426"/>
      <c r="BE173" s="426"/>
      <c r="BF173" s="469"/>
      <c r="BG173" s="467">
        <v>1.57</v>
      </c>
      <c r="BH173" s="341"/>
      <c r="BI173" s="446" t="s">
        <v>374</v>
      </c>
      <c r="BJ173" s="507"/>
    </row>
    <row r="174" spans="1:62" ht="15.75" customHeight="1" thickBot="1" x14ac:dyDescent="0.25">
      <c r="A174" s="174">
        <v>173</v>
      </c>
      <c r="B174" s="175">
        <v>1</v>
      </c>
      <c r="C174" s="166" t="s">
        <v>11</v>
      </c>
      <c r="D174" s="166" t="s">
        <v>12</v>
      </c>
      <c r="E174" s="166"/>
      <c r="F174" s="166" t="s">
        <v>415</v>
      </c>
      <c r="G174" s="166" t="s">
        <v>122</v>
      </c>
      <c r="H174" s="166"/>
      <c r="I174" s="181">
        <v>2011</v>
      </c>
      <c r="J174" s="181" t="s">
        <v>370</v>
      </c>
      <c r="K174" s="181" t="s">
        <v>371</v>
      </c>
      <c r="L174" s="181" t="s">
        <v>83</v>
      </c>
      <c r="M174" s="556" t="s">
        <v>4128</v>
      </c>
      <c r="N174" s="214" t="s">
        <v>20</v>
      </c>
      <c r="O174" s="214" t="s">
        <v>20</v>
      </c>
      <c r="P174" s="214" t="s">
        <v>20</v>
      </c>
      <c r="Q174" s="214" t="s">
        <v>20</v>
      </c>
      <c r="R174" s="214" t="s">
        <v>15</v>
      </c>
      <c r="S174" s="214" t="s">
        <v>20</v>
      </c>
      <c r="T174" s="214" t="s">
        <v>20</v>
      </c>
      <c r="U174" s="214" t="s">
        <v>15</v>
      </c>
      <c r="V174" s="214" t="s">
        <v>15</v>
      </c>
      <c r="W174" s="214" t="s">
        <v>15</v>
      </c>
      <c r="X174" s="214" t="s">
        <v>15</v>
      </c>
      <c r="Y174" s="214" t="s">
        <v>15</v>
      </c>
      <c r="Z174" s="234"/>
      <c r="AA174" s="214" t="s">
        <v>372</v>
      </c>
      <c r="AB174" s="214" t="s">
        <v>292</v>
      </c>
      <c r="AC174" s="214" t="s">
        <v>292</v>
      </c>
      <c r="AD174" s="320" t="s">
        <v>373</v>
      </c>
      <c r="AE174" s="320"/>
      <c r="AF174" s="162" t="str">
        <f t="shared" si="8"/>
        <v/>
      </c>
      <c r="AG174" s="162" t="str">
        <f t="shared" si="9"/>
        <v/>
      </c>
      <c r="AH174" s="164" t="str">
        <f t="shared" si="10"/>
        <v/>
      </c>
      <c r="AI174" s="164" t="str">
        <f t="shared" si="11"/>
        <v/>
      </c>
      <c r="AJ174" s="368"/>
      <c r="AK174" s="368"/>
      <c r="AL174" s="368"/>
      <c r="AM174" s="368"/>
      <c r="AN174" s="368"/>
      <c r="AO174" s="368"/>
      <c r="AP174" s="368"/>
      <c r="AQ174" s="368"/>
      <c r="AR174" s="368"/>
      <c r="AS174" s="195"/>
      <c r="AT174" s="195"/>
      <c r="AU174" s="377"/>
      <c r="AV174" s="382"/>
      <c r="AW174" s="426"/>
      <c r="AX174" s="426"/>
      <c r="AY174" s="426"/>
      <c r="AZ174" s="426"/>
      <c r="BA174" s="426"/>
      <c r="BB174" s="426"/>
      <c r="BC174" s="426"/>
      <c r="BD174" s="426"/>
      <c r="BE174" s="426"/>
      <c r="BF174" s="469"/>
      <c r="BG174" s="467">
        <v>1.3</v>
      </c>
      <c r="BH174" s="341"/>
      <c r="BI174" s="446" t="s">
        <v>374</v>
      </c>
      <c r="BJ174" s="507"/>
    </row>
    <row r="175" spans="1:62" ht="15.75" customHeight="1" thickBot="1" x14ac:dyDescent="0.25">
      <c r="A175" s="176">
        <v>174</v>
      </c>
      <c r="B175" s="175">
        <v>1</v>
      </c>
      <c r="C175" s="166" t="s">
        <v>11</v>
      </c>
      <c r="D175" s="166" t="s">
        <v>12</v>
      </c>
      <c r="E175" s="166"/>
      <c r="F175" s="166" t="s">
        <v>416</v>
      </c>
      <c r="G175" s="166" t="s">
        <v>122</v>
      </c>
      <c r="H175" s="166"/>
      <c r="I175" s="181">
        <v>2011</v>
      </c>
      <c r="J175" s="181" t="s">
        <v>370</v>
      </c>
      <c r="K175" s="181" t="s">
        <v>371</v>
      </c>
      <c r="L175" s="181" t="s">
        <v>83</v>
      </c>
      <c r="M175" s="556" t="s">
        <v>4128</v>
      </c>
      <c r="N175" s="214" t="s">
        <v>20</v>
      </c>
      <c r="O175" s="214" t="s">
        <v>20</v>
      </c>
      <c r="P175" s="214" t="s">
        <v>20</v>
      </c>
      <c r="Q175" s="214" t="s">
        <v>20</v>
      </c>
      <c r="R175" s="214" t="s">
        <v>15</v>
      </c>
      <c r="S175" s="214" t="s">
        <v>20</v>
      </c>
      <c r="T175" s="214" t="s">
        <v>20</v>
      </c>
      <c r="U175" s="214" t="s">
        <v>15</v>
      </c>
      <c r="V175" s="214" t="s">
        <v>15</v>
      </c>
      <c r="W175" s="214" t="s">
        <v>15</v>
      </c>
      <c r="X175" s="214" t="s">
        <v>15</v>
      </c>
      <c r="Y175" s="214" t="s">
        <v>15</v>
      </c>
      <c r="Z175" s="234"/>
      <c r="AA175" s="214" t="s">
        <v>372</v>
      </c>
      <c r="AB175" s="214" t="s">
        <v>292</v>
      </c>
      <c r="AC175" s="214" t="s">
        <v>292</v>
      </c>
      <c r="AD175" s="320" t="s">
        <v>373</v>
      </c>
      <c r="AE175" s="320"/>
      <c r="AF175" s="162" t="str">
        <f t="shared" si="8"/>
        <v/>
      </c>
      <c r="AG175" s="162" t="str">
        <f t="shared" si="9"/>
        <v/>
      </c>
      <c r="AH175" s="164" t="str">
        <f t="shared" si="10"/>
        <v/>
      </c>
      <c r="AI175" s="164" t="str">
        <f t="shared" si="11"/>
        <v/>
      </c>
      <c r="AJ175" s="368"/>
      <c r="AK175" s="368"/>
      <c r="AL175" s="368"/>
      <c r="AM175" s="368"/>
      <c r="AN175" s="368"/>
      <c r="AO175" s="368"/>
      <c r="AP175" s="368"/>
      <c r="AQ175" s="368"/>
      <c r="AR175" s="368"/>
      <c r="AS175" s="195"/>
      <c r="AT175" s="195"/>
      <c r="AU175" s="377"/>
      <c r="AV175" s="382"/>
      <c r="AW175" s="426"/>
      <c r="AX175" s="426"/>
      <c r="AY175" s="426"/>
      <c r="AZ175" s="426"/>
      <c r="BA175" s="426"/>
      <c r="BB175" s="426"/>
      <c r="BC175" s="426"/>
      <c r="BD175" s="426"/>
      <c r="BE175" s="426"/>
      <c r="BF175" s="469"/>
      <c r="BG175" s="467">
        <v>1.21</v>
      </c>
      <c r="BH175" s="341"/>
      <c r="BI175" s="446" t="s">
        <v>374</v>
      </c>
      <c r="BJ175" s="507"/>
    </row>
    <row r="176" spans="1:62" ht="15.75" customHeight="1" thickBot="1" x14ac:dyDescent="0.25">
      <c r="A176" s="174">
        <v>175</v>
      </c>
      <c r="B176" s="175">
        <v>1</v>
      </c>
      <c r="C176" s="166" t="s">
        <v>11</v>
      </c>
      <c r="D176" s="166" t="s">
        <v>12</v>
      </c>
      <c r="E176" s="166"/>
      <c r="F176" s="166" t="s">
        <v>417</v>
      </c>
      <c r="G176" s="166" t="s">
        <v>122</v>
      </c>
      <c r="H176" s="166"/>
      <c r="I176" s="181">
        <v>2011</v>
      </c>
      <c r="J176" s="181" t="s">
        <v>370</v>
      </c>
      <c r="K176" s="181" t="s">
        <v>371</v>
      </c>
      <c r="L176" s="181" t="s">
        <v>83</v>
      </c>
      <c r="M176" s="556" t="s">
        <v>4128</v>
      </c>
      <c r="N176" s="214" t="s">
        <v>20</v>
      </c>
      <c r="O176" s="214" t="s">
        <v>20</v>
      </c>
      <c r="P176" s="214" t="s">
        <v>20</v>
      </c>
      <c r="Q176" s="214" t="s">
        <v>20</v>
      </c>
      <c r="R176" s="214" t="s">
        <v>15</v>
      </c>
      <c r="S176" s="214" t="s">
        <v>20</v>
      </c>
      <c r="T176" s="214" t="s">
        <v>20</v>
      </c>
      <c r="U176" s="214" t="s">
        <v>15</v>
      </c>
      <c r="V176" s="214" t="s">
        <v>15</v>
      </c>
      <c r="W176" s="214" t="s">
        <v>15</v>
      </c>
      <c r="X176" s="214" t="s">
        <v>15</v>
      </c>
      <c r="Y176" s="214" t="s">
        <v>15</v>
      </c>
      <c r="Z176" s="234"/>
      <c r="AA176" s="214" t="s">
        <v>372</v>
      </c>
      <c r="AB176" s="214" t="s">
        <v>292</v>
      </c>
      <c r="AC176" s="214" t="s">
        <v>292</v>
      </c>
      <c r="AD176" s="320" t="s">
        <v>373</v>
      </c>
      <c r="AE176" s="320"/>
      <c r="AF176" s="162" t="str">
        <f t="shared" si="8"/>
        <v/>
      </c>
      <c r="AG176" s="162" t="str">
        <f t="shared" si="9"/>
        <v/>
      </c>
      <c r="AH176" s="164" t="str">
        <f t="shared" si="10"/>
        <v/>
      </c>
      <c r="AI176" s="164" t="str">
        <f t="shared" si="11"/>
        <v/>
      </c>
      <c r="AJ176" s="368"/>
      <c r="AK176" s="368"/>
      <c r="AL176" s="368"/>
      <c r="AM176" s="368"/>
      <c r="AN176" s="368"/>
      <c r="AO176" s="368"/>
      <c r="AP176" s="368"/>
      <c r="AQ176" s="368"/>
      <c r="AR176" s="368"/>
      <c r="AS176" s="195"/>
      <c r="AT176" s="195"/>
      <c r="AU176" s="377"/>
      <c r="AV176" s="382"/>
      <c r="AW176" s="426"/>
      <c r="AX176" s="426"/>
      <c r="AY176" s="426"/>
      <c r="AZ176" s="426"/>
      <c r="BA176" s="426"/>
      <c r="BB176" s="426"/>
      <c r="BC176" s="426"/>
      <c r="BD176" s="426"/>
      <c r="BE176" s="426"/>
      <c r="BF176" s="469"/>
      <c r="BG176" s="467">
        <v>1.45</v>
      </c>
      <c r="BH176" s="341"/>
      <c r="BI176" s="446" t="s">
        <v>374</v>
      </c>
      <c r="BJ176" s="507"/>
    </row>
    <row r="177" spans="1:62" ht="15.75" customHeight="1" thickBot="1" x14ac:dyDescent="0.25">
      <c r="A177" s="176">
        <v>176</v>
      </c>
      <c r="B177" s="175">
        <v>1</v>
      </c>
      <c r="C177" s="166" t="s">
        <v>11</v>
      </c>
      <c r="D177" s="166" t="s">
        <v>12</v>
      </c>
      <c r="E177" s="166"/>
      <c r="F177" s="166" t="s">
        <v>418</v>
      </c>
      <c r="G177" s="166" t="s">
        <v>122</v>
      </c>
      <c r="H177" s="166"/>
      <c r="I177" s="181">
        <v>2011</v>
      </c>
      <c r="J177" s="181" t="s">
        <v>370</v>
      </c>
      <c r="K177" s="181" t="s">
        <v>371</v>
      </c>
      <c r="L177" s="181" t="s">
        <v>83</v>
      </c>
      <c r="M177" s="556" t="s">
        <v>4128</v>
      </c>
      <c r="N177" s="214" t="s">
        <v>20</v>
      </c>
      <c r="O177" s="214" t="s">
        <v>20</v>
      </c>
      <c r="P177" s="214" t="s">
        <v>20</v>
      </c>
      <c r="Q177" s="214" t="s">
        <v>20</v>
      </c>
      <c r="R177" s="214" t="s">
        <v>15</v>
      </c>
      <c r="S177" s="214" t="s">
        <v>20</v>
      </c>
      <c r="T177" s="214" t="s">
        <v>20</v>
      </c>
      <c r="U177" s="214" t="s">
        <v>15</v>
      </c>
      <c r="V177" s="214" t="s">
        <v>15</v>
      </c>
      <c r="W177" s="214" t="s">
        <v>15</v>
      </c>
      <c r="X177" s="214" t="s">
        <v>15</v>
      </c>
      <c r="Y177" s="214" t="s">
        <v>15</v>
      </c>
      <c r="Z177" s="234"/>
      <c r="AA177" s="214" t="s">
        <v>372</v>
      </c>
      <c r="AB177" s="214" t="s">
        <v>292</v>
      </c>
      <c r="AC177" s="214" t="s">
        <v>292</v>
      </c>
      <c r="AD177" s="320" t="s">
        <v>373</v>
      </c>
      <c r="AE177" s="320"/>
      <c r="AF177" s="162" t="str">
        <f t="shared" si="8"/>
        <v/>
      </c>
      <c r="AG177" s="162" t="str">
        <f t="shared" si="9"/>
        <v/>
      </c>
      <c r="AH177" s="164" t="str">
        <f t="shared" si="10"/>
        <v/>
      </c>
      <c r="AI177" s="164" t="str">
        <f t="shared" si="11"/>
        <v/>
      </c>
      <c r="AJ177" s="368"/>
      <c r="AK177" s="368"/>
      <c r="AL177" s="368"/>
      <c r="AM177" s="368"/>
      <c r="AN177" s="368"/>
      <c r="AO177" s="368"/>
      <c r="AP177" s="368"/>
      <c r="AQ177" s="368"/>
      <c r="AR177" s="368"/>
      <c r="AS177" s="195"/>
      <c r="AT177" s="195"/>
      <c r="AU177" s="377"/>
      <c r="AV177" s="382"/>
      <c r="AW177" s="426"/>
      <c r="AX177" s="426"/>
      <c r="AY177" s="426"/>
      <c r="AZ177" s="426"/>
      <c r="BA177" s="426"/>
      <c r="BB177" s="426"/>
      <c r="BC177" s="426"/>
      <c r="BD177" s="426"/>
      <c r="BE177" s="426"/>
      <c r="BF177" s="469"/>
      <c r="BG177" s="467">
        <v>1.2</v>
      </c>
      <c r="BH177" s="341"/>
      <c r="BI177" s="446" t="s">
        <v>374</v>
      </c>
      <c r="BJ177" s="507"/>
    </row>
    <row r="178" spans="1:62" ht="15.75" customHeight="1" thickBot="1" x14ac:dyDescent="0.25">
      <c r="A178" s="174">
        <v>177</v>
      </c>
      <c r="B178" s="175">
        <v>1</v>
      </c>
      <c r="C178" s="166" t="s">
        <v>11</v>
      </c>
      <c r="D178" s="166" t="s">
        <v>12</v>
      </c>
      <c r="E178" s="166"/>
      <c r="F178" s="166" t="s">
        <v>419</v>
      </c>
      <c r="G178" s="166" t="s">
        <v>122</v>
      </c>
      <c r="H178" s="166"/>
      <c r="I178" s="181">
        <v>2011</v>
      </c>
      <c r="J178" s="181" t="s">
        <v>370</v>
      </c>
      <c r="K178" s="181" t="s">
        <v>371</v>
      </c>
      <c r="L178" s="181" t="s">
        <v>83</v>
      </c>
      <c r="M178" s="556" t="s">
        <v>4128</v>
      </c>
      <c r="N178" s="214" t="s">
        <v>20</v>
      </c>
      <c r="O178" s="214" t="s">
        <v>20</v>
      </c>
      <c r="P178" s="214" t="s">
        <v>20</v>
      </c>
      <c r="Q178" s="214" t="s">
        <v>20</v>
      </c>
      <c r="R178" s="214" t="s">
        <v>15</v>
      </c>
      <c r="S178" s="214" t="s">
        <v>20</v>
      </c>
      <c r="T178" s="214" t="s">
        <v>20</v>
      </c>
      <c r="U178" s="214" t="s">
        <v>15</v>
      </c>
      <c r="V178" s="214" t="s">
        <v>15</v>
      </c>
      <c r="W178" s="214" t="s">
        <v>15</v>
      </c>
      <c r="X178" s="214" t="s">
        <v>15</v>
      </c>
      <c r="Y178" s="214" t="s">
        <v>15</v>
      </c>
      <c r="Z178" s="234"/>
      <c r="AA178" s="214" t="s">
        <v>372</v>
      </c>
      <c r="AB178" s="214" t="s">
        <v>292</v>
      </c>
      <c r="AC178" s="214" t="s">
        <v>292</v>
      </c>
      <c r="AD178" s="320" t="s">
        <v>373</v>
      </c>
      <c r="AE178" s="320"/>
      <c r="AF178" s="162" t="str">
        <f t="shared" si="8"/>
        <v/>
      </c>
      <c r="AG178" s="162" t="str">
        <f t="shared" si="9"/>
        <v/>
      </c>
      <c r="AH178" s="164" t="str">
        <f t="shared" si="10"/>
        <v/>
      </c>
      <c r="AI178" s="164" t="str">
        <f t="shared" si="11"/>
        <v/>
      </c>
      <c r="AJ178" s="368"/>
      <c r="AK178" s="368"/>
      <c r="AL178" s="368"/>
      <c r="AM178" s="368"/>
      <c r="AN178" s="368"/>
      <c r="AO178" s="368"/>
      <c r="AP178" s="368"/>
      <c r="AQ178" s="368"/>
      <c r="AR178" s="368"/>
      <c r="AS178" s="195"/>
      <c r="AT178" s="195"/>
      <c r="AU178" s="377"/>
      <c r="AV178" s="382"/>
      <c r="AW178" s="426"/>
      <c r="AX178" s="426"/>
      <c r="AY178" s="426"/>
      <c r="AZ178" s="426"/>
      <c r="BA178" s="426"/>
      <c r="BB178" s="426"/>
      <c r="BC178" s="426"/>
      <c r="BD178" s="426"/>
      <c r="BE178" s="426"/>
      <c r="BF178" s="469"/>
      <c r="BG178" s="467">
        <v>1.01</v>
      </c>
      <c r="BH178" s="341"/>
      <c r="BI178" s="446" t="s">
        <v>374</v>
      </c>
      <c r="BJ178" s="507"/>
    </row>
    <row r="179" spans="1:62" ht="15.75" customHeight="1" thickBot="1" x14ac:dyDescent="0.25">
      <c r="A179" s="176">
        <v>178</v>
      </c>
      <c r="B179" s="175">
        <v>1</v>
      </c>
      <c r="C179" s="166" t="s">
        <v>11</v>
      </c>
      <c r="D179" s="166" t="s">
        <v>12</v>
      </c>
      <c r="E179" s="166"/>
      <c r="F179" s="166" t="s">
        <v>420</v>
      </c>
      <c r="G179" s="166" t="s">
        <v>122</v>
      </c>
      <c r="H179" s="166"/>
      <c r="I179" s="181">
        <v>2011</v>
      </c>
      <c r="J179" s="181" t="s">
        <v>370</v>
      </c>
      <c r="K179" s="181" t="s">
        <v>371</v>
      </c>
      <c r="L179" s="181" t="s">
        <v>83</v>
      </c>
      <c r="M179" s="556" t="s">
        <v>4128</v>
      </c>
      <c r="N179" s="214" t="s">
        <v>20</v>
      </c>
      <c r="O179" s="214" t="s">
        <v>20</v>
      </c>
      <c r="P179" s="214" t="s">
        <v>20</v>
      </c>
      <c r="Q179" s="214" t="s">
        <v>20</v>
      </c>
      <c r="R179" s="214" t="s">
        <v>15</v>
      </c>
      <c r="S179" s="214" t="s">
        <v>20</v>
      </c>
      <c r="T179" s="214" t="s">
        <v>20</v>
      </c>
      <c r="U179" s="214" t="s">
        <v>15</v>
      </c>
      <c r="V179" s="214" t="s">
        <v>15</v>
      </c>
      <c r="W179" s="214" t="s">
        <v>15</v>
      </c>
      <c r="X179" s="214" t="s">
        <v>15</v>
      </c>
      <c r="Y179" s="214" t="s">
        <v>15</v>
      </c>
      <c r="Z179" s="234"/>
      <c r="AA179" s="214" t="s">
        <v>372</v>
      </c>
      <c r="AB179" s="214" t="s">
        <v>292</v>
      </c>
      <c r="AC179" s="214" t="s">
        <v>292</v>
      </c>
      <c r="AD179" s="320" t="s">
        <v>373</v>
      </c>
      <c r="AE179" s="320"/>
      <c r="AF179" s="162" t="str">
        <f t="shared" si="8"/>
        <v/>
      </c>
      <c r="AG179" s="162" t="str">
        <f t="shared" si="9"/>
        <v/>
      </c>
      <c r="AH179" s="164" t="str">
        <f t="shared" si="10"/>
        <v/>
      </c>
      <c r="AI179" s="164" t="str">
        <f t="shared" si="11"/>
        <v/>
      </c>
      <c r="AJ179" s="368"/>
      <c r="AK179" s="368"/>
      <c r="AL179" s="368"/>
      <c r="AM179" s="368"/>
      <c r="AN179" s="368"/>
      <c r="AO179" s="368"/>
      <c r="AP179" s="368"/>
      <c r="AQ179" s="368"/>
      <c r="AR179" s="368"/>
      <c r="AS179" s="195"/>
      <c r="AT179" s="195"/>
      <c r="AU179" s="377"/>
      <c r="AV179" s="382"/>
      <c r="AW179" s="426"/>
      <c r="AX179" s="426"/>
      <c r="AY179" s="426"/>
      <c r="AZ179" s="426"/>
      <c r="BA179" s="426"/>
      <c r="BB179" s="426"/>
      <c r="BC179" s="426"/>
      <c r="BD179" s="426"/>
      <c r="BE179" s="426"/>
      <c r="BF179" s="469"/>
      <c r="BG179" s="467">
        <v>1.2</v>
      </c>
      <c r="BH179" s="341"/>
      <c r="BI179" s="446" t="s">
        <v>374</v>
      </c>
      <c r="BJ179" s="507"/>
    </row>
    <row r="180" spans="1:62" ht="15.75" customHeight="1" thickBot="1" x14ac:dyDescent="0.25">
      <c r="A180" s="174">
        <v>179</v>
      </c>
      <c r="B180" s="175">
        <v>1</v>
      </c>
      <c r="C180" s="166" t="s">
        <v>11</v>
      </c>
      <c r="D180" s="166" t="s">
        <v>12</v>
      </c>
      <c r="E180" s="166"/>
      <c r="F180" s="166" t="s">
        <v>421</v>
      </c>
      <c r="G180" s="166" t="s">
        <v>122</v>
      </c>
      <c r="H180" s="166"/>
      <c r="I180" s="181">
        <v>2011</v>
      </c>
      <c r="J180" s="181" t="s">
        <v>370</v>
      </c>
      <c r="K180" s="181" t="s">
        <v>371</v>
      </c>
      <c r="L180" s="181" t="s">
        <v>83</v>
      </c>
      <c r="M180" s="556" t="s">
        <v>4128</v>
      </c>
      <c r="N180" s="214" t="s">
        <v>20</v>
      </c>
      <c r="O180" s="214" t="s">
        <v>20</v>
      </c>
      <c r="P180" s="214" t="s">
        <v>20</v>
      </c>
      <c r="Q180" s="214" t="s">
        <v>20</v>
      </c>
      <c r="R180" s="214" t="s">
        <v>15</v>
      </c>
      <c r="S180" s="214" t="s">
        <v>20</v>
      </c>
      <c r="T180" s="214" t="s">
        <v>20</v>
      </c>
      <c r="U180" s="214" t="s">
        <v>15</v>
      </c>
      <c r="V180" s="214" t="s">
        <v>15</v>
      </c>
      <c r="W180" s="214" t="s">
        <v>15</v>
      </c>
      <c r="X180" s="214" t="s">
        <v>15</v>
      </c>
      <c r="Y180" s="214" t="s">
        <v>15</v>
      </c>
      <c r="Z180" s="234"/>
      <c r="AA180" s="214" t="s">
        <v>372</v>
      </c>
      <c r="AB180" s="214" t="s">
        <v>292</v>
      </c>
      <c r="AC180" s="214" t="s">
        <v>292</v>
      </c>
      <c r="AD180" s="320" t="s">
        <v>373</v>
      </c>
      <c r="AE180" s="320"/>
      <c r="AF180" s="162" t="str">
        <f t="shared" si="8"/>
        <v/>
      </c>
      <c r="AG180" s="162" t="str">
        <f t="shared" si="9"/>
        <v/>
      </c>
      <c r="AH180" s="164" t="str">
        <f t="shared" si="10"/>
        <v/>
      </c>
      <c r="AI180" s="164" t="str">
        <f t="shared" si="11"/>
        <v/>
      </c>
      <c r="AJ180" s="368"/>
      <c r="AK180" s="368"/>
      <c r="AL180" s="368"/>
      <c r="AM180" s="368"/>
      <c r="AN180" s="368"/>
      <c r="AO180" s="368"/>
      <c r="AP180" s="368"/>
      <c r="AQ180" s="368"/>
      <c r="AR180" s="368"/>
      <c r="AS180" s="195"/>
      <c r="AT180" s="195"/>
      <c r="AU180" s="377"/>
      <c r="AV180" s="382"/>
      <c r="AW180" s="426"/>
      <c r="AX180" s="426"/>
      <c r="AY180" s="426"/>
      <c r="AZ180" s="426"/>
      <c r="BA180" s="426"/>
      <c r="BB180" s="426"/>
      <c r="BC180" s="426"/>
      <c r="BD180" s="426"/>
      <c r="BE180" s="426"/>
      <c r="BF180" s="469"/>
      <c r="BG180" s="467">
        <v>1</v>
      </c>
      <c r="BH180" s="341"/>
      <c r="BI180" s="446" t="s">
        <v>374</v>
      </c>
      <c r="BJ180" s="507"/>
    </row>
    <row r="181" spans="1:62" ht="15.75" customHeight="1" thickBot="1" x14ac:dyDescent="0.25">
      <c r="A181" s="176">
        <v>180</v>
      </c>
      <c r="B181" s="175">
        <v>1</v>
      </c>
      <c r="C181" s="166" t="s">
        <v>11</v>
      </c>
      <c r="D181" s="166" t="s">
        <v>12</v>
      </c>
      <c r="E181" s="166"/>
      <c r="F181" s="166" t="s">
        <v>422</v>
      </c>
      <c r="G181" s="166" t="s">
        <v>122</v>
      </c>
      <c r="H181" s="166"/>
      <c r="I181" s="181">
        <v>2011</v>
      </c>
      <c r="J181" s="181" t="s">
        <v>370</v>
      </c>
      <c r="K181" s="181" t="s">
        <v>371</v>
      </c>
      <c r="L181" s="181" t="s">
        <v>83</v>
      </c>
      <c r="M181" s="556" t="s">
        <v>4128</v>
      </c>
      <c r="N181" s="214" t="s">
        <v>20</v>
      </c>
      <c r="O181" s="214" t="s">
        <v>20</v>
      </c>
      <c r="P181" s="214" t="s">
        <v>20</v>
      </c>
      <c r="Q181" s="214" t="s">
        <v>20</v>
      </c>
      <c r="R181" s="214" t="s">
        <v>15</v>
      </c>
      <c r="S181" s="214" t="s">
        <v>20</v>
      </c>
      <c r="T181" s="214" t="s">
        <v>20</v>
      </c>
      <c r="U181" s="214" t="s">
        <v>15</v>
      </c>
      <c r="V181" s="214" t="s">
        <v>15</v>
      </c>
      <c r="W181" s="214" t="s">
        <v>15</v>
      </c>
      <c r="X181" s="214" t="s">
        <v>15</v>
      </c>
      <c r="Y181" s="214" t="s">
        <v>15</v>
      </c>
      <c r="Z181" s="234"/>
      <c r="AA181" s="214" t="s">
        <v>372</v>
      </c>
      <c r="AB181" s="214" t="s">
        <v>292</v>
      </c>
      <c r="AC181" s="214" t="s">
        <v>292</v>
      </c>
      <c r="AD181" s="320" t="s">
        <v>373</v>
      </c>
      <c r="AE181" s="320"/>
      <c r="AF181" s="162" t="str">
        <f t="shared" si="8"/>
        <v/>
      </c>
      <c r="AG181" s="162" t="str">
        <f t="shared" si="9"/>
        <v/>
      </c>
      <c r="AH181" s="164" t="str">
        <f t="shared" si="10"/>
        <v/>
      </c>
      <c r="AI181" s="164" t="str">
        <f t="shared" si="11"/>
        <v/>
      </c>
      <c r="AJ181" s="368"/>
      <c r="AK181" s="368"/>
      <c r="AL181" s="368"/>
      <c r="AM181" s="368"/>
      <c r="AN181" s="368"/>
      <c r="AO181" s="368"/>
      <c r="AP181" s="368"/>
      <c r="AQ181" s="368"/>
      <c r="AR181" s="368"/>
      <c r="AS181" s="195"/>
      <c r="AT181" s="195"/>
      <c r="AU181" s="377"/>
      <c r="AV181" s="382"/>
      <c r="AW181" s="426"/>
      <c r="AX181" s="426"/>
      <c r="AY181" s="426"/>
      <c r="AZ181" s="426"/>
      <c r="BA181" s="426"/>
      <c r="BB181" s="426"/>
      <c r="BC181" s="426"/>
      <c r="BD181" s="426"/>
      <c r="BE181" s="426"/>
      <c r="BF181" s="469"/>
      <c r="BG181" s="467">
        <v>1.04</v>
      </c>
      <c r="BH181" s="341"/>
      <c r="BI181" s="446" t="s">
        <v>374</v>
      </c>
      <c r="BJ181" s="507"/>
    </row>
    <row r="182" spans="1:62" ht="15.75" customHeight="1" thickBot="1" x14ac:dyDescent="0.25">
      <c r="A182" s="174">
        <v>181</v>
      </c>
      <c r="B182" s="175">
        <v>1</v>
      </c>
      <c r="C182" s="166" t="s">
        <v>11</v>
      </c>
      <c r="D182" s="166" t="s">
        <v>12</v>
      </c>
      <c r="E182" s="166"/>
      <c r="F182" s="166" t="s">
        <v>423</v>
      </c>
      <c r="G182" s="166" t="s">
        <v>122</v>
      </c>
      <c r="H182" s="166"/>
      <c r="I182" s="181">
        <v>2011</v>
      </c>
      <c r="J182" s="181" t="s">
        <v>370</v>
      </c>
      <c r="K182" s="181" t="s">
        <v>371</v>
      </c>
      <c r="L182" s="181" t="s">
        <v>83</v>
      </c>
      <c r="M182" s="556" t="s">
        <v>4128</v>
      </c>
      <c r="N182" s="214" t="s">
        <v>20</v>
      </c>
      <c r="O182" s="214" t="s">
        <v>20</v>
      </c>
      <c r="P182" s="214" t="s">
        <v>20</v>
      </c>
      <c r="Q182" s="214" t="s">
        <v>20</v>
      </c>
      <c r="R182" s="214" t="s">
        <v>15</v>
      </c>
      <c r="S182" s="214" t="s">
        <v>20</v>
      </c>
      <c r="T182" s="214" t="s">
        <v>20</v>
      </c>
      <c r="U182" s="214" t="s">
        <v>15</v>
      </c>
      <c r="V182" s="214" t="s">
        <v>15</v>
      </c>
      <c r="W182" s="214" t="s">
        <v>15</v>
      </c>
      <c r="X182" s="214" t="s">
        <v>15</v>
      </c>
      <c r="Y182" s="214" t="s">
        <v>15</v>
      </c>
      <c r="Z182" s="234"/>
      <c r="AA182" s="214" t="s">
        <v>372</v>
      </c>
      <c r="AB182" s="214" t="s">
        <v>292</v>
      </c>
      <c r="AC182" s="214" t="s">
        <v>292</v>
      </c>
      <c r="AD182" s="320" t="s">
        <v>373</v>
      </c>
      <c r="AE182" s="320"/>
      <c r="AF182" s="162" t="str">
        <f t="shared" si="8"/>
        <v/>
      </c>
      <c r="AG182" s="162" t="str">
        <f t="shared" si="9"/>
        <v/>
      </c>
      <c r="AH182" s="164" t="str">
        <f t="shared" si="10"/>
        <v/>
      </c>
      <c r="AI182" s="164" t="str">
        <f t="shared" si="11"/>
        <v/>
      </c>
      <c r="AJ182" s="368"/>
      <c r="AK182" s="368"/>
      <c r="AL182" s="368"/>
      <c r="AM182" s="368"/>
      <c r="AN182" s="368"/>
      <c r="AO182" s="368"/>
      <c r="AP182" s="368"/>
      <c r="AQ182" s="368"/>
      <c r="AR182" s="368"/>
      <c r="AS182" s="195"/>
      <c r="AT182" s="195"/>
      <c r="AU182" s="377"/>
      <c r="AV182" s="382"/>
      <c r="AW182" s="426"/>
      <c r="AX182" s="426"/>
      <c r="AY182" s="426"/>
      <c r="AZ182" s="426"/>
      <c r="BA182" s="426"/>
      <c r="BB182" s="426"/>
      <c r="BC182" s="426"/>
      <c r="BD182" s="426"/>
      <c r="BE182" s="426"/>
      <c r="BF182" s="469"/>
      <c r="BG182" s="467">
        <v>1.23</v>
      </c>
      <c r="BH182" s="341"/>
      <c r="BI182" s="446" t="s">
        <v>374</v>
      </c>
      <c r="BJ182" s="507"/>
    </row>
    <row r="183" spans="1:62" ht="15.75" customHeight="1" thickBot="1" x14ac:dyDescent="0.25">
      <c r="A183" s="176">
        <v>182</v>
      </c>
      <c r="B183" s="175">
        <v>1</v>
      </c>
      <c r="C183" s="166" t="s">
        <v>11</v>
      </c>
      <c r="D183" s="166" t="s">
        <v>12</v>
      </c>
      <c r="E183" s="166"/>
      <c r="F183" s="166" t="s">
        <v>424</v>
      </c>
      <c r="G183" s="166" t="s">
        <v>122</v>
      </c>
      <c r="H183" s="166"/>
      <c r="I183" s="181">
        <v>2011</v>
      </c>
      <c r="J183" s="181" t="s">
        <v>370</v>
      </c>
      <c r="K183" s="181" t="s">
        <v>371</v>
      </c>
      <c r="L183" s="181" t="s">
        <v>83</v>
      </c>
      <c r="M183" s="556" t="s">
        <v>4128</v>
      </c>
      <c r="N183" s="214" t="s">
        <v>20</v>
      </c>
      <c r="O183" s="214" t="s">
        <v>20</v>
      </c>
      <c r="P183" s="214" t="s">
        <v>20</v>
      </c>
      <c r="Q183" s="214" t="s">
        <v>20</v>
      </c>
      <c r="R183" s="214" t="s">
        <v>15</v>
      </c>
      <c r="S183" s="214" t="s">
        <v>20</v>
      </c>
      <c r="T183" s="214" t="s">
        <v>20</v>
      </c>
      <c r="U183" s="214" t="s">
        <v>15</v>
      </c>
      <c r="V183" s="214" t="s">
        <v>15</v>
      </c>
      <c r="W183" s="214" t="s">
        <v>15</v>
      </c>
      <c r="X183" s="214" t="s">
        <v>15</v>
      </c>
      <c r="Y183" s="214" t="s">
        <v>15</v>
      </c>
      <c r="Z183" s="234"/>
      <c r="AA183" s="214" t="s">
        <v>372</v>
      </c>
      <c r="AB183" s="214" t="s">
        <v>292</v>
      </c>
      <c r="AC183" s="214" t="s">
        <v>292</v>
      </c>
      <c r="AD183" s="320" t="s">
        <v>373</v>
      </c>
      <c r="AE183" s="320"/>
      <c r="AF183" s="162" t="str">
        <f t="shared" si="8"/>
        <v/>
      </c>
      <c r="AG183" s="162" t="str">
        <f t="shared" si="9"/>
        <v/>
      </c>
      <c r="AH183" s="164" t="str">
        <f t="shared" si="10"/>
        <v/>
      </c>
      <c r="AI183" s="164" t="str">
        <f t="shared" si="11"/>
        <v/>
      </c>
      <c r="AJ183" s="368"/>
      <c r="AK183" s="368"/>
      <c r="AL183" s="368"/>
      <c r="AM183" s="368"/>
      <c r="AN183" s="368"/>
      <c r="AO183" s="368"/>
      <c r="AP183" s="368"/>
      <c r="AQ183" s="368"/>
      <c r="AR183" s="368"/>
      <c r="AS183" s="195"/>
      <c r="AT183" s="195"/>
      <c r="AU183" s="377"/>
      <c r="AV183" s="382"/>
      <c r="AW183" s="426"/>
      <c r="AX183" s="426"/>
      <c r="AY183" s="426"/>
      <c r="AZ183" s="426"/>
      <c r="BA183" s="426"/>
      <c r="BB183" s="426"/>
      <c r="BC183" s="426"/>
      <c r="BD183" s="426"/>
      <c r="BE183" s="426"/>
      <c r="BF183" s="469"/>
      <c r="BG183" s="467">
        <v>1.03</v>
      </c>
      <c r="BH183" s="341"/>
      <c r="BI183" s="446" t="s">
        <v>374</v>
      </c>
      <c r="BJ183" s="507"/>
    </row>
    <row r="184" spans="1:62" ht="15.75" customHeight="1" thickBot="1" x14ac:dyDescent="0.25">
      <c r="A184" s="174">
        <v>183</v>
      </c>
      <c r="B184" s="175">
        <v>1</v>
      </c>
      <c r="C184" s="166" t="s">
        <v>11</v>
      </c>
      <c r="D184" s="166" t="s">
        <v>425</v>
      </c>
      <c r="E184" s="166"/>
      <c r="F184" s="166" t="s">
        <v>413</v>
      </c>
      <c r="G184" s="166" t="s">
        <v>122</v>
      </c>
      <c r="H184" s="166"/>
      <c r="I184" s="181">
        <v>2011</v>
      </c>
      <c r="J184" s="181" t="s">
        <v>370</v>
      </c>
      <c r="K184" s="181" t="s">
        <v>371</v>
      </c>
      <c r="L184" s="181" t="s">
        <v>83</v>
      </c>
      <c r="M184" s="556" t="s">
        <v>4128</v>
      </c>
      <c r="N184" s="214" t="s">
        <v>20</v>
      </c>
      <c r="O184" s="214" t="s">
        <v>20</v>
      </c>
      <c r="P184" s="214" t="s">
        <v>20</v>
      </c>
      <c r="Q184" s="214" t="s">
        <v>20</v>
      </c>
      <c r="R184" s="214" t="s">
        <v>15</v>
      </c>
      <c r="S184" s="214" t="s">
        <v>20</v>
      </c>
      <c r="T184" s="214" t="s">
        <v>20</v>
      </c>
      <c r="U184" s="214" t="s">
        <v>15</v>
      </c>
      <c r="V184" s="214" t="s">
        <v>15</v>
      </c>
      <c r="W184" s="214" t="s">
        <v>15</v>
      </c>
      <c r="X184" s="214" t="s">
        <v>15</v>
      </c>
      <c r="Y184" s="214" t="s">
        <v>15</v>
      </c>
      <c r="Z184" s="234"/>
      <c r="AA184" s="214" t="s">
        <v>372</v>
      </c>
      <c r="AB184" s="214" t="s">
        <v>292</v>
      </c>
      <c r="AC184" s="214" t="s">
        <v>292</v>
      </c>
      <c r="AD184" s="320" t="s">
        <v>373</v>
      </c>
      <c r="AE184" s="320"/>
      <c r="AF184" s="162" t="str">
        <f t="shared" si="8"/>
        <v/>
      </c>
      <c r="AG184" s="162" t="str">
        <f t="shared" si="9"/>
        <v/>
      </c>
      <c r="AH184" s="164" t="str">
        <f t="shared" si="10"/>
        <v/>
      </c>
      <c r="AI184" s="164" t="str">
        <f t="shared" si="11"/>
        <v/>
      </c>
      <c r="AJ184" s="368"/>
      <c r="AK184" s="368"/>
      <c r="AL184" s="368"/>
      <c r="AM184" s="368"/>
      <c r="AN184" s="368"/>
      <c r="AO184" s="368"/>
      <c r="AP184" s="368"/>
      <c r="AQ184" s="368"/>
      <c r="AR184" s="368"/>
      <c r="AS184" s="195"/>
      <c r="AT184" s="195"/>
      <c r="AU184" s="377"/>
      <c r="AV184" s="382"/>
      <c r="AW184" s="426"/>
      <c r="AX184" s="426"/>
      <c r="AY184" s="426"/>
      <c r="AZ184" s="426"/>
      <c r="BA184" s="426"/>
      <c r="BB184" s="426"/>
      <c r="BC184" s="426"/>
      <c r="BD184" s="426"/>
      <c r="BE184" s="426"/>
      <c r="BF184" s="469"/>
      <c r="BG184" s="467">
        <v>1.25</v>
      </c>
      <c r="BH184" s="341"/>
      <c r="BI184" s="446" t="s">
        <v>374</v>
      </c>
      <c r="BJ184" s="507"/>
    </row>
    <row r="185" spans="1:62" ht="15.75" customHeight="1" thickBot="1" x14ac:dyDescent="0.25">
      <c r="A185" s="176">
        <v>184</v>
      </c>
      <c r="B185" s="175">
        <v>1</v>
      </c>
      <c r="C185" s="166" t="s">
        <v>11</v>
      </c>
      <c r="D185" s="166" t="s">
        <v>425</v>
      </c>
      <c r="E185" s="166"/>
      <c r="F185" s="166" t="s">
        <v>414</v>
      </c>
      <c r="G185" s="166" t="s">
        <v>122</v>
      </c>
      <c r="H185" s="166"/>
      <c r="I185" s="181">
        <v>2011</v>
      </c>
      <c r="J185" s="181" t="s">
        <v>370</v>
      </c>
      <c r="K185" s="181" t="s">
        <v>371</v>
      </c>
      <c r="L185" s="181" t="s">
        <v>83</v>
      </c>
      <c r="M185" s="556" t="s">
        <v>4128</v>
      </c>
      <c r="N185" s="214" t="s">
        <v>20</v>
      </c>
      <c r="O185" s="214" t="s">
        <v>20</v>
      </c>
      <c r="P185" s="214" t="s">
        <v>20</v>
      </c>
      <c r="Q185" s="214" t="s">
        <v>20</v>
      </c>
      <c r="R185" s="214" t="s">
        <v>15</v>
      </c>
      <c r="S185" s="214" t="s">
        <v>20</v>
      </c>
      <c r="T185" s="214" t="s">
        <v>20</v>
      </c>
      <c r="U185" s="214" t="s">
        <v>15</v>
      </c>
      <c r="V185" s="214" t="s">
        <v>15</v>
      </c>
      <c r="W185" s="214" t="s">
        <v>15</v>
      </c>
      <c r="X185" s="214" t="s">
        <v>15</v>
      </c>
      <c r="Y185" s="214" t="s">
        <v>15</v>
      </c>
      <c r="Z185" s="234"/>
      <c r="AA185" s="214" t="s">
        <v>372</v>
      </c>
      <c r="AB185" s="214" t="s">
        <v>292</v>
      </c>
      <c r="AC185" s="214" t="s">
        <v>292</v>
      </c>
      <c r="AD185" s="320" t="s">
        <v>373</v>
      </c>
      <c r="AE185" s="320"/>
      <c r="AF185" s="162" t="str">
        <f t="shared" si="8"/>
        <v/>
      </c>
      <c r="AG185" s="162" t="str">
        <f t="shared" si="9"/>
        <v/>
      </c>
      <c r="AH185" s="164" t="str">
        <f t="shared" si="10"/>
        <v/>
      </c>
      <c r="AI185" s="164" t="str">
        <f t="shared" si="11"/>
        <v/>
      </c>
      <c r="AJ185" s="368"/>
      <c r="AK185" s="368"/>
      <c r="AL185" s="368"/>
      <c r="AM185" s="368"/>
      <c r="AN185" s="368"/>
      <c r="AO185" s="368"/>
      <c r="AP185" s="368"/>
      <c r="AQ185" s="368"/>
      <c r="AR185" s="368"/>
      <c r="AS185" s="195"/>
      <c r="AT185" s="195"/>
      <c r="AU185" s="377"/>
      <c r="AV185" s="382"/>
      <c r="AW185" s="426"/>
      <c r="AX185" s="426"/>
      <c r="AY185" s="426"/>
      <c r="AZ185" s="426"/>
      <c r="BA185" s="426"/>
      <c r="BB185" s="426"/>
      <c r="BC185" s="426"/>
      <c r="BD185" s="426"/>
      <c r="BE185" s="426"/>
      <c r="BF185" s="469"/>
      <c r="BG185" s="467">
        <v>1.56</v>
      </c>
      <c r="BH185" s="341"/>
      <c r="BI185" s="446" t="s">
        <v>374</v>
      </c>
      <c r="BJ185" s="507"/>
    </row>
    <row r="186" spans="1:62" ht="15.75" customHeight="1" thickBot="1" x14ac:dyDescent="0.25">
      <c r="A186" s="174">
        <v>185</v>
      </c>
      <c r="B186" s="175">
        <v>1</v>
      </c>
      <c r="C186" s="166" t="s">
        <v>596</v>
      </c>
      <c r="D186" s="159" t="s">
        <v>2272</v>
      </c>
      <c r="E186" s="166"/>
      <c r="F186" s="166" t="s">
        <v>407</v>
      </c>
      <c r="G186" s="166" t="s">
        <v>122</v>
      </c>
      <c r="H186" s="166"/>
      <c r="I186" s="181">
        <v>2011</v>
      </c>
      <c r="J186" s="181" t="s">
        <v>370</v>
      </c>
      <c r="K186" s="181" t="s">
        <v>371</v>
      </c>
      <c r="L186" s="181" t="s">
        <v>83</v>
      </c>
      <c r="M186" s="556" t="s">
        <v>4128</v>
      </c>
      <c r="N186" s="214" t="s">
        <v>20</v>
      </c>
      <c r="O186" s="214" t="s">
        <v>20</v>
      </c>
      <c r="P186" s="214" t="s">
        <v>20</v>
      </c>
      <c r="Q186" s="214" t="s">
        <v>20</v>
      </c>
      <c r="R186" s="214" t="s">
        <v>15</v>
      </c>
      <c r="S186" s="214" t="s">
        <v>20</v>
      </c>
      <c r="T186" s="214" t="s">
        <v>20</v>
      </c>
      <c r="U186" s="214" t="s">
        <v>15</v>
      </c>
      <c r="V186" s="214" t="s">
        <v>15</v>
      </c>
      <c r="W186" s="214" t="s">
        <v>15</v>
      </c>
      <c r="X186" s="214" t="s">
        <v>15</v>
      </c>
      <c r="Y186" s="214" t="s">
        <v>15</v>
      </c>
      <c r="Z186" s="234"/>
      <c r="AA186" s="214" t="s">
        <v>372</v>
      </c>
      <c r="AB186" s="214" t="s">
        <v>292</v>
      </c>
      <c r="AC186" s="214" t="s">
        <v>292</v>
      </c>
      <c r="AD186" s="320" t="s">
        <v>373</v>
      </c>
      <c r="AE186" s="320"/>
      <c r="AF186" s="162" t="str">
        <f t="shared" si="8"/>
        <v/>
      </c>
      <c r="AG186" s="162" t="str">
        <f t="shared" si="9"/>
        <v/>
      </c>
      <c r="AH186" s="164" t="str">
        <f t="shared" si="10"/>
        <v/>
      </c>
      <c r="AI186" s="164" t="str">
        <f t="shared" si="11"/>
        <v/>
      </c>
      <c r="AJ186" s="368"/>
      <c r="AK186" s="368"/>
      <c r="AL186" s="368"/>
      <c r="AM186" s="368"/>
      <c r="AN186" s="368"/>
      <c r="AO186" s="368"/>
      <c r="AP186" s="368"/>
      <c r="AQ186" s="368"/>
      <c r="AR186" s="368"/>
      <c r="AS186" s="195"/>
      <c r="AT186" s="195"/>
      <c r="AU186" s="377"/>
      <c r="AV186" s="382"/>
      <c r="AW186" s="426"/>
      <c r="AX186" s="426"/>
      <c r="AY186" s="426"/>
      <c r="AZ186" s="426"/>
      <c r="BA186" s="426"/>
      <c r="BB186" s="426"/>
      <c r="BC186" s="426"/>
      <c r="BD186" s="426"/>
      <c r="BE186" s="426"/>
      <c r="BF186" s="469"/>
      <c r="BG186" s="467">
        <v>0.61</v>
      </c>
      <c r="BH186" s="341"/>
      <c r="BI186" s="446" t="s">
        <v>374</v>
      </c>
      <c r="BJ186" s="507"/>
    </row>
    <row r="187" spans="1:62" ht="15.75" customHeight="1" thickBot="1" x14ac:dyDescent="0.25">
      <c r="A187" s="176">
        <v>186</v>
      </c>
      <c r="B187" s="175">
        <v>1</v>
      </c>
      <c r="C187" s="166" t="s">
        <v>596</v>
      </c>
      <c r="D187" s="159" t="s">
        <v>2272</v>
      </c>
      <c r="E187" s="166"/>
      <c r="F187" s="166" t="s">
        <v>408</v>
      </c>
      <c r="G187" s="166" t="s">
        <v>122</v>
      </c>
      <c r="H187" s="166"/>
      <c r="I187" s="181">
        <v>2011</v>
      </c>
      <c r="J187" s="181" t="s">
        <v>370</v>
      </c>
      <c r="K187" s="181" t="s">
        <v>371</v>
      </c>
      <c r="L187" s="181" t="s">
        <v>83</v>
      </c>
      <c r="M187" s="556" t="s">
        <v>4128</v>
      </c>
      <c r="N187" s="214" t="s">
        <v>20</v>
      </c>
      <c r="O187" s="214" t="s">
        <v>20</v>
      </c>
      <c r="P187" s="214" t="s">
        <v>20</v>
      </c>
      <c r="Q187" s="214" t="s">
        <v>20</v>
      </c>
      <c r="R187" s="214" t="s">
        <v>15</v>
      </c>
      <c r="S187" s="214" t="s">
        <v>20</v>
      </c>
      <c r="T187" s="214" t="s">
        <v>20</v>
      </c>
      <c r="U187" s="214" t="s">
        <v>15</v>
      </c>
      <c r="V187" s="214" t="s">
        <v>15</v>
      </c>
      <c r="W187" s="214" t="s">
        <v>15</v>
      </c>
      <c r="X187" s="214" t="s">
        <v>15</v>
      </c>
      <c r="Y187" s="214" t="s">
        <v>15</v>
      </c>
      <c r="Z187" s="234"/>
      <c r="AA187" s="214" t="s">
        <v>372</v>
      </c>
      <c r="AB187" s="214" t="s">
        <v>292</v>
      </c>
      <c r="AC187" s="214" t="s">
        <v>292</v>
      </c>
      <c r="AD187" s="320" t="s">
        <v>373</v>
      </c>
      <c r="AE187" s="320"/>
      <c r="AF187" s="162" t="str">
        <f t="shared" si="8"/>
        <v/>
      </c>
      <c r="AG187" s="162" t="str">
        <f t="shared" si="9"/>
        <v/>
      </c>
      <c r="AH187" s="164" t="str">
        <f t="shared" si="10"/>
        <v/>
      </c>
      <c r="AI187" s="164" t="str">
        <f t="shared" si="11"/>
        <v/>
      </c>
      <c r="AJ187" s="368"/>
      <c r="AK187" s="368"/>
      <c r="AL187" s="368"/>
      <c r="AM187" s="368"/>
      <c r="AN187" s="368"/>
      <c r="AO187" s="368"/>
      <c r="AP187" s="368"/>
      <c r="AQ187" s="368"/>
      <c r="AR187" s="368"/>
      <c r="AS187" s="195"/>
      <c r="AT187" s="195"/>
      <c r="AU187" s="377"/>
      <c r="AV187" s="382"/>
      <c r="AW187" s="426"/>
      <c r="AX187" s="426"/>
      <c r="AY187" s="426"/>
      <c r="AZ187" s="426"/>
      <c r="BA187" s="426"/>
      <c r="BB187" s="426"/>
      <c r="BC187" s="426"/>
      <c r="BD187" s="426"/>
      <c r="BE187" s="426"/>
      <c r="BF187" s="469"/>
      <c r="BG187" s="467">
        <v>0.72</v>
      </c>
      <c r="BH187" s="341"/>
      <c r="BI187" s="446" t="s">
        <v>374</v>
      </c>
      <c r="BJ187" s="507"/>
    </row>
    <row r="188" spans="1:62" ht="15.75" customHeight="1" thickBot="1" x14ac:dyDescent="0.25">
      <c r="A188" s="174">
        <v>187</v>
      </c>
      <c r="B188" s="175">
        <v>1</v>
      </c>
      <c r="C188" s="166" t="s">
        <v>596</v>
      </c>
      <c r="D188" s="159" t="s">
        <v>2272</v>
      </c>
      <c r="E188" s="166"/>
      <c r="F188" s="166" t="s">
        <v>409</v>
      </c>
      <c r="G188" s="166" t="s">
        <v>122</v>
      </c>
      <c r="H188" s="166"/>
      <c r="I188" s="181">
        <v>2011</v>
      </c>
      <c r="J188" s="181" t="s">
        <v>370</v>
      </c>
      <c r="K188" s="181" t="s">
        <v>371</v>
      </c>
      <c r="L188" s="181" t="s">
        <v>83</v>
      </c>
      <c r="M188" s="556" t="s">
        <v>4128</v>
      </c>
      <c r="N188" s="214" t="s">
        <v>20</v>
      </c>
      <c r="O188" s="214" t="s">
        <v>20</v>
      </c>
      <c r="P188" s="214" t="s">
        <v>20</v>
      </c>
      <c r="Q188" s="214" t="s">
        <v>20</v>
      </c>
      <c r="R188" s="214" t="s">
        <v>15</v>
      </c>
      <c r="S188" s="214" t="s">
        <v>20</v>
      </c>
      <c r="T188" s="214" t="s">
        <v>20</v>
      </c>
      <c r="U188" s="214" t="s">
        <v>15</v>
      </c>
      <c r="V188" s="214" t="s">
        <v>15</v>
      </c>
      <c r="W188" s="214" t="s">
        <v>15</v>
      </c>
      <c r="X188" s="214" t="s">
        <v>15</v>
      </c>
      <c r="Y188" s="214" t="s">
        <v>15</v>
      </c>
      <c r="Z188" s="234"/>
      <c r="AA188" s="214" t="s">
        <v>372</v>
      </c>
      <c r="AB188" s="214" t="s">
        <v>292</v>
      </c>
      <c r="AC188" s="214" t="s">
        <v>292</v>
      </c>
      <c r="AD188" s="320" t="s">
        <v>373</v>
      </c>
      <c r="AE188" s="320"/>
      <c r="AF188" s="162" t="str">
        <f t="shared" si="8"/>
        <v/>
      </c>
      <c r="AG188" s="162" t="str">
        <f t="shared" si="9"/>
        <v/>
      </c>
      <c r="AH188" s="164" t="str">
        <f t="shared" si="10"/>
        <v/>
      </c>
      <c r="AI188" s="164" t="str">
        <f t="shared" si="11"/>
        <v/>
      </c>
      <c r="AJ188" s="368"/>
      <c r="AK188" s="368"/>
      <c r="AL188" s="368"/>
      <c r="AM188" s="368"/>
      <c r="AN188" s="368"/>
      <c r="AO188" s="368"/>
      <c r="AP188" s="368"/>
      <c r="AQ188" s="368"/>
      <c r="AR188" s="368"/>
      <c r="AS188" s="195"/>
      <c r="AT188" s="195"/>
      <c r="AU188" s="377"/>
      <c r="AV188" s="382"/>
      <c r="AW188" s="426"/>
      <c r="AX188" s="426"/>
      <c r="AY188" s="426"/>
      <c r="AZ188" s="426"/>
      <c r="BA188" s="426"/>
      <c r="BB188" s="426"/>
      <c r="BC188" s="426"/>
      <c r="BD188" s="426"/>
      <c r="BE188" s="426"/>
      <c r="BF188" s="469"/>
      <c r="BG188" s="467">
        <v>0.89</v>
      </c>
      <c r="BH188" s="341"/>
      <c r="BI188" s="446" t="s">
        <v>374</v>
      </c>
      <c r="BJ188" s="507"/>
    </row>
    <row r="189" spans="1:62" ht="15.75" customHeight="1" thickBot="1" x14ac:dyDescent="0.25">
      <c r="A189" s="176">
        <v>188</v>
      </c>
      <c r="B189" s="175">
        <v>1</v>
      </c>
      <c r="C189" s="166" t="s">
        <v>596</v>
      </c>
      <c r="D189" s="159" t="s">
        <v>2272</v>
      </c>
      <c r="E189" s="166"/>
      <c r="F189" s="166" t="s">
        <v>410</v>
      </c>
      <c r="G189" s="166" t="s">
        <v>122</v>
      </c>
      <c r="H189" s="166"/>
      <c r="I189" s="181">
        <v>2011</v>
      </c>
      <c r="J189" s="181" t="s">
        <v>370</v>
      </c>
      <c r="K189" s="181" t="s">
        <v>371</v>
      </c>
      <c r="L189" s="181" t="s">
        <v>83</v>
      </c>
      <c r="M189" s="556" t="s">
        <v>4128</v>
      </c>
      <c r="N189" s="214" t="s">
        <v>20</v>
      </c>
      <c r="O189" s="214" t="s">
        <v>20</v>
      </c>
      <c r="P189" s="214" t="s">
        <v>20</v>
      </c>
      <c r="Q189" s="214" t="s">
        <v>20</v>
      </c>
      <c r="R189" s="214" t="s">
        <v>15</v>
      </c>
      <c r="S189" s="214" t="s">
        <v>20</v>
      </c>
      <c r="T189" s="214" t="s">
        <v>20</v>
      </c>
      <c r="U189" s="214" t="s">
        <v>15</v>
      </c>
      <c r="V189" s="214" t="s">
        <v>15</v>
      </c>
      <c r="W189" s="214" t="s">
        <v>15</v>
      </c>
      <c r="X189" s="214" t="s">
        <v>15</v>
      </c>
      <c r="Y189" s="214" t="s">
        <v>15</v>
      </c>
      <c r="Z189" s="234"/>
      <c r="AA189" s="214" t="s">
        <v>372</v>
      </c>
      <c r="AB189" s="214" t="s">
        <v>292</v>
      </c>
      <c r="AC189" s="214" t="s">
        <v>292</v>
      </c>
      <c r="AD189" s="320" t="s">
        <v>373</v>
      </c>
      <c r="AE189" s="320"/>
      <c r="AF189" s="162" t="str">
        <f t="shared" si="8"/>
        <v/>
      </c>
      <c r="AG189" s="162" t="str">
        <f t="shared" si="9"/>
        <v/>
      </c>
      <c r="AH189" s="164" t="str">
        <f t="shared" si="10"/>
        <v/>
      </c>
      <c r="AI189" s="164" t="str">
        <f t="shared" si="11"/>
        <v/>
      </c>
      <c r="AJ189" s="368"/>
      <c r="AK189" s="368"/>
      <c r="AL189" s="368"/>
      <c r="AM189" s="368"/>
      <c r="AN189" s="368"/>
      <c r="AO189" s="368"/>
      <c r="AP189" s="368"/>
      <c r="AQ189" s="368"/>
      <c r="AR189" s="368"/>
      <c r="AS189" s="195"/>
      <c r="AT189" s="195"/>
      <c r="AU189" s="377"/>
      <c r="AV189" s="382"/>
      <c r="AW189" s="426"/>
      <c r="AX189" s="426"/>
      <c r="AY189" s="426"/>
      <c r="AZ189" s="426"/>
      <c r="BA189" s="426"/>
      <c r="BB189" s="426"/>
      <c r="BC189" s="426"/>
      <c r="BD189" s="426"/>
      <c r="BE189" s="426"/>
      <c r="BF189" s="469"/>
      <c r="BG189" s="467">
        <v>0.78</v>
      </c>
      <c r="BH189" s="341"/>
      <c r="BI189" s="446" t="s">
        <v>374</v>
      </c>
      <c r="BJ189" s="507"/>
    </row>
    <row r="190" spans="1:62" ht="15.75" customHeight="1" thickBot="1" x14ac:dyDescent="0.25">
      <c r="A190" s="174">
        <v>189</v>
      </c>
      <c r="B190" s="175">
        <v>1</v>
      </c>
      <c r="C190" s="166" t="s">
        <v>11</v>
      </c>
      <c r="D190" s="166" t="s">
        <v>426</v>
      </c>
      <c r="E190" s="166"/>
      <c r="F190" s="166" t="s">
        <v>427</v>
      </c>
      <c r="G190" s="166" t="s">
        <v>122</v>
      </c>
      <c r="H190" s="166"/>
      <c r="I190" s="181">
        <v>2011</v>
      </c>
      <c r="J190" s="181" t="s">
        <v>370</v>
      </c>
      <c r="K190" s="181" t="s">
        <v>371</v>
      </c>
      <c r="L190" s="181" t="s">
        <v>83</v>
      </c>
      <c r="M190" s="556" t="s">
        <v>4128</v>
      </c>
      <c r="N190" s="214" t="s">
        <v>20</v>
      </c>
      <c r="O190" s="214" t="s">
        <v>20</v>
      </c>
      <c r="P190" s="214" t="s">
        <v>20</v>
      </c>
      <c r="Q190" s="214" t="s">
        <v>20</v>
      </c>
      <c r="R190" s="214" t="s">
        <v>15</v>
      </c>
      <c r="S190" s="214" t="s">
        <v>20</v>
      </c>
      <c r="T190" s="214" t="s">
        <v>20</v>
      </c>
      <c r="U190" s="214" t="s">
        <v>15</v>
      </c>
      <c r="V190" s="214" t="s">
        <v>15</v>
      </c>
      <c r="W190" s="214" t="s">
        <v>15</v>
      </c>
      <c r="X190" s="214" t="s">
        <v>15</v>
      </c>
      <c r="Y190" s="214" t="s">
        <v>15</v>
      </c>
      <c r="Z190" s="234"/>
      <c r="AA190" s="214" t="s">
        <v>372</v>
      </c>
      <c r="AB190" s="214" t="s">
        <v>292</v>
      </c>
      <c r="AC190" s="214" t="s">
        <v>292</v>
      </c>
      <c r="AD190" s="320" t="s">
        <v>373</v>
      </c>
      <c r="AE190" s="320"/>
      <c r="AF190" s="162" t="str">
        <f t="shared" si="8"/>
        <v/>
      </c>
      <c r="AG190" s="162" t="str">
        <f t="shared" si="9"/>
        <v/>
      </c>
      <c r="AH190" s="164" t="str">
        <f t="shared" si="10"/>
        <v/>
      </c>
      <c r="AI190" s="164" t="str">
        <f t="shared" si="11"/>
        <v/>
      </c>
      <c r="AJ190" s="368"/>
      <c r="AK190" s="368"/>
      <c r="AL190" s="368"/>
      <c r="AM190" s="368"/>
      <c r="AN190" s="368"/>
      <c r="AO190" s="368"/>
      <c r="AP190" s="368"/>
      <c r="AQ190" s="368"/>
      <c r="AR190" s="368"/>
      <c r="AS190" s="195"/>
      <c r="AT190" s="195"/>
      <c r="AU190" s="377"/>
      <c r="AV190" s="382"/>
      <c r="AW190" s="426"/>
      <c r="AX190" s="426"/>
      <c r="AY190" s="426"/>
      <c r="AZ190" s="426"/>
      <c r="BA190" s="426"/>
      <c r="BB190" s="426"/>
      <c r="BC190" s="426"/>
      <c r="BD190" s="426"/>
      <c r="BE190" s="426"/>
      <c r="BF190" s="469"/>
      <c r="BG190" s="467">
        <v>8.8000000000000007</v>
      </c>
      <c r="BH190" s="341"/>
      <c r="BI190" s="446" t="s">
        <v>374</v>
      </c>
      <c r="BJ190" s="507"/>
    </row>
    <row r="191" spans="1:62" ht="15.75" customHeight="1" thickBot="1" x14ac:dyDescent="0.25">
      <c r="A191" s="176">
        <v>190</v>
      </c>
      <c r="B191" s="175">
        <v>1</v>
      </c>
      <c r="C191" s="166" t="s">
        <v>11</v>
      </c>
      <c r="D191" s="166" t="s">
        <v>426</v>
      </c>
      <c r="E191" s="166"/>
      <c r="F191" s="166" t="s">
        <v>428</v>
      </c>
      <c r="G191" s="166" t="s">
        <v>122</v>
      </c>
      <c r="H191" s="166"/>
      <c r="I191" s="181">
        <v>2011</v>
      </c>
      <c r="J191" s="181" t="s">
        <v>370</v>
      </c>
      <c r="K191" s="181" t="s">
        <v>371</v>
      </c>
      <c r="L191" s="181" t="s">
        <v>83</v>
      </c>
      <c r="M191" s="556" t="s">
        <v>4128</v>
      </c>
      <c r="N191" s="214" t="s">
        <v>20</v>
      </c>
      <c r="O191" s="214" t="s">
        <v>20</v>
      </c>
      <c r="P191" s="214" t="s">
        <v>20</v>
      </c>
      <c r="Q191" s="214" t="s">
        <v>20</v>
      </c>
      <c r="R191" s="214" t="s">
        <v>15</v>
      </c>
      <c r="S191" s="214" t="s">
        <v>20</v>
      </c>
      <c r="T191" s="214" t="s">
        <v>20</v>
      </c>
      <c r="U191" s="214" t="s">
        <v>15</v>
      </c>
      <c r="V191" s="214" t="s">
        <v>15</v>
      </c>
      <c r="W191" s="214" t="s">
        <v>15</v>
      </c>
      <c r="X191" s="214" t="s">
        <v>15</v>
      </c>
      <c r="Y191" s="214" t="s">
        <v>15</v>
      </c>
      <c r="Z191" s="234"/>
      <c r="AA191" s="214" t="s">
        <v>372</v>
      </c>
      <c r="AB191" s="214" t="s">
        <v>292</v>
      </c>
      <c r="AC191" s="214" t="s">
        <v>292</v>
      </c>
      <c r="AD191" s="320" t="s">
        <v>373</v>
      </c>
      <c r="AE191" s="320"/>
      <c r="AF191" s="162" t="str">
        <f t="shared" si="8"/>
        <v/>
      </c>
      <c r="AG191" s="162" t="str">
        <f t="shared" si="9"/>
        <v/>
      </c>
      <c r="AH191" s="164" t="str">
        <f t="shared" si="10"/>
        <v/>
      </c>
      <c r="AI191" s="164" t="str">
        <f t="shared" si="11"/>
        <v/>
      </c>
      <c r="AJ191" s="368"/>
      <c r="AK191" s="368"/>
      <c r="AL191" s="368"/>
      <c r="AM191" s="368"/>
      <c r="AN191" s="368"/>
      <c r="AO191" s="368"/>
      <c r="AP191" s="368"/>
      <c r="AQ191" s="368"/>
      <c r="AR191" s="368"/>
      <c r="AS191" s="195"/>
      <c r="AT191" s="195"/>
      <c r="AU191" s="377"/>
      <c r="AV191" s="382"/>
      <c r="AW191" s="426"/>
      <c r="AX191" s="426"/>
      <c r="AY191" s="426"/>
      <c r="AZ191" s="426"/>
      <c r="BA191" s="426"/>
      <c r="BB191" s="426"/>
      <c r="BC191" s="426"/>
      <c r="BD191" s="426"/>
      <c r="BE191" s="426"/>
      <c r="BF191" s="469"/>
      <c r="BG191" s="467">
        <v>10.17</v>
      </c>
      <c r="BH191" s="341"/>
      <c r="BI191" s="446" t="s">
        <v>374</v>
      </c>
      <c r="BJ191" s="507"/>
    </row>
    <row r="192" spans="1:62" ht="15.75" customHeight="1" thickBot="1" x14ac:dyDescent="0.25">
      <c r="A192" s="174">
        <v>191</v>
      </c>
      <c r="B192" s="175">
        <v>1</v>
      </c>
      <c r="C192" s="166" t="s">
        <v>11</v>
      </c>
      <c r="D192" s="166" t="s">
        <v>426</v>
      </c>
      <c r="E192" s="166"/>
      <c r="F192" s="166" t="s">
        <v>429</v>
      </c>
      <c r="G192" s="166" t="s">
        <v>122</v>
      </c>
      <c r="H192" s="166"/>
      <c r="I192" s="181">
        <v>2011</v>
      </c>
      <c r="J192" s="181" t="s">
        <v>370</v>
      </c>
      <c r="K192" s="181" t="s">
        <v>371</v>
      </c>
      <c r="L192" s="181" t="s">
        <v>83</v>
      </c>
      <c r="M192" s="556" t="s">
        <v>4128</v>
      </c>
      <c r="N192" s="214" t="s">
        <v>20</v>
      </c>
      <c r="O192" s="214" t="s">
        <v>20</v>
      </c>
      <c r="P192" s="214" t="s">
        <v>20</v>
      </c>
      <c r="Q192" s="214" t="s">
        <v>20</v>
      </c>
      <c r="R192" s="214" t="s">
        <v>15</v>
      </c>
      <c r="S192" s="214" t="s">
        <v>20</v>
      </c>
      <c r="T192" s="214" t="s">
        <v>20</v>
      </c>
      <c r="U192" s="214" t="s">
        <v>15</v>
      </c>
      <c r="V192" s="214" t="s">
        <v>15</v>
      </c>
      <c r="W192" s="214" t="s">
        <v>15</v>
      </c>
      <c r="X192" s="214" t="s">
        <v>15</v>
      </c>
      <c r="Y192" s="214" t="s">
        <v>15</v>
      </c>
      <c r="Z192" s="234"/>
      <c r="AA192" s="214" t="s">
        <v>372</v>
      </c>
      <c r="AB192" s="214" t="s">
        <v>292</v>
      </c>
      <c r="AC192" s="214" t="s">
        <v>292</v>
      </c>
      <c r="AD192" s="320" t="s">
        <v>373</v>
      </c>
      <c r="AE192" s="320"/>
      <c r="AF192" s="162" t="str">
        <f t="shared" si="8"/>
        <v/>
      </c>
      <c r="AG192" s="162" t="str">
        <f t="shared" si="9"/>
        <v/>
      </c>
      <c r="AH192" s="164" t="str">
        <f t="shared" si="10"/>
        <v/>
      </c>
      <c r="AI192" s="164" t="str">
        <f t="shared" si="11"/>
        <v/>
      </c>
      <c r="AJ192" s="368"/>
      <c r="AK192" s="368"/>
      <c r="AL192" s="368"/>
      <c r="AM192" s="368"/>
      <c r="AN192" s="368"/>
      <c r="AO192" s="368"/>
      <c r="AP192" s="368"/>
      <c r="AQ192" s="368"/>
      <c r="AR192" s="368"/>
      <c r="AS192" s="195"/>
      <c r="AT192" s="195"/>
      <c r="AU192" s="377"/>
      <c r="AV192" s="382"/>
      <c r="AW192" s="426"/>
      <c r="AX192" s="426"/>
      <c r="AY192" s="426"/>
      <c r="AZ192" s="426"/>
      <c r="BA192" s="426"/>
      <c r="BB192" s="426"/>
      <c r="BC192" s="426"/>
      <c r="BD192" s="426"/>
      <c r="BE192" s="426"/>
      <c r="BF192" s="469"/>
      <c r="BG192" s="467">
        <v>8.75</v>
      </c>
      <c r="BH192" s="341"/>
      <c r="BI192" s="446" t="s">
        <v>374</v>
      </c>
      <c r="BJ192" s="507"/>
    </row>
    <row r="193" spans="1:62" ht="15.75" customHeight="1" thickBot="1" x14ac:dyDescent="0.25">
      <c r="A193" s="176">
        <v>192</v>
      </c>
      <c r="B193" s="175">
        <v>1</v>
      </c>
      <c r="C193" s="166" t="s">
        <v>11</v>
      </c>
      <c r="D193" s="166" t="s">
        <v>426</v>
      </c>
      <c r="E193" s="166"/>
      <c r="F193" s="166" t="s">
        <v>430</v>
      </c>
      <c r="G193" s="166" t="s">
        <v>122</v>
      </c>
      <c r="H193" s="166"/>
      <c r="I193" s="181">
        <v>2011</v>
      </c>
      <c r="J193" s="181" t="s">
        <v>370</v>
      </c>
      <c r="K193" s="181" t="s">
        <v>371</v>
      </c>
      <c r="L193" s="181" t="s">
        <v>83</v>
      </c>
      <c r="M193" s="556" t="s">
        <v>4128</v>
      </c>
      <c r="N193" s="214" t="s">
        <v>20</v>
      </c>
      <c r="O193" s="214" t="s">
        <v>20</v>
      </c>
      <c r="P193" s="214" t="s">
        <v>20</v>
      </c>
      <c r="Q193" s="214" t="s">
        <v>20</v>
      </c>
      <c r="R193" s="214" t="s">
        <v>15</v>
      </c>
      <c r="S193" s="214" t="s">
        <v>20</v>
      </c>
      <c r="T193" s="214" t="s">
        <v>20</v>
      </c>
      <c r="U193" s="214" t="s">
        <v>15</v>
      </c>
      <c r="V193" s="214" t="s">
        <v>15</v>
      </c>
      <c r="W193" s="214" t="s">
        <v>15</v>
      </c>
      <c r="X193" s="214" t="s">
        <v>15</v>
      </c>
      <c r="Y193" s="214" t="s">
        <v>15</v>
      </c>
      <c r="Z193" s="234"/>
      <c r="AA193" s="214" t="s">
        <v>372</v>
      </c>
      <c r="AB193" s="214" t="s">
        <v>292</v>
      </c>
      <c r="AC193" s="214" t="s">
        <v>292</v>
      </c>
      <c r="AD193" s="320" t="s">
        <v>373</v>
      </c>
      <c r="AE193" s="320"/>
      <c r="AF193" s="162" t="str">
        <f t="shared" si="8"/>
        <v/>
      </c>
      <c r="AG193" s="162" t="str">
        <f t="shared" si="9"/>
        <v/>
      </c>
      <c r="AH193" s="164" t="str">
        <f t="shared" si="10"/>
        <v/>
      </c>
      <c r="AI193" s="164" t="str">
        <f t="shared" si="11"/>
        <v/>
      </c>
      <c r="AJ193" s="368"/>
      <c r="AK193" s="368"/>
      <c r="AL193" s="368"/>
      <c r="AM193" s="368"/>
      <c r="AN193" s="368"/>
      <c r="AO193" s="368"/>
      <c r="AP193" s="368"/>
      <c r="AQ193" s="368"/>
      <c r="AR193" s="368"/>
      <c r="AS193" s="195"/>
      <c r="AT193" s="195"/>
      <c r="AU193" s="377"/>
      <c r="AV193" s="382"/>
      <c r="AW193" s="426"/>
      <c r="AX193" s="426"/>
      <c r="AY193" s="426"/>
      <c r="AZ193" s="426"/>
      <c r="BA193" s="426"/>
      <c r="BB193" s="426"/>
      <c r="BC193" s="426"/>
      <c r="BD193" s="426"/>
      <c r="BE193" s="426"/>
      <c r="BF193" s="469"/>
      <c r="BG193" s="467">
        <v>8.02</v>
      </c>
      <c r="BH193" s="341"/>
      <c r="BI193" s="446" t="s">
        <v>374</v>
      </c>
      <c r="BJ193" s="507"/>
    </row>
    <row r="194" spans="1:62" ht="15.75" customHeight="1" thickBot="1" x14ac:dyDescent="0.25">
      <c r="A194" s="174">
        <v>193</v>
      </c>
      <c r="B194" s="175">
        <v>1</v>
      </c>
      <c r="C194" s="166" t="s">
        <v>11</v>
      </c>
      <c r="D194" s="166" t="s">
        <v>426</v>
      </c>
      <c r="E194" s="166"/>
      <c r="F194" s="166" t="s">
        <v>431</v>
      </c>
      <c r="G194" s="166" t="s">
        <v>122</v>
      </c>
      <c r="H194" s="166"/>
      <c r="I194" s="181">
        <v>2011</v>
      </c>
      <c r="J194" s="181" t="s">
        <v>370</v>
      </c>
      <c r="K194" s="181" t="s">
        <v>371</v>
      </c>
      <c r="L194" s="181" t="s">
        <v>83</v>
      </c>
      <c r="M194" s="556" t="s">
        <v>4128</v>
      </c>
      <c r="N194" s="214" t="s">
        <v>20</v>
      </c>
      <c r="O194" s="214" t="s">
        <v>20</v>
      </c>
      <c r="P194" s="214" t="s">
        <v>20</v>
      </c>
      <c r="Q194" s="214" t="s">
        <v>20</v>
      </c>
      <c r="R194" s="214" t="s">
        <v>15</v>
      </c>
      <c r="S194" s="214" t="s">
        <v>20</v>
      </c>
      <c r="T194" s="214" t="s">
        <v>20</v>
      </c>
      <c r="U194" s="214" t="s">
        <v>15</v>
      </c>
      <c r="V194" s="214" t="s">
        <v>15</v>
      </c>
      <c r="W194" s="214" t="s">
        <v>15</v>
      </c>
      <c r="X194" s="214" t="s">
        <v>15</v>
      </c>
      <c r="Y194" s="214" t="s">
        <v>15</v>
      </c>
      <c r="Z194" s="234"/>
      <c r="AA194" s="214" t="s">
        <v>372</v>
      </c>
      <c r="AB194" s="214" t="s">
        <v>292</v>
      </c>
      <c r="AC194" s="214" t="s">
        <v>292</v>
      </c>
      <c r="AD194" s="320" t="s">
        <v>373</v>
      </c>
      <c r="AE194" s="320"/>
      <c r="AF194" s="162" t="str">
        <f t="shared" ref="AF194:AF257" si="12">IF(AS194&lt;&gt;0,AS194,"")</f>
        <v/>
      </c>
      <c r="AG194" s="162" t="str">
        <f t="shared" ref="AG194:AG257" si="13">IF(AND(SUM(AJ194:AL194)&lt;&gt;0,SUM(AJ194:AL194)&lt;&gt;AJ194),SUM(AJ194:AL194),"")</f>
        <v/>
      </c>
      <c r="AH194" s="164" t="str">
        <f t="shared" ref="AH194:AH257" si="14">IF(BF194&lt;&gt;0,BF194,"")</f>
        <v/>
      </c>
      <c r="AI194" s="164" t="str">
        <f t="shared" ref="AI194:AI257" si="15">IF(AND(SUM(AW194:AY194)&lt;&gt;0,SUM(AW194:AY194)&lt;&gt;AW194),SUM(AW194:AY194),"")</f>
        <v/>
      </c>
      <c r="AJ194" s="368"/>
      <c r="AK194" s="368"/>
      <c r="AL194" s="368"/>
      <c r="AM194" s="368"/>
      <c r="AN194" s="368"/>
      <c r="AO194" s="368"/>
      <c r="AP194" s="368"/>
      <c r="AQ194" s="368"/>
      <c r="AR194" s="368"/>
      <c r="AS194" s="195"/>
      <c r="AT194" s="195"/>
      <c r="AU194" s="377"/>
      <c r="AV194" s="382"/>
      <c r="AW194" s="426"/>
      <c r="AX194" s="426"/>
      <c r="AY194" s="426"/>
      <c r="AZ194" s="426"/>
      <c r="BA194" s="426"/>
      <c r="BB194" s="426"/>
      <c r="BC194" s="426"/>
      <c r="BD194" s="426"/>
      <c r="BE194" s="426"/>
      <c r="BF194" s="469"/>
      <c r="BG194" s="467">
        <v>9.32</v>
      </c>
      <c r="BH194" s="341"/>
      <c r="BI194" s="446" t="s">
        <v>374</v>
      </c>
      <c r="BJ194" s="507"/>
    </row>
    <row r="195" spans="1:62" ht="15.75" customHeight="1" thickBot="1" x14ac:dyDescent="0.25">
      <c r="A195" s="176">
        <v>194</v>
      </c>
      <c r="B195" s="175">
        <v>1</v>
      </c>
      <c r="C195" s="166" t="s">
        <v>11</v>
      </c>
      <c r="D195" s="166" t="s">
        <v>426</v>
      </c>
      <c r="E195" s="166"/>
      <c r="F195" s="166" t="s">
        <v>432</v>
      </c>
      <c r="G195" s="166" t="s">
        <v>122</v>
      </c>
      <c r="H195" s="166"/>
      <c r="I195" s="181">
        <v>2011</v>
      </c>
      <c r="J195" s="181" t="s">
        <v>370</v>
      </c>
      <c r="K195" s="181" t="s">
        <v>371</v>
      </c>
      <c r="L195" s="181" t="s">
        <v>83</v>
      </c>
      <c r="M195" s="556" t="s">
        <v>4128</v>
      </c>
      <c r="N195" s="214" t="s">
        <v>20</v>
      </c>
      <c r="O195" s="214" t="s">
        <v>20</v>
      </c>
      <c r="P195" s="214" t="s">
        <v>20</v>
      </c>
      <c r="Q195" s="214" t="s">
        <v>20</v>
      </c>
      <c r="R195" s="214" t="s">
        <v>15</v>
      </c>
      <c r="S195" s="214" t="s">
        <v>20</v>
      </c>
      <c r="T195" s="214" t="s">
        <v>20</v>
      </c>
      <c r="U195" s="214" t="s">
        <v>15</v>
      </c>
      <c r="V195" s="214" t="s">
        <v>15</v>
      </c>
      <c r="W195" s="214" t="s">
        <v>15</v>
      </c>
      <c r="X195" s="214" t="s">
        <v>15</v>
      </c>
      <c r="Y195" s="214" t="s">
        <v>15</v>
      </c>
      <c r="Z195" s="234"/>
      <c r="AA195" s="214" t="s">
        <v>372</v>
      </c>
      <c r="AB195" s="214" t="s">
        <v>292</v>
      </c>
      <c r="AC195" s="214" t="s">
        <v>292</v>
      </c>
      <c r="AD195" s="320" t="s">
        <v>373</v>
      </c>
      <c r="AE195" s="320"/>
      <c r="AF195" s="162" t="str">
        <f t="shared" si="12"/>
        <v/>
      </c>
      <c r="AG195" s="162" t="str">
        <f t="shared" si="13"/>
        <v/>
      </c>
      <c r="AH195" s="164" t="str">
        <f t="shared" si="14"/>
        <v/>
      </c>
      <c r="AI195" s="164" t="str">
        <f t="shared" si="15"/>
        <v/>
      </c>
      <c r="AJ195" s="368"/>
      <c r="AK195" s="368"/>
      <c r="AL195" s="368"/>
      <c r="AM195" s="368"/>
      <c r="AN195" s="368"/>
      <c r="AO195" s="368"/>
      <c r="AP195" s="368"/>
      <c r="AQ195" s="368"/>
      <c r="AR195" s="368"/>
      <c r="AS195" s="195"/>
      <c r="AT195" s="195"/>
      <c r="AU195" s="377"/>
      <c r="AV195" s="382"/>
      <c r="AW195" s="426"/>
      <c r="AX195" s="426"/>
      <c r="AY195" s="426"/>
      <c r="AZ195" s="426"/>
      <c r="BA195" s="426"/>
      <c r="BB195" s="426"/>
      <c r="BC195" s="426"/>
      <c r="BD195" s="426"/>
      <c r="BE195" s="426"/>
      <c r="BF195" s="469"/>
      <c r="BG195" s="467">
        <v>7.98</v>
      </c>
      <c r="BH195" s="341"/>
      <c r="BI195" s="446" t="s">
        <v>374</v>
      </c>
      <c r="BJ195" s="507"/>
    </row>
    <row r="196" spans="1:62" ht="15.75" customHeight="1" thickBot="1" x14ac:dyDescent="0.25">
      <c r="A196" s="174">
        <v>195</v>
      </c>
      <c r="B196" s="175">
        <v>1</v>
      </c>
      <c r="C196" s="166" t="s">
        <v>11</v>
      </c>
      <c r="D196" s="166" t="s">
        <v>426</v>
      </c>
      <c r="E196" s="166"/>
      <c r="F196" s="166" t="s">
        <v>433</v>
      </c>
      <c r="G196" s="166" t="s">
        <v>122</v>
      </c>
      <c r="H196" s="166"/>
      <c r="I196" s="181">
        <v>2011</v>
      </c>
      <c r="J196" s="181" t="s">
        <v>370</v>
      </c>
      <c r="K196" s="181" t="s">
        <v>371</v>
      </c>
      <c r="L196" s="181" t="s">
        <v>83</v>
      </c>
      <c r="M196" s="556" t="s">
        <v>4128</v>
      </c>
      <c r="N196" s="214" t="s">
        <v>20</v>
      </c>
      <c r="O196" s="214" t="s">
        <v>20</v>
      </c>
      <c r="P196" s="214" t="s">
        <v>20</v>
      </c>
      <c r="Q196" s="214" t="s">
        <v>20</v>
      </c>
      <c r="R196" s="214" t="s">
        <v>15</v>
      </c>
      <c r="S196" s="214" t="s">
        <v>20</v>
      </c>
      <c r="T196" s="214" t="s">
        <v>20</v>
      </c>
      <c r="U196" s="214" t="s">
        <v>15</v>
      </c>
      <c r="V196" s="214" t="s">
        <v>15</v>
      </c>
      <c r="W196" s="214" t="s">
        <v>15</v>
      </c>
      <c r="X196" s="214" t="s">
        <v>15</v>
      </c>
      <c r="Y196" s="214" t="s">
        <v>15</v>
      </c>
      <c r="Z196" s="234"/>
      <c r="AA196" s="214" t="s">
        <v>372</v>
      </c>
      <c r="AB196" s="214" t="s">
        <v>292</v>
      </c>
      <c r="AC196" s="214" t="s">
        <v>292</v>
      </c>
      <c r="AD196" s="320" t="s">
        <v>373</v>
      </c>
      <c r="AE196" s="320"/>
      <c r="AF196" s="162" t="str">
        <f t="shared" si="12"/>
        <v/>
      </c>
      <c r="AG196" s="162" t="str">
        <f t="shared" si="13"/>
        <v/>
      </c>
      <c r="AH196" s="164" t="str">
        <f t="shared" si="14"/>
        <v/>
      </c>
      <c r="AI196" s="164" t="str">
        <f t="shared" si="15"/>
        <v/>
      </c>
      <c r="AJ196" s="368"/>
      <c r="AK196" s="368"/>
      <c r="AL196" s="368"/>
      <c r="AM196" s="368"/>
      <c r="AN196" s="368"/>
      <c r="AO196" s="368"/>
      <c r="AP196" s="368"/>
      <c r="AQ196" s="368"/>
      <c r="AR196" s="368"/>
      <c r="AS196" s="195"/>
      <c r="AT196" s="195"/>
      <c r="AU196" s="377"/>
      <c r="AV196" s="382"/>
      <c r="AW196" s="426"/>
      <c r="AX196" s="426"/>
      <c r="AY196" s="426"/>
      <c r="AZ196" s="426"/>
      <c r="BA196" s="426"/>
      <c r="BB196" s="426"/>
      <c r="BC196" s="426"/>
      <c r="BD196" s="426"/>
      <c r="BE196" s="426"/>
      <c r="BF196" s="469"/>
      <c r="BG196" s="467">
        <v>7.57</v>
      </c>
      <c r="BH196" s="341"/>
      <c r="BI196" s="446" t="s">
        <v>374</v>
      </c>
      <c r="BJ196" s="507"/>
    </row>
    <row r="197" spans="1:62" ht="15.75" customHeight="1" thickBot="1" x14ac:dyDescent="0.25">
      <c r="A197" s="176">
        <v>196</v>
      </c>
      <c r="B197" s="175">
        <v>1</v>
      </c>
      <c r="C197" s="166" t="s">
        <v>11</v>
      </c>
      <c r="D197" s="166" t="s">
        <v>426</v>
      </c>
      <c r="E197" s="166"/>
      <c r="F197" s="166" t="s">
        <v>434</v>
      </c>
      <c r="G197" s="166" t="s">
        <v>122</v>
      </c>
      <c r="H197" s="166"/>
      <c r="I197" s="181">
        <v>2011</v>
      </c>
      <c r="J197" s="181" t="s">
        <v>370</v>
      </c>
      <c r="K197" s="181" t="s">
        <v>371</v>
      </c>
      <c r="L197" s="181" t="s">
        <v>83</v>
      </c>
      <c r="M197" s="556" t="s">
        <v>4128</v>
      </c>
      <c r="N197" s="214" t="s">
        <v>20</v>
      </c>
      <c r="O197" s="214" t="s">
        <v>20</v>
      </c>
      <c r="P197" s="214" t="s">
        <v>20</v>
      </c>
      <c r="Q197" s="214" t="s">
        <v>20</v>
      </c>
      <c r="R197" s="214" t="s">
        <v>15</v>
      </c>
      <c r="S197" s="214" t="s">
        <v>20</v>
      </c>
      <c r="T197" s="214" t="s">
        <v>20</v>
      </c>
      <c r="U197" s="214" t="s">
        <v>15</v>
      </c>
      <c r="V197" s="214" t="s">
        <v>15</v>
      </c>
      <c r="W197" s="214" t="s">
        <v>15</v>
      </c>
      <c r="X197" s="214" t="s">
        <v>15</v>
      </c>
      <c r="Y197" s="214" t="s">
        <v>15</v>
      </c>
      <c r="Z197" s="234"/>
      <c r="AA197" s="214" t="s">
        <v>372</v>
      </c>
      <c r="AB197" s="214" t="s">
        <v>292</v>
      </c>
      <c r="AC197" s="214" t="s">
        <v>292</v>
      </c>
      <c r="AD197" s="320" t="s">
        <v>373</v>
      </c>
      <c r="AE197" s="320"/>
      <c r="AF197" s="162" t="str">
        <f t="shared" si="12"/>
        <v/>
      </c>
      <c r="AG197" s="162" t="str">
        <f t="shared" si="13"/>
        <v/>
      </c>
      <c r="AH197" s="164" t="str">
        <f t="shared" si="14"/>
        <v/>
      </c>
      <c r="AI197" s="164" t="str">
        <f t="shared" si="15"/>
        <v/>
      </c>
      <c r="AJ197" s="368"/>
      <c r="AK197" s="368"/>
      <c r="AL197" s="368"/>
      <c r="AM197" s="368"/>
      <c r="AN197" s="368"/>
      <c r="AO197" s="368"/>
      <c r="AP197" s="368"/>
      <c r="AQ197" s="368"/>
      <c r="AR197" s="368"/>
      <c r="AS197" s="195"/>
      <c r="AT197" s="195"/>
      <c r="AU197" s="377"/>
      <c r="AV197" s="382"/>
      <c r="AW197" s="426"/>
      <c r="AX197" s="426"/>
      <c r="AY197" s="426"/>
      <c r="AZ197" s="426"/>
      <c r="BA197" s="426"/>
      <c r="BB197" s="426"/>
      <c r="BC197" s="426"/>
      <c r="BD197" s="426"/>
      <c r="BE197" s="426"/>
      <c r="BF197" s="469"/>
      <c r="BG197" s="467">
        <v>8.82</v>
      </c>
      <c r="BH197" s="341"/>
      <c r="BI197" s="446" t="s">
        <v>374</v>
      </c>
      <c r="BJ197" s="507"/>
    </row>
    <row r="198" spans="1:62" ht="15.75" customHeight="1" thickBot="1" x14ac:dyDescent="0.25">
      <c r="A198" s="174">
        <v>197</v>
      </c>
      <c r="B198" s="175">
        <v>1</v>
      </c>
      <c r="C198" s="166" t="s">
        <v>11</v>
      </c>
      <c r="D198" s="166" t="s">
        <v>426</v>
      </c>
      <c r="E198" s="166"/>
      <c r="F198" s="166" t="s">
        <v>435</v>
      </c>
      <c r="G198" s="166" t="s">
        <v>122</v>
      </c>
      <c r="H198" s="166"/>
      <c r="I198" s="181">
        <v>2011</v>
      </c>
      <c r="J198" s="181" t="s">
        <v>370</v>
      </c>
      <c r="K198" s="181" t="s">
        <v>371</v>
      </c>
      <c r="L198" s="181" t="s">
        <v>83</v>
      </c>
      <c r="M198" s="556" t="s">
        <v>4128</v>
      </c>
      <c r="N198" s="214" t="s">
        <v>20</v>
      </c>
      <c r="O198" s="214" t="s">
        <v>20</v>
      </c>
      <c r="P198" s="214" t="s">
        <v>20</v>
      </c>
      <c r="Q198" s="214" t="s">
        <v>20</v>
      </c>
      <c r="R198" s="214" t="s">
        <v>15</v>
      </c>
      <c r="S198" s="214" t="s">
        <v>20</v>
      </c>
      <c r="T198" s="214" t="s">
        <v>20</v>
      </c>
      <c r="U198" s="214" t="s">
        <v>15</v>
      </c>
      <c r="V198" s="214" t="s">
        <v>15</v>
      </c>
      <c r="W198" s="214" t="s">
        <v>15</v>
      </c>
      <c r="X198" s="214" t="s">
        <v>15</v>
      </c>
      <c r="Y198" s="214" t="s">
        <v>15</v>
      </c>
      <c r="Z198" s="234"/>
      <c r="AA198" s="214" t="s">
        <v>372</v>
      </c>
      <c r="AB198" s="214" t="s">
        <v>292</v>
      </c>
      <c r="AC198" s="214" t="s">
        <v>292</v>
      </c>
      <c r="AD198" s="320" t="s">
        <v>373</v>
      </c>
      <c r="AE198" s="320"/>
      <c r="AF198" s="162" t="str">
        <f t="shared" si="12"/>
        <v/>
      </c>
      <c r="AG198" s="162" t="str">
        <f t="shared" si="13"/>
        <v/>
      </c>
      <c r="AH198" s="164" t="str">
        <f t="shared" si="14"/>
        <v/>
      </c>
      <c r="AI198" s="164" t="str">
        <f t="shared" si="15"/>
        <v/>
      </c>
      <c r="AJ198" s="368"/>
      <c r="AK198" s="368"/>
      <c r="AL198" s="368"/>
      <c r="AM198" s="368"/>
      <c r="AN198" s="368"/>
      <c r="AO198" s="368"/>
      <c r="AP198" s="368"/>
      <c r="AQ198" s="368"/>
      <c r="AR198" s="368"/>
      <c r="AS198" s="195"/>
      <c r="AT198" s="195"/>
      <c r="AU198" s="377"/>
      <c r="AV198" s="382"/>
      <c r="AW198" s="426"/>
      <c r="AX198" s="426"/>
      <c r="AY198" s="426"/>
      <c r="AZ198" s="426"/>
      <c r="BA198" s="426"/>
      <c r="BB198" s="426"/>
      <c r="BC198" s="426"/>
      <c r="BD198" s="426"/>
      <c r="BE198" s="426"/>
      <c r="BF198" s="469"/>
      <c r="BG198" s="467">
        <v>7.52</v>
      </c>
      <c r="BH198" s="341"/>
      <c r="BI198" s="446" t="s">
        <v>374</v>
      </c>
      <c r="BJ198" s="507"/>
    </row>
    <row r="199" spans="1:62" ht="15.75" customHeight="1" thickBot="1" x14ac:dyDescent="0.25">
      <c r="A199" s="176">
        <v>198</v>
      </c>
      <c r="B199" s="175">
        <v>1</v>
      </c>
      <c r="C199" s="166" t="s">
        <v>11</v>
      </c>
      <c r="D199" s="166" t="s">
        <v>436</v>
      </c>
      <c r="E199" s="166"/>
      <c r="F199" s="166" t="s">
        <v>437</v>
      </c>
      <c r="G199" s="166" t="s">
        <v>122</v>
      </c>
      <c r="H199" s="166"/>
      <c r="I199" s="181">
        <v>2011</v>
      </c>
      <c r="J199" s="181" t="s">
        <v>370</v>
      </c>
      <c r="K199" s="181" t="s">
        <v>371</v>
      </c>
      <c r="L199" s="181" t="s">
        <v>83</v>
      </c>
      <c r="M199" s="556" t="s">
        <v>4128</v>
      </c>
      <c r="N199" s="214" t="s">
        <v>20</v>
      </c>
      <c r="O199" s="214" t="s">
        <v>20</v>
      </c>
      <c r="P199" s="214" t="s">
        <v>20</v>
      </c>
      <c r="Q199" s="214" t="s">
        <v>20</v>
      </c>
      <c r="R199" s="214" t="s">
        <v>15</v>
      </c>
      <c r="S199" s="214" t="s">
        <v>20</v>
      </c>
      <c r="T199" s="214" t="s">
        <v>20</v>
      </c>
      <c r="U199" s="214" t="s">
        <v>15</v>
      </c>
      <c r="V199" s="214" t="s">
        <v>15</v>
      </c>
      <c r="W199" s="214" t="s">
        <v>15</v>
      </c>
      <c r="X199" s="214" t="s">
        <v>15</v>
      </c>
      <c r="Y199" s="214" t="s">
        <v>15</v>
      </c>
      <c r="Z199" s="234"/>
      <c r="AA199" s="214" t="s">
        <v>372</v>
      </c>
      <c r="AB199" s="214" t="s">
        <v>292</v>
      </c>
      <c r="AC199" s="214" t="s">
        <v>292</v>
      </c>
      <c r="AD199" s="320" t="s">
        <v>373</v>
      </c>
      <c r="AE199" s="320"/>
      <c r="AF199" s="162" t="str">
        <f t="shared" si="12"/>
        <v/>
      </c>
      <c r="AG199" s="162" t="str">
        <f t="shared" si="13"/>
        <v/>
      </c>
      <c r="AH199" s="164" t="str">
        <f t="shared" si="14"/>
        <v/>
      </c>
      <c r="AI199" s="164" t="str">
        <f t="shared" si="15"/>
        <v/>
      </c>
      <c r="AJ199" s="368"/>
      <c r="AK199" s="368"/>
      <c r="AL199" s="368"/>
      <c r="AM199" s="368"/>
      <c r="AN199" s="368"/>
      <c r="AO199" s="368"/>
      <c r="AP199" s="368"/>
      <c r="AQ199" s="368"/>
      <c r="AR199" s="368"/>
      <c r="AS199" s="195"/>
      <c r="AT199" s="195"/>
      <c r="AU199" s="377"/>
      <c r="AV199" s="382"/>
      <c r="AW199" s="426"/>
      <c r="AX199" s="426"/>
      <c r="AY199" s="426"/>
      <c r="AZ199" s="426"/>
      <c r="BA199" s="426"/>
      <c r="BB199" s="426"/>
      <c r="BC199" s="426"/>
      <c r="BD199" s="426"/>
      <c r="BE199" s="426"/>
      <c r="BF199" s="469"/>
      <c r="BG199" s="467">
        <v>8.48</v>
      </c>
      <c r="BH199" s="341"/>
      <c r="BI199" s="446" t="s">
        <v>374</v>
      </c>
      <c r="BJ199" s="507"/>
    </row>
    <row r="200" spans="1:62" ht="15.75" customHeight="1" thickBot="1" x14ac:dyDescent="0.25">
      <c r="A200" s="174">
        <v>199</v>
      </c>
      <c r="B200" s="175">
        <v>1</v>
      </c>
      <c r="C200" s="166" t="s">
        <v>11</v>
      </c>
      <c r="D200" s="166" t="s">
        <v>436</v>
      </c>
      <c r="E200" s="166"/>
      <c r="F200" s="166" t="s">
        <v>438</v>
      </c>
      <c r="G200" s="166" t="s">
        <v>122</v>
      </c>
      <c r="H200" s="166"/>
      <c r="I200" s="181">
        <v>2011</v>
      </c>
      <c r="J200" s="181" t="s">
        <v>370</v>
      </c>
      <c r="K200" s="181" t="s">
        <v>371</v>
      </c>
      <c r="L200" s="181" t="s">
        <v>83</v>
      </c>
      <c r="M200" s="556" t="s">
        <v>4128</v>
      </c>
      <c r="N200" s="214" t="s">
        <v>20</v>
      </c>
      <c r="O200" s="214" t="s">
        <v>20</v>
      </c>
      <c r="P200" s="214" t="s">
        <v>20</v>
      </c>
      <c r="Q200" s="214" t="s">
        <v>20</v>
      </c>
      <c r="R200" s="214" t="s">
        <v>15</v>
      </c>
      <c r="S200" s="214" t="s">
        <v>20</v>
      </c>
      <c r="T200" s="214" t="s">
        <v>20</v>
      </c>
      <c r="U200" s="214" t="s">
        <v>15</v>
      </c>
      <c r="V200" s="214" t="s">
        <v>15</v>
      </c>
      <c r="W200" s="214" t="s">
        <v>15</v>
      </c>
      <c r="X200" s="214" t="s">
        <v>15</v>
      </c>
      <c r="Y200" s="214" t="s">
        <v>15</v>
      </c>
      <c r="Z200" s="234"/>
      <c r="AA200" s="214" t="s">
        <v>372</v>
      </c>
      <c r="AB200" s="214" t="s">
        <v>292</v>
      </c>
      <c r="AC200" s="214" t="s">
        <v>292</v>
      </c>
      <c r="AD200" s="320" t="s">
        <v>373</v>
      </c>
      <c r="AE200" s="320"/>
      <c r="AF200" s="162" t="str">
        <f t="shared" si="12"/>
        <v/>
      </c>
      <c r="AG200" s="162" t="str">
        <f t="shared" si="13"/>
        <v/>
      </c>
      <c r="AH200" s="164" t="str">
        <f t="shared" si="14"/>
        <v/>
      </c>
      <c r="AI200" s="164" t="str">
        <f t="shared" si="15"/>
        <v/>
      </c>
      <c r="AJ200" s="368"/>
      <c r="AK200" s="368"/>
      <c r="AL200" s="368"/>
      <c r="AM200" s="368"/>
      <c r="AN200" s="368"/>
      <c r="AO200" s="368"/>
      <c r="AP200" s="368"/>
      <c r="AQ200" s="368"/>
      <c r="AR200" s="368"/>
      <c r="AS200" s="195"/>
      <c r="AT200" s="195"/>
      <c r="AU200" s="377"/>
      <c r="AV200" s="382"/>
      <c r="AW200" s="426"/>
      <c r="AX200" s="426"/>
      <c r="AY200" s="426"/>
      <c r="AZ200" s="426"/>
      <c r="BA200" s="426"/>
      <c r="BB200" s="426"/>
      <c r="BC200" s="426"/>
      <c r="BD200" s="426"/>
      <c r="BE200" s="426"/>
      <c r="BF200" s="469"/>
      <c r="BG200" s="467">
        <v>10.130000000000001</v>
      </c>
      <c r="BH200" s="341"/>
      <c r="BI200" s="446" t="s">
        <v>374</v>
      </c>
      <c r="BJ200" s="507"/>
    </row>
    <row r="201" spans="1:62" ht="15.75" customHeight="1" thickBot="1" x14ac:dyDescent="0.25">
      <c r="A201" s="176">
        <v>200</v>
      </c>
      <c r="B201" s="175">
        <v>1</v>
      </c>
      <c r="C201" s="166" t="s">
        <v>11</v>
      </c>
      <c r="D201" s="166" t="s">
        <v>436</v>
      </c>
      <c r="E201" s="166"/>
      <c r="F201" s="166" t="s">
        <v>439</v>
      </c>
      <c r="G201" s="166" t="s">
        <v>122</v>
      </c>
      <c r="H201" s="166"/>
      <c r="I201" s="181">
        <v>2011</v>
      </c>
      <c r="J201" s="181" t="s">
        <v>370</v>
      </c>
      <c r="K201" s="181" t="s">
        <v>371</v>
      </c>
      <c r="L201" s="181" t="s">
        <v>83</v>
      </c>
      <c r="M201" s="556" t="s">
        <v>4128</v>
      </c>
      <c r="N201" s="214" t="s">
        <v>20</v>
      </c>
      <c r="O201" s="214" t="s">
        <v>20</v>
      </c>
      <c r="P201" s="214" t="s">
        <v>20</v>
      </c>
      <c r="Q201" s="214" t="s">
        <v>20</v>
      </c>
      <c r="R201" s="214" t="s">
        <v>15</v>
      </c>
      <c r="S201" s="214" t="s">
        <v>20</v>
      </c>
      <c r="T201" s="214" t="s">
        <v>20</v>
      </c>
      <c r="U201" s="214" t="s">
        <v>15</v>
      </c>
      <c r="V201" s="214" t="s">
        <v>15</v>
      </c>
      <c r="W201" s="214" t="s">
        <v>15</v>
      </c>
      <c r="X201" s="214" t="s">
        <v>15</v>
      </c>
      <c r="Y201" s="214" t="s">
        <v>15</v>
      </c>
      <c r="Z201" s="234"/>
      <c r="AA201" s="214" t="s">
        <v>372</v>
      </c>
      <c r="AB201" s="214" t="s">
        <v>292</v>
      </c>
      <c r="AC201" s="214" t="s">
        <v>292</v>
      </c>
      <c r="AD201" s="320" t="s">
        <v>373</v>
      </c>
      <c r="AE201" s="320"/>
      <c r="AF201" s="162" t="str">
        <f t="shared" si="12"/>
        <v/>
      </c>
      <c r="AG201" s="162" t="str">
        <f t="shared" si="13"/>
        <v/>
      </c>
      <c r="AH201" s="164" t="str">
        <f t="shared" si="14"/>
        <v/>
      </c>
      <c r="AI201" s="164" t="str">
        <f t="shared" si="15"/>
        <v/>
      </c>
      <c r="AJ201" s="368"/>
      <c r="AK201" s="368"/>
      <c r="AL201" s="368"/>
      <c r="AM201" s="368"/>
      <c r="AN201" s="368"/>
      <c r="AO201" s="368"/>
      <c r="AP201" s="368"/>
      <c r="AQ201" s="368"/>
      <c r="AR201" s="368"/>
      <c r="AS201" s="195"/>
      <c r="AT201" s="195"/>
      <c r="AU201" s="377"/>
      <c r="AV201" s="382"/>
      <c r="AW201" s="426"/>
      <c r="AX201" s="426"/>
      <c r="AY201" s="426"/>
      <c r="AZ201" s="426"/>
      <c r="BA201" s="426"/>
      <c r="BB201" s="426"/>
      <c r="BC201" s="426"/>
      <c r="BD201" s="426"/>
      <c r="BE201" s="426"/>
      <c r="BF201" s="469"/>
      <c r="BG201" s="467">
        <v>7.71</v>
      </c>
      <c r="BH201" s="341"/>
      <c r="BI201" s="446" t="s">
        <v>374</v>
      </c>
      <c r="BJ201" s="507"/>
    </row>
    <row r="202" spans="1:62" ht="15.75" customHeight="1" thickBot="1" x14ac:dyDescent="0.25">
      <c r="A202" s="174">
        <v>201</v>
      </c>
      <c r="B202" s="175">
        <v>1</v>
      </c>
      <c r="C202" s="166" t="s">
        <v>11</v>
      </c>
      <c r="D202" s="166" t="s">
        <v>436</v>
      </c>
      <c r="E202" s="166"/>
      <c r="F202" s="166" t="s">
        <v>440</v>
      </c>
      <c r="G202" s="166" t="s">
        <v>122</v>
      </c>
      <c r="H202" s="166"/>
      <c r="I202" s="181">
        <v>2011</v>
      </c>
      <c r="J202" s="181" t="s">
        <v>370</v>
      </c>
      <c r="K202" s="181" t="s">
        <v>371</v>
      </c>
      <c r="L202" s="181" t="s">
        <v>83</v>
      </c>
      <c r="M202" s="556" t="s">
        <v>4128</v>
      </c>
      <c r="N202" s="214" t="s">
        <v>20</v>
      </c>
      <c r="O202" s="214" t="s">
        <v>20</v>
      </c>
      <c r="P202" s="214" t="s">
        <v>20</v>
      </c>
      <c r="Q202" s="214" t="s">
        <v>20</v>
      </c>
      <c r="R202" s="214" t="s">
        <v>15</v>
      </c>
      <c r="S202" s="214" t="s">
        <v>20</v>
      </c>
      <c r="T202" s="214" t="s">
        <v>20</v>
      </c>
      <c r="U202" s="214" t="s">
        <v>15</v>
      </c>
      <c r="V202" s="214" t="s">
        <v>15</v>
      </c>
      <c r="W202" s="214" t="s">
        <v>15</v>
      </c>
      <c r="X202" s="214" t="s">
        <v>15</v>
      </c>
      <c r="Y202" s="214" t="s">
        <v>15</v>
      </c>
      <c r="Z202" s="234"/>
      <c r="AA202" s="214" t="s">
        <v>372</v>
      </c>
      <c r="AB202" s="214" t="s">
        <v>292</v>
      </c>
      <c r="AC202" s="214" t="s">
        <v>292</v>
      </c>
      <c r="AD202" s="320" t="s">
        <v>373</v>
      </c>
      <c r="AE202" s="320"/>
      <c r="AF202" s="162" t="str">
        <f t="shared" si="12"/>
        <v/>
      </c>
      <c r="AG202" s="162" t="str">
        <f t="shared" si="13"/>
        <v/>
      </c>
      <c r="AH202" s="164" t="str">
        <f t="shared" si="14"/>
        <v/>
      </c>
      <c r="AI202" s="164" t="str">
        <f t="shared" si="15"/>
        <v/>
      </c>
      <c r="AJ202" s="368"/>
      <c r="AK202" s="368"/>
      <c r="AL202" s="368"/>
      <c r="AM202" s="368"/>
      <c r="AN202" s="368"/>
      <c r="AO202" s="368"/>
      <c r="AP202" s="368"/>
      <c r="AQ202" s="368"/>
      <c r="AR202" s="368"/>
      <c r="AS202" s="195"/>
      <c r="AT202" s="195"/>
      <c r="AU202" s="377"/>
      <c r="AV202" s="382"/>
      <c r="AW202" s="426"/>
      <c r="AX202" s="426"/>
      <c r="AY202" s="426"/>
      <c r="AZ202" s="426"/>
      <c r="BA202" s="426"/>
      <c r="BB202" s="426"/>
      <c r="BC202" s="426"/>
      <c r="BD202" s="426"/>
      <c r="BE202" s="426"/>
      <c r="BF202" s="469"/>
      <c r="BG202" s="467">
        <v>9.2899999999999991</v>
      </c>
      <c r="BH202" s="341"/>
      <c r="BI202" s="446" t="s">
        <v>374</v>
      </c>
      <c r="BJ202" s="507"/>
    </row>
    <row r="203" spans="1:62" ht="15.75" customHeight="1" thickBot="1" x14ac:dyDescent="0.25">
      <c r="A203" s="176">
        <v>202</v>
      </c>
      <c r="B203" s="175">
        <v>1</v>
      </c>
      <c r="C203" s="166" t="s">
        <v>11</v>
      </c>
      <c r="D203" s="166" t="s">
        <v>436</v>
      </c>
      <c r="E203" s="166"/>
      <c r="F203" s="166" t="s">
        <v>441</v>
      </c>
      <c r="G203" s="166" t="s">
        <v>122</v>
      </c>
      <c r="H203" s="166"/>
      <c r="I203" s="181">
        <v>2011</v>
      </c>
      <c r="J203" s="181" t="s">
        <v>370</v>
      </c>
      <c r="K203" s="181" t="s">
        <v>371</v>
      </c>
      <c r="L203" s="181" t="s">
        <v>83</v>
      </c>
      <c r="M203" s="556" t="s">
        <v>4128</v>
      </c>
      <c r="N203" s="214" t="s">
        <v>20</v>
      </c>
      <c r="O203" s="214" t="s">
        <v>20</v>
      </c>
      <c r="P203" s="214" t="s">
        <v>20</v>
      </c>
      <c r="Q203" s="214" t="s">
        <v>20</v>
      </c>
      <c r="R203" s="214" t="s">
        <v>15</v>
      </c>
      <c r="S203" s="214" t="s">
        <v>20</v>
      </c>
      <c r="T203" s="214" t="s">
        <v>20</v>
      </c>
      <c r="U203" s="214" t="s">
        <v>15</v>
      </c>
      <c r="V203" s="214" t="s">
        <v>15</v>
      </c>
      <c r="W203" s="214" t="s">
        <v>15</v>
      </c>
      <c r="X203" s="214" t="s">
        <v>15</v>
      </c>
      <c r="Y203" s="214" t="s">
        <v>15</v>
      </c>
      <c r="Z203" s="234"/>
      <c r="AA203" s="214" t="s">
        <v>372</v>
      </c>
      <c r="AB203" s="214" t="s">
        <v>292</v>
      </c>
      <c r="AC203" s="214" t="s">
        <v>292</v>
      </c>
      <c r="AD203" s="320" t="s">
        <v>373</v>
      </c>
      <c r="AE203" s="320"/>
      <c r="AF203" s="162" t="str">
        <f t="shared" si="12"/>
        <v/>
      </c>
      <c r="AG203" s="162" t="str">
        <f t="shared" si="13"/>
        <v/>
      </c>
      <c r="AH203" s="164" t="str">
        <f t="shared" si="14"/>
        <v/>
      </c>
      <c r="AI203" s="164" t="str">
        <f t="shared" si="15"/>
        <v/>
      </c>
      <c r="AJ203" s="368"/>
      <c r="AK203" s="368"/>
      <c r="AL203" s="368"/>
      <c r="AM203" s="368"/>
      <c r="AN203" s="368"/>
      <c r="AO203" s="368"/>
      <c r="AP203" s="368"/>
      <c r="AQ203" s="368"/>
      <c r="AR203" s="368"/>
      <c r="AS203" s="195"/>
      <c r="AT203" s="195"/>
      <c r="AU203" s="377"/>
      <c r="AV203" s="382"/>
      <c r="AW203" s="426"/>
      <c r="AX203" s="426"/>
      <c r="AY203" s="426"/>
      <c r="AZ203" s="426"/>
      <c r="BA203" s="426"/>
      <c r="BB203" s="426"/>
      <c r="BC203" s="426"/>
      <c r="BD203" s="426"/>
      <c r="BE203" s="426"/>
      <c r="BF203" s="469"/>
      <c r="BG203" s="467">
        <v>7.27</v>
      </c>
      <c r="BH203" s="341"/>
      <c r="BI203" s="446" t="s">
        <v>374</v>
      </c>
      <c r="BJ203" s="507"/>
    </row>
    <row r="204" spans="1:62" ht="15.75" customHeight="1" thickBot="1" x14ac:dyDescent="0.25">
      <c r="A204" s="174">
        <v>203</v>
      </c>
      <c r="B204" s="175">
        <v>1</v>
      </c>
      <c r="C204" s="166" t="s">
        <v>11</v>
      </c>
      <c r="D204" s="166" t="s">
        <v>436</v>
      </c>
      <c r="E204" s="166"/>
      <c r="F204" s="166" t="s">
        <v>442</v>
      </c>
      <c r="G204" s="166" t="s">
        <v>122</v>
      </c>
      <c r="H204" s="166"/>
      <c r="I204" s="181">
        <v>2011</v>
      </c>
      <c r="J204" s="181" t="s">
        <v>370</v>
      </c>
      <c r="K204" s="181" t="s">
        <v>371</v>
      </c>
      <c r="L204" s="181" t="s">
        <v>83</v>
      </c>
      <c r="M204" s="556" t="s">
        <v>4128</v>
      </c>
      <c r="N204" s="214" t="s">
        <v>20</v>
      </c>
      <c r="O204" s="214" t="s">
        <v>20</v>
      </c>
      <c r="P204" s="214" t="s">
        <v>20</v>
      </c>
      <c r="Q204" s="214" t="s">
        <v>20</v>
      </c>
      <c r="R204" s="214" t="s">
        <v>15</v>
      </c>
      <c r="S204" s="214" t="s">
        <v>20</v>
      </c>
      <c r="T204" s="214" t="s">
        <v>20</v>
      </c>
      <c r="U204" s="214" t="s">
        <v>15</v>
      </c>
      <c r="V204" s="214" t="s">
        <v>15</v>
      </c>
      <c r="W204" s="214" t="s">
        <v>15</v>
      </c>
      <c r="X204" s="214" t="s">
        <v>15</v>
      </c>
      <c r="Y204" s="214" t="s">
        <v>15</v>
      </c>
      <c r="Z204" s="234"/>
      <c r="AA204" s="214" t="s">
        <v>372</v>
      </c>
      <c r="AB204" s="214" t="s">
        <v>292</v>
      </c>
      <c r="AC204" s="214" t="s">
        <v>292</v>
      </c>
      <c r="AD204" s="320" t="s">
        <v>373</v>
      </c>
      <c r="AE204" s="320"/>
      <c r="AF204" s="162" t="str">
        <f t="shared" si="12"/>
        <v/>
      </c>
      <c r="AG204" s="162" t="str">
        <f t="shared" si="13"/>
        <v/>
      </c>
      <c r="AH204" s="164" t="str">
        <f t="shared" si="14"/>
        <v/>
      </c>
      <c r="AI204" s="164" t="str">
        <f t="shared" si="15"/>
        <v/>
      </c>
      <c r="AJ204" s="368"/>
      <c r="AK204" s="368"/>
      <c r="AL204" s="368"/>
      <c r="AM204" s="368"/>
      <c r="AN204" s="368"/>
      <c r="AO204" s="368"/>
      <c r="AP204" s="368"/>
      <c r="AQ204" s="368"/>
      <c r="AR204" s="368"/>
      <c r="AS204" s="195"/>
      <c r="AT204" s="195"/>
      <c r="AU204" s="377"/>
      <c r="AV204" s="382"/>
      <c r="AW204" s="426"/>
      <c r="AX204" s="426"/>
      <c r="AY204" s="426"/>
      <c r="AZ204" s="426"/>
      <c r="BA204" s="426"/>
      <c r="BB204" s="426"/>
      <c r="BC204" s="426"/>
      <c r="BD204" s="426"/>
      <c r="BE204" s="426"/>
      <c r="BF204" s="469"/>
      <c r="BG204" s="467">
        <v>8.7899999999999991</v>
      </c>
      <c r="BH204" s="341"/>
      <c r="BI204" s="446" t="s">
        <v>374</v>
      </c>
      <c r="BJ204" s="507"/>
    </row>
    <row r="205" spans="1:62" ht="15.75" customHeight="1" thickBot="1" x14ac:dyDescent="0.25">
      <c r="A205" s="176">
        <v>204</v>
      </c>
      <c r="B205" s="175">
        <v>1</v>
      </c>
      <c r="C205" s="166" t="s">
        <v>11</v>
      </c>
      <c r="D205" s="166" t="s">
        <v>443</v>
      </c>
      <c r="E205" s="166"/>
      <c r="F205" s="166" t="s">
        <v>444</v>
      </c>
      <c r="G205" s="166" t="s">
        <v>122</v>
      </c>
      <c r="H205" s="166" t="s">
        <v>87</v>
      </c>
      <c r="I205" s="181">
        <v>2011</v>
      </c>
      <c r="J205" s="181" t="s">
        <v>370</v>
      </c>
      <c r="K205" s="181" t="s">
        <v>371</v>
      </c>
      <c r="L205" s="181" t="s">
        <v>83</v>
      </c>
      <c r="M205" s="556" t="s">
        <v>4128</v>
      </c>
      <c r="N205" s="214" t="s">
        <v>20</v>
      </c>
      <c r="O205" s="214" t="s">
        <v>20</v>
      </c>
      <c r="P205" s="214" t="s">
        <v>20</v>
      </c>
      <c r="Q205" s="214" t="s">
        <v>20</v>
      </c>
      <c r="R205" s="214" t="s">
        <v>15</v>
      </c>
      <c r="S205" s="214" t="s">
        <v>20</v>
      </c>
      <c r="T205" s="214" t="s">
        <v>20</v>
      </c>
      <c r="U205" s="214" t="s">
        <v>15</v>
      </c>
      <c r="V205" s="214" t="s">
        <v>15</v>
      </c>
      <c r="W205" s="214" t="s">
        <v>15</v>
      </c>
      <c r="X205" s="214" t="s">
        <v>15</v>
      </c>
      <c r="Y205" s="214" t="s">
        <v>15</v>
      </c>
      <c r="Z205" s="234"/>
      <c r="AA205" s="214" t="s">
        <v>372</v>
      </c>
      <c r="AB205" s="214" t="s">
        <v>292</v>
      </c>
      <c r="AC205" s="214" t="s">
        <v>292</v>
      </c>
      <c r="AD205" s="320" t="s">
        <v>373</v>
      </c>
      <c r="AE205" s="320"/>
      <c r="AF205" s="162" t="str">
        <f t="shared" si="12"/>
        <v/>
      </c>
      <c r="AG205" s="162" t="str">
        <f t="shared" si="13"/>
        <v/>
      </c>
      <c r="AH205" s="164" t="str">
        <f t="shared" si="14"/>
        <v/>
      </c>
      <c r="AI205" s="164" t="str">
        <f t="shared" si="15"/>
        <v/>
      </c>
      <c r="AJ205" s="368"/>
      <c r="AK205" s="368"/>
      <c r="AL205" s="368"/>
      <c r="AM205" s="368"/>
      <c r="AN205" s="368"/>
      <c r="AO205" s="368"/>
      <c r="AP205" s="368"/>
      <c r="AQ205" s="368"/>
      <c r="AR205" s="368"/>
      <c r="AS205" s="195"/>
      <c r="AT205" s="195"/>
      <c r="AU205" s="377"/>
      <c r="AV205" s="382"/>
      <c r="AW205" s="426"/>
      <c r="AX205" s="426"/>
      <c r="AY205" s="426"/>
      <c r="AZ205" s="426"/>
      <c r="BA205" s="426"/>
      <c r="BB205" s="426"/>
      <c r="BC205" s="426"/>
      <c r="BD205" s="426"/>
      <c r="BE205" s="426"/>
      <c r="BF205" s="469"/>
      <c r="BG205" s="467">
        <v>9.99</v>
      </c>
      <c r="BH205" s="341"/>
      <c r="BI205" s="446" t="s">
        <v>374</v>
      </c>
      <c r="BJ205" s="507"/>
    </row>
    <row r="206" spans="1:62" ht="15.75" customHeight="1" thickBot="1" x14ac:dyDescent="0.25">
      <c r="A206" s="174">
        <v>205</v>
      </c>
      <c r="B206" s="175">
        <v>1</v>
      </c>
      <c r="C206" s="166" t="s">
        <v>11</v>
      </c>
      <c r="D206" s="166" t="s">
        <v>426</v>
      </c>
      <c r="E206" s="166"/>
      <c r="F206" s="166" t="s">
        <v>445</v>
      </c>
      <c r="G206" s="166" t="s">
        <v>122</v>
      </c>
      <c r="H206" s="166"/>
      <c r="I206" s="181">
        <v>2011</v>
      </c>
      <c r="J206" s="181" t="s">
        <v>370</v>
      </c>
      <c r="K206" s="181" t="s">
        <v>371</v>
      </c>
      <c r="L206" s="181" t="s">
        <v>83</v>
      </c>
      <c r="M206" s="556" t="s">
        <v>4128</v>
      </c>
      <c r="N206" s="214" t="s">
        <v>20</v>
      </c>
      <c r="O206" s="214" t="s">
        <v>20</v>
      </c>
      <c r="P206" s="214" t="s">
        <v>20</v>
      </c>
      <c r="Q206" s="214" t="s">
        <v>20</v>
      </c>
      <c r="R206" s="214" t="s">
        <v>15</v>
      </c>
      <c r="S206" s="214" t="s">
        <v>20</v>
      </c>
      <c r="T206" s="214" t="s">
        <v>20</v>
      </c>
      <c r="U206" s="214" t="s">
        <v>15</v>
      </c>
      <c r="V206" s="214" t="s">
        <v>15</v>
      </c>
      <c r="W206" s="214" t="s">
        <v>15</v>
      </c>
      <c r="X206" s="214" t="s">
        <v>15</v>
      </c>
      <c r="Y206" s="214" t="s">
        <v>15</v>
      </c>
      <c r="Z206" s="234"/>
      <c r="AA206" s="214" t="s">
        <v>372</v>
      </c>
      <c r="AB206" s="214" t="s">
        <v>292</v>
      </c>
      <c r="AC206" s="214" t="s">
        <v>292</v>
      </c>
      <c r="AD206" s="320" t="s">
        <v>373</v>
      </c>
      <c r="AE206" s="320"/>
      <c r="AF206" s="162" t="str">
        <f t="shared" si="12"/>
        <v/>
      </c>
      <c r="AG206" s="162" t="str">
        <f t="shared" si="13"/>
        <v/>
      </c>
      <c r="AH206" s="164" t="str">
        <f t="shared" si="14"/>
        <v/>
      </c>
      <c r="AI206" s="164" t="str">
        <f t="shared" si="15"/>
        <v/>
      </c>
      <c r="AJ206" s="368"/>
      <c r="AK206" s="368"/>
      <c r="AL206" s="368"/>
      <c r="AM206" s="368"/>
      <c r="AN206" s="368"/>
      <c r="AO206" s="368"/>
      <c r="AP206" s="368"/>
      <c r="AQ206" s="368"/>
      <c r="AR206" s="368"/>
      <c r="AS206" s="195"/>
      <c r="AT206" s="195"/>
      <c r="AU206" s="377"/>
      <c r="AV206" s="382"/>
      <c r="AW206" s="426"/>
      <c r="AX206" s="426"/>
      <c r="AY206" s="426"/>
      <c r="AZ206" s="426"/>
      <c r="BA206" s="426"/>
      <c r="BB206" s="426"/>
      <c r="BC206" s="426"/>
      <c r="BD206" s="426"/>
      <c r="BE206" s="426"/>
      <c r="BF206" s="469"/>
      <c r="BG206" s="467">
        <v>6.89</v>
      </c>
      <c r="BH206" s="341"/>
      <c r="BI206" s="446" t="s">
        <v>374</v>
      </c>
      <c r="BJ206" s="507"/>
    </row>
    <row r="207" spans="1:62" ht="15.75" customHeight="1" thickBot="1" x14ac:dyDescent="0.25">
      <c r="A207" s="176">
        <v>206</v>
      </c>
      <c r="B207" s="175">
        <v>1</v>
      </c>
      <c r="C207" s="166" t="s">
        <v>11</v>
      </c>
      <c r="D207" s="166" t="s">
        <v>140</v>
      </c>
      <c r="E207" s="166"/>
      <c r="F207" s="166" t="s">
        <v>446</v>
      </c>
      <c r="G207" s="166" t="s">
        <v>122</v>
      </c>
      <c r="H207" s="166"/>
      <c r="I207" s="181">
        <v>2011</v>
      </c>
      <c r="J207" s="181" t="s">
        <v>370</v>
      </c>
      <c r="K207" s="181" t="s">
        <v>371</v>
      </c>
      <c r="L207" s="181" t="s">
        <v>83</v>
      </c>
      <c r="M207" s="556" t="s">
        <v>4128</v>
      </c>
      <c r="N207" s="214" t="s">
        <v>20</v>
      </c>
      <c r="O207" s="214" t="s">
        <v>20</v>
      </c>
      <c r="P207" s="214" t="s">
        <v>20</v>
      </c>
      <c r="Q207" s="214" t="s">
        <v>20</v>
      </c>
      <c r="R207" s="214" t="s">
        <v>15</v>
      </c>
      <c r="S207" s="214" t="s">
        <v>20</v>
      </c>
      <c r="T207" s="214" t="s">
        <v>20</v>
      </c>
      <c r="U207" s="214" t="s">
        <v>15</v>
      </c>
      <c r="V207" s="214" t="s">
        <v>15</v>
      </c>
      <c r="W207" s="214" t="s">
        <v>15</v>
      </c>
      <c r="X207" s="214" t="s">
        <v>15</v>
      </c>
      <c r="Y207" s="214" t="s">
        <v>15</v>
      </c>
      <c r="Z207" s="234"/>
      <c r="AA207" s="214" t="s">
        <v>372</v>
      </c>
      <c r="AB207" s="214" t="s">
        <v>292</v>
      </c>
      <c r="AC207" s="214" t="s">
        <v>292</v>
      </c>
      <c r="AD207" s="320" t="s">
        <v>373</v>
      </c>
      <c r="AE207" s="320"/>
      <c r="AF207" s="162" t="str">
        <f t="shared" si="12"/>
        <v/>
      </c>
      <c r="AG207" s="162" t="str">
        <f t="shared" si="13"/>
        <v/>
      </c>
      <c r="AH207" s="164" t="str">
        <f t="shared" si="14"/>
        <v/>
      </c>
      <c r="AI207" s="164" t="str">
        <f t="shared" si="15"/>
        <v/>
      </c>
      <c r="AJ207" s="368"/>
      <c r="AK207" s="368"/>
      <c r="AL207" s="368"/>
      <c r="AM207" s="368"/>
      <c r="AN207" s="368"/>
      <c r="AO207" s="368"/>
      <c r="AP207" s="368"/>
      <c r="AQ207" s="368"/>
      <c r="AR207" s="368"/>
      <c r="AS207" s="195"/>
      <c r="AT207" s="195"/>
      <c r="AU207" s="377"/>
      <c r="AV207" s="382"/>
      <c r="AW207" s="426"/>
      <c r="AX207" s="426"/>
      <c r="AY207" s="426"/>
      <c r="AZ207" s="426"/>
      <c r="BA207" s="426"/>
      <c r="BB207" s="426"/>
      <c r="BC207" s="426"/>
      <c r="BD207" s="426"/>
      <c r="BE207" s="426"/>
      <c r="BF207" s="469"/>
      <c r="BG207" s="467">
        <v>1.8</v>
      </c>
      <c r="BH207" s="341"/>
      <c r="BI207" s="446" t="s">
        <v>374</v>
      </c>
      <c r="BJ207" s="507"/>
    </row>
    <row r="208" spans="1:62" ht="15.75" customHeight="1" thickBot="1" x14ac:dyDescent="0.25">
      <c r="A208" s="174">
        <v>207</v>
      </c>
      <c r="B208" s="175">
        <v>1</v>
      </c>
      <c r="C208" s="166" t="s">
        <v>11</v>
      </c>
      <c r="D208" s="166" t="s">
        <v>140</v>
      </c>
      <c r="E208" s="166"/>
      <c r="F208" s="166" t="s">
        <v>447</v>
      </c>
      <c r="G208" s="166" t="s">
        <v>122</v>
      </c>
      <c r="H208" s="166"/>
      <c r="I208" s="181">
        <v>2011</v>
      </c>
      <c r="J208" s="181" t="s">
        <v>370</v>
      </c>
      <c r="K208" s="181" t="s">
        <v>371</v>
      </c>
      <c r="L208" s="181" t="s">
        <v>83</v>
      </c>
      <c r="M208" s="556" t="s">
        <v>4128</v>
      </c>
      <c r="N208" s="214" t="s">
        <v>20</v>
      </c>
      <c r="O208" s="214" t="s">
        <v>20</v>
      </c>
      <c r="P208" s="214" t="s">
        <v>20</v>
      </c>
      <c r="Q208" s="214" t="s">
        <v>20</v>
      </c>
      <c r="R208" s="214" t="s">
        <v>15</v>
      </c>
      <c r="S208" s="214" t="s">
        <v>20</v>
      </c>
      <c r="T208" s="214" t="s">
        <v>20</v>
      </c>
      <c r="U208" s="214" t="s">
        <v>15</v>
      </c>
      <c r="V208" s="214" t="s">
        <v>15</v>
      </c>
      <c r="W208" s="214" t="s">
        <v>15</v>
      </c>
      <c r="X208" s="214" t="s">
        <v>15</v>
      </c>
      <c r="Y208" s="214" t="s">
        <v>15</v>
      </c>
      <c r="Z208" s="234"/>
      <c r="AA208" s="214" t="s">
        <v>372</v>
      </c>
      <c r="AB208" s="214" t="s">
        <v>292</v>
      </c>
      <c r="AC208" s="214" t="s">
        <v>292</v>
      </c>
      <c r="AD208" s="320" t="s">
        <v>373</v>
      </c>
      <c r="AE208" s="320"/>
      <c r="AF208" s="162" t="str">
        <f t="shared" si="12"/>
        <v/>
      </c>
      <c r="AG208" s="162" t="str">
        <f t="shared" si="13"/>
        <v/>
      </c>
      <c r="AH208" s="164" t="str">
        <f t="shared" si="14"/>
        <v/>
      </c>
      <c r="AI208" s="164" t="str">
        <f t="shared" si="15"/>
        <v/>
      </c>
      <c r="AJ208" s="368"/>
      <c r="AK208" s="368"/>
      <c r="AL208" s="368"/>
      <c r="AM208" s="368"/>
      <c r="AN208" s="368"/>
      <c r="AO208" s="368"/>
      <c r="AP208" s="368"/>
      <c r="AQ208" s="368"/>
      <c r="AR208" s="368"/>
      <c r="AS208" s="195"/>
      <c r="AT208" s="195"/>
      <c r="AU208" s="377"/>
      <c r="AV208" s="382"/>
      <c r="AW208" s="426"/>
      <c r="AX208" s="426"/>
      <c r="AY208" s="426"/>
      <c r="AZ208" s="426"/>
      <c r="BA208" s="426"/>
      <c r="BB208" s="426"/>
      <c r="BC208" s="426"/>
      <c r="BD208" s="426"/>
      <c r="BE208" s="426"/>
      <c r="BF208" s="469"/>
      <c r="BG208" s="467">
        <v>2.06</v>
      </c>
      <c r="BH208" s="341"/>
      <c r="BI208" s="446" t="s">
        <v>374</v>
      </c>
      <c r="BJ208" s="507"/>
    </row>
    <row r="209" spans="1:62" ht="15.75" customHeight="1" thickBot="1" x14ac:dyDescent="0.25">
      <c r="A209" s="176">
        <v>208</v>
      </c>
      <c r="B209" s="175">
        <v>1</v>
      </c>
      <c r="C209" s="166" t="s">
        <v>11</v>
      </c>
      <c r="D209" s="166" t="s">
        <v>140</v>
      </c>
      <c r="E209" s="166"/>
      <c r="F209" s="166" t="s">
        <v>448</v>
      </c>
      <c r="G209" s="166" t="s">
        <v>122</v>
      </c>
      <c r="H209" s="166"/>
      <c r="I209" s="181">
        <v>2011</v>
      </c>
      <c r="J209" s="181" t="s">
        <v>370</v>
      </c>
      <c r="K209" s="181" t="s">
        <v>371</v>
      </c>
      <c r="L209" s="181" t="s">
        <v>83</v>
      </c>
      <c r="M209" s="556" t="s">
        <v>4128</v>
      </c>
      <c r="N209" s="214" t="s">
        <v>20</v>
      </c>
      <c r="O209" s="214" t="s">
        <v>20</v>
      </c>
      <c r="P209" s="214" t="s">
        <v>20</v>
      </c>
      <c r="Q209" s="214" t="s">
        <v>20</v>
      </c>
      <c r="R209" s="214" t="s">
        <v>15</v>
      </c>
      <c r="S209" s="214" t="s">
        <v>20</v>
      </c>
      <c r="T209" s="214" t="s">
        <v>20</v>
      </c>
      <c r="U209" s="214" t="s">
        <v>15</v>
      </c>
      <c r="V209" s="214" t="s">
        <v>15</v>
      </c>
      <c r="W209" s="214" t="s">
        <v>15</v>
      </c>
      <c r="X209" s="214" t="s">
        <v>15</v>
      </c>
      <c r="Y209" s="214" t="s">
        <v>15</v>
      </c>
      <c r="Z209" s="234"/>
      <c r="AA209" s="214" t="s">
        <v>372</v>
      </c>
      <c r="AB209" s="214" t="s">
        <v>292</v>
      </c>
      <c r="AC209" s="214" t="s">
        <v>292</v>
      </c>
      <c r="AD209" s="320" t="s">
        <v>373</v>
      </c>
      <c r="AE209" s="320"/>
      <c r="AF209" s="162" t="str">
        <f t="shared" si="12"/>
        <v/>
      </c>
      <c r="AG209" s="162" t="str">
        <f t="shared" si="13"/>
        <v/>
      </c>
      <c r="AH209" s="164" t="str">
        <f t="shared" si="14"/>
        <v/>
      </c>
      <c r="AI209" s="164" t="str">
        <f t="shared" si="15"/>
        <v/>
      </c>
      <c r="AJ209" s="368"/>
      <c r="AK209" s="368"/>
      <c r="AL209" s="368"/>
      <c r="AM209" s="368"/>
      <c r="AN209" s="368"/>
      <c r="AO209" s="368"/>
      <c r="AP209" s="368"/>
      <c r="AQ209" s="368"/>
      <c r="AR209" s="368"/>
      <c r="AS209" s="195"/>
      <c r="AT209" s="195"/>
      <c r="AU209" s="377"/>
      <c r="AV209" s="382"/>
      <c r="AW209" s="426"/>
      <c r="AX209" s="426"/>
      <c r="AY209" s="426"/>
      <c r="AZ209" s="426"/>
      <c r="BA209" s="426"/>
      <c r="BB209" s="426"/>
      <c r="BC209" s="426"/>
      <c r="BD209" s="426"/>
      <c r="BE209" s="426"/>
      <c r="BF209" s="469"/>
      <c r="BG209" s="467">
        <v>1.79</v>
      </c>
      <c r="BH209" s="341"/>
      <c r="BI209" s="446" t="s">
        <v>374</v>
      </c>
      <c r="BJ209" s="507"/>
    </row>
    <row r="210" spans="1:62" ht="15.75" customHeight="1" thickBot="1" x14ac:dyDescent="0.25">
      <c r="A210" s="174">
        <v>209</v>
      </c>
      <c r="B210" s="175">
        <v>1</v>
      </c>
      <c r="C210" s="166" t="s">
        <v>11</v>
      </c>
      <c r="D210" s="166" t="s">
        <v>140</v>
      </c>
      <c r="E210" s="166"/>
      <c r="F210" s="166" t="s">
        <v>449</v>
      </c>
      <c r="G210" s="166" t="s">
        <v>122</v>
      </c>
      <c r="H210" s="166"/>
      <c r="I210" s="181">
        <v>2011</v>
      </c>
      <c r="J210" s="181" t="s">
        <v>370</v>
      </c>
      <c r="K210" s="181" t="s">
        <v>371</v>
      </c>
      <c r="L210" s="181" t="s">
        <v>83</v>
      </c>
      <c r="M210" s="556" t="s">
        <v>4128</v>
      </c>
      <c r="N210" s="214" t="s">
        <v>20</v>
      </c>
      <c r="O210" s="214" t="s">
        <v>20</v>
      </c>
      <c r="P210" s="214" t="s">
        <v>20</v>
      </c>
      <c r="Q210" s="214" t="s">
        <v>20</v>
      </c>
      <c r="R210" s="214" t="s">
        <v>15</v>
      </c>
      <c r="S210" s="214" t="s">
        <v>20</v>
      </c>
      <c r="T210" s="214" t="s">
        <v>20</v>
      </c>
      <c r="U210" s="214" t="s">
        <v>15</v>
      </c>
      <c r="V210" s="214" t="s">
        <v>15</v>
      </c>
      <c r="W210" s="214" t="s">
        <v>15</v>
      </c>
      <c r="X210" s="214" t="s">
        <v>15</v>
      </c>
      <c r="Y210" s="214" t="s">
        <v>15</v>
      </c>
      <c r="Z210" s="234"/>
      <c r="AA210" s="214" t="s">
        <v>372</v>
      </c>
      <c r="AB210" s="214" t="s">
        <v>292</v>
      </c>
      <c r="AC210" s="214" t="s">
        <v>292</v>
      </c>
      <c r="AD210" s="320" t="s">
        <v>373</v>
      </c>
      <c r="AE210" s="320"/>
      <c r="AF210" s="162" t="str">
        <f t="shared" si="12"/>
        <v/>
      </c>
      <c r="AG210" s="162" t="str">
        <f t="shared" si="13"/>
        <v/>
      </c>
      <c r="AH210" s="164" t="str">
        <f t="shared" si="14"/>
        <v/>
      </c>
      <c r="AI210" s="164" t="str">
        <f t="shared" si="15"/>
        <v/>
      </c>
      <c r="AJ210" s="368"/>
      <c r="AK210" s="368"/>
      <c r="AL210" s="368"/>
      <c r="AM210" s="368"/>
      <c r="AN210" s="368"/>
      <c r="AO210" s="368"/>
      <c r="AP210" s="368"/>
      <c r="AQ210" s="368"/>
      <c r="AR210" s="368"/>
      <c r="AS210" s="195"/>
      <c r="AT210" s="195"/>
      <c r="AU210" s="377"/>
      <c r="AV210" s="382"/>
      <c r="AW210" s="426"/>
      <c r="AX210" s="426"/>
      <c r="AY210" s="426"/>
      <c r="AZ210" s="426"/>
      <c r="BA210" s="426"/>
      <c r="BB210" s="426"/>
      <c r="BC210" s="426"/>
      <c r="BD210" s="426"/>
      <c r="BE210" s="426"/>
      <c r="BF210" s="469"/>
      <c r="BG210" s="467">
        <v>1.66</v>
      </c>
      <c r="BH210" s="341"/>
      <c r="BI210" s="446" t="s">
        <v>374</v>
      </c>
      <c r="BJ210" s="507"/>
    </row>
    <row r="211" spans="1:62" ht="15.75" customHeight="1" thickBot="1" x14ac:dyDescent="0.25">
      <c r="A211" s="176">
        <v>210</v>
      </c>
      <c r="B211" s="175">
        <v>1</v>
      </c>
      <c r="C211" s="166" t="s">
        <v>11</v>
      </c>
      <c r="D211" s="166" t="s">
        <v>140</v>
      </c>
      <c r="E211" s="166"/>
      <c r="F211" s="166" t="s">
        <v>450</v>
      </c>
      <c r="G211" s="166" t="s">
        <v>122</v>
      </c>
      <c r="H211" s="166"/>
      <c r="I211" s="181">
        <v>2011</v>
      </c>
      <c r="J211" s="181" t="s">
        <v>370</v>
      </c>
      <c r="K211" s="181" t="s">
        <v>371</v>
      </c>
      <c r="L211" s="181" t="s">
        <v>83</v>
      </c>
      <c r="M211" s="556" t="s">
        <v>4128</v>
      </c>
      <c r="N211" s="214" t="s">
        <v>20</v>
      </c>
      <c r="O211" s="214" t="s">
        <v>20</v>
      </c>
      <c r="P211" s="214" t="s">
        <v>20</v>
      </c>
      <c r="Q211" s="214" t="s">
        <v>20</v>
      </c>
      <c r="R211" s="214" t="s">
        <v>15</v>
      </c>
      <c r="S211" s="214" t="s">
        <v>20</v>
      </c>
      <c r="T211" s="214" t="s">
        <v>20</v>
      </c>
      <c r="U211" s="214" t="s">
        <v>15</v>
      </c>
      <c r="V211" s="214" t="s">
        <v>15</v>
      </c>
      <c r="W211" s="214" t="s">
        <v>15</v>
      </c>
      <c r="X211" s="214" t="s">
        <v>15</v>
      </c>
      <c r="Y211" s="214" t="s">
        <v>15</v>
      </c>
      <c r="Z211" s="234"/>
      <c r="AA211" s="214" t="s">
        <v>372</v>
      </c>
      <c r="AB211" s="214" t="s">
        <v>292</v>
      </c>
      <c r="AC211" s="214" t="s">
        <v>292</v>
      </c>
      <c r="AD211" s="320" t="s">
        <v>373</v>
      </c>
      <c r="AE211" s="320"/>
      <c r="AF211" s="162" t="str">
        <f t="shared" si="12"/>
        <v/>
      </c>
      <c r="AG211" s="162" t="str">
        <f t="shared" si="13"/>
        <v/>
      </c>
      <c r="AH211" s="164" t="str">
        <f t="shared" si="14"/>
        <v/>
      </c>
      <c r="AI211" s="164" t="str">
        <f t="shared" si="15"/>
        <v/>
      </c>
      <c r="AJ211" s="368"/>
      <c r="AK211" s="368"/>
      <c r="AL211" s="368"/>
      <c r="AM211" s="368"/>
      <c r="AN211" s="368"/>
      <c r="AO211" s="368"/>
      <c r="AP211" s="368"/>
      <c r="AQ211" s="368"/>
      <c r="AR211" s="368"/>
      <c r="AS211" s="195"/>
      <c r="AT211" s="195"/>
      <c r="AU211" s="377"/>
      <c r="AV211" s="382"/>
      <c r="AW211" s="426"/>
      <c r="AX211" s="426"/>
      <c r="AY211" s="426"/>
      <c r="AZ211" s="426"/>
      <c r="BA211" s="426"/>
      <c r="BB211" s="426"/>
      <c r="BC211" s="426"/>
      <c r="BD211" s="426"/>
      <c r="BE211" s="426"/>
      <c r="BF211" s="469"/>
      <c r="BG211" s="467">
        <v>1.9</v>
      </c>
      <c r="BH211" s="341"/>
      <c r="BI211" s="446" t="s">
        <v>374</v>
      </c>
      <c r="BJ211" s="507"/>
    </row>
    <row r="212" spans="1:62" ht="15.75" customHeight="1" thickBot="1" x14ac:dyDescent="0.25">
      <c r="A212" s="174">
        <v>211</v>
      </c>
      <c r="B212" s="175">
        <v>1</v>
      </c>
      <c r="C212" s="166" t="s">
        <v>11</v>
      </c>
      <c r="D212" s="166" t="s">
        <v>140</v>
      </c>
      <c r="E212" s="166"/>
      <c r="F212" s="166" t="s">
        <v>451</v>
      </c>
      <c r="G212" s="166" t="s">
        <v>122</v>
      </c>
      <c r="H212" s="166"/>
      <c r="I212" s="181">
        <v>2011</v>
      </c>
      <c r="J212" s="181" t="s">
        <v>370</v>
      </c>
      <c r="K212" s="181" t="s">
        <v>371</v>
      </c>
      <c r="L212" s="181" t="s">
        <v>83</v>
      </c>
      <c r="M212" s="556" t="s">
        <v>4128</v>
      </c>
      <c r="N212" s="214" t="s">
        <v>20</v>
      </c>
      <c r="O212" s="214" t="s">
        <v>20</v>
      </c>
      <c r="P212" s="214" t="s">
        <v>20</v>
      </c>
      <c r="Q212" s="214" t="s">
        <v>20</v>
      </c>
      <c r="R212" s="214" t="s">
        <v>15</v>
      </c>
      <c r="S212" s="214" t="s">
        <v>20</v>
      </c>
      <c r="T212" s="214" t="s">
        <v>20</v>
      </c>
      <c r="U212" s="214" t="s">
        <v>15</v>
      </c>
      <c r="V212" s="214" t="s">
        <v>15</v>
      </c>
      <c r="W212" s="214" t="s">
        <v>15</v>
      </c>
      <c r="X212" s="214" t="s">
        <v>15</v>
      </c>
      <c r="Y212" s="214" t="s">
        <v>15</v>
      </c>
      <c r="Z212" s="234"/>
      <c r="AA212" s="214" t="s">
        <v>372</v>
      </c>
      <c r="AB212" s="214" t="s">
        <v>292</v>
      </c>
      <c r="AC212" s="214" t="s">
        <v>292</v>
      </c>
      <c r="AD212" s="320" t="s">
        <v>373</v>
      </c>
      <c r="AE212" s="320"/>
      <c r="AF212" s="162" t="str">
        <f t="shared" si="12"/>
        <v/>
      </c>
      <c r="AG212" s="162" t="str">
        <f t="shared" si="13"/>
        <v/>
      </c>
      <c r="AH212" s="164" t="str">
        <f t="shared" si="14"/>
        <v/>
      </c>
      <c r="AI212" s="164" t="str">
        <f t="shared" si="15"/>
        <v/>
      </c>
      <c r="AJ212" s="368"/>
      <c r="AK212" s="368"/>
      <c r="AL212" s="368"/>
      <c r="AM212" s="368"/>
      <c r="AN212" s="368"/>
      <c r="AO212" s="368"/>
      <c r="AP212" s="368"/>
      <c r="AQ212" s="368"/>
      <c r="AR212" s="368"/>
      <c r="AS212" s="195"/>
      <c r="AT212" s="195"/>
      <c r="AU212" s="377"/>
      <c r="AV212" s="382"/>
      <c r="AW212" s="426"/>
      <c r="AX212" s="426"/>
      <c r="AY212" s="426"/>
      <c r="AZ212" s="426"/>
      <c r="BA212" s="426"/>
      <c r="BB212" s="426"/>
      <c r="BC212" s="426"/>
      <c r="BD212" s="426"/>
      <c r="BE212" s="426"/>
      <c r="BF212" s="469"/>
      <c r="BG212" s="467">
        <v>1.65</v>
      </c>
      <c r="BH212" s="341"/>
      <c r="BI212" s="446" t="s">
        <v>374</v>
      </c>
      <c r="BJ212" s="507"/>
    </row>
    <row r="213" spans="1:62" ht="15.75" customHeight="1" thickBot="1" x14ac:dyDescent="0.25">
      <c r="A213" s="176">
        <v>212</v>
      </c>
      <c r="B213" s="175">
        <v>1</v>
      </c>
      <c r="C213" s="166" t="s">
        <v>11</v>
      </c>
      <c r="D213" s="166" t="s">
        <v>140</v>
      </c>
      <c r="E213" s="166"/>
      <c r="F213" s="166" t="s">
        <v>452</v>
      </c>
      <c r="G213" s="166" t="s">
        <v>122</v>
      </c>
      <c r="H213" s="166"/>
      <c r="I213" s="181">
        <v>2011</v>
      </c>
      <c r="J213" s="181" t="s">
        <v>370</v>
      </c>
      <c r="K213" s="181" t="s">
        <v>371</v>
      </c>
      <c r="L213" s="181" t="s">
        <v>83</v>
      </c>
      <c r="M213" s="556" t="s">
        <v>4128</v>
      </c>
      <c r="N213" s="214" t="s">
        <v>20</v>
      </c>
      <c r="O213" s="214" t="s">
        <v>20</v>
      </c>
      <c r="P213" s="214" t="s">
        <v>20</v>
      </c>
      <c r="Q213" s="214" t="s">
        <v>20</v>
      </c>
      <c r="R213" s="214" t="s">
        <v>15</v>
      </c>
      <c r="S213" s="214" t="s">
        <v>20</v>
      </c>
      <c r="T213" s="214" t="s">
        <v>20</v>
      </c>
      <c r="U213" s="214" t="s">
        <v>15</v>
      </c>
      <c r="V213" s="214" t="s">
        <v>15</v>
      </c>
      <c r="W213" s="214" t="s">
        <v>15</v>
      </c>
      <c r="X213" s="214" t="s">
        <v>15</v>
      </c>
      <c r="Y213" s="214" t="s">
        <v>15</v>
      </c>
      <c r="Z213" s="234"/>
      <c r="AA213" s="214" t="s">
        <v>372</v>
      </c>
      <c r="AB213" s="214" t="s">
        <v>292</v>
      </c>
      <c r="AC213" s="214" t="s">
        <v>292</v>
      </c>
      <c r="AD213" s="320" t="s">
        <v>373</v>
      </c>
      <c r="AE213" s="320"/>
      <c r="AF213" s="162" t="str">
        <f t="shared" si="12"/>
        <v/>
      </c>
      <c r="AG213" s="162" t="str">
        <f t="shared" si="13"/>
        <v/>
      </c>
      <c r="AH213" s="164" t="str">
        <f t="shared" si="14"/>
        <v/>
      </c>
      <c r="AI213" s="164" t="str">
        <f t="shared" si="15"/>
        <v/>
      </c>
      <c r="AJ213" s="368"/>
      <c r="AK213" s="368"/>
      <c r="AL213" s="368"/>
      <c r="AM213" s="368"/>
      <c r="AN213" s="368"/>
      <c r="AO213" s="368"/>
      <c r="AP213" s="368"/>
      <c r="AQ213" s="368"/>
      <c r="AR213" s="368"/>
      <c r="AS213" s="195"/>
      <c r="AT213" s="195"/>
      <c r="AU213" s="377"/>
      <c r="AV213" s="382"/>
      <c r="AW213" s="426"/>
      <c r="AX213" s="426"/>
      <c r="AY213" s="426"/>
      <c r="AZ213" s="426"/>
      <c r="BA213" s="426"/>
      <c r="BB213" s="426"/>
      <c r="BC213" s="426"/>
      <c r="BD213" s="426"/>
      <c r="BE213" s="426"/>
      <c r="BF213" s="469"/>
      <c r="BG213" s="467">
        <v>1.38</v>
      </c>
      <c r="BH213" s="341"/>
      <c r="BI213" s="446" t="s">
        <v>374</v>
      </c>
      <c r="BJ213" s="507"/>
    </row>
    <row r="214" spans="1:62" ht="15.75" customHeight="1" thickBot="1" x14ac:dyDescent="0.25">
      <c r="A214" s="174">
        <v>213</v>
      </c>
      <c r="B214" s="175">
        <v>1</v>
      </c>
      <c r="C214" s="166" t="s">
        <v>11</v>
      </c>
      <c r="D214" s="166" t="s">
        <v>140</v>
      </c>
      <c r="E214" s="166"/>
      <c r="F214" s="166" t="s">
        <v>453</v>
      </c>
      <c r="G214" s="166" t="s">
        <v>122</v>
      </c>
      <c r="H214" s="166"/>
      <c r="I214" s="181">
        <v>2011</v>
      </c>
      <c r="J214" s="181" t="s">
        <v>370</v>
      </c>
      <c r="K214" s="181" t="s">
        <v>371</v>
      </c>
      <c r="L214" s="181" t="s">
        <v>83</v>
      </c>
      <c r="M214" s="556" t="s">
        <v>4128</v>
      </c>
      <c r="N214" s="214" t="s">
        <v>20</v>
      </c>
      <c r="O214" s="214" t="s">
        <v>20</v>
      </c>
      <c r="P214" s="214" t="s">
        <v>20</v>
      </c>
      <c r="Q214" s="214" t="s">
        <v>20</v>
      </c>
      <c r="R214" s="214" t="s">
        <v>15</v>
      </c>
      <c r="S214" s="214" t="s">
        <v>20</v>
      </c>
      <c r="T214" s="214" t="s">
        <v>20</v>
      </c>
      <c r="U214" s="214" t="s">
        <v>15</v>
      </c>
      <c r="V214" s="214" t="s">
        <v>15</v>
      </c>
      <c r="W214" s="214" t="s">
        <v>15</v>
      </c>
      <c r="X214" s="214" t="s">
        <v>15</v>
      </c>
      <c r="Y214" s="214" t="s">
        <v>15</v>
      </c>
      <c r="Z214" s="234"/>
      <c r="AA214" s="214" t="s">
        <v>372</v>
      </c>
      <c r="AB214" s="214" t="s">
        <v>292</v>
      </c>
      <c r="AC214" s="214" t="s">
        <v>292</v>
      </c>
      <c r="AD214" s="320" t="s">
        <v>373</v>
      </c>
      <c r="AE214" s="320"/>
      <c r="AF214" s="162" t="str">
        <f t="shared" si="12"/>
        <v/>
      </c>
      <c r="AG214" s="162" t="str">
        <f t="shared" si="13"/>
        <v/>
      </c>
      <c r="AH214" s="164" t="str">
        <f t="shared" si="14"/>
        <v/>
      </c>
      <c r="AI214" s="164" t="str">
        <f t="shared" si="15"/>
        <v/>
      </c>
      <c r="AJ214" s="368"/>
      <c r="AK214" s="368"/>
      <c r="AL214" s="368"/>
      <c r="AM214" s="368"/>
      <c r="AN214" s="368"/>
      <c r="AO214" s="368"/>
      <c r="AP214" s="368"/>
      <c r="AQ214" s="368"/>
      <c r="AR214" s="368"/>
      <c r="AS214" s="195"/>
      <c r="AT214" s="195"/>
      <c r="AU214" s="377"/>
      <c r="AV214" s="382"/>
      <c r="AW214" s="426"/>
      <c r="AX214" s="426"/>
      <c r="AY214" s="426"/>
      <c r="AZ214" s="426"/>
      <c r="BA214" s="426"/>
      <c r="BB214" s="426"/>
      <c r="BC214" s="426"/>
      <c r="BD214" s="426"/>
      <c r="BE214" s="426"/>
      <c r="BF214" s="469"/>
      <c r="BG214" s="467">
        <v>1.37</v>
      </c>
      <c r="BH214" s="341"/>
      <c r="BI214" s="446" t="s">
        <v>374</v>
      </c>
      <c r="BJ214" s="507"/>
    </row>
    <row r="215" spans="1:62" ht="15.75" customHeight="1" thickBot="1" x14ac:dyDescent="0.25">
      <c r="A215" s="176">
        <v>214</v>
      </c>
      <c r="B215" s="175">
        <v>1</v>
      </c>
      <c r="C215" s="166" t="s">
        <v>11</v>
      </c>
      <c r="D215" s="166" t="s">
        <v>140</v>
      </c>
      <c r="E215" s="166"/>
      <c r="F215" s="166" t="s">
        <v>454</v>
      </c>
      <c r="G215" s="166" t="s">
        <v>122</v>
      </c>
      <c r="H215" s="166"/>
      <c r="I215" s="181">
        <v>2011</v>
      </c>
      <c r="J215" s="181" t="s">
        <v>370</v>
      </c>
      <c r="K215" s="181" t="s">
        <v>371</v>
      </c>
      <c r="L215" s="181" t="s">
        <v>83</v>
      </c>
      <c r="M215" s="556" t="s">
        <v>4128</v>
      </c>
      <c r="N215" s="214" t="s">
        <v>20</v>
      </c>
      <c r="O215" s="214" t="s">
        <v>20</v>
      </c>
      <c r="P215" s="214" t="s">
        <v>20</v>
      </c>
      <c r="Q215" s="214" t="s">
        <v>20</v>
      </c>
      <c r="R215" s="214" t="s">
        <v>15</v>
      </c>
      <c r="S215" s="214" t="s">
        <v>20</v>
      </c>
      <c r="T215" s="214" t="s">
        <v>20</v>
      </c>
      <c r="U215" s="214" t="s">
        <v>15</v>
      </c>
      <c r="V215" s="214" t="s">
        <v>15</v>
      </c>
      <c r="W215" s="214" t="s">
        <v>15</v>
      </c>
      <c r="X215" s="214" t="s">
        <v>15</v>
      </c>
      <c r="Y215" s="214" t="s">
        <v>15</v>
      </c>
      <c r="Z215" s="234"/>
      <c r="AA215" s="214" t="s">
        <v>372</v>
      </c>
      <c r="AB215" s="214" t="s">
        <v>292</v>
      </c>
      <c r="AC215" s="214" t="s">
        <v>292</v>
      </c>
      <c r="AD215" s="320" t="s">
        <v>373</v>
      </c>
      <c r="AE215" s="320"/>
      <c r="AF215" s="162" t="str">
        <f t="shared" si="12"/>
        <v/>
      </c>
      <c r="AG215" s="162" t="str">
        <f t="shared" si="13"/>
        <v/>
      </c>
      <c r="AH215" s="164" t="str">
        <f t="shared" si="14"/>
        <v/>
      </c>
      <c r="AI215" s="164" t="str">
        <f t="shared" si="15"/>
        <v/>
      </c>
      <c r="AJ215" s="368"/>
      <c r="AK215" s="368"/>
      <c r="AL215" s="368"/>
      <c r="AM215" s="368"/>
      <c r="AN215" s="368"/>
      <c r="AO215" s="368"/>
      <c r="AP215" s="368"/>
      <c r="AQ215" s="368"/>
      <c r="AR215" s="368"/>
      <c r="AS215" s="195"/>
      <c r="AT215" s="195"/>
      <c r="AU215" s="377"/>
      <c r="AV215" s="382"/>
      <c r="AW215" s="426"/>
      <c r="AX215" s="426"/>
      <c r="AY215" s="426"/>
      <c r="AZ215" s="426"/>
      <c r="BA215" s="426"/>
      <c r="BB215" s="426"/>
      <c r="BC215" s="426"/>
      <c r="BD215" s="426"/>
      <c r="BE215" s="426"/>
      <c r="BF215" s="469"/>
      <c r="BG215" s="467">
        <v>1.57</v>
      </c>
      <c r="BH215" s="341"/>
      <c r="BI215" s="446" t="s">
        <v>374</v>
      </c>
      <c r="BJ215" s="507"/>
    </row>
    <row r="216" spans="1:62" ht="15.75" customHeight="1" thickBot="1" x14ac:dyDescent="0.25">
      <c r="A216" s="174">
        <v>215</v>
      </c>
      <c r="B216" s="175">
        <v>1</v>
      </c>
      <c r="C216" s="166" t="s">
        <v>39</v>
      </c>
      <c r="D216" s="166" t="s">
        <v>40</v>
      </c>
      <c r="E216" s="166"/>
      <c r="F216" s="166" t="s">
        <v>455</v>
      </c>
      <c r="G216" s="166" t="s">
        <v>122</v>
      </c>
      <c r="H216" s="166"/>
      <c r="I216" s="181">
        <v>2011</v>
      </c>
      <c r="J216" s="181" t="s">
        <v>370</v>
      </c>
      <c r="K216" s="181" t="s">
        <v>371</v>
      </c>
      <c r="L216" s="181" t="s">
        <v>83</v>
      </c>
      <c r="M216" s="556" t="s">
        <v>4128</v>
      </c>
      <c r="N216" s="214" t="s">
        <v>20</v>
      </c>
      <c r="O216" s="214" t="s">
        <v>20</v>
      </c>
      <c r="P216" s="214" t="s">
        <v>20</v>
      </c>
      <c r="Q216" s="214" t="s">
        <v>20</v>
      </c>
      <c r="R216" s="214" t="s">
        <v>15</v>
      </c>
      <c r="S216" s="214" t="s">
        <v>20</v>
      </c>
      <c r="T216" s="214" t="s">
        <v>20</v>
      </c>
      <c r="U216" s="214" t="s">
        <v>15</v>
      </c>
      <c r="V216" s="214" t="s">
        <v>15</v>
      </c>
      <c r="W216" s="214" t="s">
        <v>15</v>
      </c>
      <c r="X216" s="214" t="s">
        <v>15</v>
      </c>
      <c r="Y216" s="214" t="s">
        <v>15</v>
      </c>
      <c r="Z216" s="234"/>
      <c r="AA216" s="214" t="s">
        <v>372</v>
      </c>
      <c r="AB216" s="214" t="s">
        <v>292</v>
      </c>
      <c r="AC216" s="214" t="s">
        <v>292</v>
      </c>
      <c r="AD216" s="320" t="s">
        <v>373</v>
      </c>
      <c r="AE216" s="320"/>
      <c r="AF216" s="162" t="str">
        <f t="shared" si="12"/>
        <v/>
      </c>
      <c r="AG216" s="162" t="str">
        <f t="shared" si="13"/>
        <v/>
      </c>
      <c r="AH216" s="164" t="str">
        <f t="shared" si="14"/>
        <v/>
      </c>
      <c r="AI216" s="164" t="str">
        <f t="shared" si="15"/>
        <v/>
      </c>
      <c r="AJ216" s="368"/>
      <c r="AK216" s="368"/>
      <c r="AL216" s="368"/>
      <c r="AM216" s="368"/>
      <c r="AN216" s="368"/>
      <c r="AO216" s="368"/>
      <c r="AP216" s="368"/>
      <c r="AQ216" s="368"/>
      <c r="AR216" s="368"/>
      <c r="AS216" s="195"/>
      <c r="AT216" s="195"/>
      <c r="AU216" s="377"/>
      <c r="AV216" s="382"/>
      <c r="AW216" s="426"/>
      <c r="AX216" s="426"/>
      <c r="AY216" s="426"/>
      <c r="AZ216" s="426"/>
      <c r="BA216" s="426"/>
      <c r="BB216" s="426"/>
      <c r="BC216" s="426"/>
      <c r="BD216" s="426"/>
      <c r="BE216" s="426"/>
      <c r="BF216" s="469"/>
      <c r="BG216" s="467">
        <v>4.26</v>
      </c>
      <c r="BH216" s="341"/>
      <c r="BI216" s="446" t="s">
        <v>374</v>
      </c>
      <c r="BJ216" s="507"/>
    </row>
    <row r="217" spans="1:62" ht="15.75" customHeight="1" thickBot="1" x14ac:dyDescent="0.25">
      <c r="A217" s="176">
        <v>216</v>
      </c>
      <c r="B217" s="175">
        <v>1</v>
      </c>
      <c r="C217" s="166" t="s">
        <v>39</v>
      </c>
      <c r="D217" s="166" t="s">
        <v>40</v>
      </c>
      <c r="E217" s="166"/>
      <c r="F217" s="166" t="s">
        <v>379</v>
      </c>
      <c r="G217" s="166" t="s">
        <v>122</v>
      </c>
      <c r="H217" s="166"/>
      <c r="I217" s="181">
        <v>2011</v>
      </c>
      <c r="J217" s="181" t="s">
        <v>370</v>
      </c>
      <c r="K217" s="181" t="s">
        <v>371</v>
      </c>
      <c r="L217" s="181" t="s">
        <v>83</v>
      </c>
      <c r="M217" s="556" t="s">
        <v>4128</v>
      </c>
      <c r="N217" s="214" t="s">
        <v>20</v>
      </c>
      <c r="O217" s="214" t="s">
        <v>20</v>
      </c>
      <c r="P217" s="214" t="s">
        <v>20</v>
      </c>
      <c r="Q217" s="214" t="s">
        <v>20</v>
      </c>
      <c r="R217" s="214" t="s">
        <v>15</v>
      </c>
      <c r="S217" s="214" t="s">
        <v>20</v>
      </c>
      <c r="T217" s="214" t="s">
        <v>20</v>
      </c>
      <c r="U217" s="214" t="s">
        <v>15</v>
      </c>
      <c r="V217" s="214" t="s">
        <v>15</v>
      </c>
      <c r="W217" s="214" t="s">
        <v>15</v>
      </c>
      <c r="X217" s="214" t="s">
        <v>15</v>
      </c>
      <c r="Y217" s="214" t="s">
        <v>15</v>
      </c>
      <c r="Z217" s="234"/>
      <c r="AA217" s="214" t="s">
        <v>372</v>
      </c>
      <c r="AB217" s="214" t="s">
        <v>292</v>
      </c>
      <c r="AC217" s="214" t="s">
        <v>292</v>
      </c>
      <c r="AD217" s="320" t="s">
        <v>373</v>
      </c>
      <c r="AE217" s="320"/>
      <c r="AF217" s="162" t="str">
        <f t="shared" si="12"/>
        <v/>
      </c>
      <c r="AG217" s="162" t="str">
        <f t="shared" si="13"/>
        <v/>
      </c>
      <c r="AH217" s="164" t="str">
        <f t="shared" si="14"/>
        <v/>
      </c>
      <c r="AI217" s="164" t="str">
        <f t="shared" si="15"/>
        <v/>
      </c>
      <c r="AJ217" s="368"/>
      <c r="AK217" s="368"/>
      <c r="AL217" s="368"/>
      <c r="AM217" s="368"/>
      <c r="AN217" s="368"/>
      <c r="AO217" s="368"/>
      <c r="AP217" s="368"/>
      <c r="AQ217" s="368"/>
      <c r="AR217" s="368"/>
      <c r="AS217" s="195"/>
      <c r="AT217" s="195"/>
      <c r="AU217" s="377"/>
      <c r="AV217" s="382"/>
      <c r="AW217" s="426"/>
      <c r="AX217" s="426"/>
      <c r="AY217" s="426"/>
      <c r="AZ217" s="426"/>
      <c r="BA217" s="426"/>
      <c r="BB217" s="426"/>
      <c r="BC217" s="426"/>
      <c r="BD217" s="426"/>
      <c r="BE217" s="426"/>
      <c r="BF217" s="469"/>
      <c r="BG217" s="467">
        <v>4.43</v>
      </c>
      <c r="BH217" s="341"/>
      <c r="BI217" s="446" t="s">
        <v>374</v>
      </c>
      <c r="BJ217" s="507"/>
    </row>
    <row r="218" spans="1:62" ht="15.75" customHeight="1" thickBot="1" x14ac:dyDescent="0.25">
      <c r="A218" s="174">
        <v>217</v>
      </c>
      <c r="B218" s="175">
        <v>1</v>
      </c>
      <c r="C218" s="166" t="s">
        <v>39</v>
      </c>
      <c r="D218" s="166" t="s">
        <v>40</v>
      </c>
      <c r="E218" s="166"/>
      <c r="F218" s="166" t="s">
        <v>456</v>
      </c>
      <c r="G218" s="166" t="s">
        <v>122</v>
      </c>
      <c r="H218" s="166"/>
      <c r="I218" s="181">
        <v>2011</v>
      </c>
      <c r="J218" s="181" t="s">
        <v>370</v>
      </c>
      <c r="K218" s="181" t="s">
        <v>371</v>
      </c>
      <c r="L218" s="181" t="s">
        <v>83</v>
      </c>
      <c r="M218" s="556" t="s">
        <v>4128</v>
      </c>
      <c r="N218" s="214" t="s">
        <v>20</v>
      </c>
      <c r="O218" s="214" t="s">
        <v>20</v>
      </c>
      <c r="P218" s="214" t="s">
        <v>20</v>
      </c>
      <c r="Q218" s="214" t="s">
        <v>20</v>
      </c>
      <c r="R218" s="214" t="s">
        <v>15</v>
      </c>
      <c r="S218" s="214" t="s">
        <v>20</v>
      </c>
      <c r="T218" s="214" t="s">
        <v>20</v>
      </c>
      <c r="U218" s="214" t="s">
        <v>15</v>
      </c>
      <c r="V218" s="214" t="s">
        <v>15</v>
      </c>
      <c r="W218" s="214" t="s">
        <v>15</v>
      </c>
      <c r="X218" s="214" t="s">
        <v>15</v>
      </c>
      <c r="Y218" s="214" t="s">
        <v>15</v>
      </c>
      <c r="Z218" s="234"/>
      <c r="AA218" s="214" t="s">
        <v>372</v>
      </c>
      <c r="AB218" s="214" t="s">
        <v>292</v>
      </c>
      <c r="AC218" s="214" t="s">
        <v>292</v>
      </c>
      <c r="AD218" s="320" t="s">
        <v>373</v>
      </c>
      <c r="AE218" s="320"/>
      <c r="AF218" s="162" t="str">
        <f t="shared" si="12"/>
        <v/>
      </c>
      <c r="AG218" s="162" t="str">
        <f t="shared" si="13"/>
        <v/>
      </c>
      <c r="AH218" s="164" t="str">
        <f t="shared" si="14"/>
        <v/>
      </c>
      <c r="AI218" s="164" t="str">
        <f t="shared" si="15"/>
        <v/>
      </c>
      <c r="AJ218" s="368"/>
      <c r="AK218" s="368"/>
      <c r="AL218" s="368"/>
      <c r="AM218" s="368"/>
      <c r="AN218" s="368"/>
      <c r="AO218" s="368"/>
      <c r="AP218" s="368"/>
      <c r="AQ218" s="368"/>
      <c r="AR218" s="368"/>
      <c r="AS218" s="195"/>
      <c r="AT218" s="195"/>
      <c r="AU218" s="377"/>
      <c r="AV218" s="382"/>
      <c r="AW218" s="426"/>
      <c r="AX218" s="426"/>
      <c r="AY218" s="426"/>
      <c r="AZ218" s="426"/>
      <c r="BA218" s="426"/>
      <c r="BB218" s="426"/>
      <c r="BC218" s="426"/>
      <c r="BD218" s="426"/>
      <c r="BE218" s="426"/>
      <c r="BF218" s="469"/>
      <c r="BG218" s="467">
        <v>4.26</v>
      </c>
      <c r="BH218" s="341"/>
      <c r="BI218" s="446" t="s">
        <v>374</v>
      </c>
      <c r="BJ218" s="507"/>
    </row>
    <row r="219" spans="1:62" ht="15.75" customHeight="1" thickBot="1" x14ac:dyDescent="0.25">
      <c r="A219" s="176">
        <v>218</v>
      </c>
      <c r="B219" s="175">
        <v>1</v>
      </c>
      <c r="C219" s="166" t="s">
        <v>39</v>
      </c>
      <c r="D219" s="166" t="s">
        <v>40</v>
      </c>
      <c r="E219" s="166"/>
      <c r="F219" s="166" t="s">
        <v>457</v>
      </c>
      <c r="G219" s="166" t="s">
        <v>122</v>
      </c>
      <c r="H219" s="166"/>
      <c r="I219" s="181">
        <v>2011</v>
      </c>
      <c r="J219" s="181" t="s">
        <v>370</v>
      </c>
      <c r="K219" s="181" t="s">
        <v>371</v>
      </c>
      <c r="L219" s="181" t="s">
        <v>83</v>
      </c>
      <c r="M219" s="556" t="s">
        <v>4128</v>
      </c>
      <c r="N219" s="214" t="s">
        <v>20</v>
      </c>
      <c r="O219" s="214" t="s">
        <v>20</v>
      </c>
      <c r="P219" s="214" t="s">
        <v>20</v>
      </c>
      <c r="Q219" s="214" t="s">
        <v>20</v>
      </c>
      <c r="R219" s="214" t="s">
        <v>15</v>
      </c>
      <c r="S219" s="214" t="s">
        <v>20</v>
      </c>
      <c r="T219" s="214" t="s">
        <v>20</v>
      </c>
      <c r="U219" s="214" t="s">
        <v>15</v>
      </c>
      <c r="V219" s="214" t="s">
        <v>15</v>
      </c>
      <c r="W219" s="214" t="s">
        <v>15</v>
      </c>
      <c r="X219" s="214" t="s">
        <v>15</v>
      </c>
      <c r="Y219" s="214" t="s">
        <v>15</v>
      </c>
      <c r="Z219" s="234"/>
      <c r="AA219" s="214" t="s">
        <v>372</v>
      </c>
      <c r="AB219" s="214" t="s">
        <v>292</v>
      </c>
      <c r="AC219" s="214" t="s">
        <v>292</v>
      </c>
      <c r="AD219" s="320" t="s">
        <v>373</v>
      </c>
      <c r="AE219" s="320"/>
      <c r="AF219" s="162" t="str">
        <f t="shared" si="12"/>
        <v/>
      </c>
      <c r="AG219" s="162" t="str">
        <f t="shared" si="13"/>
        <v/>
      </c>
      <c r="AH219" s="164" t="str">
        <f t="shared" si="14"/>
        <v/>
      </c>
      <c r="AI219" s="164" t="str">
        <f t="shared" si="15"/>
        <v/>
      </c>
      <c r="AJ219" s="368"/>
      <c r="AK219" s="368"/>
      <c r="AL219" s="368"/>
      <c r="AM219" s="368"/>
      <c r="AN219" s="368"/>
      <c r="AO219" s="368"/>
      <c r="AP219" s="368"/>
      <c r="AQ219" s="368"/>
      <c r="AR219" s="368"/>
      <c r="AS219" s="195"/>
      <c r="AT219" s="195"/>
      <c r="AU219" s="377"/>
      <c r="AV219" s="382"/>
      <c r="AW219" s="426"/>
      <c r="AX219" s="426"/>
      <c r="AY219" s="426"/>
      <c r="AZ219" s="426"/>
      <c r="BA219" s="426"/>
      <c r="BB219" s="426"/>
      <c r="BC219" s="426"/>
      <c r="BD219" s="426"/>
      <c r="BE219" s="426"/>
      <c r="BF219" s="469"/>
      <c r="BG219" s="467">
        <v>4.49</v>
      </c>
      <c r="BH219" s="341"/>
      <c r="BI219" s="446" t="s">
        <v>374</v>
      </c>
      <c r="BJ219" s="507"/>
    </row>
    <row r="220" spans="1:62" ht="15.75" customHeight="1" thickBot="1" x14ac:dyDescent="0.25">
      <c r="A220" s="174">
        <v>219</v>
      </c>
      <c r="B220" s="175">
        <v>1</v>
      </c>
      <c r="C220" s="166" t="s">
        <v>39</v>
      </c>
      <c r="D220" s="166" t="s">
        <v>40</v>
      </c>
      <c r="E220" s="166"/>
      <c r="F220" s="166" t="s">
        <v>458</v>
      </c>
      <c r="G220" s="166" t="s">
        <v>122</v>
      </c>
      <c r="H220" s="166"/>
      <c r="I220" s="181">
        <v>2011</v>
      </c>
      <c r="J220" s="181" t="s">
        <v>370</v>
      </c>
      <c r="K220" s="181" t="s">
        <v>371</v>
      </c>
      <c r="L220" s="181" t="s">
        <v>83</v>
      </c>
      <c r="M220" s="556" t="s">
        <v>4128</v>
      </c>
      <c r="N220" s="214" t="s">
        <v>20</v>
      </c>
      <c r="O220" s="214" t="s">
        <v>20</v>
      </c>
      <c r="P220" s="214" t="s">
        <v>20</v>
      </c>
      <c r="Q220" s="214" t="s">
        <v>20</v>
      </c>
      <c r="R220" s="214" t="s">
        <v>15</v>
      </c>
      <c r="S220" s="214" t="s">
        <v>20</v>
      </c>
      <c r="T220" s="214" t="s">
        <v>20</v>
      </c>
      <c r="U220" s="214" t="s">
        <v>15</v>
      </c>
      <c r="V220" s="214" t="s">
        <v>15</v>
      </c>
      <c r="W220" s="214" t="s">
        <v>15</v>
      </c>
      <c r="X220" s="214" t="s">
        <v>15</v>
      </c>
      <c r="Y220" s="214" t="s">
        <v>15</v>
      </c>
      <c r="Z220" s="234"/>
      <c r="AA220" s="214" t="s">
        <v>372</v>
      </c>
      <c r="AB220" s="214" t="s">
        <v>292</v>
      </c>
      <c r="AC220" s="214" t="s">
        <v>292</v>
      </c>
      <c r="AD220" s="320" t="s">
        <v>373</v>
      </c>
      <c r="AE220" s="320"/>
      <c r="AF220" s="162" t="str">
        <f t="shared" si="12"/>
        <v/>
      </c>
      <c r="AG220" s="162" t="str">
        <f t="shared" si="13"/>
        <v/>
      </c>
      <c r="AH220" s="164" t="str">
        <f t="shared" si="14"/>
        <v/>
      </c>
      <c r="AI220" s="164" t="str">
        <f t="shared" si="15"/>
        <v/>
      </c>
      <c r="AJ220" s="368"/>
      <c r="AK220" s="368"/>
      <c r="AL220" s="368"/>
      <c r="AM220" s="368"/>
      <c r="AN220" s="368"/>
      <c r="AO220" s="368"/>
      <c r="AP220" s="368"/>
      <c r="AQ220" s="368"/>
      <c r="AR220" s="368"/>
      <c r="AS220" s="195"/>
      <c r="AT220" s="195"/>
      <c r="AU220" s="377"/>
      <c r="AV220" s="382"/>
      <c r="AW220" s="426"/>
      <c r="AX220" s="426"/>
      <c r="AY220" s="426"/>
      <c r="AZ220" s="426"/>
      <c r="BA220" s="426"/>
      <c r="BB220" s="426"/>
      <c r="BC220" s="426"/>
      <c r="BD220" s="426"/>
      <c r="BE220" s="426"/>
      <c r="BF220" s="469"/>
      <c r="BG220" s="467">
        <v>4.49</v>
      </c>
      <c r="BH220" s="341"/>
      <c r="BI220" s="446" t="s">
        <v>374</v>
      </c>
      <c r="BJ220" s="507"/>
    </row>
    <row r="221" spans="1:62" ht="15.75" customHeight="1" thickBot="1" x14ac:dyDescent="0.25">
      <c r="A221" s="176">
        <v>220</v>
      </c>
      <c r="B221" s="175">
        <v>1</v>
      </c>
      <c r="C221" s="166" t="s">
        <v>39</v>
      </c>
      <c r="D221" s="166" t="s">
        <v>40</v>
      </c>
      <c r="E221" s="166"/>
      <c r="F221" s="166" t="s">
        <v>459</v>
      </c>
      <c r="G221" s="166" t="s">
        <v>122</v>
      </c>
      <c r="H221" s="166"/>
      <c r="I221" s="181">
        <v>2011</v>
      </c>
      <c r="J221" s="181" t="s">
        <v>370</v>
      </c>
      <c r="K221" s="181" t="s">
        <v>371</v>
      </c>
      <c r="L221" s="181" t="s">
        <v>83</v>
      </c>
      <c r="M221" s="556" t="s">
        <v>4128</v>
      </c>
      <c r="N221" s="214" t="s">
        <v>20</v>
      </c>
      <c r="O221" s="214" t="s">
        <v>20</v>
      </c>
      <c r="P221" s="214" t="s">
        <v>20</v>
      </c>
      <c r="Q221" s="214" t="s">
        <v>20</v>
      </c>
      <c r="R221" s="214" t="s">
        <v>15</v>
      </c>
      <c r="S221" s="214" t="s">
        <v>20</v>
      </c>
      <c r="T221" s="214" t="s">
        <v>20</v>
      </c>
      <c r="U221" s="214" t="s">
        <v>15</v>
      </c>
      <c r="V221" s="214" t="s">
        <v>15</v>
      </c>
      <c r="W221" s="214" t="s">
        <v>15</v>
      </c>
      <c r="X221" s="214" t="s">
        <v>15</v>
      </c>
      <c r="Y221" s="214" t="s">
        <v>15</v>
      </c>
      <c r="Z221" s="234"/>
      <c r="AA221" s="214" t="s">
        <v>372</v>
      </c>
      <c r="AB221" s="214" t="s">
        <v>292</v>
      </c>
      <c r="AC221" s="214" t="s">
        <v>292</v>
      </c>
      <c r="AD221" s="320" t="s">
        <v>373</v>
      </c>
      <c r="AE221" s="320"/>
      <c r="AF221" s="162" t="str">
        <f t="shared" si="12"/>
        <v/>
      </c>
      <c r="AG221" s="162" t="str">
        <f t="shared" si="13"/>
        <v/>
      </c>
      <c r="AH221" s="164" t="str">
        <f t="shared" si="14"/>
        <v/>
      </c>
      <c r="AI221" s="164" t="str">
        <f t="shared" si="15"/>
        <v/>
      </c>
      <c r="AJ221" s="368"/>
      <c r="AK221" s="368"/>
      <c r="AL221" s="368"/>
      <c r="AM221" s="368"/>
      <c r="AN221" s="368"/>
      <c r="AO221" s="368"/>
      <c r="AP221" s="368"/>
      <c r="AQ221" s="368"/>
      <c r="AR221" s="368"/>
      <c r="AS221" s="195"/>
      <c r="AT221" s="195"/>
      <c r="AU221" s="377"/>
      <c r="AV221" s="382"/>
      <c r="AW221" s="426"/>
      <c r="AX221" s="426"/>
      <c r="AY221" s="426"/>
      <c r="AZ221" s="426"/>
      <c r="BA221" s="426"/>
      <c r="BB221" s="426"/>
      <c r="BC221" s="426"/>
      <c r="BD221" s="426"/>
      <c r="BE221" s="426"/>
      <c r="BF221" s="469"/>
      <c r="BG221" s="467">
        <v>3.86</v>
      </c>
      <c r="BH221" s="341"/>
      <c r="BI221" s="446" t="s">
        <v>374</v>
      </c>
      <c r="BJ221" s="507"/>
    </row>
    <row r="222" spans="1:62" ht="15.75" customHeight="1" thickBot="1" x14ac:dyDescent="0.25">
      <c r="A222" s="174">
        <v>221</v>
      </c>
      <c r="B222" s="175">
        <v>1</v>
      </c>
      <c r="C222" s="166" t="s">
        <v>39</v>
      </c>
      <c r="D222" s="166" t="s">
        <v>40</v>
      </c>
      <c r="E222" s="166"/>
      <c r="F222" s="166" t="s">
        <v>460</v>
      </c>
      <c r="G222" s="166" t="s">
        <v>122</v>
      </c>
      <c r="H222" s="166"/>
      <c r="I222" s="181">
        <v>2011</v>
      </c>
      <c r="J222" s="181" t="s">
        <v>370</v>
      </c>
      <c r="K222" s="181" t="s">
        <v>371</v>
      </c>
      <c r="L222" s="181" t="s">
        <v>83</v>
      </c>
      <c r="M222" s="556" t="s">
        <v>4128</v>
      </c>
      <c r="N222" s="214" t="s">
        <v>20</v>
      </c>
      <c r="O222" s="214" t="s">
        <v>20</v>
      </c>
      <c r="P222" s="214" t="s">
        <v>20</v>
      </c>
      <c r="Q222" s="214" t="s">
        <v>20</v>
      </c>
      <c r="R222" s="214" t="s">
        <v>15</v>
      </c>
      <c r="S222" s="214" t="s">
        <v>20</v>
      </c>
      <c r="T222" s="214" t="s">
        <v>20</v>
      </c>
      <c r="U222" s="214" t="s">
        <v>15</v>
      </c>
      <c r="V222" s="214" t="s">
        <v>15</v>
      </c>
      <c r="W222" s="214" t="s">
        <v>15</v>
      </c>
      <c r="X222" s="214" t="s">
        <v>15</v>
      </c>
      <c r="Y222" s="214" t="s">
        <v>15</v>
      </c>
      <c r="Z222" s="234"/>
      <c r="AA222" s="214" t="s">
        <v>372</v>
      </c>
      <c r="AB222" s="214" t="s">
        <v>292</v>
      </c>
      <c r="AC222" s="214" t="s">
        <v>292</v>
      </c>
      <c r="AD222" s="320" t="s">
        <v>373</v>
      </c>
      <c r="AE222" s="320"/>
      <c r="AF222" s="162" t="str">
        <f t="shared" si="12"/>
        <v/>
      </c>
      <c r="AG222" s="162" t="str">
        <f t="shared" si="13"/>
        <v/>
      </c>
      <c r="AH222" s="164" t="str">
        <f t="shared" si="14"/>
        <v/>
      </c>
      <c r="AI222" s="164" t="str">
        <f t="shared" si="15"/>
        <v/>
      </c>
      <c r="AJ222" s="368"/>
      <c r="AK222" s="368"/>
      <c r="AL222" s="368"/>
      <c r="AM222" s="368"/>
      <c r="AN222" s="368"/>
      <c r="AO222" s="368"/>
      <c r="AP222" s="368"/>
      <c r="AQ222" s="368"/>
      <c r="AR222" s="368"/>
      <c r="AS222" s="195"/>
      <c r="AT222" s="195"/>
      <c r="AU222" s="377"/>
      <c r="AV222" s="382"/>
      <c r="AW222" s="426"/>
      <c r="AX222" s="426"/>
      <c r="AY222" s="426"/>
      <c r="AZ222" s="426"/>
      <c r="BA222" s="426"/>
      <c r="BB222" s="426"/>
      <c r="BC222" s="426"/>
      <c r="BD222" s="426"/>
      <c r="BE222" s="426"/>
      <c r="BF222" s="469"/>
      <c r="BG222" s="467">
        <v>4.5599999999999996</v>
      </c>
      <c r="BH222" s="341"/>
      <c r="BI222" s="446" t="s">
        <v>374</v>
      </c>
      <c r="BJ222" s="507"/>
    </row>
    <row r="223" spans="1:62" ht="15.75" customHeight="1" thickBot="1" x14ac:dyDescent="0.25">
      <c r="A223" s="176">
        <v>222</v>
      </c>
      <c r="B223" s="175">
        <v>1</v>
      </c>
      <c r="C223" s="166" t="s">
        <v>39</v>
      </c>
      <c r="D223" s="166" t="s">
        <v>40</v>
      </c>
      <c r="E223" s="166"/>
      <c r="F223" s="166" t="s">
        <v>461</v>
      </c>
      <c r="G223" s="166" t="s">
        <v>122</v>
      </c>
      <c r="H223" s="166"/>
      <c r="I223" s="181">
        <v>2011</v>
      </c>
      <c r="J223" s="181" t="s">
        <v>370</v>
      </c>
      <c r="K223" s="181" t="s">
        <v>371</v>
      </c>
      <c r="L223" s="181" t="s">
        <v>83</v>
      </c>
      <c r="M223" s="556" t="s">
        <v>4128</v>
      </c>
      <c r="N223" s="214" t="s">
        <v>20</v>
      </c>
      <c r="O223" s="214" t="s">
        <v>20</v>
      </c>
      <c r="P223" s="214" t="s">
        <v>20</v>
      </c>
      <c r="Q223" s="214" t="s">
        <v>20</v>
      </c>
      <c r="R223" s="214" t="s">
        <v>15</v>
      </c>
      <c r="S223" s="214" t="s">
        <v>20</v>
      </c>
      <c r="T223" s="214" t="s">
        <v>20</v>
      </c>
      <c r="U223" s="214" t="s">
        <v>15</v>
      </c>
      <c r="V223" s="214" t="s">
        <v>15</v>
      </c>
      <c r="W223" s="214" t="s">
        <v>15</v>
      </c>
      <c r="X223" s="214" t="s">
        <v>15</v>
      </c>
      <c r="Y223" s="214" t="s">
        <v>15</v>
      </c>
      <c r="Z223" s="234"/>
      <c r="AA223" s="214" t="s">
        <v>372</v>
      </c>
      <c r="AB223" s="214" t="s">
        <v>292</v>
      </c>
      <c r="AC223" s="214" t="s">
        <v>292</v>
      </c>
      <c r="AD223" s="320" t="s">
        <v>373</v>
      </c>
      <c r="AE223" s="320"/>
      <c r="AF223" s="162" t="str">
        <f t="shared" si="12"/>
        <v/>
      </c>
      <c r="AG223" s="162" t="str">
        <f t="shared" si="13"/>
        <v/>
      </c>
      <c r="AH223" s="164" t="str">
        <f t="shared" si="14"/>
        <v/>
      </c>
      <c r="AI223" s="164" t="str">
        <f t="shared" si="15"/>
        <v/>
      </c>
      <c r="AJ223" s="368"/>
      <c r="AK223" s="368"/>
      <c r="AL223" s="368"/>
      <c r="AM223" s="368"/>
      <c r="AN223" s="368"/>
      <c r="AO223" s="368"/>
      <c r="AP223" s="368"/>
      <c r="AQ223" s="368"/>
      <c r="AR223" s="368"/>
      <c r="AS223" s="195"/>
      <c r="AT223" s="195"/>
      <c r="AU223" s="377"/>
      <c r="AV223" s="382"/>
      <c r="AW223" s="426"/>
      <c r="AX223" s="426"/>
      <c r="AY223" s="426"/>
      <c r="AZ223" s="426"/>
      <c r="BA223" s="426"/>
      <c r="BB223" s="426"/>
      <c r="BC223" s="426"/>
      <c r="BD223" s="426"/>
      <c r="BE223" s="426"/>
      <c r="BF223" s="469"/>
      <c r="BG223" s="467">
        <v>4.49</v>
      </c>
      <c r="BH223" s="341"/>
      <c r="BI223" s="446" t="s">
        <v>374</v>
      </c>
      <c r="BJ223" s="507"/>
    </row>
    <row r="224" spans="1:62" ht="15.75" customHeight="1" thickBot="1" x14ac:dyDescent="0.25">
      <c r="A224" s="174">
        <v>223</v>
      </c>
      <c r="B224" s="175">
        <v>1</v>
      </c>
      <c r="C224" s="166" t="s">
        <v>39</v>
      </c>
      <c r="D224" s="166" t="s">
        <v>40</v>
      </c>
      <c r="E224" s="166"/>
      <c r="F224" s="166" t="s">
        <v>462</v>
      </c>
      <c r="G224" s="166" t="s">
        <v>122</v>
      </c>
      <c r="H224" s="166"/>
      <c r="I224" s="181">
        <v>2011</v>
      </c>
      <c r="J224" s="181" t="s">
        <v>370</v>
      </c>
      <c r="K224" s="181" t="s">
        <v>371</v>
      </c>
      <c r="L224" s="181" t="s">
        <v>83</v>
      </c>
      <c r="M224" s="556" t="s">
        <v>4128</v>
      </c>
      <c r="N224" s="214" t="s">
        <v>20</v>
      </c>
      <c r="O224" s="214" t="s">
        <v>20</v>
      </c>
      <c r="P224" s="214" t="s">
        <v>20</v>
      </c>
      <c r="Q224" s="214" t="s">
        <v>20</v>
      </c>
      <c r="R224" s="214" t="s">
        <v>15</v>
      </c>
      <c r="S224" s="214" t="s">
        <v>20</v>
      </c>
      <c r="T224" s="214" t="s">
        <v>20</v>
      </c>
      <c r="U224" s="214" t="s">
        <v>15</v>
      </c>
      <c r="V224" s="214" t="s">
        <v>15</v>
      </c>
      <c r="W224" s="214" t="s">
        <v>15</v>
      </c>
      <c r="X224" s="214" t="s">
        <v>15</v>
      </c>
      <c r="Y224" s="214" t="s">
        <v>15</v>
      </c>
      <c r="Z224" s="234"/>
      <c r="AA224" s="214" t="s">
        <v>372</v>
      </c>
      <c r="AB224" s="214" t="s">
        <v>292</v>
      </c>
      <c r="AC224" s="214" t="s">
        <v>292</v>
      </c>
      <c r="AD224" s="320" t="s">
        <v>373</v>
      </c>
      <c r="AE224" s="320"/>
      <c r="AF224" s="162" t="str">
        <f t="shared" si="12"/>
        <v/>
      </c>
      <c r="AG224" s="162" t="str">
        <f t="shared" si="13"/>
        <v/>
      </c>
      <c r="AH224" s="164" t="str">
        <f t="shared" si="14"/>
        <v/>
      </c>
      <c r="AI224" s="164" t="str">
        <f t="shared" si="15"/>
        <v/>
      </c>
      <c r="AJ224" s="368"/>
      <c r="AK224" s="368"/>
      <c r="AL224" s="368"/>
      <c r="AM224" s="368"/>
      <c r="AN224" s="368"/>
      <c r="AO224" s="368"/>
      <c r="AP224" s="368"/>
      <c r="AQ224" s="368"/>
      <c r="AR224" s="368"/>
      <c r="AS224" s="195"/>
      <c r="AT224" s="195"/>
      <c r="AU224" s="377"/>
      <c r="AV224" s="382"/>
      <c r="AW224" s="426"/>
      <c r="AX224" s="426"/>
      <c r="AY224" s="426"/>
      <c r="AZ224" s="426"/>
      <c r="BA224" s="426"/>
      <c r="BB224" s="426"/>
      <c r="BC224" s="426"/>
      <c r="BD224" s="426"/>
      <c r="BE224" s="426"/>
      <c r="BF224" s="469"/>
      <c r="BG224" s="467">
        <v>3.82</v>
      </c>
      <c r="BH224" s="341"/>
      <c r="BI224" s="446" t="s">
        <v>374</v>
      </c>
      <c r="BJ224" s="507"/>
    </row>
    <row r="225" spans="1:62" ht="15.75" customHeight="1" thickBot="1" x14ac:dyDescent="0.25">
      <c r="A225" s="176">
        <v>224</v>
      </c>
      <c r="B225" s="175">
        <v>1</v>
      </c>
      <c r="C225" s="166" t="s">
        <v>39</v>
      </c>
      <c r="D225" s="166" t="s">
        <v>40</v>
      </c>
      <c r="E225" s="166"/>
      <c r="F225" s="166" t="s">
        <v>463</v>
      </c>
      <c r="G225" s="166" t="s">
        <v>122</v>
      </c>
      <c r="H225" s="166"/>
      <c r="I225" s="181">
        <v>2011</v>
      </c>
      <c r="J225" s="181" t="s">
        <v>370</v>
      </c>
      <c r="K225" s="181" t="s">
        <v>371</v>
      </c>
      <c r="L225" s="181" t="s">
        <v>83</v>
      </c>
      <c r="M225" s="556" t="s">
        <v>4128</v>
      </c>
      <c r="N225" s="214" t="s">
        <v>20</v>
      </c>
      <c r="O225" s="214" t="s">
        <v>20</v>
      </c>
      <c r="P225" s="214" t="s">
        <v>20</v>
      </c>
      <c r="Q225" s="214" t="s">
        <v>20</v>
      </c>
      <c r="R225" s="214" t="s">
        <v>15</v>
      </c>
      <c r="S225" s="214" t="s">
        <v>20</v>
      </c>
      <c r="T225" s="214" t="s">
        <v>20</v>
      </c>
      <c r="U225" s="214" t="s">
        <v>15</v>
      </c>
      <c r="V225" s="214" t="s">
        <v>15</v>
      </c>
      <c r="W225" s="214" t="s">
        <v>15</v>
      </c>
      <c r="X225" s="214" t="s">
        <v>15</v>
      </c>
      <c r="Y225" s="214" t="s">
        <v>15</v>
      </c>
      <c r="Z225" s="234"/>
      <c r="AA225" s="214" t="s">
        <v>372</v>
      </c>
      <c r="AB225" s="214" t="s">
        <v>292</v>
      </c>
      <c r="AC225" s="214" t="s">
        <v>292</v>
      </c>
      <c r="AD225" s="320" t="s">
        <v>373</v>
      </c>
      <c r="AE225" s="320"/>
      <c r="AF225" s="162" t="str">
        <f t="shared" si="12"/>
        <v/>
      </c>
      <c r="AG225" s="162" t="str">
        <f t="shared" si="13"/>
        <v/>
      </c>
      <c r="AH225" s="164" t="str">
        <f t="shared" si="14"/>
        <v/>
      </c>
      <c r="AI225" s="164" t="str">
        <f t="shared" si="15"/>
        <v/>
      </c>
      <c r="AJ225" s="368"/>
      <c r="AK225" s="368"/>
      <c r="AL225" s="368"/>
      <c r="AM225" s="368"/>
      <c r="AN225" s="368"/>
      <c r="AO225" s="368"/>
      <c r="AP225" s="368"/>
      <c r="AQ225" s="368"/>
      <c r="AR225" s="368"/>
      <c r="AS225" s="195"/>
      <c r="AT225" s="195"/>
      <c r="AU225" s="377"/>
      <c r="AV225" s="382"/>
      <c r="AW225" s="426"/>
      <c r="AX225" s="426"/>
      <c r="AY225" s="426"/>
      <c r="AZ225" s="426"/>
      <c r="BA225" s="426"/>
      <c r="BB225" s="426"/>
      <c r="BC225" s="426"/>
      <c r="BD225" s="426"/>
      <c r="BE225" s="426"/>
      <c r="BF225" s="469"/>
      <c r="BG225" s="467">
        <v>4.05</v>
      </c>
      <c r="BH225" s="341"/>
      <c r="BI225" s="446" t="s">
        <v>374</v>
      </c>
      <c r="BJ225" s="507"/>
    </row>
    <row r="226" spans="1:62" ht="15.75" customHeight="1" thickBot="1" x14ac:dyDescent="0.25">
      <c r="A226" s="174">
        <v>225</v>
      </c>
      <c r="B226" s="175">
        <v>1</v>
      </c>
      <c r="C226" s="166" t="s">
        <v>236</v>
      </c>
      <c r="D226" s="167" t="s">
        <v>1769</v>
      </c>
      <c r="E226" s="166" t="s">
        <v>13</v>
      </c>
      <c r="F226" s="166" t="s">
        <v>464</v>
      </c>
      <c r="G226" s="166" t="s">
        <v>15</v>
      </c>
      <c r="H226" s="166" t="s">
        <v>16</v>
      </c>
      <c r="I226" s="181">
        <v>2012</v>
      </c>
      <c r="J226" s="181" t="s">
        <v>465</v>
      </c>
      <c r="K226" s="181" t="s">
        <v>466</v>
      </c>
      <c r="L226" s="181" t="s">
        <v>83</v>
      </c>
      <c r="M226" s="556" t="s">
        <v>4129</v>
      </c>
      <c r="N226" s="214" t="s">
        <v>20</v>
      </c>
      <c r="O226" s="214" t="s">
        <v>15</v>
      </c>
      <c r="P226" s="214" t="s">
        <v>20</v>
      </c>
      <c r="Q226" s="214" t="s">
        <v>20</v>
      </c>
      <c r="R226" s="214" t="s">
        <v>20</v>
      </c>
      <c r="S226" s="214" t="s">
        <v>20</v>
      </c>
      <c r="T226" s="214" t="s">
        <v>20</v>
      </c>
      <c r="U226" s="214" t="s">
        <v>15</v>
      </c>
      <c r="V226" s="214" t="s">
        <v>15</v>
      </c>
      <c r="W226" s="214" t="s">
        <v>15</v>
      </c>
      <c r="X226" s="214" t="s">
        <v>15</v>
      </c>
      <c r="Y226" s="214" t="s">
        <v>15</v>
      </c>
      <c r="Z226" s="234"/>
      <c r="AA226" s="214" t="s">
        <v>467</v>
      </c>
      <c r="AB226" s="214" t="s">
        <v>292</v>
      </c>
      <c r="AC226" s="214" t="s">
        <v>122</v>
      </c>
      <c r="AD226" s="320" t="s">
        <v>468</v>
      </c>
      <c r="AE226" s="320" t="s">
        <v>469</v>
      </c>
      <c r="AF226" s="162" t="str">
        <f t="shared" si="12"/>
        <v/>
      </c>
      <c r="AG226" s="162" t="str">
        <f t="shared" si="13"/>
        <v/>
      </c>
      <c r="AH226" s="164">
        <f t="shared" si="14"/>
        <v>0.20396912899669239</v>
      </c>
      <c r="AI226" s="164" t="str">
        <f t="shared" si="15"/>
        <v/>
      </c>
      <c r="AJ226" s="368"/>
      <c r="AK226" s="368"/>
      <c r="AL226" s="368"/>
      <c r="AM226" s="368"/>
      <c r="AN226" s="368"/>
      <c r="AO226" s="368"/>
      <c r="AP226" s="368"/>
      <c r="AQ226" s="368"/>
      <c r="AR226" s="368"/>
      <c r="AS226" s="195"/>
      <c r="AT226" s="195"/>
      <c r="AU226" s="377"/>
      <c r="AV226" s="382"/>
      <c r="AW226" s="426">
        <f>3.7/18.14</f>
        <v>0.20396912899669239</v>
      </c>
      <c r="AX226" s="359"/>
      <c r="AY226" s="359">
        <v>0</v>
      </c>
      <c r="AZ226" s="426">
        <f>1.3/18.14</f>
        <v>7.1664829106945979E-2</v>
      </c>
      <c r="BA226" s="426">
        <f>(0.8+3.6+0.8+0.5+0.5+0.9+0.2+0.5)/18.14</f>
        <v>0.4299889746416759</v>
      </c>
      <c r="BB226" s="426">
        <f>(2.3+1.2)/18.14</f>
        <v>0.19294377067254684</v>
      </c>
      <c r="BC226" s="426"/>
      <c r="BD226" s="426"/>
      <c r="BE226" s="426"/>
      <c r="BF226" s="469">
        <f>3.7/18.14</f>
        <v>0.20396912899669239</v>
      </c>
      <c r="BG226" s="469">
        <f>17/18.17</f>
        <v>0.93560814529444125</v>
      </c>
      <c r="BH226" s="341"/>
      <c r="BI226" s="446" t="s">
        <v>470</v>
      </c>
      <c r="BJ226" s="505"/>
    </row>
    <row r="227" spans="1:62" ht="15.75" customHeight="1" thickBot="1" x14ac:dyDescent="0.25">
      <c r="A227" s="176">
        <v>226</v>
      </c>
      <c r="B227" s="175">
        <v>1</v>
      </c>
      <c r="C227" s="166" t="s">
        <v>236</v>
      </c>
      <c r="D227" s="167" t="s">
        <v>1769</v>
      </c>
      <c r="E227" s="166" t="s">
        <v>13</v>
      </c>
      <c r="F227" s="166" t="s">
        <v>464</v>
      </c>
      <c r="G227" s="166" t="s">
        <v>15</v>
      </c>
      <c r="H227" s="166" t="s">
        <v>471</v>
      </c>
      <c r="I227" s="181">
        <v>2013</v>
      </c>
      <c r="J227" s="181" t="s">
        <v>472</v>
      </c>
      <c r="K227" s="181" t="s">
        <v>473</v>
      </c>
      <c r="L227" s="181" t="s">
        <v>19</v>
      </c>
      <c r="M227" s="556" t="s">
        <v>4130</v>
      </c>
      <c r="N227" s="214" t="s">
        <v>20</v>
      </c>
      <c r="O227" s="214" t="s">
        <v>15</v>
      </c>
      <c r="P227" s="214" t="s">
        <v>20</v>
      </c>
      <c r="Q227" s="214" t="s">
        <v>20</v>
      </c>
      <c r="R227" s="214" t="s">
        <v>20</v>
      </c>
      <c r="S227" s="214" t="s">
        <v>20</v>
      </c>
      <c r="T227" s="214" t="s">
        <v>20</v>
      </c>
      <c r="U227" s="214" t="s">
        <v>20</v>
      </c>
      <c r="V227" s="214" t="s">
        <v>15</v>
      </c>
      <c r="W227" s="214" t="s">
        <v>15</v>
      </c>
      <c r="X227" s="214" t="s">
        <v>15</v>
      </c>
      <c r="Y227" s="214" t="s">
        <v>15</v>
      </c>
      <c r="Z227" s="234"/>
      <c r="AA227" s="214" t="s">
        <v>474</v>
      </c>
      <c r="AB227" s="214" t="s">
        <v>20</v>
      </c>
      <c r="AC227" s="214" t="s">
        <v>20</v>
      </c>
      <c r="AD227" s="320" t="s">
        <v>244</v>
      </c>
      <c r="AE227" s="320"/>
      <c r="AF227" s="162" t="str">
        <f t="shared" si="12"/>
        <v/>
      </c>
      <c r="AG227" s="162" t="str">
        <f t="shared" si="13"/>
        <v/>
      </c>
      <c r="AH227" s="164">
        <f t="shared" si="14"/>
        <v>0.2944</v>
      </c>
      <c r="AI227" s="164">
        <f t="shared" si="15"/>
        <v>0.33119999999999999</v>
      </c>
      <c r="AJ227" s="368"/>
      <c r="AK227" s="368"/>
      <c r="AL227" s="368"/>
      <c r="AM227" s="368"/>
      <c r="AN227" s="368"/>
      <c r="AO227" s="368"/>
      <c r="AP227" s="368"/>
      <c r="AQ227" s="368"/>
      <c r="AR227" s="368"/>
      <c r="AS227" s="195"/>
      <c r="AT227" s="195"/>
      <c r="AU227" s="377"/>
      <c r="AV227" s="382"/>
      <c r="AW227" s="359">
        <f>1.84*0.16</f>
        <v>0.2944</v>
      </c>
      <c r="AX227" s="359"/>
      <c r="AY227" s="359">
        <f>1.84*0.02</f>
        <v>3.6799999999999999E-2</v>
      </c>
      <c r="AZ227" s="359">
        <f>1.84*0.07</f>
        <v>0.12880000000000003</v>
      </c>
      <c r="BA227" s="426">
        <f>1.84*0.67</f>
        <v>1.2328000000000001</v>
      </c>
      <c r="BB227" s="426">
        <f>1.84*0.03</f>
        <v>5.5199999999999999E-2</v>
      </c>
      <c r="BC227" s="426">
        <f>1.84*0.05</f>
        <v>9.2000000000000012E-2</v>
      </c>
      <c r="BD227" s="359"/>
      <c r="BE227" s="359">
        <v>2.3E-3</v>
      </c>
      <c r="BF227" s="469">
        <v>0.2944</v>
      </c>
      <c r="BG227" s="469">
        <v>1.84</v>
      </c>
      <c r="BH227" s="341"/>
      <c r="BI227" s="446" t="s">
        <v>47</v>
      </c>
      <c r="BJ227" s="505"/>
    </row>
    <row r="228" spans="1:62" ht="15.75" customHeight="1" thickBot="1" x14ac:dyDescent="0.25">
      <c r="A228" s="174">
        <v>227</v>
      </c>
      <c r="B228" s="175">
        <v>1</v>
      </c>
      <c r="C228" s="166" t="s">
        <v>236</v>
      </c>
      <c r="D228" s="167" t="s">
        <v>1769</v>
      </c>
      <c r="E228" s="166" t="s">
        <v>13</v>
      </c>
      <c r="F228" s="166" t="s">
        <v>378</v>
      </c>
      <c r="G228" s="166" t="s">
        <v>20</v>
      </c>
      <c r="H228" s="166" t="s">
        <v>471</v>
      </c>
      <c r="I228" s="181">
        <v>2011</v>
      </c>
      <c r="J228" s="181" t="s">
        <v>475</v>
      </c>
      <c r="K228" s="181" t="s">
        <v>476</v>
      </c>
      <c r="L228" s="181" t="s">
        <v>477</v>
      </c>
      <c r="M228" s="556" t="s">
        <v>4131</v>
      </c>
      <c r="N228" s="214" t="s">
        <v>20</v>
      </c>
      <c r="O228" s="214" t="s">
        <v>15</v>
      </c>
      <c r="P228" s="214" t="s">
        <v>15</v>
      </c>
      <c r="Q228" s="214" t="s">
        <v>20</v>
      </c>
      <c r="R228" s="214" t="s">
        <v>15</v>
      </c>
      <c r="S228" s="214" t="s">
        <v>15</v>
      </c>
      <c r="T228" s="214" t="s">
        <v>15</v>
      </c>
      <c r="U228" s="214" t="s">
        <v>15</v>
      </c>
      <c r="V228" s="214" t="s">
        <v>15</v>
      </c>
      <c r="W228" s="214" t="s">
        <v>15</v>
      </c>
      <c r="X228" s="214" t="s">
        <v>15</v>
      </c>
      <c r="Y228" s="214" t="s">
        <v>15</v>
      </c>
      <c r="Z228" s="234"/>
      <c r="AA228" s="214" t="s">
        <v>478</v>
      </c>
      <c r="AB228" s="214" t="s">
        <v>15</v>
      </c>
      <c r="AC228" s="234"/>
      <c r="AD228" s="320" t="s">
        <v>244</v>
      </c>
      <c r="AE228" s="320"/>
      <c r="AF228" s="162" t="str">
        <f t="shared" si="12"/>
        <v/>
      </c>
      <c r="AG228" s="162" t="str">
        <f t="shared" si="13"/>
        <v/>
      </c>
      <c r="AH228" s="164" t="str">
        <f t="shared" si="14"/>
        <v/>
      </c>
      <c r="AI228" s="164" t="str">
        <f t="shared" si="15"/>
        <v/>
      </c>
      <c r="AJ228" s="368"/>
      <c r="AK228" s="368"/>
      <c r="AL228" s="368"/>
      <c r="AM228" s="368"/>
      <c r="AN228" s="368"/>
      <c r="AO228" s="368"/>
      <c r="AP228" s="368"/>
      <c r="AQ228" s="368"/>
      <c r="AR228" s="368"/>
      <c r="AS228" s="195"/>
      <c r="AT228" s="195"/>
      <c r="AU228" s="377"/>
      <c r="AV228" s="382"/>
      <c r="AW228" s="359"/>
      <c r="AX228" s="359"/>
      <c r="AY228" s="359"/>
      <c r="AZ228" s="359"/>
      <c r="BA228" s="426"/>
      <c r="BB228" s="426"/>
      <c r="BC228" s="426"/>
      <c r="BD228" s="359"/>
      <c r="BE228" s="359"/>
      <c r="BF228" s="469"/>
      <c r="BG228" s="469"/>
      <c r="BH228" s="341"/>
      <c r="BI228" s="447"/>
      <c r="BJ228" s="505"/>
    </row>
    <row r="229" spans="1:62" ht="15.75" customHeight="1" thickBot="1" x14ac:dyDescent="0.25">
      <c r="A229" s="176">
        <v>228</v>
      </c>
      <c r="B229" s="175">
        <v>1</v>
      </c>
      <c r="C229" s="166" t="s">
        <v>236</v>
      </c>
      <c r="D229" s="167" t="s">
        <v>1769</v>
      </c>
      <c r="E229" s="166" t="s">
        <v>13</v>
      </c>
      <c r="F229" s="166" t="s">
        <v>378</v>
      </c>
      <c r="G229" s="166" t="s">
        <v>20</v>
      </c>
      <c r="H229" s="166" t="s">
        <v>479</v>
      </c>
      <c r="I229" s="181">
        <v>2011</v>
      </c>
      <c r="J229" s="181" t="s">
        <v>475</v>
      </c>
      <c r="K229" s="181" t="s">
        <v>476</v>
      </c>
      <c r="L229" s="181" t="s">
        <v>477</v>
      </c>
      <c r="M229" s="556" t="s">
        <v>4131</v>
      </c>
      <c r="N229" s="214" t="s">
        <v>20</v>
      </c>
      <c r="O229" s="214" t="s">
        <v>15</v>
      </c>
      <c r="P229" s="214" t="s">
        <v>15</v>
      </c>
      <c r="Q229" s="214" t="s">
        <v>20</v>
      </c>
      <c r="R229" s="214" t="s">
        <v>15</v>
      </c>
      <c r="S229" s="214" t="s">
        <v>15</v>
      </c>
      <c r="T229" s="214" t="s">
        <v>15</v>
      </c>
      <c r="U229" s="214" t="s">
        <v>15</v>
      </c>
      <c r="V229" s="214" t="s">
        <v>15</v>
      </c>
      <c r="W229" s="214" t="s">
        <v>15</v>
      </c>
      <c r="X229" s="214" t="s">
        <v>15</v>
      </c>
      <c r="Y229" s="214" t="s">
        <v>15</v>
      </c>
      <c r="Z229" s="234"/>
      <c r="AA229" s="214" t="s">
        <v>478</v>
      </c>
      <c r="AB229" s="214" t="s">
        <v>15</v>
      </c>
      <c r="AC229" s="234"/>
      <c r="AD229" s="320" t="s">
        <v>244</v>
      </c>
      <c r="AE229" s="320"/>
      <c r="AF229" s="162" t="str">
        <f t="shared" si="12"/>
        <v/>
      </c>
      <c r="AG229" s="162" t="str">
        <f t="shared" si="13"/>
        <v/>
      </c>
      <c r="AH229" s="164" t="str">
        <f t="shared" si="14"/>
        <v/>
      </c>
      <c r="AI229" s="164" t="str">
        <f t="shared" si="15"/>
        <v/>
      </c>
      <c r="AJ229" s="368"/>
      <c r="AK229" s="368"/>
      <c r="AL229" s="368"/>
      <c r="AM229" s="368"/>
      <c r="AN229" s="368"/>
      <c r="AO229" s="368"/>
      <c r="AP229" s="368"/>
      <c r="AQ229" s="368"/>
      <c r="AR229" s="368"/>
      <c r="AS229" s="195"/>
      <c r="AT229" s="195"/>
      <c r="AU229" s="377"/>
      <c r="AV229" s="382"/>
      <c r="AW229" s="359"/>
      <c r="AX229" s="359"/>
      <c r="AY229" s="359"/>
      <c r="AZ229" s="359"/>
      <c r="BA229" s="426"/>
      <c r="BB229" s="426"/>
      <c r="BC229" s="426"/>
      <c r="BD229" s="359"/>
      <c r="BE229" s="359"/>
      <c r="BF229" s="469"/>
      <c r="BG229" s="469"/>
      <c r="BH229" s="341"/>
      <c r="BI229" s="446"/>
      <c r="BJ229" s="505"/>
    </row>
    <row r="230" spans="1:62" ht="15.75" customHeight="1" thickBot="1" x14ac:dyDescent="0.25">
      <c r="A230" s="174">
        <v>229</v>
      </c>
      <c r="B230" s="175">
        <v>1</v>
      </c>
      <c r="C230" s="166" t="s">
        <v>236</v>
      </c>
      <c r="D230" s="166" t="s">
        <v>480</v>
      </c>
      <c r="E230" s="166" t="s">
        <v>13</v>
      </c>
      <c r="F230" s="166" t="s">
        <v>378</v>
      </c>
      <c r="G230" s="166" t="s">
        <v>20</v>
      </c>
      <c r="H230" s="166" t="s">
        <v>471</v>
      </c>
      <c r="I230" s="181">
        <v>2011</v>
      </c>
      <c r="J230" s="181" t="s">
        <v>475</v>
      </c>
      <c r="K230" s="181" t="s">
        <v>476</v>
      </c>
      <c r="L230" s="181" t="s">
        <v>477</v>
      </c>
      <c r="M230" s="556" t="s">
        <v>4131</v>
      </c>
      <c r="N230" s="214" t="s">
        <v>20</v>
      </c>
      <c r="O230" s="214" t="s">
        <v>15</v>
      </c>
      <c r="P230" s="214" t="s">
        <v>15</v>
      </c>
      <c r="Q230" s="214" t="s">
        <v>20</v>
      </c>
      <c r="R230" s="214" t="s">
        <v>15</v>
      </c>
      <c r="S230" s="214" t="s">
        <v>15</v>
      </c>
      <c r="T230" s="214" t="s">
        <v>15</v>
      </c>
      <c r="U230" s="214" t="s">
        <v>15</v>
      </c>
      <c r="V230" s="214" t="s">
        <v>15</v>
      </c>
      <c r="W230" s="214" t="s">
        <v>15</v>
      </c>
      <c r="X230" s="214" t="s">
        <v>15</v>
      </c>
      <c r="Y230" s="214" t="s">
        <v>15</v>
      </c>
      <c r="Z230" s="234"/>
      <c r="AA230" s="214" t="s">
        <v>478</v>
      </c>
      <c r="AB230" s="214" t="s">
        <v>15</v>
      </c>
      <c r="AC230" s="234"/>
      <c r="AD230" s="320" t="s">
        <v>481</v>
      </c>
      <c r="AE230" s="320"/>
      <c r="AF230" s="162" t="str">
        <f t="shared" si="12"/>
        <v/>
      </c>
      <c r="AG230" s="162" t="str">
        <f t="shared" si="13"/>
        <v/>
      </c>
      <c r="AH230" s="164" t="str">
        <f t="shared" si="14"/>
        <v/>
      </c>
      <c r="AI230" s="164" t="str">
        <f t="shared" si="15"/>
        <v/>
      </c>
      <c r="AJ230" s="368"/>
      <c r="AK230" s="368"/>
      <c r="AL230" s="368"/>
      <c r="AM230" s="368"/>
      <c r="AN230" s="368"/>
      <c r="AO230" s="368"/>
      <c r="AP230" s="368"/>
      <c r="AQ230" s="368"/>
      <c r="AR230" s="368"/>
      <c r="AS230" s="195"/>
      <c r="AT230" s="195"/>
      <c r="AU230" s="377"/>
      <c r="AV230" s="382"/>
      <c r="AW230" s="359"/>
      <c r="AX230" s="359"/>
      <c r="AY230" s="359"/>
      <c r="AZ230" s="359"/>
      <c r="BA230" s="426"/>
      <c r="BB230" s="426"/>
      <c r="BC230" s="426"/>
      <c r="BD230" s="359"/>
      <c r="BE230" s="359"/>
      <c r="BF230" s="469"/>
      <c r="BG230" s="469"/>
      <c r="BH230" s="341"/>
      <c r="BI230" s="447"/>
      <c r="BJ230" s="505"/>
    </row>
    <row r="231" spans="1:62" ht="15.75" customHeight="1" thickBot="1" x14ac:dyDescent="0.25">
      <c r="A231" s="176">
        <v>230</v>
      </c>
      <c r="B231" s="175">
        <v>1</v>
      </c>
      <c r="C231" s="166" t="s">
        <v>236</v>
      </c>
      <c r="D231" s="166" t="s">
        <v>480</v>
      </c>
      <c r="E231" s="166" t="s">
        <v>13</v>
      </c>
      <c r="F231" s="166" t="s">
        <v>379</v>
      </c>
      <c r="G231" s="166" t="s">
        <v>20</v>
      </c>
      <c r="H231" s="166" t="s">
        <v>471</v>
      </c>
      <c r="I231" s="181">
        <v>2011</v>
      </c>
      <c r="J231" s="181" t="s">
        <v>475</v>
      </c>
      <c r="K231" s="181" t="s">
        <v>476</v>
      </c>
      <c r="L231" s="181" t="s">
        <v>477</v>
      </c>
      <c r="M231" s="556" t="s">
        <v>4131</v>
      </c>
      <c r="N231" s="214" t="s">
        <v>20</v>
      </c>
      <c r="O231" s="214" t="s">
        <v>15</v>
      </c>
      <c r="P231" s="214" t="s">
        <v>15</v>
      </c>
      <c r="Q231" s="214" t="s">
        <v>20</v>
      </c>
      <c r="R231" s="214" t="s">
        <v>15</v>
      </c>
      <c r="S231" s="214" t="s">
        <v>15</v>
      </c>
      <c r="T231" s="214" t="s">
        <v>15</v>
      </c>
      <c r="U231" s="214" t="s">
        <v>15</v>
      </c>
      <c r="V231" s="214" t="s">
        <v>15</v>
      </c>
      <c r="W231" s="214" t="s">
        <v>15</v>
      </c>
      <c r="X231" s="214" t="s">
        <v>15</v>
      </c>
      <c r="Y231" s="214" t="s">
        <v>15</v>
      </c>
      <c r="Z231" s="234"/>
      <c r="AA231" s="214" t="s">
        <v>478</v>
      </c>
      <c r="AB231" s="214" t="s">
        <v>15</v>
      </c>
      <c r="AC231" s="234"/>
      <c r="AD231" s="320" t="s">
        <v>481</v>
      </c>
      <c r="AE231" s="320"/>
      <c r="AF231" s="162" t="str">
        <f t="shared" si="12"/>
        <v/>
      </c>
      <c r="AG231" s="162" t="str">
        <f t="shared" si="13"/>
        <v/>
      </c>
      <c r="AH231" s="164" t="str">
        <f t="shared" si="14"/>
        <v/>
      </c>
      <c r="AI231" s="164" t="str">
        <f t="shared" si="15"/>
        <v/>
      </c>
      <c r="AJ231" s="368"/>
      <c r="AK231" s="368"/>
      <c r="AL231" s="368"/>
      <c r="AM231" s="368"/>
      <c r="AN231" s="368"/>
      <c r="AO231" s="368"/>
      <c r="AP231" s="368"/>
      <c r="AQ231" s="368"/>
      <c r="AR231" s="368"/>
      <c r="AS231" s="195"/>
      <c r="AT231" s="195"/>
      <c r="AU231" s="377"/>
      <c r="AV231" s="382"/>
      <c r="AW231" s="359"/>
      <c r="AX231" s="359"/>
      <c r="AY231" s="359"/>
      <c r="AZ231" s="359"/>
      <c r="BA231" s="426"/>
      <c r="BB231" s="426"/>
      <c r="BC231" s="426"/>
      <c r="BD231" s="359"/>
      <c r="BE231" s="359"/>
      <c r="BF231" s="469"/>
      <c r="BG231" s="469"/>
      <c r="BH231" s="341"/>
      <c r="BI231" s="447"/>
      <c r="BJ231" s="505"/>
    </row>
    <row r="232" spans="1:62" ht="15.75" customHeight="1" thickBot="1" x14ac:dyDescent="0.25">
      <c r="A232" s="174">
        <v>231</v>
      </c>
      <c r="B232" s="175">
        <v>1</v>
      </c>
      <c r="C232" s="166" t="s">
        <v>236</v>
      </c>
      <c r="D232" s="166" t="s">
        <v>480</v>
      </c>
      <c r="E232" s="166" t="s">
        <v>13</v>
      </c>
      <c r="F232" s="166" t="s">
        <v>378</v>
      </c>
      <c r="G232" s="166" t="s">
        <v>20</v>
      </c>
      <c r="H232" s="166" t="s">
        <v>479</v>
      </c>
      <c r="I232" s="181">
        <v>2011</v>
      </c>
      <c r="J232" s="181" t="s">
        <v>475</v>
      </c>
      <c r="K232" s="181" t="s">
        <v>476</v>
      </c>
      <c r="L232" s="181" t="s">
        <v>477</v>
      </c>
      <c r="M232" s="556" t="s">
        <v>4131</v>
      </c>
      <c r="N232" s="214" t="s">
        <v>20</v>
      </c>
      <c r="O232" s="214" t="s">
        <v>15</v>
      </c>
      <c r="P232" s="214" t="s">
        <v>15</v>
      </c>
      <c r="Q232" s="214" t="s">
        <v>20</v>
      </c>
      <c r="R232" s="214" t="s">
        <v>15</v>
      </c>
      <c r="S232" s="214" t="s">
        <v>15</v>
      </c>
      <c r="T232" s="214" t="s">
        <v>15</v>
      </c>
      <c r="U232" s="214" t="s">
        <v>15</v>
      </c>
      <c r="V232" s="214" t="s">
        <v>15</v>
      </c>
      <c r="W232" s="214" t="s">
        <v>15</v>
      </c>
      <c r="X232" s="214" t="s">
        <v>15</v>
      </c>
      <c r="Y232" s="214" t="s">
        <v>15</v>
      </c>
      <c r="Z232" s="234"/>
      <c r="AA232" s="214" t="s">
        <v>478</v>
      </c>
      <c r="AB232" s="214" t="s">
        <v>15</v>
      </c>
      <c r="AC232" s="234"/>
      <c r="AD232" s="320" t="s">
        <v>481</v>
      </c>
      <c r="AE232" s="320"/>
      <c r="AF232" s="162" t="str">
        <f t="shared" si="12"/>
        <v/>
      </c>
      <c r="AG232" s="162" t="str">
        <f t="shared" si="13"/>
        <v/>
      </c>
      <c r="AH232" s="164" t="str">
        <f t="shared" si="14"/>
        <v/>
      </c>
      <c r="AI232" s="164" t="str">
        <f t="shared" si="15"/>
        <v/>
      </c>
      <c r="AJ232" s="368"/>
      <c r="AK232" s="368"/>
      <c r="AL232" s="368"/>
      <c r="AM232" s="368"/>
      <c r="AN232" s="368"/>
      <c r="AO232" s="368"/>
      <c r="AP232" s="368"/>
      <c r="AQ232" s="368"/>
      <c r="AR232" s="368"/>
      <c r="AS232" s="195"/>
      <c r="AT232" s="195"/>
      <c r="AU232" s="377"/>
      <c r="AV232" s="382"/>
      <c r="AW232" s="359"/>
      <c r="AX232" s="359"/>
      <c r="AY232" s="359"/>
      <c r="AZ232" s="359"/>
      <c r="BA232" s="426"/>
      <c r="BB232" s="426"/>
      <c r="BC232" s="426"/>
      <c r="BD232" s="359"/>
      <c r="BE232" s="359"/>
      <c r="BF232" s="469"/>
      <c r="BG232" s="469"/>
      <c r="BH232" s="341"/>
      <c r="BI232" s="447"/>
      <c r="BJ232" s="505"/>
    </row>
    <row r="233" spans="1:62" ht="15.75" customHeight="1" thickBot="1" x14ac:dyDescent="0.25">
      <c r="A233" s="176">
        <v>232</v>
      </c>
      <c r="B233" s="175">
        <v>1</v>
      </c>
      <c r="C233" s="166" t="s">
        <v>236</v>
      </c>
      <c r="D233" s="167" t="s">
        <v>1769</v>
      </c>
      <c r="E233" s="166" t="s">
        <v>13</v>
      </c>
      <c r="F233" s="166" t="s">
        <v>378</v>
      </c>
      <c r="G233" s="166" t="s">
        <v>15</v>
      </c>
      <c r="H233" s="166" t="s">
        <v>471</v>
      </c>
      <c r="I233" s="181">
        <v>2010</v>
      </c>
      <c r="J233" s="181" t="s">
        <v>482</v>
      </c>
      <c r="K233" s="181" t="s">
        <v>476</v>
      </c>
      <c r="L233" s="181" t="s">
        <v>477</v>
      </c>
      <c r="M233" s="556" t="s">
        <v>4132</v>
      </c>
      <c r="N233" s="214" t="s">
        <v>20</v>
      </c>
      <c r="O233" s="214" t="s">
        <v>15</v>
      </c>
      <c r="P233" s="214" t="s">
        <v>20</v>
      </c>
      <c r="Q233" s="214" t="s">
        <v>20</v>
      </c>
      <c r="R233" s="214" t="s">
        <v>20</v>
      </c>
      <c r="S233" s="214" t="s">
        <v>20</v>
      </c>
      <c r="T233" s="214" t="s">
        <v>15</v>
      </c>
      <c r="U233" s="214" t="s">
        <v>15</v>
      </c>
      <c r="V233" s="214" t="s">
        <v>15</v>
      </c>
      <c r="W233" s="214" t="s">
        <v>15</v>
      </c>
      <c r="X233" s="214" t="s">
        <v>15</v>
      </c>
      <c r="Y233" s="214" t="s">
        <v>15</v>
      </c>
      <c r="Z233" s="234"/>
      <c r="AA233" s="214" t="s">
        <v>483</v>
      </c>
      <c r="AB233" s="214" t="s">
        <v>15</v>
      </c>
      <c r="AC233" s="214" t="s">
        <v>122</v>
      </c>
      <c r="AD233" s="320" t="s">
        <v>484</v>
      </c>
      <c r="AE233" s="320" t="s">
        <v>485</v>
      </c>
      <c r="AF233" s="162" t="str">
        <f t="shared" si="12"/>
        <v/>
      </c>
      <c r="AG233" s="162" t="str">
        <f t="shared" si="13"/>
        <v/>
      </c>
      <c r="AH233" s="164">
        <f t="shared" si="14"/>
        <v>0.13783000000000001</v>
      </c>
      <c r="AI233" s="164" t="str">
        <f t="shared" si="15"/>
        <v/>
      </c>
      <c r="AJ233" s="368"/>
      <c r="AK233" s="369"/>
      <c r="AL233" s="368"/>
      <c r="AM233" s="368"/>
      <c r="AN233" s="368"/>
      <c r="AO233" s="368"/>
      <c r="AP233" s="368"/>
      <c r="AQ233" s="368"/>
      <c r="AR233" s="368"/>
      <c r="AS233" s="195"/>
      <c r="AT233" s="195"/>
      <c r="AU233" s="377"/>
      <c r="AV233" s="382"/>
      <c r="AW233" s="359">
        <v>0.13783000000000001</v>
      </c>
      <c r="AX233" s="359"/>
      <c r="AY233" s="359"/>
      <c r="AZ233" s="359">
        <v>8.9599999999999999E-2</v>
      </c>
      <c r="BA233" s="426">
        <f>0.01411+0.02575+0.69174+0.08446+0.02662</f>
        <v>0.84267999999999998</v>
      </c>
      <c r="BB233" s="426"/>
      <c r="BC233" s="426"/>
      <c r="BD233" s="426"/>
      <c r="BE233" s="426"/>
      <c r="BF233" s="469">
        <v>0.13783000000000001</v>
      </c>
      <c r="BG233" s="469">
        <v>1.1240000000000001</v>
      </c>
      <c r="BH233" s="341"/>
      <c r="BI233" s="450" t="s">
        <v>47</v>
      </c>
      <c r="BJ233" s="505"/>
    </row>
    <row r="234" spans="1:62" ht="15.75" customHeight="1" thickBot="1" x14ac:dyDescent="0.25">
      <c r="A234" s="174">
        <v>233</v>
      </c>
      <c r="B234" s="175">
        <v>1</v>
      </c>
      <c r="C234" s="166" t="s">
        <v>259</v>
      </c>
      <c r="D234" s="166" t="s">
        <v>260</v>
      </c>
      <c r="E234" s="166" t="s">
        <v>13</v>
      </c>
      <c r="F234" s="166" t="s">
        <v>486</v>
      </c>
      <c r="G234" s="166" t="s">
        <v>20</v>
      </c>
      <c r="H234" s="166" t="s">
        <v>101</v>
      </c>
      <c r="I234" s="181">
        <v>2006</v>
      </c>
      <c r="J234" s="181" t="s">
        <v>487</v>
      </c>
      <c r="K234" s="181" t="s">
        <v>488</v>
      </c>
      <c r="L234" s="181" t="s">
        <v>9</v>
      </c>
      <c r="M234" s="556" t="s">
        <v>4133</v>
      </c>
      <c r="N234" s="214" t="s">
        <v>20</v>
      </c>
      <c r="O234" s="214" t="s">
        <v>15</v>
      </c>
      <c r="P234" s="214" t="s">
        <v>20</v>
      </c>
      <c r="Q234" s="214" t="s">
        <v>20</v>
      </c>
      <c r="R234" s="214" t="s">
        <v>20</v>
      </c>
      <c r="S234" s="214" t="s">
        <v>20</v>
      </c>
      <c r="T234" s="214" t="s">
        <v>20</v>
      </c>
      <c r="U234" s="214" t="s">
        <v>20</v>
      </c>
      <c r="V234" s="214" t="s">
        <v>15</v>
      </c>
      <c r="W234" s="214" t="s">
        <v>15</v>
      </c>
      <c r="X234" s="214" t="s">
        <v>15</v>
      </c>
      <c r="Y234" s="214" t="s">
        <v>15</v>
      </c>
      <c r="Z234" s="234"/>
      <c r="AA234" s="214" t="s">
        <v>243</v>
      </c>
      <c r="AB234" s="214" t="s">
        <v>15</v>
      </c>
      <c r="AC234" s="214" t="s">
        <v>292</v>
      </c>
      <c r="AD234" s="320" t="s">
        <v>489</v>
      </c>
      <c r="AE234" s="320" t="s">
        <v>92</v>
      </c>
      <c r="AF234" s="162" t="str">
        <f t="shared" si="12"/>
        <v/>
      </c>
      <c r="AG234" s="162" t="str">
        <f t="shared" si="13"/>
        <v/>
      </c>
      <c r="AH234" s="164" t="str">
        <f t="shared" si="14"/>
        <v/>
      </c>
      <c r="AI234" s="164" t="str">
        <f t="shared" si="15"/>
        <v/>
      </c>
      <c r="AJ234" s="368"/>
      <c r="AK234" s="369"/>
      <c r="AL234" s="368"/>
      <c r="AM234" s="368"/>
      <c r="AN234" s="368"/>
      <c r="AO234" s="368"/>
      <c r="AP234" s="368"/>
      <c r="AQ234" s="368"/>
      <c r="AR234" s="368"/>
      <c r="AS234" s="195"/>
      <c r="AT234" s="199">
        <f>1459*3.6</f>
        <v>5252.4000000000005</v>
      </c>
      <c r="AU234" s="377"/>
      <c r="AW234" s="359"/>
      <c r="AX234" s="359"/>
      <c r="AY234" s="359"/>
      <c r="AZ234" s="359"/>
      <c r="BA234" s="426"/>
      <c r="BB234" s="426"/>
      <c r="BC234" s="426"/>
      <c r="BD234" s="426"/>
      <c r="BE234" s="426"/>
      <c r="BF234" s="469"/>
      <c r="BG234" s="468">
        <v>-0.56000000000000005</v>
      </c>
      <c r="BH234" s="341"/>
      <c r="BI234" s="447"/>
      <c r="BJ234" s="505"/>
    </row>
    <row r="235" spans="1:62" ht="15.75" customHeight="1" thickBot="1" x14ac:dyDescent="0.25">
      <c r="A235" s="176">
        <v>234</v>
      </c>
      <c r="B235" s="175">
        <v>1</v>
      </c>
      <c r="C235" s="166" t="s">
        <v>259</v>
      </c>
      <c r="D235" s="166" t="s">
        <v>260</v>
      </c>
      <c r="E235" s="166" t="s">
        <v>13</v>
      </c>
      <c r="F235" s="166" t="s">
        <v>490</v>
      </c>
      <c r="G235" s="166" t="s">
        <v>20</v>
      </c>
      <c r="H235" s="166" t="s">
        <v>101</v>
      </c>
      <c r="I235" s="181">
        <v>2006</v>
      </c>
      <c r="J235" s="181" t="s">
        <v>487</v>
      </c>
      <c r="K235" s="181" t="s">
        <v>488</v>
      </c>
      <c r="L235" s="181" t="s">
        <v>9</v>
      </c>
      <c r="M235" s="556" t="s">
        <v>4133</v>
      </c>
      <c r="N235" s="214" t="s">
        <v>20</v>
      </c>
      <c r="O235" s="214" t="s">
        <v>15</v>
      </c>
      <c r="P235" s="214" t="s">
        <v>20</v>
      </c>
      <c r="Q235" s="214" t="s">
        <v>20</v>
      </c>
      <c r="R235" s="214" t="s">
        <v>20</v>
      </c>
      <c r="S235" s="214" t="s">
        <v>20</v>
      </c>
      <c r="T235" s="214" t="s">
        <v>20</v>
      </c>
      <c r="U235" s="214" t="s">
        <v>15</v>
      </c>
      <c r="V235" s="214" t="s">
        <v>15</v>
      </c>
      <c r="W235" s="214" t="s">
        <v>20</v>
      </c>
      <c r="X235" s="214" t="s">
        <v>15</v>
      </c>
      <c r="Y235" s="214" t="s">
        <v>15</v>
      </c>
      <c r="Z235" s="234"/>
      <c r="AA235" s="214" t="s">
        <v>243</v>
      </c>
      <c r="AB235" s="214" t="s">
        <v>15</v>
      </c>
      <c r="AC235" s="214" t="s">
        <v>292</v>
      </c>
      <c r="AD235" s="320" t="s">
        <v>489</v>
      </c>
      <c r="AE235" s="320" t="s">
        <v>92</v>
      </c>
      <c r="AF235" s="162" t="str">
        <f t="shared" si="12"/>
        <v/>
      </c>
      <c r="AG235" s="162" t="str">
        <f t="shared" si="13"/>
        <v/>
      </c>
      <c r="AH235" s="164" t="str">
        <f t="shared" si="14"/>
        <v/>
      </c>
      <c r="AI235" s="164" t="str">
        <f t="shared" si="15"/>
        <v/>
      </c>
      <c r="AJ235" s="368"/>
      <c r="AK235" s="369"/>
      <c r="AL235" s="368"/>
      <c r="AM235" s="368"/>
      <c r="AN235" s="368"/>
      <c r="AO235" s="368"/>
      <c r="AP235" s="368"/>
      <c r="AQ235" s="368"/>
      <c r="AR235" s="368"/>
      <c r="AS235" s="195"/>
      <c r="AT235" s="199">
        <f>2000*3.6</f>
        <v>7200</v>
      </c>
      <c r="AU235" s="377"/>
      <c r="AW235" s="359"/>
      <c r="AX235" s="359"/>
      <c r="AY235" s="359"/>
      <c r="AZ235" s="359"/>
      <c r="BA235" s="426"/>
      <c r="BB235" s="426"/>
      <c r="BC235" s="426"/>
      <c r="BD235" s="426"/>
      <c r="BE235" s="426"/>
      <c r="BF235" s="469"/>
      <c r="BG235" s="468">
        <v>-0.501</v>
      </c>
      <c r="BH235" s="341"/>
      <c r="BI235" s="447"/>
      <c r="BJ235" s="505"/>
    </row>
    <row r="236" spans="1:62" ht="15.75" customHeight="1" thickBot="1" x14ac:dyDescent="0.25">
      <c r="A236" s="174">
        <v>235</v>
      </c>
      <c r="B236" s="175">
        <v>1</v>
      </c>
      <c r="C236" s="166" t="s">
        <v>259</v>
      </c>
      <c r="D236" s="166" t="s">
        <v>260</v>
      </c>
      <c r="E236" s="166" t="s">
        <v>13</v>
      </c>
      <c r="F236" s="166" t="s">
        <v>491</v>
      </c>
      <c r="G236" s="166" t="s">
        <v>20</v>
      </c>
      <c r="H236" s="166" t="s">
        <v>492</v>
      </c>
      <c r="I236" s="181">
        <v>2006</v>
      </c>
      <c r="J236" s="181" t="s">
        <v>493</v>
      </c>
      <c r="K236" s="181" t="s">
        <v>494</v>
      </c>
      <c r="L236" s="181" t="s">
        <v>19</v>
      </c>
      <c r="M236" s="556" t="s">
        <v>4134</v>
      </c>
      <c r="N236" s="214" t="s">
        <v>20</v>
      </c>
      <c r="O236" s="214" t="s">
        <v>15</v>
      </c>
      <c r="P236" s="214" t="s">
        <v>20</v>
      </c>
      <c r="Q236" s="214" t="s">
        <v>20</v>
      </c>
      <c r="R236" s="214" t="s">
        <v>20</v>
      </c>
      <c r="S236" s="214" t="s">
        <v>20</v>
      </c>
      <c r="T236" s="214" t="s">
        <v>20</v>
      </c>
      <c r="U236" s="214" t="s">
        <v>15</v>
      </c>
      <c r="V236" s="214" t="s">
        <v>15</v>
      </c>
      <c r="W236" s="214" t="s">
        <v>15</v>
      </c>
      <c r="X236" s="214" t="s">
        <v>15</v>
      </c>
      <c r="Y236" s="214" t="s">
        <v>15</v>
      </c>
      <c r="Z236" s="234"/>
      <c r="AA236" s="214" t="s">
        <v>495</v>
      </c>
      <c r="AB236" s="214" t="s">
        <v>15</v>
      </c>
      <c r="AC236" s="214" t="s">
        <v>20</v>
      </c>
      <c r="AD236" s="320" t="s">
        <v>496</v>
      </c>
      <c r="AE236" s="320" t="s">
        <v>497</v>
      </c>
      <c r="AF236" s="162">
        <f t="shared" si="12"/>
        <v>3.64</v>
      </c>
      <c r="AG236" s="162">
        <f t="shared" si="13"/>
        <v>14.21</v>
      </c>
      <c r="AH236" s="164" t="str">
        <f t="shared" si="14"/>
        <v/>
      </c>
      <c r="AI236" s="164">
        <f t="shared" si="15"/>
        <v>10.57</v>
      </c>
      <c r="AJ236" s="368">
        <v>3.64</v>
      </c>
      <c r="AK236" s="368"/>
      <c r="AL236" s="368">
        <f>6.76+3.81</f>
        <v>10.57</v>
      </c>
      <c r="AM236" s="368">
        <f>0.45</f>
        <v>0.45</v>
      </c>
      <c r="AN236" s="368">
        <v>0.67</v>
      </c>
      <c r="AO236" s="368"/>
      <c r="AP236" s="368"/>
      <c r="AQ236" s="368"/>
      <c r="AR236" s="368"/>
      <c r="AS236" s="195">
        <v>3.64</v>
      </c>
      <c r="AT236" s="195">
        <v>15.3</v>
      </c>
      <c r="AU236" s="377"/>
      <c r="AW236" s="426"/>
      <c r="AX236" s="359"/>
      <c r="AY236" s="426">
        <f>6.76+3.81</f>
        <v>10.57</v>
      </c>
      <c r="AZ236" s="359">
        <v>0.45</v>
      </c>
      <c r="BA236" s="359">
        <v>0.67</v>
      </c>
      <c r="BB236" s="426"/>
      <c r="BC236" s="426"/>
      <c r="BD236" s="426"/>
      <c r="BE236" s="426"/>
      <c r="BF236" s="469"/>
      <c r="BG236" s="469"/>
      <c r="BH236" s="341"/>
      <c r="BI236" s="447"/>
      <c r="BJ236" s="506" t="s">
        <v>3234</v>
      </c>
    </row>
    <row r="237" spans="1:62" ht="15.75" customHeight="1" thickBot="1" x14ac:dyDescent="0.25">
      <c r="A237" s="176">
        <v>236</v>
      </c>
      <c r="B237" s="175">
        <v>1</v>
      </c>
      <c r="C237" s="166" t="s">
        <v>259</v>
      </c>
      <c r="D237" s="166" t="s">
        <v>260</v>
      </c>
      <c r="E237" s="166" t="s">
        <v>13</v>
      </c>
      <c r="F237" s="166" t="s">
        <v>498</v>
      </c>
      <c r="G237" s="166" t="s">
        <v>20</v>
      </c>
      <c r="H237" s="166" t="s">
        <v>492</v>
      </c>
      <c r="I237" s="181">
        <v>2006</v>
      </c>
      <c r="J237" s="181" t="s">
        <v>493</v>
      </c>
      <c r="K237" s="181" t="s">
        <v>494</v>
      </c>
      <c r="L237" s="181" t="s">
        <v>19</v>
      </c>
      <c r="M237" s="556" t="s">
        <v>4134</v>
      </c>
      <c r="N237" s="214" t="s">
        <v>20</v>
      </c>
      <c r="O237" s="214" t="s">
        <v>15</v>
      </c>
      <c r="P237" s="214" t="s">
        <v>20</v>
      </c>
      <c r="Q237" s="214" t="s">
        <v>20</v>
      </c>
      <c r="R237" s="214" t="s">
        <v>20</v>
      </c>
      <c r="S237" s="214" t="s">
        <v>20</v>
      </c>
      <c r="T237" s="214" t="s">
        <v>20</v>
      </c>
      <c r="U237" s="214" t="s">
        <v>15</v>
      </c>
      <c r="V237" s="214" t="s">
        <v>15</v>
      </c>
      <c r="W237" s="214" t="s">
        <v>15</v>
      </c>
      <c r="X237" s="214" t="s">
        <v>15</v>
      </c>
      <c r="Y237" s="214" t="s">
        <v>15</v>
      </c>
      <c r="Z237" s="234"/>
      <c r="AA237" s="214" t="s">
        <v>495</v>
      </c>
      <c r="AB237" s="214" t="s">
        <v>15</v>
      </c>
      <c r="AC237" s="214" t="s">
        <v>20</v>
      </c>
      <c r="AD237" s="320" t="s">
        <v>496</v>
      </c>
      <c r="AE237" s="320" t="s">
        <v>497</v>
      </c>
      <c r="AF237" s="162">
        <f t="shared" si="12"/>
        <v>1.61</v>
      </c>
      <c r="AG237" s="162">
        <f t="shared" si="13"/>
        <v>12.18</v>
      </c>
      <c r="AH237" s="164" t="str">
        <f t="shared" si="14"/>
        <v/>
      </c>
      <c r="AI237" s="164">
        <f t="shared" si="15"/>
        <v>7.57</v>
      </c>
      <c r="AJ237" s="368">
        <v>1.61</v>
      </c>
      <c r="AK237" s="368"/>
      <c r="AL237" s="368">
        <f>6.76+3.81</f>
        <v>10.57</v>
      </c>
      <c r="AM237" s="368">
        <v>0.45</v>
      </c>
      <c r="AN237" s="368">
        <v>0.71</v>
      </c>
      <c r="AO237" s="368"/>
      <c r="AP237" s="368"/>
      <c r="AQ237" s="368"/>
      <c r="AR237" s="368"/>
      <c r="AS237" s="195">
        <v>1.61</v>
      </c>
      <c r="AT237" s="195">
        <v>13.3</v>
      </c>
      <c r="AU237" s="377"/>
      <c r="AW237" s="426"/>
      <c r="AX237" s="359"/>
      <c r="AY237" s="426">
        <f>3.76+3.81</f>
        <v>7.57</v>
      </c>
      <c r="AZ237" s="359">
        <v>0.45</v>
      </c>
      <c r="BA237" s="359">
        <v>0.71</v>
      </c>
      <c r="BB237" s="426"/>
      <c r="BC237" s="426"/>
      <c r="BD237" s="426"/>
      <c r="BE237" s="426"/>
      <c r="BF237" s="469"/>
      <c r="BG237" s="469"/>
      <c r="BH237" s="341"/>
      <c r="BI237" s="447"/>
      <c r="BJ237" s="506" t="s">
        <v>3234</v>
      </c>
    </row>
    <row r="238" spans="1:62" ht="15.75" customHeight="1" thickBot="1" x14ac:dyDescent="0.25">
      <c r="A238" s="174">
        <v>237</v>
      </c>
      <c r="B238" s="175">
        <v>1</v>
      </c>
      <c r="C238" s="166" t="s">
        <v>11</v>
      </c>
      <c r="D238" s="170" t="s">
        <v>12</v>
      </c>
      <c r="E238" s="166" t="s">
        <v>13</v>
      </c>
      <c r="F238" s="166" t="s">
        <v>499</v>
      </c>
      <c r="G238" s="166" t="s">
        <v>20</v>
      </c>
      <c r="H238" s="166" t="s">
        <v>492</v>
      </c>
      <c r="I238" s="181">
        <v>2006</v>
      </c>
      <c r="J238" s="181" t="s">
        <v>493</v>
      </c>
      <c r="K238" s="181" t="s">
        <v>494</v>
      </c>
      <c r="L238" s="181" t="s">
        <v>19</v>
      </c>
      <c r="M238" s="556" t="s">
        <v>4134</v>
      </c>
      <c r="N238" s="214" t="s">
        <v>20</v>
      </c>
      <c r="O238" s="214" t="s">
        <v>15</v>
      </c>
      <c r="P238" s="214" t="s">
        <v>20</v>
      </c>
      <c r="Q238" s="214" t="s">
        <v>20</v>
      </c>
      <c r="R238" s="214" t="s">
        <v>20</v>
      </c>
      <c r="S238" s="214" t="s">
        <v>20</v>
      </c>
      <c r="T238" s="214" t="s">
        <v>20</v>
      </c>
      <c r="U238" s="214" t="s">
        <v>15</v>
      </c>
      <c r="V238" s="214" t="s">
        <v>15</v>
      </c>
      <c r="W238" s="214" t="s">
        <v>15</v>
      </c>
      <c r="X238" s="214" t="s">
        <v>15</v>
      </c>
      <c r="Y238" s="214" t="s">
        <v>15</v>
      </c>
      <c r="Z238" s="234"/>
      <c r="AA238" s="214" t="s">
        <v>495</v>
      </c>
      <c r="AB238" s="214" t="s">
        <v>15</v>
      </c>
      <c r="AC238" s="214" t="s">
        <v>20</v>
      </c>
      <c r="AD238" s="320" t="s">
        <v>500</v>
      </c>
      <c r="AE238" s="320" t="s">
        <v>501</v>
      </c>
      <c r="AF238" s="162">
        <f t="shared" si="12"/>
        <v>4.2849000000000004</v>
      </c>
      <c r="AG238" s="162">
        <f t="shared" si="13"/>
        <v>5.3095500000000007</v>
      </c>
      <c r="AH238" s="164" t="str">
        <f t="shared" si="14"/>
        <v/>
      </c>
      <c r="AI238" s="164">
        <f t="shared" si="15"/>
        <v>1.0246500000000001</v>
      </c>
      <c r="AJ238" s="369">
        <v>4.2849000000000004</v>
      </c>
      <c r="AK238" s="368"/>
      <c r="AL238" s="368">
        <f>(0.59+0.4)*0.001*1035</f>
        <v>1.0246500000000001</v>
      </c>
      <c r="AM238" s="368">
        <f>1*0.001*1035</f>
        <v>1.0349999999999999</v>
      </c>
      <c r="AN238" s="368">
        <f>0.25*0.001*1035</f>
        <v>0.25874999999999998</v>
      </c>
      <c r="AO238" s="368"/>
      <c r="AP238" s="368"/>
      <c r="AQ238" s="368"/>
      <c r="AR238" s="368"/>
      <c r="AS238" s="198">
        <v>4.2849000000000004</v>
      </c>
      <c r="AT238" s="198">
        <v>6.6139999999999999</v>
      </c>
      <c r="AU238" s="377"/>
      <c r="AV238" s="382"/>
      <c r="AW238" s="426"/>
      <c r="AX238" s="359"/>
      <c r="AY238" s="359">
        <v>1.0246500000000001</v>
      </c>
      <c r="AZ238" s="359">
        <v>1.0349999999999999</v>
      </c>
      <c r="BA238" s="359">
        <v>0.25874999999999998</v>
      </c>
      <c r="BB238" s="426"/>
      <c r="BC238" s="426"/>
      <c r="BD238" s="426"/>
      <c r="BE238" s="426"/>
      <c r="BF238" s="469"/>
      <c r="BG238" s="469"/>
      <c r="BH238" s="341"/>
      <c r="BI238" s="447"/>
      <c r="BJ238" s="506" t="s">
        <v>3234</v>
      </c>
    </row>
    <row r="239" spans="1:62" ht="15.75" customHeight="1" thickBot="1" x14ac:dyDescent="0.25">
      <c r="A239" s="176">
        <v>238</v>
      </c>
      <c r="B239" s="175">
        <v>1</v>
      </c>
      <c r="C239" s="166" t="s">
        <v>11</v>
      </c>
      <c r="D239" s="170" t="s">
        <v>12</v>
      </c>
      <c r="E239" s="166" t="s">
        <v>13</v>
      </c>
      <c r="F239" s="166" t="s">
        <v>502</v>
      </c>
      <c r="G239" s="166" t="s">
        <v>20</v>
      </c>
      <c r="H239" s="166" t="s">
        <v>492</v>
      </c>
      <c r="I239" s="181">
        <v>2006</v>
      </c>
      <c r="J239" s="181" t="s">
        <v>493</v>
      </c>
      <c r="K239" s="181" t="s">
        <v>494</v>
      </c>
      <c r="L239" s="181" t="s">
        <v>19</v>
      </c>
      <c r="M239" s="556" t="s">
        <v>4134</v>
      </c>
      <c r="N239" s="214" t="s">
        <v>20</v>
      </c>
      <c r="O239" s="214" t="s">
        <v>15</v>
      </c>
      <c r="P239" s="214" t="s">
        <v>20</v>
      </c>
      <c r="Q239" s="214" t="s">
        <v>20</v>
      </c>
      <c r="R239" s="214" t="s">
        <v>20</v>
      </c>
      <c r="S239" s="214" t="s">
        <v>20</v>
      </c>
      <c r="T239" s="214" t="s">
        <v>20</v>
      </c>
      <c r="U239" s="214" t="s">
        <v>15</v>
      </c>
      <c r="V239" s="214" t="s">
        <v>15</v>
      </c>
      <c r="W239" s="214" t="s">
        <v>15</v>
      </c>
      <c r="X239" s="214" t="s">
        <v>15</v>
      </c>
      <c r="Y239" s="214" t="s">
        <v>15</v>
      </c>
      <c r="Z239" s="234"/>
      <c r="AA239" s="214" t="s">
        <v>495</v>
      </c>
      <c r="AB239" s="214" t="s">
        <v>15</v>
      </c>
      <c r="AC239" s="214" t="s">
        <v>20</v>
      </c>
      <c r="AD239" s="320" t="s">
        <v>500</v>
      </c>
      <c r="AE239" s="320" t="s">
        <v>501</v>
      </c>
      <c r="AF239" s="162">
        <f t="shared" si="12"/>
        <v>2.2149000000000001</v>
      </c>
      <c r="AG239" s="162">
        <f t="shared" si="13"/>
        <v>3.2395500000000004</v>
      </c>
      <c r="AH239" s="164" t="str">
        <f t="shared" si="14"/>
        <v/>
      </c>
      <c r="AI239" s="164">
        <f t="shared" si="15"/>
        <v>1.0246500000000001</v>
      </c>
      <c r="AJ239" s="369">
        <v>2.2149000000000001</v>
      </c>
      <c r="AK239" s="368"/>
      <c r="AL239" s="368">
        <f>(0.59+0.4)*0.001*1035</f>
        <v>1.0246500000000001</v>
      </c>
      <c r="AM239" s="368">
        <f>1*0.001*1035</f>
        <v>1.0349999999999999</v>
      </c>
      <c r="AN239" s="368">
        <f>0.29*0.001*1035</f>
        <v>0.30015000000000003</v>
      </c>
      <c r="AO239" s="368"/>
      <c r="AP239" s="368"/>
      <c r="AQ239" s="368"/>
      <c r="AR239" s="368"/>
      <c r="AS239" s="198">
        <v>2.2149000000000001</v>
      </c>
      <c r="AT239" s="198">
        <v>4.5640000000000001</v>
      </c>
      <c r="AU239" s="377"/>
      <c r="AV239" s="382"/>
      <c r="AW239" s="426"/>
      <c r="AX239" s="359"/>
      <c r="AY239" s="359">
        <v>1.0246500000000001</v>
      </c>
      <c r="AZ239" s="359">
        <v>1.0349999999999999</v>
      </c>
      <c r="BA239" s="359">
        <v>0.30014999999999997</v>
      </c>
      <c r="BB239" s="426"/>
      <c r="BC239" s="426"/>
      <c r="BD239" s="426"/>
      <c r="BE239" s="426"/>
      <c r="BF239" s="469"/>
      <c r="BG239" s="469"/>
      <c r="BH239" s="341"/>
      <c r="BI239" s="447"/>
      <c r="BJ239" s="506" t="s">
        <v>3234</v>
      </c>
    </row>
    <row r="240" spans="1:62" ht="15.75" customHeight="1" thickBot="1" x14ac:dyDescent="0.25">
      <c r="A240" s="174">
        <v>239</v>
      </c>
      <c r="B240" s="175">
        <v>1</v>
      </c>
      <c r="C240" s="166" t="s">
        <v>162</v>
      </c>
      <c r="D240" s="159" t="s">
        <v>2206</v>
      </c>
      <c r="E240" s="166" t="s">
        <v>13</v>
      </c>
      <c r="F240" s="166" t="s">
        <v>504</v>
      </c>
      <c r="G240" s="166" t="s">
        <v>20</v>
      </c>
      <c r="H240" s="166" t="s">
        <v>108</v>
      </c>
      <c r="I240" s="181">
        <v>2006</v>
      </c>
      <c r="J240" s="181" t="s">
        <v>505</v>
      </c>
      <c r="K240" s="181" t="s">
        <v>506</v>
      </c>
      <c r="L240" s="181" t="s">
        <v>104</v>
      </c>
      <c r="M240" s="556" t="s">
        <v>4135</v>
      </c>
      <c r="N240" s="214" t="s">
        <v>20</v>
      </c>
      <c r="O240" s="214" t="s">
        <v>20</v>
      </c>
      <c r="P240" s="214" t="s">
        <v>15</v>
      </c>
      <c r="Q240" s="214" t="s">
        <v>15</v>
      </c>
      <c r="R240" s="214" t="s">
        <v>15</v>
      </c>
      <c r="S240" s="214" t="s">
        <v>15</v>
      </c>
      <c r="T240" s="214" t="s">
        <v>15</v>
      </c>
      <c r="U240" s="214" t="s">
        <v>15</v>
      </c>
      <c r="V240" s="214" t="s">
        <v>15</v>
      </c>
      <c r="W240" s="214" t="s">
        <v>15</v>
      </c>
      <c r="X240" s="214" t="s">
        <v>15</v>
      </c>
      <c r="Y240" s="214" t="s">
        <v>20</v>
      </c>
      <c r="Z240" s="214"/>
      <c r="AA240" s="214" t="s">
        <v>507</v>
      </c>
      <c r="AB240" s="214"/>
      <c r="AC240" s="214" t="s">
        <v>15</v>
      </c>
      <c r="AD240" s="320" t="s">
        <v>508</v>
      </c>
      <c r="AE240" s="320" t="s">
        <v>509</v>
      </c>
      <c r="AF240" s="162" t="str">
        <f t="shared" si="12"/>
        <v/>
      </c>
      <c r="AG240" s="162" t="str">
        <f t="shared" si="13"/>
        <v/>
      </c>
      <c r="AH240" s="164">
        <f t="shared" si="14"/>
        <v>0.215</v>
      </c>
      <c r="AI240" s="164" t="str">
        <f t="shared" si="15"/>
        <v/>
      </c>
      <c r="AJ240" s="369"/>
      <c r="AK240" s="368"/>
      <c r="AL240" s="368"/>
      <c r="AM240" s="368"/>
      <c r="AN240" s="368"/>
      <c r="AO240" s="368"/>
      <c r="AP240" s="368"/>
      <c r="AQ240" s="368"/>
      <c r="AR240" s="368"/>
      <c r="AS240" s="198"/>
      <c r="AT240" s="198"/>
      <c r="AU240" s="378"/>
      <c r="AW240" s="426"/>
      <c r="AX240" s="359"/>
      <c r="AY240" s="359"/>
      <c r="AZ240" s="359"/>
      <c r="BA240" s="359"/>
      <c r="BB240" s="426"/>
      <c r="BC240" s="426"/>
      <c r="BD240" s="426"/>
      <c r="BE240" s="426"/>
      <c r="BF240" s="468">
        <v>0.215</v>
      </c>
      <c r="BG240" s="469"/>
      <c r="BH240" s="335"/>
      <c r="BI240" s="446"/>
      <c r="BJ240" s="507"/>
    </row>
    <row r="241" spans="1:62" ht="15.75" customHeight="1" thickBot="1" x14ac:dyDescent="0.25">
      <c r="A241" s="176">
        <v>240</v>
      </c>
      <c r="B241" s="175">
        <v>1</v>
      </c>
      <c r="C241" s="166" t="s">
        <v>162</v>
      </c>
      <c r="D241" s="159" t="s">
        <v>2206</v>
      </c>
      <c r="E241" s="166" t="s">
        <v>13</v>
      </c>
      <c r="F241" s="166" t="s">
        <v>379</v>
      </c>
      <c r="G241" s="166" t="s">
        <v>20</v>
      </c>
      <c r="H241" s="166" t="s">
        <v>108</v>
      </c>
      <c r="I241" s="181">
        <v>2006</v>
      </c>
      <c r="J241" s="181" t="s">
        <v>505</v>
      </c>
      <c r="K241" s="181" t="s">
        <v>506</v>
      </c>
      <c r="L241" s="181" t="s">
        <v>104</v>
      </c>
      <c r="M241" s="556" t="s">
        <v>4135</v>
      </c>
      <c r="N241" s="214" t="s">
        <v>20</v>
      </c>
      <c r="O241" s="214" t="s">
        <v>20</v>
      </c>
      <c r="P241" s="214" t="s">
        <v>15</v>
      </c>
      <c r="Q241" s="214" t="s">
        <v>15</v>
      </c>
      <c r="R241" s="214" t="s">
        <v>15</v>
      </c>
      <c r="S241" s="214" t="s">
        <v>15</v>
      </c>
      <c r="T241" s="214" t="s">
        <v>15</v>
      </c>
      <c r="U241" s="214" t="s">
        <v>15</v>
      </c>
      <c r="V241" s="214" t="s">
        <v>15</v>
      </c>
      <c r="W241" s="214" t="s">
        <v>15</v>
      </c>
      <c r="X241" s="214" t="s">
        <v>15</v>
      </c>
      <c r="Y241" s="214" t="s">
        <v>20</v>
      </c>
      <c r="Z241" s="214"/>
      <c r="AA241" s="214" t="s">
        <v>507</v>
      </c>
      <c r="AB241" s="214"/>
      <c r="AC241" s="214" t="s">
        <v>15</v>
      </c>
      <c r="AD241" s="320" t="s">
        <v>508</v>
      </c>
      <c r="AE241" s="320" t="s">
        <v>509</v>
      </c>
      <c r="AF241" s="162" t="str">
        <f t="shared" si="12"/>
        <v/>
      </c>
      <c r="AG241" s="162" t="str">
        <f t="shared" si="13"/>
        <v/>
      </c>
      <c r="AH241" s="164">
        <f t="shared" si="14"/>
        <v>0.19900000000000001</v>
      </c>
      <c r="AI241" s="164" t="str">
        <f t="shared" si="15"/>
        <v/>
      </c>
      <c r="AJ241" s="369"/>
      <c r="AK241" s="368"/>
      <c r="AL241" s="368"/>
      <c r="AM241" s="368"/>
      <c r="AN241" s="368"/>
      <c r="AO241" s="368"/>
      <c r="AP241" s="368"/>
      <c r="AQ241" s="368"/>
      <c r="AR241" s="368"/>
      <c r="AS241" s="198"/>
      <c r="AT241" s="198"/>
      <c r="AU241" s="378"/>
      <c r="AW241" s="426"/>
      <c r="AX241" s="359"/>
      <c r="AY241" s="359"/>
      <c r="AZ241" s="359"/>
      <c r="BA241" s="359"/>
      <c r="BB241" s="426"/>
      <c r="BC241" s="426"/>
      <c r="BD241" s="426"/>
      <c r="BE241" s="426"/>
      <c r="BF241" s="468">
        <v>0.19900000000000001</v>
      </c>
      <c r="BG241" s="469"/>
      <c r="BH241" s="335"/>
      <c r="BI241" s="446"/>
      <c r="BJ241" s="507"/>
    </row>
    <row r="242" spans="1:62" ht="15.75" customHeight="1" thickBot="1" x14ac:dyDescent="0.25">
      <c r="A242" s="174">
        <v>241</v>
      </c>
      <c r="B242" s="175">
        <v>1</v>
      </c>
      <c r="C242" s="166" t="s">
        <v>259</v>
      </c>
      <c r="D242" s="166" t="s">
        <v>260</v>
      </c>
      <c r="E242" s="166" t="s">
        <v>13</v>
      </c>
      <c r="F242" s="166" t="s">
        <v>510</v>
      </c>
      <c r="G242" s="166" t="s">
        <v>20</v>
      </c>
      <c r="H242" s="166" t="s">
        <v>108</v>
      </c>
      <c r="I242" s="181">
        <v>2006</v>
      </c>
      <c r="J242" s="181" t="s">
        <v>505</v>
      </c>
      <c r="K242" s="181" t="s">
        <v>506</v>
      </c>
      <c r="L242" s="181" t="s">
        <v>104</v>
      </c>
      <c r="M242" s="556" t="s">
        <v>4135</v>
      </c>
      <c r="N242" s="214" t="s">
        <v>20</v>
      </c>
      <c r="O242" s="214" t="s">
        <v>20</v>
      </c>
      <c r="P242" s="214" t="s">
        <v>15</v>
      </c>
      <c r="Q242" s="214" t="s">
        <v>15</v>
      </c>
      <c r="R242" s="214" t="s">
        <v>15</v>
      </c>
      <c r="S242" s="214" t="s">
        <v>15</v>
      </c>
      <c r="T242" s="214" t="s">
        <v>15</v>
      </c>
      <c r="U242" s="214" t="s">
        <v>15</v>
      </c>
      <c r="V242" s="214" t="s">
        <v>15</v>
      </c>
      <c r="W242" s="214" t="s">
        <v>15</v>
      </c>
      <c r="X242" s="214" t="s">
        <v>15</v>
      </c>
      <c r="Y242" s="214" t="s">
        <v>20</v>
      </c>
      <c r="Z242" s="214"/>
      <c r="AA242" s="214" t="s">
        <v>507</v>
      </c>
      <c r="AB242" s="214"/>
      <c r="AC242" s="214" t="s">
        <v>15</v>
      </c>
      <c r="AD242" s="320" t="s">
        <v>511</v>
      </c>
      <c r="AE242" s="320" t="s">
        <v>509</v>
      </c>
      <c r="AF242" s="162" t="str">
        <f t="shared" si="12"/>
        <v/>
      </c>
      <c r="AG242" s="162" t="str">
        <f t="shared" si="13"/>
        <v/>
      </c>
      <c r="AH242" s="164">
        <f t="shared" si="14"/>
        <v>0.80400000000000005</v>
      </c>
      <c r="AI242" s="164" t="str">
        <f t="shared" si="15"/>
        <v/>
      </c>
      <c r="AJ242" s="369"/>
      <c r="AK242" s="368"/>
      <c r="AL242" s="368"/>
      <c r="AM242" s="368"/>
      <c r="AN242" s="368"/>
      <c r="AO242" s="368"/>
      <c r="AP242" s="368"/>
      <c r="AQ242" s="368"/>
      <c r="AR242" s="368"/>
      <c r="AS242" s="198"/>
      <c r="AT242" s="198"/>
      <c r="AU242" s="378"/>
      <c r="AW242" s="426"/>
      <c r="AX242" s="359"/>
      <c r="AY242" s="359"/>
      <c r="AZ242" s="359"/>
      <c r="BA242" s="359"/>
      <c r="BB242" s="426"/>
      <c r="BC242" s="426"/>
      <c r="BD242" s="426"/>
      <c r="BE242" s="426"/>
      <c r="BF242" s="468">
        <v>0.80400000000000005</v>
      </c>
      <c r="BG242" s="469"/>
      <c r="BH242" s="335"/>
      <c r="BI242" s="446"/>
      <c r="BJ242" s="507"/>
    </row>
    <row r="243" spans="1:62" ht="15.75" customHeight="1" thickBot="1" x14ac:dyDescent="0.25">
      <c r="A243" s="176">
        <v>242</v>
      </c>
      <c r="B243" s="175">
        <v>1</v>
      </c>
      <c r="C243" s="166" t="s">
        <v>259</v>
      </c>
      <c r="D243" s="166" t="s">
        <v>260</v>
      </c>
      <c r="E243" s="166" t="s">
        <v>13</v>
      </c>
      <c r="F243" s="166" t="s">
        <v>512</v>
      </c>
      <c r="G243" s="166" t="s">
        <v>20</v>
      </c>
      <c r="H243" s="166" t="s">
        <v>108</v>
      </c>
      <c r="I243" s="181">
        <v>2006</v>
      </c>
      <c r="J243" s="181" t="s">
        <v>505</v>
      </c>
      <c r="K243" s="181" t="s">
        <v>506</v>
      </c>
      <c r="L243" s="181" t="s">
        <v>104</v>
      </c>
      <c r="M243" s="556" t="s">
        <v>4135</v>
      </c>
      <c r="N243" s="214" t="s">
        <v>20</v>
      </c>
      <c r="O243" s="214" t="s">
        <v>20</v>
      </c>
      <c r="P243" s="214" t="s">
        <v>15</v>
      </c>
      <c r="Q243" s="214" t="s">
        <v>15</v>
      </c>
      <c r="R243" s="214" t="s">
        <v>15</v>
      </c>
      <c r="S243" s="214" t="s">
        <v>15</v>
      </c>
      <c r="T243" s="214" t="s">
        <v>15</v>
      </c>
      <c r="U243" s="214" t="s">
        <v>15</v>
      </c>
      <c r="V243" s="214" t="s">
        <v>15</v>
      </c>
      <c r="W243" s="214" t="s">
        <v>15</v>
      </c>
      <c r="X243" s="214" t="s">
        <v>15</v>
      </c>
      <c r="Y243" s="214" t="s">
        <v>20</v>
      </c>
      <c r="Z243" s="214"/>
      <c r="AA243" s="214" t="s">
        <v>507</v>
      </c>
      <c r="AB243" s="214"/>
      <c r="AC243" s="214" t="s">
        <v>15</v>
      </c>
      <c r="AD243" s="320" t="s">
        <v>511</v>
      </c>
      <c r="AE243" s="320" t="s">
        <v>509</v>
      </c>
      <c r="AF243" s="162" t="str">
        <f t="shared" si="12"/>
        <v/>
      </c>
      <c r="AG243" s="162" t="str">
        <f t="shared" si="13"/>
        <v/>
      </c>
      <c r="AH243" s="164">
        <f t="shared" si="14"/>
        <v>0.78600000000000003</v>
      </c>
      <c r="AI243" s="164" t="str">
        <f t="shared" si="15"/>
        <v/>
      </c>
      <c r="AJ243" s="369"/>
      <c r="AK243" s="368"/>
      <c r="AL243" s="368"/>
      <c r="AM243" s="368"/>
      <c r="AN243" s="368"/>
      <c r="AO243" s="368"/>
      <c r="AP243" s="368"/>
      <c r="AQ243" s="368"/>
      <c r="AR243" s="368"/>
      <c r="AS243" s="198"/>
      <c r="AT243" s="198"/>
      <c r="AU243" s="378"/>
      <c r="AW243" s="426"/>
      <c r="AX243" s="359"/>
      <c r="AY243" s="359"/>
      <c r="AZ243" s="359"/>
      <c r="BA243" s="359"/>
      <c r="BB243" s="426"/>
      <c r="BC243" s="426"/>
      <c r="BD243" s="426"/>
      <c r="BE243" s="426"/>
      <c r="BF243" s="468">
        <v>0.78600000000000003</v>
      </c>
      <c r="BG243" s="469"/>
      <c r="BH243" s="335"/>
      <c r="BI243" s="446"/>
      <c r="BJ243" s="507"/>
    </row>
    <row r="244" spans="1:62" ht="15.75" customHeight="1" thickBot="1" x14ac:dyDescent="0.25">
      <c r="A244" s="174">
        <v>243</v>
      </c>
      <c r="B244" s="175">
        <v>1</v>
      </c>
      <c r="C244" s="166" t="s">
        <v>259</v>
      </c>
      <c r="D244" s="166" t="s">
        <v>513</v>
      </c>
      <c r="E244" s="166" t="s">
        <v>13</v>
      </c>
      <c r="F244" s="166" t="s">
        <v>514</v>
      </c>
      <c r="G244" s="166" t="s">
        <v>20</v>
      </c>
      <c r="H244" s="166" t="s">
        <v>108</v>
      </c>
      <c r="I244" s="181">
        <v>2006</v>
      </c>
      <c r="J244" s="181" t="s">
        <v>505</v>
      </c>
      <c r="K244" s="181" t="s">
        <v>506</v>
      </c>
      <c r="L244" s="181" t="s">
        <v>104</v>
      </c>
      <c r="M244" s="556" t="s">
        <v>4135</v>
      </c>
      <c r="N244" s="214" t="s">
        <v>20</v>
      </c>
      <c r="O244" s="214" t="s">
        <v>20</v>
      </c>
      <c r="P244" s="214" t="s">
        <v>15</v>
      </c>
      <c r="Q244" s="214" t="s">
        <v>15</v>
      </c>
      <c r="R244" s="214" t="s">
        <v>15</v>
      </c>
      <c r="S244" s="214" t="s">
        <v>15</v>
      </c>
      <c r="T244" s="214" t="s">
        <v>15</v>
      </c>
      <c r="U244" s="214" t="s">
        <v>15</v>
      </c>
      <c r="V244" s="214" t="s">
        <v>15</v>
      </c>
      <c r="W244" s="214" t="s">
        <v>15</v>
      </c>
      <c r="X244" s="214" t="s">
        <v>15</v>
      </c>
      <c r="Y244" s="214" t="s">
        <v>20</v>
      </c>
      <c r="Z244" s="214"/>
      <c r="AA244" s="214" t="s">
        <v>507</v>
      </c>
      <c r="AB244" s="214"/>
      <c r="AC244" s="214" t="s">
        <v>15</v>
      </c>
      <c r="AD244" s="320" t="s">
        <v>515</v>
      </c>
      <c r="AE244" s="320" t="s">
        <v>509</v>
      </c>
      <c r="AF244" s="162" t="str">
        <f t="shared" si="12"/>
        <v/>
      </c>
      <c r="AG244" s="162" t="str">
        <f t="shared" si="13"/>
        <v/>
      </c>
      <c r="AH244" s="164">
        <f t="shared" si="14"/>
        <v>1.71</v>
      </c>
      <c r="AI244" s="164" t="str">
        <f t="shared" si="15"/>
        <v/>
      </c>
      <c r="AJ244" s="369"/>
      <c r="AK244" s="368"/>
      <c r="AL244" s="368"/>
      <c r="AM244" s="368"/>
      <c r="AN244" s="368"/>
      <c r="AO244" s="368"/>
      <c r="AP244" s="368"/>
      <c r="AQ244" s="368"/>
      <c r="AR244" s="368"/>
      <c r="AS244" s="198"/>
      <c r="AT244" s="198"/>
      <c r="AU244" s="378"/>
      <c r="AW244" s="426"/>
      <c r="AX244" s="359"/>
      <c r="AY244" s="359"/>
      <c r="AZ244" s="359"/>
      <c r="BA244" s="359"/>
      <c r="BB244" s="426"/>
      <c r="BC244" s="426"/>
      <c r="BD244" s="426"/>
      <c r="BE244" s="426"/>
      <c r="BF244" s="468">
        <v>1.71</v>
      </c>
      <c r="BG244" s="469"/>
      <c r="BH244" s="335"/>
      <c r="BI244" s="446"/>
      <c r="BJ244" s="507"/>
    </row>
    <row r="245" spans="1:62" ht="15.75" customHeight="1" thickBot="1" x14ac:dyDescent="0.25">
      <c r="A245" s="176">
        <v>244</v>
      </c>
      <c r="B245" s="175">
        <v>1</v>
      </c>
      <c r="C245" s="166" t="s">
        <v>259</v>
      </c>
      <c r="D245" s="166" t="s">
        <v>513</v>
      </c>
      <c r="E245" s="166" t="s">
        <v>13</v>
      </c>
      <c r="F245" s="166" t="s">
        <v>379</v>
      </c>
      <c r="G245" s="166" t="s">
        <v>20</v>
      </c>
      <c r="H245" s="166" t="s">
        <v>108</v>
      </c>
      <c r="I245" s="181">
        <v>2006</v>
      </c>
      <c r="J245" s="181" t="s">
        <v>505</v>
      </c>
      <c r="K245" s="181" t="s">
        <v>506</v>
      </c>
      <c r="L245" s="181" t="s">
        <v>104</v>
      </c>
      <c r="M245" s="556" t="s">
        <v>4135</v>
      </c>
      <c r="N245" s="214" t="s">
        <v>20</v>
      </c>
      <c r="O245" s="214" t="s">
        <v>20</v>
      </c>
      <c r="P245" s="214" t="s">
        <v>15</v>
      </c>
      <c r="Q245" s="214" t="s">
        <v>15</v>
      </c>
      <c r="R245" s="214" t="s">
        <v>15</v>
      </c>
      <c r="S245" s="214" t="s">
        <v>15</v>
      </c>
      <c r="T245" s="214" t="s">
        <v>15</v>
      </c>
      <c r="U245" s="214" t="s">
        <v>15</v>
      </c>
      <c r="V245" s="214" t="s">
        <v>15</v>
      </c>
      <c r="W245" s="214" t="s">
        <v>15</v>
      </c>
      <c r="X245" s="214" t="s">
        <v>15</v>
      </c>
      <c r="Y245" s="214" t="s">
        <v>20</v>
      </c>
      <c r="Z245" s="214"/>
      <c r="AA245" s="214" t="s">
        <v>507</v>
      </c>
      <c r="AB245" s="214"/>
      <c r="AC245" s="214" t="s">
        <v>15</v>
      </c>
      <c r="AD245" s="320" t="s">
        <v>515</v>
      </c>
      <c r="AE245" s="320" t="s">
        <v>509</v>
      </c>
      <c r="AF245" s="162" t="str">
        <f t="shared" si="12"/>
        <v/>
      </c>
      <c r="AG245" s="162" t="str">
        <f t="shared" si="13"/>
        <v/>
      </c>
      <c r="AH245" s="164">
        <f t="shared" si="14"/>
        <v>1.62</v>
      </c>
      <c r="AI245" s="164" t="str">
        <f t="shared" si="15"/>
        <v/>
      </c>
      <c r="AJ245" s="369"/>
      <c r="AK245" s="368"/>
      <c r="AL245" s="368"/>
      <c r="AM245" s="368"/>
      <c r="AN245" s="368"/>
      <c r="AO245" s="368"/>
      <c r="AP245" s="368"/>
      <c r="AQ245" s="368"/>
      <c r="AR245" s="368"/>
      <c r="AS245" s="198"/>
      <c r="AT245" s="198"/>
      <c r="AU245" s="378"/>
      <c r="AW245" s="426"/>
      <c r="AX245" s="359"/>
      <c r="AY245" s="359"/>
      <c r="AZ245" s="359"/>
      <c r="BA245" s="359"/>
      <c r="BB245" s="426"/>
      <c r="BC245" s="426"/>
      <c r="BD245" s="426"/>
      <c r="BE245" s="426"/>
      <c r="BF245" s="468">
        <v>1.62</v>
      </c>
      <c r="BG245" s="469"/>
      <c r="BH245" s="335"/>
      <c r="BI245" s="446"/>
      <c r="BJ245" s="507"/>
    </row>
    <row r="246" spans="1:62" ht="15.75" customHeight="1" thickBot="1" x14ac:dyDescent="0.25">
      <c r="A246" s="174">
        <v>245</v>
      </c>
      <c r="B246" s="175">
        <v>1</v>
      </c>
      <c r="C246" s="166" t="s">
        <v>24</v>
      </c>
      <c r="D246" s="166" t="s">
        <v>53</v>
      </c>
      <c r="E246" s="166" t="s">
        <v>13</v>
      </c>
      <c r="F246" s="166" t="s">
        <v>504</v>
      </c>
      <c r="G246" s="166" t="s">
        <v>20</v>
      </c>
      <c r="H246" s="166" t="s">
        <v>108</v>
      </c>
      <c r="I246" s="181">
        <v>2006</v>
      </c>
      <c r="J246" s="181" t="s">
        <v>505</v>
      </c>
      <c r="K246" s="181" t="s">
        <v>506</v>
      </c>
      <c r="L246" s="181" t="s">
        <v>104</v>
      </c>
      <c r="M246" s="556" t="s">
        <v>4135</v>
      </c>
      <c r="N246" s="214" t="s">
        <v>20</v>
      </c>
      <c r="O246" s="214" t="s">
        <v>20</v>
      </c>
      <c r="P246" s="214" t="s">
        <v>15</v>
      </c>
      <c r="Q246" s="214" t="s">
        <v>15</v>
      </c>
      <c r="R246" s="214" t="s">
        <v>15</v>
      </c>
      <c r="S246" s="214" t="s">
        <v>15</v>
      </c>
      <c r="T246" s="214" t="s">
        <v>15</v>
      </c>
      <c r="U246" s="214" t="s">
        <v>15</v>
      </c>
      <c r="V246" s="214" t="s">
        <v>15</v>
      </c>
      <c r="W246" s="214" t="s">
        <v>15</v>
      </c>
      <c r="X246" s="214" t="s">
        <v>15</v>
      </c>
      <c r="Y246" s="214" t="s">
        <v>20</v>
      </c>
      <c r="Z246" s="214"/>
      <c r="AA246" s="214" t="s">
        <v>507</v>
      </c>
      <c r="AB246" s="214"/>
      <c r="AC246" s="214" t="s">
        <v>15</v>
      </c>
      <c r="AD246" s="320" t="s">
        <v>516</v>
      </c>
      <c r="AE246" s="320" t="s">
        <v>517</v>
      </c>
      <c r="AF246" s="162" t="str">
        <f t="shared" si="12"/>
        <v/>
      </c>
      <c r="AG246" s="162" t="str">
        <f t="shared" si="13"/>
        <v/>
      </c>
      <c r="AH246" s="164">
        <f t="shared" si="14"/>
        <v>23.68815592203898</v>
      </c>
      <c r="AI246" s="164" t="str">
        <f t="shared" si="15"/>
        <v/>
      </c>
      <c r="AJ246" s="369"/>
      <c r="AK246" s="368"/>
      <c r="AL246" s="368"/>
      <c r="AM246" s="368"/>
      <c r="AN246" s="368"/>
      <c r="AO246" s="368"/>
      <c r="AP246" s="368"/>
      <c r="AQ246" s="368"/>
      <c r="AR246" s="368"/>
      <c r="AS246" s="198"/>
      <c r="AT246" s="198"/>
      <c r="AU246" s="378"/>
      <c r="AW246" s="426"/>
      <c r="AX246" s="359"/>
      <c r="AY246" s="359"/>
      <c r="AZ246" s="359"/>
      <c r="BA246" s="359"/>
      <c r="BB246" s="426"/>
      <c r="BC246" s="426"/>
      <c r="BD246" s="426"/>
      <c r="BE246" s="426"/>
      <c r="BF246" s="468">
        <f>15.8/0.667</f>
        <v>23.68815592203898</v>
      </c>
      <c r="BG246" s="469"/>
      <c r="BH246" s="335"/>
      <c r="BI246" s="446"/>
      <c r="BJ246" s="507"/>
    </row>
    <row r="247" spans="1:62" ht="15.75" customHeight="1" thickBot="1" x14ac:dyDescent="0.25">
      <c r="A247" s="176">
        <v>246</v>
      </c>
      <c r="B247" s="175">
        <v>1</v>
      </c>
      <c r="C247" s="166" t="s">
        <v>24</v>
      </c>
      <c r="D247" s="166" t="s">
        <v>53</v>
      </c>
      <c r="E247" s="166" t="s">
        <v>13</v>
      </c>
      <c r="F247" s="166" t="s">
        <v>379</v>
      </c>
      <c r="G247" s="166" t="s">
        <v>20</v>
      </c>
      <c r="H247" s="166" t="s">
        <v>108</v>
      </c>
      <c r="I247" s="181">
        <v>2006</v>
      </c>
      <c r="J247" s="181" t="s">
        <v>505</v>
      </c>
      <c r="K247" s="181" t="s">
        <v>506</v>
      </c>
      <c r="L247" s="181" t="s">
        <v>104</v>
      </c>
      <c r="M247" s="556" t="s">
        <v>4135</v>
      </c>
      <c r="N247" s="214" t="s">
        <v>20</v>
      </c>
      <c r="O247" s="214" t="s">
        <v>20</v>
      </c>
      <c r="P247" s="214" t="s">
        <v>15</v>
      </c>
      <c r="Q247" s="214" t="s">
        <v>15</v>
      </c>
      <c r="R247" s="214" t="s">
        <v>15</v>
      </c>
      <c r="S247" s="214" t="s">
        <v>15</v>
      </c>
      <c r="T247" s="214" t="s">
        <v>15</v>
      </c>
      <c r="U247" s="214" t="s">
        <v>15</v>
      </c>
      <c r="V247" s="214" t="s">
        <v>15</v>
      </c>
      <c r="W247" s="214" t="s">
        <v>15</v>
      </c>
      <c r="X247" s="214" t="s">
        <v>15</v>
      </c>
      <c r="Y247" s="214" t="s">
        <v>20</v>
      </c>
      <c r="Z247" s="214"/>
      <c r="AA247" s="214" t="s">
        <v>507</v>
      </c>
      <c r="AB247" s="214"/>
      <c r="AC247" s="214" t="s">
        <v>15</v>
      </c>
      <c r="AD247" s="320" t="s">
        <v>516</v>
      </c>
      <c r="AE247" s="320" t="s">
        <v>517</v>
      </c>
      <c r="AF247" s="162" t="str">
        <f t="shared" si="12"/>
        <v/>
      </c>
      <c r="AG247" s="162" t="str">
        <f t="shared" si="13"/>
        <v/>
      </c>
      <c r="AH247" s="164">
        <f t="shared" si="14"/>
        <v>27.286356821589202</v>
      </c>
      <c r="AI247" s="164" t="str">
        <f t="shared" si="15"/>
        <v/>
      </c>
      <c r="AJ247" s="369"/>
      <c r="AK247" s="368"/>
      <c r="AL247" s="368"/>
      <c r="AM247" s="368"/>
      <c r="AN247" s="368"/>
      <c r="AO247" s="368"/>
      <c r="AP247" s="368"/>
      <c r="AQ247" s="368"/>
      <c r="AR247" s="368"/>
      <c r="AS247" s="198"/>
      <c r="AT247" s="198"/>
      <c r="AU247" s="378"/>
      <c r="AW247" s="426"/>
      <c r="AX247" s="359"/>
      <c r="AY247" s="359"/>
      <c r="AZ247" s="359"/>
      <c r="BA247" s="359"/>
      <c r="BB247" s="426"/>
      <c r="BC247" s="426"/>
      <c r="BD247" s="426"/>
      <c r="BE247" s="426"/>
      <c r="BF247" s="468">
        <f>18.2/0.667</f>
        <v>27.286356821589202</v>
      </c>
      <c r="BG247" s="469"/>
      <c r="BH247" s="335"/>
      <c r="BI247" s="446"/>
      <c r="BJ247" s="507"/>
    </row>
    <row r="248" spans="1:62" ht="15.75" customHeight="1" thickBot="1" x14ac:dyDescent="0.25">
      <c r="A248" s="174">
        <v>247</v>
      </c>
      <c r="B248" s="175">
        <v>1</v>
      </c>
      <c r="C248" s="166" t="s">
        <v>24</v>
      </c>
      <c r="D248" s="166" t="s">
        <v>53</v>
      </c>
      <c r="E248" s="166" t="s">
        <v>13</v>
      </c>
      <c r="F248" s="166" t="s">
        <v>519</v>
      </c>
      <c r="G248" s="166" t="s">
        <v>20</v>
      </c>
      <c r="H248" s="166" t="s">
        <v>108</v>
      </c>
      <c r="I248" s="181">
        <v>2006</v>
      </c>
      <c r="J248" s="181" t="s">
        <v>505</v>
      </c>
      <c r="K248" s="181" t="s">
        <v>506</v>
      </c>
      <c r="L248" s="181" t="s">
        <v>104</v>
      </c>
      <c r="M248" s="556" t="s">
        <v>4135</v>
      </c>
      <c r="N248" s="214" t="s">
        <v>20</v>
      </c>
      <c r="O248" s="214" t="s">
        <v>20</v>
      </c>
      <c r="P248" s="214" t="s">
        <v>15</v>
      </c>
      <c r="Q248" s="214" t="s">
        <v>15</v>
      </c>
      <c r="R248" s="214" t="s">
        <v>15</v>
      </c>
      <c r="S248" s="214" t="s">
        <v>15</v>
      </c>
      <c r="T248" s="214" t="s">
        <v>15</v>
      </c>
      <c r="U248" s="214" t="s">
        <v>15</v>
      </c>
      <c r="V248" s="214" t="s">
        <v>15</v>
      </c>
      <c r="W248" s="214" t="s">
        <v>15</v>
      </c>
      <c r="X248" s="214" t="s">
        <v>15</v>
      </c>
      <c r="Y248" s="214" t="s">
        <v>20</v>
      </c>
      <c r="Z248" s="214"/>
      <c r="AA248" s="214" t="s">
        <v>507</v>
      </c>
      <c r="AB248" s="214"/>
      <c r="AC248" s="214" t="s">
        <v>15</v>
      </c>
      <c r="AD248" s="320" t="s">
        <v>516</v>
      </c>
      <c r="AE248" s="320" t="s">
        <v>517</v>
      </c>
      <c r="AF248" s="162" t="str">
        <f t="shared" si="12"/>
        <v/>
      </c>
      <c r="AG248" s="162" t="str">
        <f t="shared" si="13"/>
        <v/>
      </c>
      <c r="AH248" s="164">
        <f t="shared" si="14"/>
        <v>37.931034482758619</v>
      </c>
      <c r="AI248" s="164" t="str">
        <f t="shared" si="15"/>
        <v/>
      </c>
      <c r="AJ248" s="369"/>
      <c r="AK248" s="368"/>
      <c r="AL248" s="368"/>
      <c r="AM248" s="368"/>
      <c r="AN248" s="368"/>
      <c r="AO248" s="368"/>
      <c r="AP248" s="368"/>
      <c r="AQ248" s="368"/>
      <c r="AR248" s="368"/>
      <c r="AS248" s="198"/>
      <c r="AT248" s="198"/>
      <c r="AU248" s="378"/>
      <c r="AW248" s="426"/>
      <c r="AX248" s="359"/>
      <c r="AY248" s="359"/>
      <c r="AZ248" s="359"/>
      <c r="BA248" s="359"/>
      <c r="BB248" s="426"/>
      <c r="BC248" s="426"/>
      <c r="BD248" s="426"/>
      <c r="BE248" s="426"/>
      <c r="BF248" s="468">
        <f>25.3/0.667</f>
        <v>37.931034482758619</v>
      </c>
      <c r="BG248" s="469"/>
      <c r="BH248" s="335"/>
      <c r="BI248" s="446"/>
      <c r="BJ248" s="507"/>
    </row>
    <row r="249" spans="1:62" ht="15.75" customHeight="1" thickBot="1" x14ac:dyDescent="0.25">
      <c r="A249" s="176">
        <v>248</v>
      </c>
      <c r="B249" s="175">
        <v>1</v>
      </c>
      <c r="C249" s="166" t="s">
        <v>24</v>
      </c>
      <c r="D249" s="166" t="s">
        <v>53</v>
      </c>
      <c r="E249" s="166" t="s">
        <v>13</v>
      </c>
      <c r="F249" s="166" t="s">
        <v>520</v>
      </c>
      <c r="G249" s="166" t="s">
        <v>20</v>
      </c>
      <c r="H249" s="166" t="s">
        <v>108</v>
      </c>
      <c r="I249" s="181">
        <v>2006</v>
      </c>
      <c r="J249" s="181" t="s">
        <v>505</v>
      </c>
      <c r="K249" s="181" t="s">
        <v>506</v>
      </c>
      <c r="L249" s="181" t="s">
        <v>104</v>
      </c>
      <c r="M249" s="556" t="s">
        <v>4135</v>
      </c>
      <c r="N249" s="214" t="s">
        <v>20</v>
      </c>
      <c r="O249" s="214" t="s">
        <v>20</v>
      </c>
      <c r="P249" s="214" t="s">
        <v>15</v>
      </c>
      <c r="Q249" s="214" t="s">
        <v>15</v>
      </c>
      <c r="R249" s="214" t="s">
        <v>15</v>
      </c>
      <c r="S249" s="214" t="s">
        <v>15</v>
      </c>
      <c r="T249" s="214" t="s">
        <v>15</v>
      </c>
      <c r="U249" s="214" t="s">
        <v>15</v>
      </c>
      <c r="V249" s="214" t="s">
        <v>15</v>
      </c>
      <c r="W249" s="214" t="s">
        <v>15</v>
      </c>
      <c r="X249" s="214" t="s">
        <v>15</v>
      </c>
      <c r="Y249" s="214" t="s">
        <v>20</v>
      </c>
      <c r="Z249" s="214"/>
      <c r="AA249" s="214" t="s">
        <v>507</v>
      </c>
      <c r="AB249" s="214"/>
      <c r="AC249" s="214" t="s">
        <v>15</v>
      </c>
      <c r="AD249" s="320" t="s">
        <v>516</v>
      </c>
      <c r="AE249" s="320" t="s">
        <v>517</v>
      </c>
      <c r="AF249" s="162" t="str">
        <f t="shared" si="12"/>
        <v/>
      </c>
      <c r="AG249" s="162" t="str">
        <f t="shared" si="13"/>
        <v/>
      </c>
      <c r="AH249" s="164">
        <f t="shared" si="14"/>
        <v>23.38830584707646</v>
      </c>
      <c r="AI249" s="164" t="str">
        <f t="shared" si="15"/>
        <v/>
      </c>
      <c r="AJ249" s="369"/>
      <c r="AK249" s="368"/>
      <c r="AL249" s="368"/>
      <c r="AM249" s="368"/>
      <c r="AN249" s="368"/>
      <c r="AO249" s="368"/>
      <c r="AP249" s="368"/>
      <c r="AQ249" s="368"/>
      <c r="AR249" s="368"/>
      <c r="AS249" s="198"/>
      <c r="AT249" s="198"/>
      <c r="AU249" s="378"/>
      <c r="AW249" s="426"/>
      <c r="AX249" s="359"/>
      <c r="AY249" s="359"/>
      <c r="AZ249" s="359"/>
      <c r="BA249" s="359"/>
      <c r="BB249" s="426"/>
      <c r="BC249" s="426"/>
      <c r="BD249" s="426"/>
      <c r="BE249" s="426"/>
      <c r="BF249" s="468">
        <f>15.6/0.667</f>
        <v>23.38830584707646</v>
      </c>
      <c r="BG249" s="469"/>
      <c r="BH249" s="335"/>
      <c r="BI249" s="446"/>
      <c r="BJ249" s="507"/>
    </row>
    <row r="250" spans="1:62" ht="15.75" customHeight="1" thickBot="1" x14ac:dyDescent="0.25">
      <c r="A250" s="174">
        <v>249</v>
      </c>
      <c r="B250" s="175">
        <v>1</v>
      </c>
      <c r="C250" s="166" t="s">
        <v>24</v>
      </c>
      <c r="D250" s="166" t="s">
        <v>53</v>
      </c>
      <c r="E250" s="166" t="s">
        <v>13</v>
      </c>
      <c r="F250" s="166" t="s">
        <v>521</v>
      </c>
      <c r="G250" s="166" t="s">
        <v>20</v>
      </c>
      <c r="H250" s="166" t="s">
        <v>108</v>
      </c>
      <c r="I250" s="181">
        <v>2006</v>
      </c>
      <c r="J250" s="181" t="s">
        <v>505</v>
      </c>
      <c r="K250" s="181" t="s">
        <v>506</v>
      </c>
      <c r="L250" s="181" t="s">
        <v>104</v>
      </c>
      <c r="M250" s="556" t="s">
        <v>4135</v>
      </c>
      <c r="N250" s="214" t="s">
        <v>20</v>
      </c>
      <c r="O250" s="214" t="s">
        <v>20</v>
      </c>
      <c r="P250" s="214" t="s">
        <v>15</v>
      </c>
      <c r="Q250" s="214" t="s">
        <v>15</v>
      </c>
      <c r="R250" s="214" t="s">
        <v>15</v>
      </c>
      <c r="S250" s="214" t="s">
        <v>15</v>
      </c>
      <c r="T250" s="214" t="s">
        <v>15</v>
      </c>
      <c r="U250" s="214" t="s">
        <v>15</v>
      </c>
      <c r="V250" s="214" t="s">
        <v>15</v>
      </c>
      <c r="W250" s="214" t="s">
        <v>15</v>
      </c>
      <c r="X250" s="214" t="s">
        <v>15</v>
      </c>
      <c r="Y250" s="214" t="s">
        <v>20</v>
      </c>
      <c r="Z250" s="214"/>
      <c r="AA250" s="214" t="s">
        <v>507</v>
      </c>
      <c r="AB250" s="214"/>
      <c r="AC250" s="214" t="s">
        <v>15</v>
      </c>
      <c r="AD250" s="320" t="s">
        <v>516</v>
      </c>
      <c r="AE250" s="320" t="s">
        <v>517</v>
      </c>
      <c r="AF250" s="162" t="str">
        <f t="shared" si="12"/>
        <v/>
      </c>
      <c r="AG250" s="162" t="str">
        <f t="shared" si="13"/>
        <v/>
      </c>
      <c r="AH250" s="164">
        <f t="shared" si="14"/>
        <v>24.587706146926532</v>
      </c>
      <c r="AI250" s="164" t="str">
        <f t="shared" si="15"/>
        <v/>
      </c>
      <c r="AJ250" s="369"/>
      <c r="AK250" s="368"/>
      <c r="AL250" s="368"/>
      <c r="AM250" s="368"/>
      <c r="AN250" s="368"/>
      <c r="AO250" s="368"/>
      <c r="AP250" s="368"/>
      <c r="AQ250" s="368"/>
      <c r="AR250" s="368"/>
      <c r="AS250" s="198"/>
      <c r="AT250" s="198"/>
      <c r="AU250" s="378"/>
      <c r="AW250" s="426"/>
      <c r="AX250" s="359"/>
      <c r="AY250" s="359"/>
      <c r="AZ250" s="359"/>
      <c r="BA250" s="359"/>
      <c r="BB250" s="426"/>
      <c r="BC250" s="426"/>
      <c r="BD250" s="426"/>
      <c r="BE250" s="426"/>
      <c r="BF250" s="468">
        <f>16.4/0.667</f>
        <v>24.587706146926532</v>
      </c>
      <c r="BG250" s="469"/>
      <c r="BH250" s="335"/>
      <c r="BI250" s="446"/>
      <c r="BJ250" s="507"/>
    </row>
    <row r="251" spans="1:62" ht="15.75" customHeight="1" thickBot="1" x14ac:dyDescent="0.25">
      <c r="A251" s="176">
        <v>250</v>
      </c>
      <c r="B251" s="175">
        <v>1</v>
      </c>
      <c r="C251" s="166" t="s">
        <v>24</v>
      </c>
      <c r="D251" s="166" t="s">
        <v>269</v>
      </c>
      <c r="E251" s="166" t="s">
        <v>13</v>
      </c>
      <c r="F251" s="166" t="s">
        <v>504</v>
      </c>
      <c r="G251" s="166" t="s">
        <v>20</v>
      </c>
      <c r="H251" s="166" t="s">
        <v>108</v>
      </c>
      <c r="I251" s="181">
        <v>2006</v>
      </c>
      <c r="J251" s="181" t="s">
        <v>505</v>
      </c>
      <c r="K251" s="181" t="s">
        <v>506</v>
      </c>
      <c r="L251" s="181" t="s">
        <v>104</v>
      </c>
      <c r="M251" s="556" t="s">
        <v>4135</v>
      </c>
      <c r="N251" s="214" t="s">
        <v>20</v>
      </c>
      <c r="O251" s="214" t="s">
        <v>20</v>
      </c>
      <c r="P251" s="214" t="s">
        <v>15</v>
      </c>
      <c r="Q251" s="214" t="s">
        <v>15</v>
      </c>
      <c r="R251" s="214" t="s">
        <v>15</v>
      </c>
      <c r="S251" s="214" t="s">
        <v>15</v>
      </c>
      <c r="T251" s="214" t="s">
        <v>15</v>
      </c>
      <c r="U251" s="214" t="s">
        <v>15</v>
      </c>
      <c r="V251" s="214" t="s">
        <v>15</v>
      </c>
      <c r="W251" s="214" t="s">
        <v>15</v>
      </c>
      <c r="X251" s="214" t="s">
        <v>15</v>
      </c>
      <c r="Y251" s="214" t="s">
        <v>20</v>
      </c>
      <c r="Z251" s="214"/>
      <c r="AA251" s="214" t="s">
        <v>507</v>
      </c>
      <c r="AB251" s="214"/>
      <c r="AC251" s="214" t="s">
        <v>15</v>
      </c>
      <c r="AD251" s="320" t="s">
        <v>516</v>
      </c>
      <c r="AE251" s="320" t="s">
        <v>522</v>
      </c>
      <c r="AF251" s="162" t="str">
        <f t="shared" si="12"/>
        <v/>
      </c>
      <c r="AG251" s="162" t="str">
        <f t="shared" si="13"/>
        <v/>
      </c>
      <c r="AH251" s="164">
        <f t="shared" si="14"/>
        <v>8.7242798353909468</v>
      </c>
      <c r="AI251" s="164" t="str">
        <f t="shared" si="15"/>
        <v/>
      </c>
      <c r="AJ251" s="369"/>
      <c r="AK251" s="368"/>
      <c r="AL251" s="368"/>
      <c r="AM251" s="368"/>
      <c r="AN251" s="368"/>
      <c r="AO251" s="368"/>
      <c r="AP251" s="368"/>
      <c r="AQ251" s="368"/>
      <c r="AR251" s="368"/>
      <c r="AS251" s="198"/>
      <c r="AT251" s="198"/>
      <c r="AU251" s="378"/>
      <c r="AW251" s="426"/>
      <c r="AX251" s="359"/>
      <c r="AY251" s="359"/>
      <c r="AZ251" s="359"/>
      <c r="BA251" s="359"/>
      <c r="BB251" s="426"/>
      <c r="BC251" s="426"/>
      <c r="BD251" s="426"/>
      <c r="BE251" s="426"/>
      <c r="BF251" s="468">
        <f>6.36/0.729</f>
        <v>8.7242798353909468</v>
      </c>
      <c r="BG251" s="469"/>
      <c r="BH251" s="335"/>
      <c r="BI251" s="446"/>
      <c r="BJ251" s="507"/>
    </row>
    <row r="252" spans="1:62" ht="15.75" customHeight="1" thickBot="1" x14ac:dyDescent="0.25">
      <c r="A252" s="174">
        <v>251</v>
      </c>
      <c r="B252" s="175">
        <v>1</v>
      </c>
      <c r="C252" s="166" t="s">
        <v>24</v>
      </c>
      <c r="D252" s="166" t="s">
        <v>269</v>
      </c>
      <c r="E252" s="166" t="s">
        <v>13</v>
      </c>
      <c r="F252" s="166" t="s">
        <v>379</v>
      </c>
      <c r="G252" s="166" t="s">
        <v>20</v>
      </c>
      <c r="H252" s="166" t="s">
        <v>108</v>
      </c>
      <c r="I252" s="181">
        <v>2006</v>
      </c>
      <c r="J252" s="181" t="s">
        <v>505</v>
      </c>
      <c r="K252" s="181" t="s">
        <v>506</v>
      </c>
      <c r="L252" s="181" t="s">
        <v>104</v>
      </c>
      <c r="M252" s="556" t="s">
        <v>4135</v>
      </c>
      <c r="N252" s="214" t="s">
        <v>20</v>
      </c>
      <c r="O252" s="214" t="s">
        <v>20</v>
      </c>
      <c r="P252" s="214" t="s">
        <v>15</v>
      </c>
      <c r="Q252" s="214" t="s">
        <v>15</v>
      </c>
      <c r="R252" s="214" t="s">
        <v>15</v>
      </c>
      <c r="S252" s="214" t="s">
        <v>15</v>
      </c>
      <c r="T252" s="214" t="s">
        <v>15</v>
      </c>
      <c r="U252" s="214" t="s">
        <v>15</v>
      </c>
      <c r="V252" s="214" t="s">
        <v>15</v>
      </c>
      <c r="W252" s="214" t="s">
        <v>15</v>
      </c>
      <c r="X252" s="214" t="s">
        <v>15</v>
      </c>
      <c r="Y252" s="214" t="s">
        <v>20</v>
      </c>
      <c r="Z252" s="214"/>
      <c r="AA252" s="214" t="s">
        <v>507</v>
      </c>
      <c r="AB252" s="214"/>
      <c r="AC252" s="214" t="s">
        <v>15</v>
      </c>
      <c r="AD252" s="320" t="s">
        <v>516</v>
      </c>
      <c r="AE252" s="320" t="s">
        <v>522</v>
      </c>
      <c r="AF252" s="162" t="str">
        <f t="shared" si="12"/>
        <v/>
      </c>
      <c r="AG252" s="162" t="str">
        <f t="shared" si="13"/>
        <v/>
      </c>
      <c r="AH252" s="164">
        <f t="shared" si="14"/>
        <v>7.7366255144032916</v>
      </c>
      <c r="AI252" s="164" t="str">
        <f t="shared" si="15"/>
        <v/>
      </c>
      <c r="AJ252" s="369"/>
      <c r="AK252" s="368"/>
      <c r="AL252" s="368"/>
      <c r="AM252" s="368"/>
      <c r="AN252" s="368"/>
      <c r="AO252" s="368"/>
      <c r="AP252" s="368"/>
      <c r="AQ252" s="368"/>
      <c r="AR252" s="368"/>
      <c r="AS252" s="198"/>
      <c r="AT252" s="198"/>
      <c r="AU252" s="378"/>
      <c r="AW252" s="426"/>
      <c r="AX252" s="359"/>
      <c r="AY252" s="359"/>
      <c r="AZ252" s="359"/>
      <c r="BA252" s="359"/>
      <c r="BB252" s="426"/>
      <c r="BC252" s="426"/>
      <c r="BD252" s="426"/>
      <c r="BE252" s="426"/>
      <c r="BF252" s="468">
        <f>5.64/0.729</f>
        <v>7.7366255144032916</v>
      </c>
      <c r="BG252" s="469"/>
      <c r="BH252" s="335"/>
      <c r="BI252" s="446"/>
      <c r="BJ252" s="507"/>
    </row>
    <row r="253" spans="1:62" ht="15.75" customHeight="1" thickBot="1" x14ac:dyDescent="0.25">
      <c r="A253" s="176">
        <v>252</v>
      </c>
      <c r="B253" s="175">
        <v>1</v>
      </c>
      <c r="C253" s="166" t="s">
        <v>24</v>
      </c>
      <c r="D253" s="166" t="s">
        <v>269</v>
      </c>
      <c r="E253" s="166" t="s">
        <v>13</v>
      </c>
      <c r="F253" s="166" t="s">
        <v>523</v>
      </c>
      <c r="G253" s="166" t="s">
        <v>20</v>
      </c>
      <c r="H253" s="166" t="s">
        <v>108</v>
      </c>
      <c r="I253" s="181">
        <v>2006</v>
      </c>
      <c r="J253" s="181" t="s">
        <v>505</v>
      </c>
      <c r="K253" s="181" t="s">
        <v>506</v>
      </c>
      <c r="L253" s="181" t="s">
        <v>104</v>
      </c>
      <c r="M253" s="556" t="s">
        <v>4135</v>
      </c>
      <c r="N253" s="214" t="s">
        <v>20</v>
      </c>
      <c r="O253" s="214" t="s">
        <v>20</v>
      </c>
      <c r="P253" s="214" t="s">
        <v>15</v>
      </c>
      <c r="Q253" s="214" t="s">
        <v>15</v>
      </c>
      <c r="R253" s="214" t="s">
        <v>15</v>
      </c>
      <c r="S253" s="214" t="s">
        <v>15</v>
      </c>
      <c r="T253" s="214" t="s">
        <v>15</v>
      </c>
      <c r="U253" s="214" t="s">
        <v>15</v>
      </c>
      <c r="V253" s="214" t="s">
        <v>15</v>
      </c>
      <c r="W253" s="214" t="s">
        <v>15</v>
      </c>
      <c r="X253" s="214" t="s">
        <v>15</v>
      </c>
      <c r="Y253" s="214" t="s">
        <v>20</v>
      </c>
      <c r="Z253" s="214"/>
      <c r="AA253" s="214" t="s">
        <v>507</v>
      </c>
      <c r="AB253" s="214"/>
      <c r="AC253" s="214" t="s">
        <v>15</v>
      </c>
      <c r="AD253" s="320" t="s">
        <v>516</v>
      </c>
      <c r="AE253" s="320" t="s">
        <v>522</v>
      </c>
      <c r="AF253" s="162" t="str">
        <f t="shared" si="12"/>
        <v/>
      </c>
      <c r="AG253" s="162" t="str">
        <f t="shared" si="13"/>
        <v/>
      </c>
      <c r="AH253" s="164">
        <f t="shared" si="14"/>
        <v>8.3401920438957475</v>
      </c>
      <c r="AI253" s="164" t="str">
        <f t="shared" si="15"/>
        <v/>
      </c>
      <c r="AJ253" s="369"/>
      <c r="AK253" s="368"/>
      <c r="AL253" s="368"/>
      <c r="AM253" s="368"/>
      <c r="AN253" s="368"/>
      <c r="AO253" s="368"/>
      <c r="AP253" s="368"/>
      <c r="AQ253" s="368"/>
      <c r="AR253" s="368"/>
      <c r="AS253" s="198"/>
      <c r="AT253" s="198"/>
      <c r="AU253" s="378"/>
      <c r="AW253" s="426"/>
      <c r="AX253" s="359"/>
      <c r="AY253" s="359"/>
      <c r="AZ253" s="359"/>
      <c r="BA253" s="359"/>
      <c r="BB253" s="426"/>
      <c r="BC253" s="426"/>
      <c r="BD253" s="426"/>
      <c r="BE253" s="426"/>
      <c r="BF253" s="468">
        <f>6.08/0.729</f>
        <v>8.3401920438957475</v>
      </c>
      <c r="BG253" s="469"/>
      <c r="BH253" s="335"/>
      <c r="BI253" s="446"/>
      <c r="BJ253" s="507"/>
    </row>
    <row r="254" spans="1:62" ht="15.75" customHeight="1" thickBot="1" x14ac:dyDescent="0.25">
      <c r="A254" s="174">
        <v>253</v>
      </c>
      <c r="B254" s="175">
        <v>1</v>
      </c>
      <c r="C254" s="166" t="s">
        <v>24</v>
      </c>
      <c r="D254" s="166" t="s">
        <v>269</v>
      </c>
      <c r="E254" s="166" t="s">
        <v>13</v>
      </c>
      <c r="F254" s="166" t="s">
        <v>524</v>
      </c>
      <c r="G254" s="166" t="s">
        <v>20</v>
      </c>
      <c r="H254" s="166" t="s">
        <v>108</v>
      </c>
      <c r="I254" s="181">
        <v>2006</v>
      </c>
      <c r="J254" s="181" t="s">
        <v>505</v>
      </c>
      <c r="K254" s="181" t="s">
        <v>506</v>
      </c>
      <c r="L254" s="181" t="s">
        <v>104</v>
      </c>
      <c r="M254" s="556" t="s">
        <v>4135</v>
      </c>
      <c r="N254" s="214" t="s">
        <v>20</v>
      </c>
      <c r="O254" s="214" t="s">
        <v>20</v>
      </c>
      <c r="P254" s="214" t="s">
        <v>15</v>
      </c>
      <c r="Q254" s="214" t="s">
        <v>15</v>
      </c>
      <c r="R254" s="214" t="s">
        <v>15</v>
      </c>
      <c r="S254" s="214" t="s">
        <v>15</v>
      </c>
      <c r="T254" s="214" t="s">
        <v>15</v>
      </c>
      <c r="U254" s="214" t="s">
        <v>15</v>
      </c>
      <c r="V254" s="214" t="s">
        <v>15</v>
      </c>
      <c r="W254" s="214" t="s">
        <v>15</v>
      </c>
      <c r="X254" s="214" t="s">
        <v>15</v>
      </c>
      <c r="Y254" s="214" t="s">
        <v>20</v>
      </c>
      <c r="Z254" s="214"/>
      <c r="AA254" s="214" t="s">
        <v>507</v>
      </c>
      <c r="AB254" s="214"/>
      <c r="AC254" s="214" t="s">
        <v>15</v>
      </c>
      <c r="AD254" s="320" t="s">
        <v>516</v>
      </c>
      <c r="AE254" s="320" t="s">
        <v>522</v>
      </c>
      <c r="AF254" s="162" t="str">
        <f t="shared" si="12"/>
        <v/>
      </c>
      <c r="AG254" s="162" t="str">
        <f t="shared" si="13"/>
        <v/>
      </c>
      <c r="AH254" s="164">
        <f t="shared" si="14"/>
        <v>8.8065843621399171</v>
      </c>
      <c r="AI254" s="164" t="str">
        <f t="shared" si="15"/>
        <v/>
      </c>
      <c r="AJ254" s="369"/>
      <c r="AK254" s="368"/>
      <c r="AL254" s="368"/>
      <c r="AM254" s="368"/>
      <c r="AN254" s="368"/>
      <c r="AO254" s="368"/>
      <c r="AP254" s="368"/>
      <c r="AQ254" s="368"/>
      <c r="AR254" s="368"/>
      <c r="AS254" s="198"/>
      <c r="AT254" s="198"/>
      <c r="AU254" s="378"/>
      <c r="AW254" s="426"/>
      <c r="AX254" s="359"/>
      <c r="AY254" s="359"/>
      <c r="AZ254" s="359"/>
      <c r="BA254" s="359"/>
      <c r="BB254" s="426"/>
      <c r="BC254" s="426"/>
      <c r="BD254" s="426"/>
      <c r="BE254" s="426"/>
      <c r="BF254" s="468">
        <f>6.42/0.729</f>
        <v>8.8065843621399171</v>
      </c>
      <c r="BG254" s="469"/>
      <c r="BH254" s="335"/>
      <c r="BI254" s="446"/>
      <c r="BJ254" s="507"/>
    </row>
    <row r="255" spans="1:62" ht="15.75" customHeight="1" thickBot="1" x14ac:dyDescent="0.25">
      <c r="A255" s="176">
        <v>254</v>
      </c>
      <c r="B255" s="175">
        <v>1</v>
      </c>
      <c r="C255" s="166" t="s">
        <v>24</v>
      </c>
      <c r="D255" s="166" t="s">
        <v>269</v>
      </c>
      <c r="E255" s="166" t="s">
        <v>13</v>
      </c>
      <c r="F255" s="166" t="s">
        <v>525</v>
      </c>
      <c r="G255" s="166" t="s">
        <v>20</v>
      </c>
      <c r="H255" s="166" t="s">
        <v>108</v>
      </c>
      <c r="I255" s="181">
        <v>2006</v>
      </c>
      <c r="J255" s="181" t="s">
        <v>505</v>
      </c>
      <c r="K255" s="181" t="s">
        <v>506</v>
      </c>
      <c r="L255" s="181" t="s">
        <v>104</v>
      </c>
      <c r="M255" s="556" t="s">
        <v>4135</v>
      </c>
      <c r="N255" s="214" t="s">
        <v>20</v>
      </c>
      <c r="O255" s="214" t="s">
        <v>20</v>
      </c>
      <c r="P255" s="214" t="s">
        <v>15</v>
      </c>
      <c r="Q255" s="214" t="s">
        <v>15</v>
      </c>
      <c r="R255" s="214" t="s">
        <v>15</v>
      </c>
      <c r="S255" s="214" t="s">
        <v>15</v>
      </c>
      <c r="T255" s="214" t="s">
        <v>15</v>
      </c>
      <c r="U255" s="214" t="s">
        <v>15</v>
      </c>
      <c r="V255" s="214" t="s">
        <v>15</v>
      </c>
      <c r="W255" s="214" t="s">
        <v>15</v>
      </c>
      <c r="X255" s="214" t="s">
        <v>15</v>
      </c>
      <c r="Y255" s="214" t="s">
        <v>20</v>
      </c>
      <c r="Z255" s="214"/>
      <c r="AA255" s="214" t="s">
        <v>507</v>
      </c>
      <c r="AB255" s="214"/>
      <c r="AC255" s="214" t="s">
        <v>15</v>
      </c>
      <c r="AD255" s="320" t="s">
        <v>516</v>
      </c>
      <c r="AE255" s="320" t="s">
        <v>522</v>
      </c>
      <c r="AF255" s="162" t="str">
        <f t="shared" si="12"/>
        <v/>
      </c>
      <c r="AG255" s="162" t="str">
        <f t="shared" si="13"/>
        <v/>
      </c>
      <c r="AH255" s="164">
        <f t="shared" si="14"/>
        <v>8.6831275720164616</v>
      </c>
      <c r="AI255" s="164" t="str">
        <f t="shared" si="15"/>
        <v/>
      </c>
      <c r="AJ255" s="369"/>
      <c r="AK255" s="368"/>
      <c r="AL255" s="368"/>
      <c r="AM255" s="368"/>
      <c r="AN255" s="368"/>
      <c r="AO255" s="368"/>
      <c r="AP255" s="368"/>
      <c r="AQ255" s="368"/>
      <c r="AR255" s="368"/>
      <c r="AS255" s="198"/>
      <c r="AT255" s="198"/>
      <c r="AU255" s="378"/>
      <c r="AW255" s="426"/>
      <c r="AX255" s="359"/>
      <c r="AY255" s="359"/>
      <c r="AZ255" s="359"/>
      <c r="BA255" s="359"/>
      <c r="BB255" s="426"/>
      <c r="BC255" s="426"/>
      <c r="BD255" s="426"/>
      <c r="BE255" s="426"/>
      <c r="BF255" s="468">
        <f>6.33/0.729</f>
        <v>8.6831275720164616</v>
      </c>
      <c r="BG255" s="469"/>
      <c r="BH255" s="335"/>
      <c r="BI255" s="446"/>
      <c r="BJ255" s="507"/>
    </row>
    <row r="256" spans="1:62" ht="15.75" customHeight="1" thickBot="1" x14ac:dyDescent="0.25">
      <c r="A256" s="174">
        <v>255</v>
      </c>
      <c r="B256" s="175">
        <v>1</v>
      </c>
      <c r="C256" s="166" t="s">
        <v>24</v>
      </c>
      <c r="D256" s="166" t="s">
        <v>283</v>
      </c>
      <c r="E256" s="166" t="s">
        <v>13</v>
      </c>
      <c r="F256" s="166" t="s">
        <v>504</v>
      </c>
      <c r="G256" s="166" t="s">
        <v>20</v>
      </c>
      <c r="H256" s="166" t="s">
        <v>108</v>
      </c>
      <c r="I256" s="181">
        <v>2006</v>
      </c>
      <c r="J256" s="181" t="s">
        <v>505</v>
      </c>
      <c r="K256" s="181" t="s">
        <v>506</v>
      </c>
      <c r="L256" s="181" t="s">
        <v>104</v>
      </c>
      <c r="M256" s="556" t="s">
        <v>4135</v>
      </c>
      <c r="N256" s="214" t="s">
        <v>20</v>
      </c>
      <c r="O256" s="214" t="s">
        <v>20</v>
      </c>
      <c r="P256" s="214" t="s">
        <v>15</v>
      </c>
      <c r="Q256" s="214" t="s">
        <v>15</v>
      </c>
      <c r="R256" s="214" t="s">
        <v>15</v>
      </c>
      <c r="S256" s="214" t="s">
        <v>15</v>
      </c>
      <c r="T256" s="214" t="s">
        <v>15</v>
      </c>
      <c r="U256" s="214" t="s">
        <v>15</v>
      </c>
      <c r="V256" s="214" t="s">
        <v>15</v>
      </c>
      <c r="W256" s="214" t="s">
        <v>15</v>
      </c>
      <c r="X256" s="214" t="s">
        <v>15</v>
      </c>
      <c r="Y256" s="214" t="s">
        <v>20</v>
      </c>
      <c r="Z256" s="214"/>
      <c r="AA256" s="214" t="s">
        <v>507</v>
      </c>
      <c r="AB256" s="214"/>
      <c r="AC256" s="214" t="s">
        <v>15</v>
      </c>
      <c r="AD256" s="320" t="s">
        <v>516</v>
      </c>
      <c r="AE256" s="323" t="s">
        <v>2855</v>
      </c>
      <c r="AF256" s="162" t="str">
        <f t="shared" si="12"/>
        <v/>
      </c>
      <c r="AG256" s="162" t="str">
        <f t="shared" si="13"/>
        <v/>
      </c>
      <c r="AH256" s="164">
        <f t="shared" si="14"/>
        <v>5.9350649350649354</v>
      </c>
      <c r="AI256" s="164" t="str">
        <f t="shared" si="15"/>
        <v/>
      </c>
      <c r="AJ256" s="369"/>
      <c r="AK256" s="368"/>
      <c r="AL256" s="368"/>
      <c r="AM256" s="368"/>
      <c r="AN256" s="368"/>
      <c r="AO256" s="368"/>
      <c r="AP256" s="368"/>
      <c r="AQ256" s="368"/>
      <c r="AR256" s="368"/>
      <c r="AS256" s="198"/>
      <c r="AT256" s="198"/>
      <c r="AU256" s="378"/>
      <c r="AW256" s="426"/>
      <c r="AX256" s="359"/>
      <c r="AY256" s="359"/>
      <c r="AZ256" s="359"/>
      <c r="BA256" s="359"/>
      <c r="BB256" s="426"/>
      <c r="BC256" s="426"/>
      <c r="BD256" s="426"/>
      <c r="BE256" s="426"/>
      <c r="BF256" s="468">
        <f>4.57/0.77</f>
        <v>5.9350649350649354</v>
      </c>
      <c r="BG256" s="469"/>
      <c r="BH256" s="335"/>
      <c r="BI256" s="446"/>
      <c r="BJ256" s="507"/>
    </row>
    <row r="257" spans="1:62" ht="15.75" customHeight="1" thickBot="1" x14ac:dyDescent="0.25">
      <c r="A257" s="176">
        <v>256</v>
      </c>
      <c r="B257" s="175">
        <v>1</v>
      </c>
      <c r="C257" s="166" t="s">
        <v>24</v>
      </c>
      <c r="D257" s="166" t="s">
        <v>283</v>
      </c>
      <c r="E257" s="166" t="s">
        <v>13</v>
      </c>
      <c r="F257" s="166" t="s">
        <v>379</v>
      </c>
      <c r="G257" s="166" t="s">
        <v>20</v>
      </c>
      <c r="H257" s="166" t="s">
        <v>108</v>
      </c>
      <c r="I257" s="181">
        <v>2006</v>
      </c>
      <c r="J257" s="181" t="s">
        <v>505</v>
      </c>
      <c r="K257" s="181" t="s">
        <v>506</v>
      </c>
      <c r="L257" s="181" t="s">
        <v>104</v>
      </c>
      <c r="M257" s="556" t="s">
        <v>4135</v>
      </c>
      <c r="N257" s="214" t="s">
        <v>20</v>
      </c>
      <c r="O257" s="214" t="s">
        <v>20</v>
      </c>
      <c r="P257" s="214" t="s">
        <v>15</v>
      </c>
      <c r="Q257" s="214" t="s">
        <v>15</v>
      </c>
      <c r="R257" s="214" t="s">
        <v>15</v>
      </c>
      <c r="S257" s="214" t="s">
        <v>15</v>
      </c>
      <c r="T257" s="214" t="s">
        <v>15</v>
      </c>
      <c r="U257" s="214" t="s">
        <v>15</v>
      </c>
      <c r="V257" s="214" t="s">
        <v>15</v>
      </c>
      <c r="W257" s="214" t="s">
        <v>15</v>
      </c>
      <c r="X257" s="214" t="s">
        <v>15</v>
      </c>
      <c r="Y257" s="214" t="s">
        <v>20</v>
      </c>
      <c r="Z257" s="214"/>
      <c r="AA257" s="214" t="s">
        <v>507</v>
      </c>
      <c r="AB257" s="214"/>
      <c r="AC257" s="214" t="s">
        <v>15</v>
      </c>
      <c r="AD257" s="320" t="s">
        <v>516</v>
      </c>
      <c r="AE257" s="323" t="s">
        <v>2855</v>
      </c>
      <c r="AF257" s="162" t="str">
        <f t="shared" si="12"/>
        <v/>
      </c>
      <c r="AG257" s="162" t="str">
        <f t="shared" si="13"/>
        <v/>
      </c>
      <c r="AH257" s="164">
        <f t="shared" si="14"/>
        <v>8.6753246753246742</v>
      </c>
      <c r="AI257" s="164" t="str">
        <f t="shared" si="15"/>
        <v/>
      </c>
      <c r="AJ257" s="369"/>
      <c r="AK257" s="368"/>
      <c r="AL257" s="368"/>
      <c r="AM257" s="368"/>
      <c r="AN257" s="368"/>
      <c r="AO257" s="368"/>
      <c r="AP257" s="368"/>
      <c r="AQ257" s="368"/>
      <c r="AR257" s="368"/>
      <c r="AS257" s="198"/>
      <c r="AT257" s="198"/>
      <c r="AU257" s="378"/>
      <c r="AW257" s="426"/>
      <c r="AX257" s="359"/>
      <c r="AY257" s="359"/>
      <c r="AZ257" s="359"/>
      <c r="BA257" s="359"/>
      <c r="BB257" s="426"/>
      <c r="BC257" s="426"/>
      <c r="BD257" s="426"/>
      <c r="BE257" s="426"/>
      <c r="BF257" s="468">
        <f>6.68/0.77</f>
        <v>8.6753246753246742</v>
      </c>
      <c r="BG257" s="469"/>
      <c r="BH257" s="335"/>
      <c r="BI257" s="446"/>
      <c r="BJ257" s="507"/>
    </row>
    <row r="258" spans="1:62" ht="15.75" customHeight="1" thickBot="1" x14ac:dyDescent="0.25">
      <c r="A258" s="174">
        <v>257</v>
      </c>
      <c r="B258" s="175">
        <v>1</v>
      </c>
      <c r="C258" s="166" t="s">
        <v>24</v>
      </c>
      <c r="D258" s="166" t="s">
        <v>283</v>
      </c>
      <c r="E258" s="166" t="s">
        <v>13</v>
      </c>
      <c r="F258" s="166" t="s">
        <v>526</v>
      </c>
      <c r="G258" s="166" t="s">
        <v>20</v>
      </c>
      <c r="H258" s="166" t="s">
        <v>108</v>
      </c>
      <c r="I258" s="181">
        <v>2006</v>
      </c>
      <c r="J258" s="181" t="s">
        <v>505</v>
      </c>
      <c r="K258" s="181" t="s">
        <v>506</v>
      </c>
      <c r="L258" s="181" t="s">
        <v>104</v>
      </c>
      <c r="M258" s="556" t="s">
        <v>4135</v>
      </c>
      <c r="N258" s="214" t="s">
        <v>20</v>
      </c>
      <c r="O258" s="214" t="s">
        <v>20</v>
      </c>
      <c r="P258" s="214" t="s">
        <v>15</v>
      </c>
      <c r="Q258" s="214" t="s">
        <v>15</v>
      </c>
      <c r="R258" s="214" t="s">
        <v>15</v>
      </c>
      <c r="S258" s="214" t="s">
        <v>15</v>
      </c>
      <c r="T258" s="214" t="s">
        <v>15</v>
      </c>
      <c r="U258" s="214" t="s">
        <v>15</v>
      </c>
      <c r="V258" s="214" t="s">
        <v>15</v>
      </c>
      <c r="W258" s="214" t="s">
        <v>15</v>
      </c>
      <c r="X258" s="214" t="s">
        <v>15</v>
      </c>
      <c r="Y258" s="214" t="s">
        <v>20</v>
      </c>
      <c r="Z258" s="214"/>
      <c r="AA258" s="214" t="s">
        <v>507</v>
      </c>
      <c r="AB258" s="214"/>
      <c r="AC258" s="214" t="s">
        <v>15</v>
      </c>
      <c r="AD258" s="320" t="s">
        <v>516</v>
      </c>
      <c r="AE258" s="323" t="s">
        <v>2855</v>
      </c>
      <c r="AF258" s="162" t="str">
        <f t="shared" ref="AF258:AF321" si="16">IF(AS258&lt;&gt;0,AS258,"")</f>
        <v/>
      </c>
      <c r="AG258" s="162" t="str">
        <f t="shared" ref="AG258:AG321" si="17">IF(AND(SUM(AJ258:AL258)&lt;&gt;0,SUM(AJ258:AL258)&lt;&gt;AJ258),SUM(AJ258:AL258),"")</f>
        <v/>
      </c>
      <c r="AH258" s="164">
        <f t="shared" ref="AH258:AH321" si="18">IF(BF258&lt;&gt;0,BF258,"")</f>
        <v>7.116883116883117</v>
      </c>
      <c r="AI258" s="164" t="str">
        <f t="shared" ref="AI258:AI321" si="19">IF(AND(SUM(AW258:AY258)&lt;&gt;0,SUM(AW258:AY258)&lt;&gt;AW258),SUM(AW258:AY258),"")</f>
        <v/>
      </c>
      <c r="AJ258" s="369"/>
      <c r="AK258" s="368"/>
      <c r="AL258" s="368"/>
      <c r="AM258" s="368"/>
      <c r="AN258" s="368"/>
      <c r="AO258" s="368"/>
      <c r="AP258" s="368"/>
      <c r="AQ258" s="368"/>
      <c r="AR258" s="368"/>
      <c r="AS258" s="198"/>
      <c r="AT258" s="198"/>
      <c r="AU258" s="378"/>
      <c r="AW258" s="426"/>
      <c r="AX258" s="359"/>
      <c r="AY258" s="359"/>
      <c r="AZ258" s="359"/>
      <c r="BA258" s="359"/>
      <c r="BB258" s="426"/>
      <c r="BC258" s="426"/>
      <c r="BD258" s="426"/>
      <c r="BE258" s="426"/>
      <c r="BF258" s="468">
        <f>5.48/0.77</f>
        <v>7.116883116883117</v>
      </c>
      <c r="BG258" s="469"/>
      <c r="BH258" s="335"/>
      <c r="BI258" s="446"/>
      <c r="BJ258" s="507"/>
    </row>
    <row r="259" spans="1:62" ht="15.75" customHeight="1" thickBot="1" x14ac:dyDescent="0.25">
      <c r="A259" s="176">
        <v>258</v>
      </c>
      <c r="B259" s="175">
        <v>1</v>
      </c>
      <c r="C259" s="166" t="s">
        <v>24</v>
      </c>
      <c r="D259" s="166" t="s">
        <v>346</v>
      </c>
      <c r="E259" s="166" t="s">
        <v>13</v>
      </c>
      <c r="F259" s="166" t="s">
        <v>504</v>
      </c>
      <c r="G259" s="166" t="s">
        <v>20</v>
      </c>
      <c r="H259" s="166" t="s">
        <v>108</v>
      </c>
      <c r="I259" s="181">
        <v>2006</v>
      </c>
      <c r="J259" s="181" t="s">
        <v>505</v>
      </c>
      <c r="K259" s="181" t="s">
        <v>506</v>
      </c>
      <c r="L259" s="181" t="s">
        <v>104</v>
      </c>
      <c r="M259" s="556" t="s">
        <v>4135</v>
      </c>
      <c r="N259" s="214" t="s">
        <v>20</v>
      </c>
      <c r="O259" s="214" t="s">
        <v>20</v>
      </c>
      <c r="P259" s="214" t="s">
        <v>15</v>
      </c>
      <c r="Q259" s="214" t="s">
        <v>15</v>
      </c>
      <c r="R259" s="214" t="s">
        <v>15</v>
      </c>
      <c r="S259" s="214" t="s">
        <v>15</v>
      </c>
      <c r="T259" s="214" t="s">
        <v>15</v>
      </c>
      <c r="U259" s="214" t="s">
        <v>15</v>
      </c>
      <c r="V259" s="214" t="s">
        <v>15</v>
      </c>
      <c r="W259" s="214" t="s">
        <v>15</v>
      </c>
      <c r="X259" s="214" t="s">
        <v>15</v>
      </c>
      <c r="Y259" s="214" t="s">
        <v>20</v>
      </c>
      <c r="Z259" s="214"/>
      <c r="AA259" s="214" t="s">
        <v>507</v>
      </c>
      <c r="AB259" s="214"/>
      <c r="AC259" s="214" t="s">
        <v>15</v>
      </c>
      <c r="AD259" s="320" t="s">
        <v>516</v>
      </c>
      <c r="AE259" s="320" t="s">
        <v>527</v>
      </c>
      <c r="AF259" s="162" t="str">
        <f t="shared" si="16"/>
        <v/>
      </c>
      <c r="AG259" s="162" t="str">
        <f t="shared" si="17"/>
        <v/>
      </c>
      <c r="AH259" s="164">
        <f t="shared" si="18"/>
        <v>26.595744680851062</v>
      </c>
      <c r="AI259" s="164" t="str">
        <f t="shared" si="19"/>
        <v/>
      </c>
      <c r="AJ259" s="369"/>
      <c r="AK259" s="368"/>
      <c r="AL259" s="368"/>
      <c r="AM259" s="368"/>
      <c r="AN259" s="368"/>
      <c r="AO259" s="368"/>
      <c r="AP259" s="368"/>
      <c r="AQ259" s="368"/>
      <c r="AR259" s="368"/>
      <c r="AS259" s="198"/>
      <c r="AT259" s="198"/>
      <c r="AU259" s="378"/>
      <c r="AW259" s="426"/>
      <c r="AX259" s="359"/>
      <c r="AY259" s="359"/>
      <c r="AZ259" s="359"/>
      <c r="BA259" s="359"/>
      <c r="BB259" s="426"/>
      <c r="BC259" s="426"/>
      <c r="BD259" s="426"/>
      <c r="BE259" s="426"/>
      <c r="BF259" s="468">
        <f>17.5/0.658</f>
        <v>26.595744680851062</v>
      </c>
      <c r="BG259" s="469"/>
      <c r="BH259" s="335"/>
      <c r="BI259" s="446"/>
      <c r="BJ259" s="507"/>
    </row>
    <row r="260" spans="1:62" ht="15.75" customHeight="1" thickBot="1" x14ac:dyDescent="0.25">
      <c r="A260" s="174">
        <v>259</v>
      </c>
      <c r="B260" s="175">
        <v>1</v>
      </c>
      <c r="C260" s="166" t="s">
        <v>24</v>
      </c>
      <c r="D260" s="166" t="s">
        <v>346</v>
      </c>
      <c r="E260" s="166" t="s">
        <v>13</v>
      </c>
      <c r="F260" s="166" t="s">
        <v>379</v>
      </c>
      <c r="G260" s="166" t="s">
        <v>20</v>
      </c>
      <c r="H260" s="166" t="s">
        <v>108</v>
      </c>
      <c r="I260" s="181">
        <v>2006</v>
      </c>
      <c r="J260" s="181" t="s">
        <v>505</v>
      </c>
      <c r="K260" s="181" t="s">
        <v>506</v>
      </c>
      <c r="L260" s="181" t="s">
        <v>104</v>
      </c>
      <c r="M260" s="556" t="s">
        <v>4135</v>
      </c>
      <c r="N260" s="214" t="s">
        <v>20</v>
      </c>
      <c r="O260" s="214" t="s">
        <v>20</v>
      </c>
      <c r="P260" s="214" t="s">
        <v>15</v>
      </c>
      <c r="Q260" s="214" t="s">
        <v>15</v>
      </c>
      <c r="R260" s="214" t="s">
        <v>15</v>
      </c>
      <c r="S260" s="214" t="s">
        <v>15</v>
      </c>
      <c r="T260" s="214" t="s">
        <v>15</v>
      </c>
      <c r="U260" s="214" t="s">
        <v>15</v>
      </c>
      <c r="V260" s="214" t="s">
        <v>15</v>
      </c>
      <c r="W260" s="214" t="s">
        <v>15</v>
      </c>
      <c r="X260" s="214" t="s">
        <v>15</v>
      </c>
      <c r="Y260" s="214" t="s">
        <v>20</v>
      </c>
      <c r="Z260" s="214"/>
      <c r="AA260" s="214" t="s">
        <v>507</v>
      </c>
      <c r="AB260" s="214"/>
      <c r="AC260" s="214" t="s">
        <v>15</v>
      </c>
      <c r="AD260" s="320" t="s">
        <v>516</v>
      </c>
      <c r="AE260" s="320" t="s">
        <v>527</v>
      </c>
      <c r="AF260" s="162" t="str">
        <f t="shared" si="16"/>
        <v/>
      </c>
      <c r="AG260" s="162" t="str">
        <f t="shared" si="17"/>
        <v/>
      </c>
      <c r="AH260" s="164">
        <f t="shared" si="18"/>
        <v>15.349544072948326</v>
      </c>
      <c r="AI260" s="164" t="str">
        <f t="shared" si="19"/>
        <v/>
      </c>
      <c r="AJ260" s="369"/>
      <c r="AK260" s="368"/>
      <c r="AL260" s="368"/>
      <c r="AM260" s="368"/>
      <c r="AN260" s="368"/>
      <c r="AO260" s="368"/>
      <c r="AP260" s="368"/>
      <c r="AQ260" s="368"/>
      <c r="AR260" s="368"/>
      <c r="AS260" s="198"/>
      <c r="AT260" s="198"/>
      <c r="AU260" s="378"/>
      <c r="AW260" s="426"/>
      <c r="AX260" s="359"/>
      <c r="AY260" s="359"/>
      <c r="AZ260" s="359"/>
      <c r="BA260" s="359"/>
      <c r="BB260" s="426"/>
      <c r="BC260" s="426"/>
      <c r="BD260" s="426"/>
      <c r="BE260" s="426"/>
      <c r="BF260" s="468">
        <f>10.1/0.658</f>
        <v>15.349544072948326</v>
      </c>
      <c r="BG260" s="469"/>
      <c r="BH260" s="335"/>
      <c r="BI260" s="446"/>
      <c r="BJ260" s="507"/>
    </row>
    <row r="261" spans="1:62" ht="15.75" customHeight="1" thickBot="1" x14ac:dyDescent="0.25">
      <c r="A261" s="176">
        <v>260</v>
      </c>
      <c r="B261" s="175">
        <v>1</v>
      </c>
      <c r="C261" s="166" t="s">
        <v>39</v>
      </c>
      <c r="D261" s="166" t="s">
        <v>40</v>
      </c>
      <c r="E261" s="166" t="s">
        <v>13</v>
      </c>
      <c r="F261" s="166" t="s">
        <v>504</v>
      </c>
      <c r="G261" s="166" t="s">
        <v>20</v>
      </c>
      <c r="H261" s="166" t="s">
        <v>108</v>
      </c>
      <c r="I261" s="181">
        <v>2006</v>
      </c>
      <c r="J261" s="181" t="s">
        <v>505</v>
      </c>
      <c r="K261" s="181" t="s">
        <v>506</v>
      </c>
      <c r="L261" s="181" t="s">
        <v>104</v>
      </c>
      <c r="M261" s="556" t="s">
        <v>4135</v>
      </c>
      <c r="N261" s="214" t="s">
        <v>20</v>
      </c>
      <c r="O261" s="214" t="s">
        <v>20</v>
      </c>
      <c r="P261" s="214" t="s">
        <v>15</v>
      </c>
      <c r="Q261" s="214" t="s">
        <v>15</v>
      </c>
      <c r="R261" s="214" t="s">
        <v>15</v>
      </c>
      <c r="S261" s="214" t="s">
        <v>15</v>
      </c>
      <c r="T261" s="214" t="s">
        <v>15</v>
      </c>
      <c r="U261" s="214" t="s">
        <v>15</v>
      </c>
      <c r="V261" s="214" t="s">
        <v>15</v>
      </c>
      <c r="W261" s="214" t="s">
        <v>15</v>
      </c>
      <c r="X261" s="214" t="s">
        <v>15</v>
      </c>
      <c r="Y261" s="214" t="s">
        <v>20</v>
      </c>
      <c r="Z261" s="214"/>
      <c r="AA261" s="214" t="s">
        <v>507</v>
      </c>
      <c r="AB261" s="214"/>
      <c r="AC261" s="214" t="s">
        <v>15</v>
      </c>
      <c r="AD261" s="320" t="s">
        <v>528</v>
      </c>
      <c r="AE261" s="320" t="s">
        <v>509</v>
      </c>
      <c r="AF261" s="162" t="str">
        <f t="shared" si="16"/>
        <v/>
      </c>
      <c r="AG261" s="162" t="str">
        <f t="shared" si="17"/>
        <v/>
      </c>
      <c r="AH261" s="164">
        <f t="shared" si="18"/>
        <v>5.53</v>
      </c>
      <c r="AI261" s="164" t="str">
        <f t="shared" si="19"/>
        <v/>
      </c>
      <c r="AJ261" s="369"/>
      <c r="AK261" s="368"/>
      <c r="AL261" s="368"/>
      <c r="AM261" s="368"/>
      <c r="AN261" s="368"/>
      <c r="AO261" s="368"/>
      <c r="AP261" s="368"/>
      <c r="AQ261" s="368"/>
      <c r="AR261" s="368"/>
      <c r="AS261" s="198"/>
      <c r="AT261" s="198"/>
      <c r="AU261" s="378"/>
      <c r="AW261" s="426"/>
      <c r="AX261" s="359"/>
      <c r="AY261" s="359"/>
      <c r="AZ261" s="359"/>
      <c r="BA261" s="359"/>
      <c r="BB261" s="426"/>
      <c r="BC261" s="426"/>
      <c r="BD261" s="426"/>
      <c r="BE261" s="426"/>
      <c r="BF261" s="468">
        <v>5.53</v>
      </c>
      <c r="BG261" s="469"/>
      <c r="BH261" s="335"/>
      <c r="BI261" s="446"/>
      <c r="BJ261" s="507"/>
    </row>
    <row r="262" spans="1:62" ht="15.75" customHeight="1" thickBot="1" x14ac:dyDescent="0.25">
      <c r="A262" s="174">
        <v>261</v>
      </c>
      <c r="B262" s="175">
        <v>1</v>
      </c>
      <c r="C262" s="166" t="s">
        <v>39</v>
      </c>
      <c r="D262" s="166" t="s">
        <v>40</v>
      </c>
      <c r="E262" s="166" t="s">
        <v>13</v>
      </c>
      <c r="F262" s="166" t="s">
        <v>379</v>
      </c>
      <c r="G262" s="166" t="s">
        <v>20</v>
      </c>
      <c r="H262" s="166" t="s">
        <v>108</v>
      </c>
      <c r="I262" s="181">
        <v>2006</v>
      </c>
      <c r="J262" s="181" t="s">
        <v>505</v>
      </c>
      <c r="K262" s="181" t="s">
        <v>506</v>
      </c>
      <c r="L262" s="181" t="s">
        <v>104</v>
      </c>
      <c r="M262" s="556" t="s">
        <v>4135</v>
      </c>
      <c r="N262" s="214" t="s">
        <v>20</v>
      </c>
      <c r="O262" s="214" t="s">
        <v>20</v>
      </c>
      <c r="P262" s="214" t="s">
        <v>15</v>
      </c>
      <c r="Q262" s="214" t="s">
        <v>15</v>
      </c>
      <c r="R262" s="214" t="s">
        <v>15</v>
      </c>
      <c r="S262" s="214" t="s">
        <v>15</v>
      </c>
      <c r="T262" s="214" t="s">
        <v>15</v>
      </c>
      <c r="U262" s="214" t="s">
        <v>15</v>
      </c>
      <c r="V262" s="214" t="s">
        <v>15</v>
      </c>
      <c r="W262" s="214" t="s">
        <v>15</v>
      </c>
      <c r="X262" s="214" t="s">
        <v>15</v>
      </c>
      <c r="Y262" s="214" t="s">
        <v>20</v>
      </c>
      <c r="Z262" s="214"/>
      <c r="AA262" s="214" t="s">
        <v>507</v>
      </c>
      <c r="AB262" s="214"/>
      <c r="AC262" s="214" t="s">
        <v>15</v>
      </c>
      <c r="AD262" s="320" t="s">
        <v>528</v>
      </c>
      <c r="AE262" s="320" t="s">
        <v>509</v>
      </c>
      <c r="AF262" s="162" t="str">
        <f t="shared" si="16"/>
        <v/>
      </c>
      <c r="AG262" s="162" t="str">
        <f t="shared" si="17"/>
        <v/>
      </c>
      <c r="AH262" s="164">
        <f t="shared" si="18"/>
        <v>7</v>
      </c>
      <c r="AI262" s="164" t="str">
        <f t="shared" si="19"/>
        <v/>
      </c>
      <c r="AJ262" s="369"/>
      <c r="AK262" s="368"/>
      <c r="AL262" s="368"/>
      <c r="AM262" s="368"/>
      <c r="AN262" s="368"/>
      <c r="AO262" s="368"/>
      <c r="AP262" s="368"/>
      <c r="AQ262" s="368"/>
      <c r="AR262" s="368"/>
      <c r="AS262" s="198"/>
      <c r="AT262" s="198"/>
      <c r="AU262" s="378"/>
      <c r="AW262" s="426"/>
      <c r="AX262" s="359"/>
      <c r="AY262" s="359"/>
      <c r="AZ262" s="359"/>
      <c r="BA262" s="359"/>
      <c r="BB262" s="426"/>
      <c r="BC262" s="426"/>
      <c r="BD262" s="426"/>
      <c r="BE262" s="426"/>
      <c r="BF262" s="468">
        <v>7</v>
      </c>
      <c r="BG262" s="469"/>
      <c r="BH262" s="335"/>
      <c r="BI262" s="446"/>
      <c r="BJ262" s="507"/>
    </row>
    <row r="263" spans="1:62" ht="15.75" customHeight="1" thickBot="1" x14ac:dyDescent="0.25">
      <c r="A263" s="176">
        <v>262</v>
      </c>
      <c r="B263" s="175">
        <v>1</v>
      </c>
      <c r="C263" s="166" t="s">
        <v>39</v>
      </c>
      <c r="D263" s="166" t="s">
        <v>40</v>
      </c>
      <c r="E263" s="166" t="s">
        <v>13</v>
      </c>
      <c r="F263" s="166" t="s">
        <v>529</v>
      </c>
      <c r="G263" s="166" t="s">
        <v>20</v>
      </c>
      <c r="H263" s="166" t="s">
        <v>108</v>
      </c>
      <c r="I263" s="181">
        <v>2006</v>
      </c>
      <c r="J263" s="181" t="s">
        <v>505</v>
      </c>
      <c r="K263" s="181" t="s">
        <v>506</v>
      </c>
      <c r="L263" s="181" t="s">
        <v>104</v>
      </c>
      <c r="M263" s="556" t="s">
        <v>4135</v>
      </c>
      <c r="N263" s="214" t="s">
        <v>20</v>
      </c>
      <c r="O263" s="214" t="s">
        <v>20</v>
      </c>
      <c r="P263" s="214" t="s">
        <v>15</v>
      </c>
      <c r="Q263" s="214" t="s">
        <v>15</v>
      </c>
      <c r="R263" s="214" t="s">
        <v>15</v>
      </c>
      <c r="S263" s="214" t="s">
        <v>15</v>
      </c>
      <c r="T263" s="214" t="s">
        <v>15</v>
      </c>
      <c r="U263" s="214" t="s">
        <v>15</v>
      </c>
      <c r="V263" s="214" t="s">
        <v>15</v>
      </c>
      <c r="W263" s="214" t="s">
        <v>15</v>
      </c>
      <c r="X263" s="214" t="s">
        <v>15</v>
      </c>
      <c r="Y263" s="214" t="s">
        <v>20</v>
      </c>
      <c r="Z263" s="214"/>
      <c r="AA263" s="214" t="s">
        <v>507</v>
      </c>
      <c r="AB263" s="214"/>
      <c r="AC263" s="214" t="s">
        <v>15</v>
      </c>
      <c r="AD263" s="320" t="s">
        <v>528</v>
      </c>
      <c r="AE263" s="320" t="s">
        <v>509</v>
      </c>
      <c r="AF263" s="162" t="str">
        <f t="shared" si="16"/>
        <v/>
      </c>
      <c r="AG263" s="162" t="str">
        <f t="shared" si="17"/>
        <v/>
      </c>
      <c r="AH263" s="164">
        <f t="shared" si="18"/>
        <v>5.25</v>
      </c>
      <c r="AI263" s="164" t="str">
        <f t="shared" si="19"/>
        <v/>
      </c>
      <c r="AJ263" s="369"/>
      <c r="AK263" s="368"/>
      <c r="AL263" s="368"/>
      <c r="AM263" s="368"/>
      <c r="AN263" s="368"/>
      <c r="AO263" s="368"/>
      <c r="AP263" s="368"/>
      <c r="AQ263" s="368"/>
      <c r="AR263" s="368"/>
      <c r="AS263" s="198"/>
      <c r="AT263" s="198"/>
      <c r="AU263" s="378"/>
      <c r="AW263" s="426"/>
      <c r="AX263" s="359"/>
      <c r="AY263" s="359"/>
      <c r="AZ263" s="359"/>
      <c r="BA263" s="359"/>
      <c r="BB263" s="426"/>
      <c r="BC263" s="426"/>
      <c r="BD263" s="426"/>
      <c r="BE263" s="426"/>
      <c r="BF263" s="468">
        <v>5.25</v>
      </c>
      <c r="BG263" s="469"/>
      <c r="BH263" s="335"/>
      <c r="BI263" s="446"/>
      <c r="BJ263" s="507"/>
    </row>
    <row r="264" spans="1:62" ht="15.75" customHeight="1" thickBot="1" x14ac:dyDescent="0.25">
      <c r="A264" s="174">
        <v>263</v>
      </c>
      <c r="B264" s="175">
        <v>1</v>
      </c>
      <c r="C264" s="166" t="s">
        <v>39</v>
      </c>
      <c r="D264" s="166" t="s">
        <v>40</v>
      </c>
      <c r="E264" s="166" t="s">
        <v>13</v>
      </c>
      <c r="F264" s="166" t="s">
        <v>530</v>
      </c>
      <c r="G264" s="166" t="s">
        <v>20</v>
      </c>
      <c r="H264" s="166" t="s">
        <v>108</v>
      </c>
      <c r="I264" s="181">
        <v>2006</v>
      </c>
      <c r="J264" s="181" t="s">
        <v>505</v>
      </c>
      <c r="K264" s="181" t="s">
        <v>506</v>
      </c>
      <c r="L264" s="181" t="s">
        <v>104</v>
      </c>
      <c r="M264" s="556" t="s">
        <v>4135</v>
      </c>
      <c r="N264" s="214" t="s">
        <v>20</v>
      </c>
      <c r="O264" s="214" t="s">
        <v>20</v>
      </c>
      <c r="P264" s="214" t="s">
        <v>15</v>
      </c>
      <c r="Q264" s="214" t="s">
        <v>15</v>
      </c>
      <c r="R264" s="214" t="s">
        <v>15</v>
      </c>
      <c r="S264" s="214" t="s">
        <v>15</v>
      </c>
      <c r="T264" s="214" t="s">
        <v>15</v>
      </c>
      <c r="U264" s="214" t="s">
        <v>15</v>
      </c>
      <c r="V264" s="214" t="s">
        <v>15</v>
      </c>
      <c r="W264" s="214" t="s">
        <v>15</v>
      </c>
      <c r="X264" s="214" t="s">
        <v>15</v>
      </c>
      <c r="Y264" s="214" t="s">
        <v>20</v>
      </c>
      <c r="Z264" s="214"/>
      <c r="AA264" s="214" t="s">
        <v>507</v>
      </c>
      <c r="AB264" s="214"/>
      <c r="AC264" s="214" t="s">
        <v>15</v>
      </c>
      <c r="AD264" s="320" t="s">
        <v>528</v>
      </c>
      <c r="AE264" s="320" t="s">
        <v>509</v>
      </c>
      <c r="AF264" s="162" t="str">
        <f t="shared" si="16"/>
        <v/>
      </c>
      <c r="AG264" s="162" t="str">
        <f t="shared" si="17"/>
        <v/>
      </c>
      <c r="AH264" s="164">
        <f t="shared" si="18"/>
        <v>6.18</v>
      </c>
      <c r="AI264" s="164" t="str">
        <f t="shared" si="19"/>
        <v/>
      </c>
      <c r="AJ264" s="369"/>
      <c r="AK264" s="368"/>
      <c r="AL264" s="368"/>
      <c r="AM264" s="368"/>
      <c r="AN264" s="368"/>
      <c r="AO264" s="368"/>
      <c r="AP264" s="368"/>
      <c r="AQ264" s="368"/>
      <c r="AR264" s="368"/>
      <c r="AS264" s="198"/>
      <c r="AT264" s="198"/>
      <c r="AU264" s="378"/>
      <c r="AW264" s="426"/>
      <c r="AX264" s="359"/>
      <c r="AY264" s="359"/>
      <c r="AZ264" s="359"/>
      <c r="BA264" s="359"/>
      <c r="BB264" s="426"/>
      <c r="BC264" s="426"/>
      <c r="BD264" s="426"/>
      <c r="BE264" s="426"/>
      <c r="BF264" s="468">
        <v>6.18</v>
      </c>
      <c r="BG264" s="469"/>
      <c r="BH264" s="335"/>
      <c r="BI264" s="446"/>
      <c r="BJ264" s="507"/>
    </row>
    <row r="265" spans="1:62" ht="15.75" customHeight="1" thickBot="1" x14ac:dyDescent="0.25">
      <c r="A265" s="176">
        <v>264</v>
      </c>
      <c r="B265" s="175">
        <v>1</v>
      </c>
      <c r="C265" s="166" t="s">
        <v>11</v>
      </c>
      <c r="D265" s="170" t="s">
        <v>12</v>
      </c>
      <c r="E265" s="166" t="s">
        <v>13</v>
      </c>
      <c r="F265" s="166" t="s">
        <v>504</v>
      </c>
      <c r="G265" s="166" t="s">
        <v>20</v>
      </c>
      <c r="H265" s="166" t="s">
        <v>108</v>
      </c>
      <c r="I265" s="181">
        <v>2006</v>
      </c>
      <c r="J265" s="181" t="s">
        <v>505</v>
      </c>
      <c r="K265" s="181" t="s">
        <v>506</v>
      </c>
      <c r="L265" s="181" t="s">
        <v>104</v>
      </c>
      <c r="M265" s="556" t="s">
        <v>4135</v>
      </c>
      <c r="N265" s="214" t="s">
        <v>20</v>
      </c>
      <c r="O265" s="214" t="s">
        <v>20</v>
      </c>
      <c r="P265" s="214" t="s">
        <v>15</v>
      </c>
      <c r="Q265" s="214" t="s">
        <v>15</v>
      </c>
      <c r="R265" s="214" t="s">
        <v>15</v>
      </c>
      <c r="S265" s="214" t="s">
        <v>15</v>
      </c>
      <c r="T265" s="214" t="s">
        <v>15</v>
      </c>
      <c r="U265" s="214" t="s">
        <v>15</v>
      </c>
      <c r="V265" s="214" t="s">
        <v>15</v>
      </c>
      <c r="W265" s="214" t="s">
        <v>15</v>
      </c>
      <c r="X265" s="214" t="s">
        <v>15</v>
      </c>
      <c r="Y265" s="214" t="s">
        <v>20</v>
      </c>
      <c r="Z265" s="214"/>
      <c r="AA265" s="214" t="s">
        <v>507</v>
      </c>
      <c r="AB265" s="214"/>
      <c r="AC265" s="214" t="s">
        <v>15</v>
      </c>
      <c r="AD265" s="320" t="s">
        <v>531</v>
      </c>
      <c r="AE265" s="320" t="s">
        <v>532</v>
      </c>
      <c r="AF265" s="162" t="str">
        <f t="shared" si="16"/>
        <v/>
      </c>
      <c r="AG265" s="162" t="str">
        <f t="shared" si="17"/>
        <v/>
      </c>
      <c r="AH265" s="164">
        <f t="shared" si="18"/>
        <v>10.6</v>
      </c>
      <c r="AI265" s="164" t="str">
        <f t="shared" si="19"/>
        <v/>
      </c>
      <c r="AJ265" s="369"/>
      <c r="AK265" s="368"/>
      <c r="AL265" s="368"/>
      <c r="AM265" s="368"/>
      <c r="AN265" s="368"/>
      <c r="AO265" s="368"/>
      <c r="AP265" s="368"/>
      <c r="AQ265" s="368"/>
      <c r="AR265" s="368"/>
      <c r="AS265" s="198"/>
      <c r="AT265" s="198"/>
      <c r="AU265" s="378"/>
      <c r="AW265" s="426"/>
      <c r="AX265" s="359"/>
      <c r="AY265" s="359"/>
      <c r="AZ265" s="359"/>
      <c r="BA265" s="359"/>
      <c r="BB265" s="426"/>
      <c r="BC265" s="426"/>
      <c r="BD265" s="426"/>
      <c r="BE265" s="426"/>
      <c r="BF265" s="468">
        <v>10.6</v>
      </c>
      <c r="BG265" s="469"/>
      <c r="BH265" s="335"/>
      <c r="BI265" s="446"/>
      <c r="BJ265" s="507"/>
    </row>
    <row r="266" spans="1:62" ht="15.75" customHeight="1" thickBot="1" x14ac:dyDescent="0.25">
      <c r="A266" s="174">
        <v>265</v>
      </c>
      <c r="B266" s="175">
        <v>1</v>
      </c>
      <c r="C266" s="166" t="s">
        <v>11</v>
      </c>
      <c r="D266" s="170" t="s">
        <v>12</v>
      </c>
      <c r="E266" s="166" t="s">
        <v>13</v>
      </c>
      <c r="F266" s="166" t="s">
        <v>379</v>
      </c>
      <c r="G266" s="166" t="s">
        <v>20</v>
      </c>
      <c r="H266" s="166" t="s">
        <v>108</v>
      </c>
      <c r="I266" s="181">
        <v>2006</v>
      </c>
      <c r="J266" s="181" t="s">
        <v>505</v>
      </c>
      <c r="K266" s="181" t="s">
        <v>506</v>
      </c>
      <c r="L266" s="181" t="s">
        <v>104</v>
      </c>
      <c r="M266" s="556" t="s">
        <v>4135</v>
      </c>
      <c r="N266" s="214" t="s">
        <v>20</v>
      </c>
      <c r="O266" s="214" t="s">
        <v>20</v>
      </c>
      <c r="P266" s="214" t="s">
        <v>15</v>
      </c>
      <c r="Q266" s="214" t="s">
        <v>15</v>
      </c>
      <c r="R266" s="214" t="s">
        <v>15</v>
      </c>
      <c r="S266" s="214" t="s">
        <v>15</v>
      </c>
      <c r="T266" s="214" t="s">
        <v>15</v>
      </c>
      <c r="U266" s="214" t="s">
        <v>15</v>
      </c>
      <c r="V266" s="214" t="s">
        <v>15</v>
      </c>
      <c r="W266" s="214" t="s">
        <v>15</v>
      </c>
      <c r="X266" s="214" t="s">
        <v>15</v>
      </c>
      <c r="Y266" s="214" t="s">
        <v>20</v>
      </c>
      <c r="Z266" s="214"/>
      <c r="AA266" s="214" t="s">
        <v>507</v>
      </c>
      <c r="AB266" s="214"/>
      <c r="AC266" s="214" t="s">
        <v>15</v>
      </c>
      <c r="AD266" s="320" t="s">
        <v>531</v>
      </c>
      <c r="AE266" s="320" t="s">
        <v>532</v>
      </c>
      <c r="AF266" s="162" t="str">
        <f t="shared" si="16"/>
        <v/>
      </c>
      <c r="AG266" s="162" t="str">
        <f t="shared" si="17"/>
        <v/>
      </c>
      <c r="AH266" s="164">
        <f t="shared" si="18"/>
        <v>12.3</v>
      </c>
      <c r="AI266" s="164" t="str">
        <f t="shared" si="19"/>
        <v/>
      </c>
      <c r="AJ266" s="369"/>
      <c r="AK266" s="368"/>
      <c r="AL266" s="368"/>
      <c r="AM266" s="368"/>
      <c r="AN266" s="368"/>
      <c r="AO266" s="368"/>
      <c r="AP266" s="368"/>
      <c r="AQ266" s="368"/>
      <c r="AR266" s="368"/>
      <c r="AS266" s="198"/>
      <c r="AT266" s="198"/>
      <c r="AU266" s="378"/>
      <c r="AW266" s="426"/>
      <c r="AX266" s="359"/>
      <c r="AY266" s="359"/>
      <c r="AZ266" s="359"/>
      <c r="BA266" s="359"/>
      <c r="BB266" s="426"/>
      <c r="BC266" s="426"/>
      <c r="BD266" s="426"/>
      <c r="BE266" s="426"/>
      <c r="BF266" s="468">
        <v>12.3</v>
      </c>
      <c r="BG266" s="469"/>
      <c r="BH266" s="335"/>
      <c r="BI266" s="446"/>
      <c r="BJ266" s="507"/>
    </row>
    <row r="267" spans="1:62" ht="15.75" customHeight="1" thickBot="1" x14ac:dyDescent="0.25">
      <c r="A267" s="176">
        <v>266</v>
      </c>
      <c r="B267" s="175">
        <v>1</v>
      </c>
      <c r="C267" s="166" t="s">
        <v>11</v>
      </c>
      <c r="D267" s="170" t="s">
        <v>12</v>
      </c>
      <c r="E267" s="166" t="s">
        <v>13</v>
      </c>
      <c r="F267" s="166" t="s">
        <v>533</v>
      </c>
      <c r="G267" s="166" t="s">
        <v>20</v>
      </c>
      <c r="H267" s="166" t="s">
        <v>108</v>
      </c>
      <c r="I267" s="181">
        <v>2006</v>
      </c>
      <c r="J267" s="181" t="s">
        <v>505</v>
      </c>
      <c r="K267" s="181" t="s">
        <v>506</v>
      </c>
      <c r="L267" s="181" t="s">
        <v>104</v>
      </c>
      <c r="M267" s="556" t="s">
        <v>4135</v>
      </c>
      <c r="N267" s="214" t="s">
        <v>20</v>
      </c>
      <c r="O267" s="214" t="s">
        <v>20</v>
      </c>
      <c r="P267" s="214" t="s">
        <v>15</v>
      </c>
      <c r="Q267" s="214" t="s">
        <v>15</v>
      </c>
      <c r="R267" s="214" t="s">
        <v>15</v>
      </c>
      <c r="S267" s="214" t="s">
        <v>15</v>
      </c>
      <c r="T267" s="214" t="s">
        <v>15</v>
      </c>
      <c r="U267" s="214" t="s">
        <v>15</v>
      </c>
      <c r="V267" s="214" t="s">
        <v>15</v>
      </c>
      <c r="W267" s="214" t="s">
        <v>15</v>
      </c>
      <c r="X267" s="214" t="s">
        <v>15</v>
      </c>
      <c r="Y267" s="214" t="s">
        <v>20</v>
      </c>
      <c r="Z267" s="214"/>
      <c r="AA267" s="214" t="s">
        <v>507</v>
      </c>
      <c r="AB267" s="214"/>
      <c r="AC267" s="214" t="s">
        <v>15</v>
      </c>
      <c r="AD267" s="320" t="s">
        <v>531</v>
      </c>
      <c r="AE267" s="320" t="s">
        <v>532</v>
      </c>
      <c r="AF267" s="162" t="str">
        <f t="shared" si="16"/>
        <v/>
      </c>
      <c r="AG267" s="162" t="str">
        <f t="shared" si="17"/>
        <v/>
      </c>
      <c r="AH267" s="164">
        <f t="shared" si="18"/>
        <v>10.3</v>
      </c>
      <c r="AI267" s="164" t="str">
        <f t="shared" si="19"/>
        <v/>
      </c>
      <c r="AJ267" s="369"/>
      <c r="AK267" s="368"/>
      <c r="AL267" s="368"/>
      <c r="AM267" s="368"/>
      <c r="AN267" s="368"/>
      <c r="AO267" s="368"/>
      <c r="AP267" s="368"/>
      <c r="AQ267" s="368"/>
      <c r="AR267" s="368"/>
      <c r="AS267" s="198"/>
      <c r="AT267" s="198"/>
      <c r="AU267" s="378"/>
      <c r="AW267" s="426"/>
      <c r="AX267" s="359"/>
      <c r="AY267" s="359"/>
      <c r="AZ267" s="359"/>
      <c r="BA267" s="359"/>
      <c r="BB267" s="426"/>
      <c r="BC267" s="426"/>
      <c r="BD267" s="426"/>
      <c r="BE267" s="426"/>
      <c r="BF267" s="468">
        <v>10.3</v>
      </c>
      <c r="BG267" s="469"/>
      <c r="BH267" s="335"/>
      <c r="BI267" s="446"/>
      <c r="BJ267" s="507"/>
    </row>
    <row r="268" spans="1:62" ht="15.75" customHeight="1" thickBot="1" x14ac:dyDescent="0.25">
      <c r="A268" s="174">
        <v>267</v>
      </c>
      <c r="B268" s="175">
        <v>1</v>
      </c>
      <c r="C268" s="166" t="s">
        <v>162</v>
      </c>
      <c r="D268" s="166" t="s">
        <v>4055</v>
      </c>
      <c r="E268" s="166" t="s">
        <v>13</v>
      </c>
      <c r="F268" s="166" t="s">
        <v>379</v>
      </c>
      <c r="G268" s="166" t="s">
        <v>20</v>
      </c>
      <c r="H268" s="166" t="s">
        <v>108</v>
      </c>
      <c r="I268" s="181">
        <v>2006</v>
      </c>
      <c r="J268" s="181" t="s">
        <v>505</v>
      </c>
      <c r="K268" s="181" t="s">
        <v>506</v>
      </c>
      <c r="L268" s="181" t="s">
        <v>104</v>
      </c>
      <c r="M268" s="556" t="s">
        <v>4135</v>
      </c>
      <c r="N268" s="214" t="s">
        <v>20</v>
      </c>
      <c r="O268" s="214" t="s">
        <v>20</v>
      </c>
      <c r="P268" s="214" t="s">
        <v>15</v>
      </c>
      <c r="Q268" s="214" t="s">
        <v>15</v>
      </c>
      <c r="R268" s="214" t="s">
        <v>15</v>
      </c>
      <c r="S268" s="214" t="s">
        <v>15</v>
      </c>
      <c r="T268" s="214" t="s">
        <v>15</v>
      </c>
      <c r="U268" s="214" t="s">
        <v>15</v>
      </c>
      <c r="V268" s="214" t="s">
        <v>15</v>
      </c>
      <c r="W268" s="214" t="s">
        <v>15</v>
      </c>
      <c r="X268" s="214" t="s">
        <v>15</v>
      </c>
      <c r="Y268" s="214" t="s">
        <v>20</v>
      </c>
      <c r="Z268" s="214"/>
      <c r="AA268" s="214" t="s">
        <v>507</v>
      </c>
      <c r="AB268" s="214"/>
      <c r="AC268" s="214" t="s">
        <v>15</v>
      </c>
      <c r="AD268" s="320" t="s">
        <v>534</v>
      </c>
      <c r="AE268" s="320" t="s">
        <v>509</v>
      </c>
      <c r="AF268" s="162" t="str">
        <f t="shared" si="16"/>
        <v/>
      </c>
      <c r="AG268" s="162" t="str">
        <f t="shared" si="17"/>
        <v/>
      </c>
      <c r="AH268" s="164">
        <f t="shared" si="18"/>
        <v>17.5</v>
      </c>
      <c r="AI268" s="164" t="str">
        <f t="shared" si="19"/>
        <v/>
      </c>
      <c r="AJ268" s="369"/>
      <c r="AK268" s="368"/>
      <c r="AL268" s="368"/>
      <c r="AM268" s="368"/>
      <c r="AN268" s="368"/>
      <c r="AO268" s="368"/>
      <c r="AP268" s="368"/>
      <c r="AQ268" s="368"/>
      <c r="AR268" s="368"/>
      <c r="AS268" s="198"/>
      <c r="AT268" s="198"/>
      <c r="AU268" s="378"/>
      <c r="AW268" s="426"/>
      <c r="AX268" s="359"/>
      <c r="AY268" s="359"/>
      <c r="AZ268" s="359"/>
      <c r="BA268" s="359"/>
      <c r="BB268" s="426"/>
      <c r="BC268" s="426"/>
      <c r="BD268" s="426"/>
      <c r="BE268" s="426"/>
      <c r="BF268" s="468">
        <v>17.5</v>
      </c>
      <c r="BG268" s="469"/>
      <c r="BH268" s="335"/>
      <c r="BI268" s="446"/>
      <c r="BJ268" s="507"/>
    </row>
    <row r="269" spans="1:62" ht="15.75" customHeight="1" thickBot="1" x14ac:dyDescent="0.25">
      <c r="A269" s="176">
        <v>268</v>
      </c>
      <c r="B269" s="175">
        <v>1</v>
      </c>
      <c r="C269" s="166" t="s">
        <v>162</v>
      </c>
      <c r="D269" s="166" t="s">
        <v>4055</v>
      </c>
      <c r="E269" s="166" t="s">
        <v>13</v>
      </c>
      <c r="F269" s="166" t="s">
        <v>504</v>
      </c>
      <c r="G269" s="166" t="s">
        <v>20</v>
      </c>
      <c r="H269" s="166" t="s">
        <v>108</v>
      </c>
      <c r="I269" s="181">
        <v>2006</v>
      </c>
      <c r="J269" s="181" t="s">
        <v>505</v>
      </c>
      <c r="K269" s="181" t="s">
        <v>506</v>
      </c>
      <c r="L269" s="181" t="s">
        <v>104</v>
      </c>
      <c r="M269" s="556" t="s">
        <v>4135</v>
      </c>
      <c r="N269" s="214" t="s">
        <v>20</v>
      </c>
      <c r="O269" s="214" t="s">
        <v>20</v>
      </c>
      <c r="P269" s="214" t="s">
        <v>15</v>
      </c>
      <c r="Q269" s="214" t="s">
        <v>15</v>
      </c>
      <c r="R269" s="214" t="s">
        <v>15</v>
      </c>
      <c r="S269" s="214" t="s">
        <v>15</v>
      </c>
      <c r="T269" s="214" t="s">
        <v>15</v>
      </c>
      <c r="U269" s="214" t="s">
        <v>15</v>
      </c>
      <c r="V269" s="214" t="s">
        <v>15</v>
      </c>
      <c r="W269" s="214" t="s">
        <v>15</v>
      </c>
      <c r="X269" s="214" t="s">
        <v>15</v>
      </c>
      <c r="Y269" s="214" t="s">
        <v>20</v>
      </c>
      <c r="Z269" s="214"/>
      <c r="AA269" s="214" t="s">
        <v>507</v>
      </c>
      <c r="AB269" s="214"/>
      <c r="AC269" s="214" t="s">
        <v>15</v>
      </c>
      <c r="AD269" s="320" t="s">
        <v>534</v>
      </c>
      <c r="AE269" s="320" t="s">
        <v>509</v>
      </c>
      <c r="AF269" s="162" t="str">
        <f t="shared" si="16"/>
        <v/>
      </c>
      <c r="AG269" s="162" t="str">
        <f t="shared" si="17"/>
        <v/>
      </c>
      <c r="AH269" s="164">
        <f t="shared" si="18"/>
        <v>9.1</v>
      </c>
      <c r="AI269" s="164" t="str">
        <f t="shared" si="19"/>
        <v/>
      </c>
      <c r="AJ269" s="369"/>
      <c r="AK269" s="368"/>
      <c r="AL269" s="368"/>
      <c r="AM269" s="368"/>
      <c r="AN269" s="368"/>
      <c r="AO269" s="368"/>
      <c r="AP269" s="368"/>
      <c r="AQ269" s="368"/>
      <c r="AR269" s="368"/>
      <c r="AS269" s="198"/>
      <c r="AT269" s="198"/>
      <c r="AU269" s="378"/>
      <c r="AW269" s="426"/>
      <c r="AX269" s="359"/>
      <c r="AY269" s="359"/>
      <c r="AZ269" s="359"/>
      <c r="BA269" s="359"/>
      <c r="BB269" s="426"/>
      <c r="BC269" s="426"/>
      <c r="BD269" s="426"/>
      <c r="BE269" s="426"/>
      <c r="BF269" s="468">
        <v>9.1</v>
      </c>
      <c r="BG269" s="469"/>
      <c r="BH269" s="335"/>
      <c r="BI269" s="446"/>
      <c r="BJ269" s="507"/>
    </row>
    <row r="270" spans="1:62" ht="15.75" customHeight="1" thickBot="1" x14ac:dyDescent="0.25">
      <c r="A270" s="174">
        <v>269</v>
      </c>
      <c r="B270" s="175">
        <v>1</v>
      </c>
      <c r="C270" s="166" t="s">
        <v>162</v>
      </c>
      <c r="D270" s="166" t="s">
        <v>4055</v>
      </c>
      <c r="E270" s="166" t="s">
        <v>13</v>
      </c>
      <c r="F270" s="166" t="s">
        <v>535</v>
      </c>
      <c r="G270" s="166" t="s">
        <v>20</v>
      </c>
      <c r="H270" s="166" t="s">
        <v>108</v>
      </c>
      <c r="I270" s="181">
        <v>2006</v>
      </c>
      <c r="J270" s="181" t="s">
        <v>505</v>
      </c>
      <c r="K270" s="181" t="s">
        <v>506</v>
      </c>
      <c r="L270" s="181" t="s">
        <v>104</v>
      </c>
      <c r="M270" s="556" t="s">
        <v>4135</v>
      </c>
      <c r="N270" s="214" t="s">
        <v>20</v>
      </c>
      <c r="O270" s="214" t="s">
        <v>20</v>
      </c>
      <c r="P270" s="214" t="s">
        <v>15</v>
      </c>
      <c r="Q270" s="214" t="s">
        <v>15</v>
      </c>
      <c r="R270" s="214" t="s">
        <v>15</v>
      </c>
      <c r="S270" s="214" t="s">
        <v>15</v>
      </c>
      <c r="T270" s="214" t="s">
        <v>15</v>
      </c>
      <c r="U270" s="214" t="s">
        <v>15</v>
      </c>
      <c r="V270" s="214" t="s">
        <v>15</v>
      </c>
      <c r="W270" s="214" t="s">
        <v>15</v>
      </c>
      <c r="X270" s="214" t="s">
        <v>15</v>
      </c>
      <c r="Y270" s="214" t="s">
        <v>20</v>
      </c>
      <c r="Z270" s="214"/>
      <c r="AA270" s="214" t="s">
        <v>507</v>
      </c>
      <c r="AB270" s="214"/>
      <c r="AC270" s="214" t="s">
        <v>15</v>
      </c>
      <c r="AD270" s="320" t="s">
        <v>534</v>
      </c>
      <c r="AE270" s="320" t="s">
        <v>509</v>
      </c>
      <c r="AF270" s="162" t="str">
        <f t="shared" si="16"/>
        <v/>
      </c>
      <c r="AG270" s="162" t="str">
        <f t="shared" si="17"/>
        <v/>
      </c>
      <c r="AH270" s="164">
        <f t="shared" si="18"/>
        <v>9.1</v>
      </c>
      <c r="AI270" s="164" t="str">
        <f t="shared" si="19"/>
        <v/>
      </c>
      <c r="AJ270" s="369"/>
      <c r="AK270" s="368"/>
      <c r="AL270" s="368"/>
      <c r="AM270" s="368"/>
      <c r="AN270" s="368"/>
      <c r="AO270" s="368"/>
      <c r="AP270" s="368"/>
      <c r="AQ270" s="368"/>
      <c r="AR270" s="368"/>
      <c r="AS270" s="198"/>
      <c r="AT270" s="198"/>
      <c r="AU270" s="378"/>
      <c r="AW270" s="426"/>
      <c r="AX270" s="359"/>
      <c r="AY270" s="359"/>
      <c r="AZ270" s="359"/>
      <c r="BA270" s="359"/>
      <c r="BB270" s="426"/>
      <c r="BC270" s="426"/>
      <c r="BD270" s="426"/>
      <c r="BE270" s="426"/>
      <c r="BF270" s="468">
        <v>9.1</v>
      </c>
      <c r="BG270" s="469"/>
      <c r="BH270" s="335"/>
      <c r="BI270" s="446"/>
      <c r="BJ270" s="507"/>
    </row>
    <row r="271" spans="1:62" ht="15.75" customHeight="1" thickBot="1" x14ac:dyDescent="0.25">
      <c r="A271" s="176">
        <v>270</v>
      </c>
      <c r="B271" s="175">
        <v>1</v>
      </c>
      <c r="C271" s="166" t="s">
        <v>162</v>
      </c>
      <c r="D271" s="166" t="s">
        <v>4055</v>
      </c>
      <c r="E271" s="166" t="s">
        <v>13</v>
      </c>
      <c r="F271" s="166" t="s">
        <v>536</v>
      </c>
      <c r="G271" s="166" t="s">
        <v>20</v>
      </c>
      <c r="H271" s="166" t="s">
        <v>108</v>
      </c>
      <c r="I271" s="181">
        <v>2006</v>
      </c>
      <c r="J271" s="181" t="s">
        <v>505</v>
      </c>
      <c r="K271" s="181" t="s">
        <v>506</v>
      </c>
      <c r="L271" s="181" t="s">
        <v>104</v>
      </c>
      <c r="M271" s="556" t="s">
        <v>4135</v>
      </c>
      <c r="N271" s="214" t="s">
        <v>20</v>
      </c>
      <c r="O271" s="214" t="s">
        <v>20</v>
      </c>
      <c r="P271" s="214" t="s">
        <v>15</v>
      </c>
      <c r="Q271" s="214" t="s">
        <v>15</v>
      </c>
      <c r="R271" s="214" t="s">
        <v>15</v>
      </c>
      <c r="S271" s="214" t="s">
        <v>15</v>
      </c>
      <c r="T271" s="214" t="s">
        <v>15</v>
      </c>
      <c r="U271" s="214" t="s">
        <v>15</v>
      </c>
      <c r="V271" s="214" t="s">
        <v>15</v>
      </c>
      <c r="W271" s="214" t="s">
        <v>15</v>
      </c>
      <c r="X271" s="214" t="s">
        <v>15</v>
      </c>
      <c r="Y271" s="214" t="s">
        <v>20</v>
      </c>
      <c r="Z271" s="214"/>
      <c r="AA271" s="214" t="s">
        <v>507</v>
      </c>
      <c r="AB271" s="214"/>
      <c r="AC271" s="214" t="s">
        <v>15</v>
      </c>
      <c r="AD271" s="320" t="s">
        <v>534</v>
      </c>
      <c r="AE271" s="320" t="s">
        <v>509</v>
      </c>
      <c r="AF271" s="162" t="str">
        <f t="shared" si="16"/>
        <v/>
      </c>
      <c r="AG271" s="162" t="str">
        <f t="shared" si="17"/>
        <v/>
      </c>
      <c r="AH271" s="164">
        <f t="shared" si="18"/>
        <v>12.2</v>
      </c>
      <c r="AI271" s="164" t="str">
        <f t="shared" si="19"/>
        <v/>
      </c>
      <c r="AJ271" s="369"/>
      <c r="AK271" s="368"/>
      <c r="AL271" s="368"/>
      <c r="AM271" s="368"/>
      <c r="AN271" s="368"/>
      <c r="AO271" s="368"/>
      <c r="AP271" s="368"/>
      <c r="AQ271" s="368"/>
      <c r="AR271" s="368"/>
      <c r="AS271" s="198"/>
      <c r="AT271" s="198"/>
      <c r="AU271" s="378"/>
      <c r="AW271" s="426"/>
      <c r="AX271" s="359"/>
      <c r="AY271" s="359"/>
      <c r="AZ271" s="359"/>
      <c r="BA271" s="359"/>
      <c r="BB271" s="426"/>
      <c r="BC271" s="426"/>
      <c r="BD271" s="426"/>
      <c r="BE271" s="426"/>
      <c r="BF271" s="468">
        <v>12.2</v>
      </c>
      <c r="BG271" s="469"/>
      <c r="BH271" s="335"/>
      <c r="BI271" s="446"/>
      <c r="BJ271" s="507"/>
    </row>
    <row r="272" spans="1:62" ht="15.75" customHeight="1" thickBot="1" x14ac:dyDescent="0.25">
      <c r="A272" s="174">
        <v>271</v>
      </c>
      <c r="B272" s="175">
        <v>1</v>
      </c>
      <c r="C272" s="166" t="s">
        <v>259</v>
      </c>
      <c r="D272" s="166" t="s">
        <v>260</v>
      </c>
      <c r="E272" s="166" t="s">
        <v>13</v>
      </c>
      <c r="F272" s="166" t="s">
        <v>537</v>
      </c>
      <c r="G272" s="166" t="s">
        <v>20</v>
      </c>
      <c r="H272" s="166" t="s">
        <v>80</v>
      </c>
      <c r="I272" s="181">
        <v>2014</v>
      </c>
      <c r="J272" s="181" t="s">
        <v>538</v>
      </c>
      <c r="K272" s="181" t="s">
        <v>539</v>
      </c>
      <c r="L272" s="181" t="s">
        <v>19</v>
      </c>
      <c r="M272" s="556" t="s">
        <v>4136</v>
      </c>
      <c r="N272" s="214" t="s">
        <v>20</v>
      </c>
      <c r="O272" s="214" t="s">
        <v>15</v>
      </c>
      <c r="P272" s="214" t="s">
        <v>20</v>
      </c>
      <c r="Q272" s="214" t="s">
        <v>20</v>
      </c>
      <c r="R272" s="214" t="s">
        <v>20</v>
      </c>
      <c r="S272" s="214" t="s">
        <v>20</v>
      </c>
      <c r="T272" s="214" t="s">
        <v>20</v>
      </c>
      <c r="U272" s="214" t="s">
        <v>15</v>
      </c>
      <c r="V272" s="214" t="s">
        <v>15</v>
      </c>
      <c r="W272" s="214" t="s">
        <v>15</v>
      </c>
      <c r="X272" s="214" t="s">
        <v>15</v>
      </c>
      <c r="Y272" s="214" t="s">
        <v>15</v>
      </c>
      <c r="Z272" s="234"/>
      <c r="AA272" s="214" t="s">
        <v>243</v>
      </c>
      <c r="AB272" s="214" t="s">
        <v>20</v>
      </c>
      <c r="AC272" s="214" t="s">
        <v>15</v>
      </c>
      <c r="AD272" s="320" t="s">
        <v>540</v>
      </c>
      <c r="AE272" s="320" t="s">
        <v>92</v>
      </c>
      <c r="AF272" s="162" t="str">
        <f t="shared" si="16"/>
        <v/>
      </c>
      <c r="AG272" s="162" t="str">
        <f t="shared" si="17"/>
        <v/>
      </c>
      <c r="AH272" s="164" t="str">
        <f t="shared" si="18"/>
        <v/>
      </c>
      <c r="AI272" s="164" t="str">
        <f t="shared" si="19"/>
        <v/>
      </c>
      <c r="AJ272" s="369"/>
      <c r="AK272" s="368"/>
      <c r="AL272" s="368"/>
      <c r="AM272" s="368"/>
      <c r="AN272" s="368"/>
      <c r="AO272" s="368"/>
      <c r="AP272" s="368"/>
      <c r="AQ272" s="368"/>
      <c r="AR272" s="368"/>
      <c r="AS272" s="198"/>
      <c r="AT272" s="198"/>
      <c r="AU272" s="377"/>
      <c r="AV272" s="382"/>
      <c r="AW272" s="426"/>
      <c r="AX272" s="359"/>
      <c r="AY272" s="359"/>
      <c r="AZ272" s="359"/>
      <c r="BA272" s="359"/>
      <c r="BB272" s="426"/>
      <c r="BC272" s="426"/>
      <c r="BD272" s="426"/>
      <c r="BE272" s="426"/>
      <c r="BF272" s="469"/>
      <c r="BG272" s="468">
        <v>0.47799999999999998</v>
      </c>
      <c r="BH272" s="341"/>
      <c r="BI272" s="446" t="s">
        <v>541</v>
      </c>
      <c r="BJ272" s="507"/>
    </row>
    <row r="273" spans="1:62" ht="15.75" customHeight="1" thickBot="1" x14ac:dyDescent="0.25">
      <c r="A273" s="176">
        <v>272</v>
      </c>
      <c r="B273" s="175">
        <v>1</v>
      </c>
      <c r="C273" s="166" t="s">
        <v>542</v>
      </c>
      <c r="D273" s="166" t="s">
        <v>2114</v>
      </c>
      <c r="E273" s="166" t="s">
        <v>13</v>
      </c>
      <c r="F273" s="166" t="s">
        <v>543</v>
      </c>
      <c r="G273" s="166" t="s">
        <v>15</v>
      </c>
      <c r="H273" s="166"/>
      <c r="I273" s="181">
        <v>2014</v>
      </c>
      <c r="J273" s="181" t="s">
        <v>544</v>
      </c>
      <c r="K273" s="181" t="s">
        <v>545</v>
      </c>
      <c r="L273" s="181" t="s">
        <v>168</v>
      </c>
      <c r="M273" s="556" t="s">
        <v>4137</v>
      </c>
      <c r="N273" s="214" t="s">
        <v>20</v>
      </c>
      <c r="O273" s="214" t="s">
        <v>20</v>
      </c>
      <c r="P273" s="214" t="s">
        <v>15</v>
      </c>
      <c r="Q273" s="214" t="s">
        <v>20</v>
      </c>
      <c r="R273" s="214" t="s">
        <v>15</v>
      </c>
      <c r="S273" s="214" t="s">
        <v>15</v>
      </c>
      <c r="T273" s="214" t="s">
        <v>15</v>
      </c>
      <c r="U273" s="214" t="s">
        <v>15</v>
      </c>
      <c r="V273" s="214" t="s">
        <v>15</v>
      </c>
      <c r="W273" s="214" t="s">
        <v>15</v>
      </c>
      <c r="X273" s="214" t="s">
        <v>15</v>
      </c>
      <c r="Y273" s="214" t="s">
        <v>15</v>
      </c>
      <c r="Z273" s="234"/>
      <c r="AA273" s="214" t="s">
        <v>546</v>
      </c>
      <c r="AB273" s="214" t="s">
        <v>15</v>
      </c>
      <c r="AC273" s="214" t="s">
        <v>15</v>
      </c>
      <c r="AD273" s="320" t="s">
        <v>547</v>
      </c>
      <c r="AE273" s="320" t="s">
        <v>548</v>
      </c>
      <c r="AF273" s="162" t="str">
        <f t="shared" si="16"/>
        <v/>
      </c>
      <c r="AG273" s="162" t="str">
        <f t="shared" si="17"/>
        <v/>
      </c>
      <c r="AH273" s="164" t="str">
        <f t="shared" si="18"/>
        <v/>
      </c>
      <c r="AI273" s="164" t="str">
        <f t="shared" si="19"/>
        <v/>
      </c>
      <c r="AJ273" s="369"/>
      <c r="AK273" s="368"/>
      <c r="AL273" s="368"/>
      <c r="AM273" s="368"/>
      <c r="AN273" s="368"/>
      <c r="AO273" s="368"/>
      <c r="AP273" s="368"/>
      <c r="AQ273" s="368"/>
      <c r="AR273" s="368"/>
      <c r="AS273" s="198"/>
      <c r="AT273" s="198"/>
      <c r="AU273" s="377"/>
      <c r="AV273" s="382"/>
      <c r="AW273" s="426"/>
      <c r="AX273" s="359"/>
      <c r="AY273" s="359"/>
      <c r="AZ273" s="359"/>
      <c r="BA273" s="359"/>
      <c r="BB273" s="426"/>
      <c r="BC273" s="426"/>
      <c r="BD273" s="426"/>
      <c r="BE273" s="426"/>
      <c r="BF273" s="469"/>
      <c r="BG273" s="468">
        <v>1.7</v>
      </c>
      <c r="BH273" s="341"/>
      <c r="BI273" s="446" t="s">
        <v>549</v>
      </c>
      <c r="BJ273" s="507"/>
    </row>
    <row r="274" spans="1:62" ht="15.75" customHeight="1" thickBot="1" x14ac:dyDescent="0.25">
      <c r="A274" s="174">
        <v>273</v>
      </c>
      <c r="B274" s="175">
        <v>1</v>
      </c>
      <c r="C274" s="166" t="s">
        <v>542</v>
      </c>
      <c r="D274" s="159" t="s">
        <v>2969</v>
      </c>
      <c r="E274" s="166" t="s">
        <v>13</v>
      </c>
      <c r="F274" s="166" t="s">
        <v>550</v>
      </c>
      <c r="G274" s="166" t="s">
        <v>15</v>
      </c>
      <c r="H274" s="166"/>
      <c r="I274" s="181">
        <v>2014</v>
      </c>
      <c r="J274" s="181" t="s">
        <v>544</v>
      </c>
      <c r="K274" s="181" t="s">
        <v>545</v>
      </c>
      <c r="L274" s="181" t="s">
        <v>168</v>
      </c>
      <c r="M274" s="556" t="s">
        <v>4137</v>
      </c>
      <c r="N274" s="214" t="s">
        <v>20</v>
      </c>
      <c r="O274" s="214" t="s">
        <v>20</v>
      </c>
      <c r="P274" s="214" t="s">
        <v>15</v>
      </c>
      <c r="Q274" s="214" t="s">
        <v>20</v>
      </c>
      <c r="R274" s="214" t="s">
        <v>15</v>
      </c>
      <c r="S274" s="214" t="s">
        <v>15</v>
      </c>
      <c r="T274" s="214" t="s">
        <v>15</v>
      </c>
      <c r="U274" s="214" t="s">
        <v>15</v>
      </c>
      <c r="V274" s="214" t="s">
        <v>15</v>
      </c>
      <c r="W274" s="214" t="s">
        <v>15</v>
      </c>
      <c r="X274" s="214" t="s">
        <v>15</v>
      </c>
      <c r="Y274" s="214" t="s">
        <v>15</v>
      </c>
      <c r="Z274" s="234"/>
      <c r="AA274" s="214" t="s">
        <v>546</v>
      </c>
      <c r="AB274" s="214" t="s">
        <v>15</v>
      </c>
      <c r="AC274" s="214" t="s">
        <v>15</v>
      </c>
      <c r="AD274" s="320" t="s">
        <v>547</v>
      </c>
      <c r="AE274" s="320" t="s">
        <v>548</v>
      </c>
      <c r="AF274" s="162" t="str">
        <f t="shared" si="16"/>
        <v/>
      </c>
      <c r="AG274" s="162" t="str">
        <f t="shared" si="17"/>
        <v/>
      </c>
      <c r="AH274" s="164" t="str">
        <f t="shared" si="18"/>
        <v/>
      </c>
      <c r="AI274" s="164" t="str">
        <f t="shared" si="19"/>
        <v/>
      </c>
      <c r="AJ274" s="369"/>
      <c r="AK274" s="368"/>
      <c r="AL274" s="368"/>
      <c r="AM274" s="368"/>
      <c r="AN274" s="368"/>
      <c r="AO274" s="368"/>
      <c r="AP274" s="368"/>
      <c r="AQ274" s="368"/>
      <c r="AR274" s="368"/>
      <c r="AS274" s="198"/>
      <c r="AT274" s="198"/>
      <c r="AU274" s="377"/>
      <c r="AV274" s="382"/>
      <c r="AW274" s="426"/>
      <c r="AX274" s="359"/>
      <c r="AY274" s="359"/>
      <c r="AZ274" s="359"/>
      <c r="BA274" s="359"/>
      <c r="BB274" s="426"/>
      <c r="BC274" s="426"/>
      <c r="BD274" s="426"/>
      <c r="BE274" s="426"/>
      <c r="BF274" s="469"/>
      <c r="BG274" s="468">
        <v>1.7</v>
      </c>
      <c r="BH274" s="341"/>
      <c r="BI274" s="446" t="s">
        <v>549</v>
      </c>
      <c r="BJ274" s="507"/>
    </row>
    <row r="275" spans="1:62" ht="15.75" customHeight="1" thickBot="1" x14ac:dyDescent="0.25">
      <c r="A275" s="176">
        <v>274</v>
      </c>
      <c r="B275" s="175">
        <v>1</v>
      </c>
      <c r="C275" s="166" t="s">
        <v>542</v>
      </c>
      <c r="D275" s="166" t="s">
        <v>3296</v>
      </c>
      <c r="E275" s="166" t="s">
        <v>13</v>
      </c>
      <c r="F275" s="166" t="s">
        <v>551</v>
      </c>
      <c r="G275" s="166" t="s">
        <v>15</v>
      </c>
      <c r="H275" s="166"/>
      <c r="I275" s="181">
        <v>2014</v>
      </c>
      <c r="J275" s="181" t="s">
        <v>544</v>
      </c>
      <c r="K275" s="181" t="s">
        <v>545</v>
      </c>
      <c r="L275" s="181" t="s">
        <v>168</v>
      </c>
      <c r="M275" s="556" t="s">
        <v>4137</v>
      </c>
      <c r="N275" s="214" t="s">
        <v>20</v>
      </c>
      <c r="O275" s="214" t="s">
        <v>20</v>
      </c>
      <c r="P275" s="214" t="s">
        <v>15</v>
      </c>
      <c r="Q275" s="214" t="s">
        <v>20</v>
      </c>
      <c r="R275" s="214" t="s">
        <v>15</v>
      </c>
      <c r="S275" s="214" t="s">
        <v>15</v>
      </c>
      <c r="T275" s="214" t="s">
        <v>15</v>
      </c>
      <c r="U275" s="214" t="s">
        <v>15</v>
      </c>
      <c r="V275" s="214" t="s">
        <v>15</v>
      </c>
      <c r="W275" s="214" t="s">
        <v>15</v>
      </c>
      <c r="X275" s="214" t="s">
        <v>15</v>
      </c>
      <c r="Y275" s="214" t="s">
        <v>15</v>
      </c>
      <c r="Z275" s="234"/>
      <c r="AA275" s="214" t="s">
        <v>546</v>
      </c>
      <c r="AB275" s="214" t="s">
        <v>15</v>
      </c>
      <c r="AC275" s="214" t="s">
        <v>15</v>
      </c>
      <c r="AD275" s="320" t="s">
        <v>547</v>
      </c>
      <c r="AE275" s="320" t="s">
        <v>548</v>
      </c>
      <c r="AF275" s="162" t="str">
        <f t="shared" si="16"/>
        <v/>
      </c>
      <c r="AG275" s="162" t="str">
        <f t="shared" si="17"/>
        <v/>
      </c>
      <c r="AH275" s="164" t="str">
        <f t="shared" si="18"/>
        <v/>
      </c>
      <c r="AI275" s="164" t="str">
        <f t="shared" si="19"/>
        <v/>
      </c>
      <c r="AJ275" s="369"/>
      <c r="AK275" s="368"/>
      <c r="AL275" s="368"/>
      <c r="AM275" s="368"/>
      <c r="AN275" s="368"/>
      <c r="AO275" s="368"/>
      <c r="AP275" s="368"/>
      <c r="AQ275" s="368"/>
      <c r="AR275" s="368"/>
      <c r="AS275" s="198"/>
      <c r="AT275" s="198"/>
      <c r="AU275" s="377"/>
      <c r="AV275" s="382"/>
      <c r="AW275" s="426"/>
      <c r="AX275" s="359"/>
      <c r="AY275" s="359"/>
      <c r="AZ275" s="359"/>
      <c r="BA275" s="359"/>
      <c r="BB275" s="426"/>
      <c r="BC275" s="426"/>
      <c r="BD275" s="426"/>
      <c r="BE275" s="426"/>
      <c r="BF275" s="469"/>
      <c r="BG275" s="468">
        <v>-0.05</v>
      </c>
      <c r="BH275" s="341"/>
      <c r="BI275" s="446" t="s">
        <v>549</v>
      </c>
      <c r="BJ275" s="507"/>
    </row>
    <row r="276" spans="1:62" ht="15.75" customHeight="1" thickBot="1" x14ac:dyDescent="0.25">
      <c r="A276" s="174">
        <v>275</v>
      </c>
      <c r="B276" s="175">
        <v>1</v>
      </c>
      <c r="C276" s="166" t="s">
        <v>542</v>
      </c>
      <c r="D276" s="159" t="s">
        <v>2289</v>
      </c>
      <c r="E276" s="166" t="s">
        <v>13</v>
      </c>
      <c r="F276" s="166" t="s">
        <v>552</v>
      </c>
      <c r="G276" s="166" t="s">
        <v>15</v>
      </c>
      <c r="H276" s="166"/>
      <c r="I276" s="181">
        <v>2014</v>
      </c>
      <c r="J276" s="181" t="s">
        <v>544</v>
      </c>
      <c r="K276" s="181" t="s">
        <v>545</v>
      </c>
      <c r="L276" s="181" t="s">
        <v>168</v>
      </c>
      <c r="M276" s="556" t="s">
        <v>4137</v>
      </c>
      <c r="N276" s="214" t="s">
        <v>20</v>
      </c>
      <c r="O276" s="214" t="s">
        <v>20</v>
      </c>
      <c r="P276" s="214" t="s">
        <v>15</v>
      </c>
      <c r="Q276" s="214" t="s">
        <v>20</v>
      </c>
      <c r="R276" s="214" t="s">
        <v>15</v>
      </c>
      <c r="S276" s="214" t="s">
        <v>15</v>
      </c>
      <c r="T276" s="214" t="s">
        <v>15</v>
      </c>
      <c r="U276" s="214" t="s">
        <v>15</v>
      </c>
      <c r="V276" s="214" t="s">
        <v>15</v>
      </c>
      <c r="W276" s="214" t="s">
        <v>15</v>
      </c>
      <c r="X276" s="214" t="s">
        <v>15</v>
      </c>
      <c r="Y276" s="214" t="s">
        <v>15</v>
      </c>
      <c r="Z276" s="234"/>
      <c r="AA276" s="214" t="s">
        <v>546</v>
      </c>
      <c r="AB276" s="214" t="s">
        <v>15</v>
      </c>
      <c r="AC276" s="214" t="s">
        <v>15</v>
      </c>
      <c r="AD276" s="320" t="s">
        <v>547</v>
      </c>
      <c r="AE276" s="320" t="s">
        <v>548</v>
      </c>
      <c r="AF276" s="162" t="str">
        <f t="shared" si="16"/>
        <v/>
      </c>
      <c r="AG276" s="162" t="str">
        <f t="shared" si="17"/>
        <v/>
      </c>
      <c r="AH276" s="164" t="str">
        <f t="shared" si="18"/>
        <v/>
      </c>
      <c r="AI276" s="164" t="str">
        <f t="shared" si="19"/>
        <v/>
      </c>
      <c r="AJ276" s="369"/>
      <c r="AK276" s="368"/>
      <c r="AL276" s="368"/>
      <c r="AM276" s="368"/>
      <c r="AN276" s="368"/>
      <c r="AO276" s="368"/>
      <c r="AP276" s="368"/>
      <c r="AQ276" s="368"/>
      <c r="AR276" s="368"/>
      <c r="AS276" s="198"/>
      <c r="AT276" s="198"/>
      <c r="AU276" s="377"/>
      <c r="AV276" s="382"/>
      <c r="AW276" s="426"/>
      <c r="AX276" s="359"/>
      <c r="AY276" s="359"/>
      <c r="AZ276" s="359"/>
      <c r="BA276" s="359"/>
      <c r="BB276" s="426"/>
      <c r="BC276" s="426"/>
      <c r="BD276" s="426"/>
      <c r="BE276" s="426"/>
      <c r="BF276" s="469"/>
      <c r="BG276" s="468">
        <v>3.9</v>
      </c>
      <c r="BH276" s="341"/>
      <c r="BI276" s="446" t="s">
        <v>549</v>
      </c>
      <c r="BJ276" s="507"/>
    </row>
    <row r="277" spans="1:62" ht="15.75" customHeight="1" thickBot="1" x14ac:dyDescent="0.25">
      <c r="A277" s="176">
        <v>276</v>
      </c>
      <c r="B277" s="175">
        <v>1</v>
      </c>
      <c r="C277" s="166" t="s">
        <v>542</v>
      </c>
      <c r="D277" s="166" t="s">
        <v>3067</v>
      </c>
      <c r="E277" s="166" t="s">
        <v>13</v>
      </c>
      <c r="F277" s="166" t="s">
        <v>553</v>
      </c>
      <c r="G277" s="166" t="s">
        <v>15</v>
      </c>
      <c r="H277" s="166"/>
      <c r="I277" s="181">
        <v>2014</v>
      </c>
      <c r="J277" s="181" t="s">
        <v>544</v>
      </c>
      <c r="K277" s="181" t="s">
        <v>545</v>
      </c>
      <c r="L277" s="181" t="s">
        <v>168</v>
      </c>
      <c r="M277" s="556" t="s">
        <v>4137</v>
      </c>
      <c r="N277" s="214" t="s">
        <v>20</v>
      </c>
      <c r="O277" s="214" t="s">
        <v>20</v>
      </c>
      <c r="P277" s="214" t="s">
        <v>15</v>
      </c>
      <c r="Q277" s="214" t="s">
        <v>20</v>
      </c>
      <c r="R277" s="214" t="s">
        <v>15</v>
      </c>
      <c r="S277" s="214" t="s">
        <v>15</v>
      </c>
      <c r="T277" s="214" t="s">
        <v>15</v>
      </c>
      <c r="U277" s="214" t="s">
        <v>15</v>
      </c>
      <c r="V277" s="214" t="s">
        <v>15</v>
      </c>
      <c r="W277" s="214" t="s">
        <v>15</v>
      </c>
      <c r="X277" s="214" t="s">
        <v>15</v>
      </c>
      <c r="Y277" s="214" t="s">
        <v>15</v>
      </c>
      <c r="Z277" s="234"/>
      <c r="AA277" s="214" t="s">
        <v>546</v>
      </c>
      <c r="AB277" s="214" t="s">
        <v>15</v>
      </c>
      <c r="AC277" s="214" t="s">
        <v>15</v>
      </c>
      <c r="AD277" s="320" t="s">
        <v>547</v>
      </c>
      <c r="AE277" s="320" t="s">
        <v>548</v>
      </c>
      <c r="AF277" s="162" t="str">
        <f t="shared" si="16"/>
        <v/>
      </c>
      <c r="AG277" s="162" t="str">
        <f t="shared" si="17"/>
        <v/>
      </c>
      <c r="AH277" s="164" t="str">
        <f t="shared" si="18"/>
        <v/>
      </c>
      <c r="AI277" s="164" t="str">
        <f t="shared" si="19"/>
        <v/>
      </c>
      <c r="AJ277" s="369"/>
      <c r="AK277" s="368"/>
      <c r="AL277" s="368"/>
      <c r="AM277" s="368"/>
      <c r="AN277" s="368"/>
      <c r="AO277" s="368"/>
      <c r="AP277" s="368"/>
      <c r="AQ277" s="368"/>
      <c r="AR277" s="368"/>
      <c r="AS277" s="198"/>
      <c r="AT277" s="198"/>
      <c r="AU277" s="377"/>
      <c r="AV277" s="382"/>
      <c r="AW277" s="426"/>
      <c r="AX277" s="359"/>
      <c r="AY277" s="359"/>
      <c r="AZ277" s="359"/>
      <c r="BA277" s="359"/>
      <c r="BB277" s="426"/>
      <c r="BC277" s="426"/>
      <c r="BD277" s="426"/>
      <c r="BE277" s="426"/>
      <c r="BF277" s="469"/>
      <c r="BG277" s="468">
        <v>1.6</v>
      </c>
      <c r="BH277" s="341"/>
      <c r="BI277" s="446" t="s">
        <v>549</v>
      </c>
      <c r="BJ277" s="507"/>
    </row>
    <row r="278" spans="1:62" ht="15.75" customHeight="1" thickBot="1" x14ac:dyDescent="0.25">
      <c r="A278" s="174">
        <v>277</v>
      </c>
      <c r="B278" s="175">
        <v>1</v>
      </c>
      <c r="C278" s="166" t="s">
        <v>542</v>
      </c>
      <c r="D278" s="159" t="s">
        <v>2100</v>
      </c>
      <c r="E278" s="166" t="s">
        <v>13</v>
      </c>
      <c r="F278" s="166" t="s">
        <v>554</v>
      </c>
      <c r="G278" s="166" t="s">
        <v>15</v>
      </c>
      <c r="H278" s="166" t="s">
        <v>555</v>
      </c>
      <c r="I278" s="181">
        <v>2007</v>
      </c>
      <c r="J278" s="181" t="s">
        <v>556</v>
      </c>
      <c r="K278" s="181" t="s">
        <v>557</v>
      </c>
      <c r="L278" s="181" t="s">
        <v>19</v>
      </c>
      <c r="M278" s="556" t="s">
        <v>4138</v>
      </c>
      <c r="N278" s="214" t="s">
        <v>20</v>
      </c>
      <c r="O278" s="214" t="s">
        <v>15</v>
      </c>
      <c r="P278" s="214" t="s">
        <v>20</v>
      </c>
      <c r="Q278" s="214" t="s">
        <v>20</v>
      </c>
      <c r="R278" s="214" t="s">
        <v>15</v>
      </c>
      <c r="S278" s="214" t="s">
        <v>15</v>
      </c>
      <c r="T278" s="214" t="s">
        <v>20</v>
      </c>
      <c r="U278" s="214" t="s">
        <v>15</v>
      </c>
      <c r="V278" s="214" t="s">
        <v>15</v>
      </c>
      <c r="W278" s="214" t="s">
        <v>15</v>
      </c>
      <c r="X278" s="214" t="s">
        <v>15</v>
      </c>
      <c r="Y278" s="214" t="s">
        <v>15</v>
      </c>
      <c r="Z278" s="234"/>
      <c r="AA278" s="214" t="s">
        <v>546</v>
      </c>
      <c r="AB278" s="214" t="s">
        <v>15</v>
      </c>
      <c r="AC278" s="214" t="s">
        <v>15</v>
      </c>
      <c r="AD278" s="320" t="s">
        <v>558</v>
      </c>
      <c r="AE278" s="320" t="s">
        <v>559</v>
      </c>
      <c r="AF278" s="162">
        <f t="shared" si="16"/>
        <v>19.81304347826087</v>
      </c>
      <c r="AG278" s="162">
        <f t="shared" si="17"/>
        <v>22.616086956521741</v>
      </c>
      <c r="AH278" s="164">
        <f t="shared" si="18"/>
        <v>3.9130434782608696</v>
      </c>
      <c r="AI278" s="164">
        <f t="shared" si="19"/>
        <v>4.1706521739130435</v>
      </c>
      <c r="AJ278" s="369">
        <f>0.434*42/0.001/920</f>
        <v>19.81304347826087</v>
      </c>
      <c r="AK278" s="368"/>
      <c r="AL278" s="368">
        <f>0.0614*42/0.001/920</f>
        <v>2.8030434782608697</v>
      </c>
      <c r="AM278" s="368"/>
      <c r="AN278" s="368"/>
      <c r="AO278" s="368"/>
      <c r="AP278" s="368"/>
      <c r="AQ278" s="368"/>
      <c r="AR278" s="368"/>
      <c r="AS278" s="198">
        <f>AJ278</f>
        <v>19.81304347826087</v>
      </c>
      <c r="AT278" s="199">
        <f>SUM(AJ278:AR278)</f>
        <v>22.616086956521741</v>
      </c>
      <c r="AU278" s="377"/>
      <c r="AW278" s="426">
        <f>3.6/0.001/920</f>
        <v>3.9130434782608696</v>
      </c>
      <c r="AX278" s="359"/>
      <c r="AY278" s="359">
        <f>0.237/0.001/920</f>
        <v>0.25760869565217387</v>
      </c>
      <c r="AZ278" s="359"/>
      <c r="BA278" s="359"/>
      <c r="BB278" s="426"/>
      <c r="BC278" s="426"/>
      <c r="BD278" s="426"/>
      <c r="BE278" s="426"/>
      <c r="BF278" s="469">
        <f>AW278</f>
        <v>3.9130434782608696</v>
      </c>
      <c r="BG278" s="467">
        <f>SUM(AW278:BE278)</f>
        <v>4.1706521739130435</v>
      </c>
      <c r="BH278" s="341"/>
      <c r="BI278" s="447"/>
      <c r="BJ278" s="507"/>
    </row>
    <row r="279" spans="1:62" ht="15.75" customHeight="1" thickBot="1" x14ac:dyDescent="0.25">
      <c r="A279" s="176">
        <v>278</v>
      </c>
      <c r="B279" s="175">
        <v>1</v>
      </c>
      <c r="C279" s="166" t="s">
        <v>542</v>
      </c>
      <c r="D279" s="159" t="s">
        <v>2289</v>
      </c>
      <c r="E279" s="166" t="s">
        <v>13</v>
      </c>
      <c r="F279" s="166" t="s">
        <v>552</v>
      </c>
      <c r="G279" s="166" t="s">
        <v>15</v>
      </c>
      <c r="H279" s="166" t="s">
        <v>87</v>
      </c>
      <c r="I279" s="181">
        <v>2014</v>
      </c>
      <c r="J279" s="181" t="s">
        <v>560</v>
      </c>
      <c r="K279" s="181" t="s">
        <v>561</v>
      </c>
      <c r="L279" s="181" t="s">
        <v>19</v>
      </c>
      <c r="M279" s="556" t="s">
        <v>4139</v>
      </c>
      <c r="N279" s="214" t="s">
        <v>20</v>
      </c>
      <c r="O279" s="214" t="s">
        <v>15</v>
      </c>
      <c r="P279" s="214" t="s">
        <v>20</v>
      </c>
      <c r="Q279" s="214" t="s">
        <v>20</v>
      </c>
      <c r="R279" s="214" t="s">
        <v>20</v>
      </c>
      <c r="S279" s="214" t="s">
        <v>20</v>
      </c>
      <c r="T279" s="214" t="s">
        <v>20</v>
      </c>
      <c r="U279" s="214" t="s">
        <v>15</v>
      </c>
      <c r="V279" s="214" t="s">
        <v>15</v>
      </c>
      <c r="W279" s="214" t="s">
        <v>15</v>
      </c>
      <c r="X279" s="214" t="s">
        <v>20</v>
      </c>
      <c r="Y279" s="214" t="s">
        <v>15</v>
      </c>
      <c r="Z279" s="234"/>
      <c r="AA279" s="214" t="s">
        <v>243</v>
      </c>
      <c r="AB279" s="214" t="s">
        <v>15</v>
      </c>
      <c r="AC279" s="214" t="s">
        <v>15</v>
      </c>
      <c r="AD279" s="320" t="s">
        <v>562</v>
      </c>
      <c r="AE279" s="320" t="s">
        <v>563</v>
      </c>
      <c r="AF279" s="162" t="str">
        <f t="shared" si="16"/>
        <v/>
      </c>
      <c r="AG279" s="162" t="str">
        <f t="shared" si="17"/>
        <v/>
      </c>
      <c r="AH279" s="164" t="str">
        <f t="shared" si="18"/>
        <v/>
      </c>
      <c r="AI279" s="164" t="str">
        <f t="shared" si="19"/>
        <v/>
      </c>
      <c r="AJ279" s="369"/>
      <c r="AK279" s="368"/>
      <c r="AL279" s="368"/>
      <c r="AM279" s="368"/>
      <c r="AN279" s="368"/>
      <c r="AO279" s="368"/>
      <c r="AP279" s="368"/>
      <c r="AQ279" s="368"/>
      <c r="AR279" s="368"/>
      <c r="AS279" s="198"/>
      <c r="AT279" s="194">
        <f>3/0.001/920</f>
        <v>3.2608695652173911</v>
      </c>
      <c r="AU279" s="377"/>
      <c r="AW279" s="426"/>
      <c r="AX279" s="359"/>
      <c r="AY279" s="359"/>
      <c r="AZ279" s="359"/>
      <c r="BA279" s="359"/>
      <c r="BB279" s="426"/>
      <c r="BC279" s="426"/>
      <c r="BD279" s="426"/>
      <c r="BE279" s="426"/>
      <c r="BF279" s="469"/>
      <c r="BG279" s="467"/>
      <c r="BH279" s="341"/>
      <c r="BI279" s="447"/>
      <c r="BJ279" s="507"/>
    </row>
    <row r="280" spans="1:62" ht="15.75" customHeight="1" thickBot="1" x14ac:dyDescent="0.25">
      <c r="A280" s="174">
        <v>279</v>
      </c>
      <c r="B280" s="175">
        <v>1</v>
      </c>
      <c r="C280" s="166" t="s">
        <v>542</v>
      </c>
      <c r="D280" s="159" t="s">
        <v>2100</v>
      </c>
      <c r="E280" s="166" t="s">
        <v>13</v>
      </c>
      <c r="F280" s="166" t="s">
        <v>565</v>
      </c>
      <c r="G280" s="166" t="s">
        <v>20</v>
      </c>
      <c r="H280" s="166" t="s">
        <v>566</v>
      </c>
      <c r="I280" s="181">
        <v>2012</v>
      </c>
      <c r="J280" s="181" t="s">
        <v>567</v>
      </c>
      <c r="K280" s="181" t="s">
        <v>568</v>
      </c>
      <c r="L280" s="181" t="s">
        <v>19</v>
      </c>
      <c r="M280" s="556" t="s">
        <v>4140</v>
      </c>
      <c r="N280" s="214" t="s">
        <v>20</v>
      </c>
      <c r="O280" s="214" t="s">
        <v>15</v>
      </c>
      <c r="P280" s="214" t="s">
        <v>15</v>
      </c>
      <c r="Q280" s="214" t="s">
        <v>20</v>
      </c>
      <c r="R280" s="214" t="s">
        <v>15</v>
      </c>
      <c r="S280" s="214" t="s">
        <v>15</v>
      </c>
      <c r="T280" s="214" t="s">
        <v>15</v>
      </c>
      <c r="U280" s="214" t="s">
        <v>15</v>
      </c>
      <c r="V280" s="214" t="s">
        <v>15</v>
      </c>
      <c r="W280" s="214" t="s">
        <v>15</v>
      </c>
      <c r="X280" s="214" t="s">
        <v>15</v>
      </c>
      <c r="Y280" s="214" t="s">
        <v>15</v>
      </c>
      <c r="Z280" s="234"/>
      <c r="AA280" s="214" t="s">
        <v>546</v>
      </c>
      <c r="AB280" s="214" t="s">
        <v>20</v>
      </c>
      <c r="AC280" s="214" t="s">
        <v>15</v>
      </c>
      <c r="AD280" s="320" t="s">
        <v>569</v>
      </c>
      <c r="AE280" s="320" t="s">
        <v>570</v>
      </c>
      <c r="AF280" s="162" t="str">
        <f t="shared" si="16"/>
        <v/>
      </c>
      <c r="AG280" s="162" t="str">
        <f t="shared" si="17"/>
        <v/>
      </c>
      <c r="AH280" s="164">
        <f t="shared" si="18"/>
        <v>2.5921167048054916</v>
      </c>
      <c r="AI280" s="164">
        <f t="shared" si="19"/>
        <v>2.751716247139588</v>
      </c>
      <c r="AJ280" s="369"/>
      <c r="AK280" s="368"/>
      <c r="AL280" s="368"/>
      <c r="AM280" s="368"/>
      <c r="AN280" s="368"/>
      <c r="AO280" s="368"/>
      <c r="AP280" s="368"/>
      <c r="AQ280" s="368"/>
      <c r="AR280" s="368"/>
      <c r="AS280" s="198"/>
      <c r="AT280" s="198"/>
      <c r="AU280" s="377"/>
      <c r="AV280" s="382"/>
      <c r="AW280" s="426">
        <f>0.942*BG280</f>
        <v>2.5921167048054916</v>
      </c>
      <c r="AX280" s="359"/>
      <c r="AY280" s="359">
        <f>(1-0.942)*BG280</f>
        <v>0.15959954233409623</v>
      </c>
      <c r="AZ280" s="359"/>
      <c r="BA280" s="359"/>
      <c r="BB280" s="426"/>
      <c r="BC280" s="426"/>
      <c r="BD280" s="426"/>
      <c r="BE280" s="426"/>
      <c r="BF280" s="469">
        <f>AW280</f>
        <v>2.5921167048054916</v>
      </c>
      <c r="BG280" s="467">
        <f>481*(4000/760)/0.001/920/1000</f>
        <v>2.751716247139588</v>
      </c>
      <c r="BH280" s="341"/>
      <c r="BI280" s="446" t="s">
        <v>571</v>
      </c>
      <c r="BJ280" s="507"/>
    </row>
    <row r="281" spans="1:62" ht="15.75" customHeight="1" thickBot="1" x14ac:dyDescent="0.25">
      <c r="A281" s="176">
        <v>280</v>
      </c>
      <c r="B281" s="175">
        <v>1</v>
      </c>
      <c r="C281" s="166" t="s">
        <v>542</v>
      </c>
      <c r="D281" s="159" t="s">
        <v>2100</v>
      </c>
      <c r="E281" s="166" t="s">
        <v>13</v>
      </c>
      <c r="F281" s="166" t="s">
        <v>572</v>
      </c>
      <c r="G281" s="166" t="s">
        <v>20</v>
      </c>
      <c r="H281" s="166" t="s">
        <v>566</v>
      </c>
      <c r="I281" s="181">
        <v>2012</v>
      </c>
      <c r="J281" s="181" t="s">
        <v>567</v>
      </c>
      <c r="K281" s="181" t="s">
        <v>568</v>
      </c>
      <c r="L281" s="181" t="s">
        <v>19</v>
      </c>
      <c r="M281" s="556" t="s">
        <v>4140</v>
      </c>
      <c r="N281" s="214" t="s">
        <v>20</v>
      </c>
      <c r="O281" s="214" t="s">
        <v>15</v>
      </c>
      <c r="P281" s="214" t="s">
        <v>15</v>
      </c>
      <c r="Q281" s="214" t="s">
        <v>20</v>
      </c>
      <c r="R281" s="214" t="s">
        <v>15</v>
      </c>
      <c r="S281" s="214" t="s">
        <v>15</v>
      </c>
      <c r="T281" s="214" t="s">
        <v>15</v>
      </c>
      <c r="U281" s="214" t="s">
        <v>15</v>
      </c>
      <c r="V281" s="214" t="s">
        <v>15</v>
      </c>
      <c r="W281" s="214" t="s">
        <v>15</v>
      </c>
      <c r="X281" s="214" t="s">
        <v>15</v>
      </c>
      <c r="Y281" s="214" t="s">
        <v>15</v>
      </c>
      <c r="Z281" s="234"/>
      <c r="AA281" s="214" t="s">
        <v>546</v>
      </c>
      <c r="AB281" s="214" t="s">
        <v>20</v>
      </c>
      <c r="AC281" s="214" t="s">
        <v>15</v>
      </c>
      <c r="AD281" s="320" t="s">
        <v>569</v>
      </c>
      <c r="AE281" s="320" t="s">
        <v>573</v>
      </c>
      <c r="AF281" s="162" t="str">
        <f t="shared" si="16"/>
        <v/>
      </c>
      <c r="AG281" s="162" t="str">
        <f t="shared" si="17"/>
        <v/>
      </c>
      <c r="AH281" s="164">
        <f t="shared" si="18"/>
        <v>2.3910434782608694</v>
      </c>
      <c r="AI281" s="164">
        <f t="shared" si="19"/>
        <v>2.695652173913043</v>
      </c>
      <c r="AJ281" s="369"/>
      <c r="AK281" s="368"/>
      <c r="AL281" s="368"/>
      <c r="AM281" s="368"/>
      <c r="AN281" s="368"/>
      <c r="AO281" s="368"/>
      <c r="AP281" s="368"/>
      <c r="AQ281" s="368"/>
      <c r="AR281" s="368"/>
      <c r="AS281" s="198"/>
      <c r="AT281" s="198"/>
      <c r="AU281" s="377"/>
      <c r="AV281" s="382"/>
      <c r="AW281" s="426">
        <f>0.887*BG281</f>
        <v>2.3910434782608694</v>
      </c>
      <c r="AX281" s="359"/>
      <c r="AY281" s="359">
        <f>(1-0.887)*BG281</f>
        <v>0.30460869565217386</v>
      </c>
      <c r="AZ281" s="359"/>
      <c r="BA281" s="359"/>
      <c r="BB281" s="426"/>
      <c r="BC281" s="426"/>
      <c r="BD281" s="426"/>
      <c r="BE281" s="426"/>
      <c r="BF281" s="469">
        <f>AW281</f>
        <v>2.3910434782608694</v>
      </c>
      <c r="BG281" s="467">
        <f>496*(4000/800)/0.001/920/1000</f>
        <v>2.6956521739130435</v>
      </c>
      <c r="BH281" s="341"/>
      <c r="BI281" s="446" t="s">
        <v>574</v>
      </c>
      <c r="BJ281" s="507"/>
    </row>
    <row r="282" spans="1:62" ht="15.75" customHeight="1" thickBot="1" x14ac:dyDescent="0.25">
      <c r="A282" s="174">
        <v>281</v>
      </c>
      <c r="B282" s="175">
        <v>1</v>
      </c>
      <c r="C282" s="166" t="s">
        <v>542</v>
      </c>
      <c r="D282" s="159" t="s">
        <v>2100</v>
      </c>
      <c r="E282" s="166" t="s">
        <v>13</v>
      </c>
      <c r="F282" s="166" t="s">
        <v>575</v>
      </c>
      <c r="G282" s="166" t="s">
        <v>20</v>
      </c>
      <c r="H282" s="166" t="s">
        <v>566</v>
      </c>
      <c r="I282" s="181">
        <v>2012</v>
      </c>
      <c r="J282" s="181" t="s">
        <v>567</v>
      </c>
      <c r="K282" s="181" t="s">
        <v>568</v>
      </c>
      <c r="L282" s="181" t="s">
        <v>19</v>
      </c>
      <c r="M282" s="556" t="s">
        <v>4140</v>
      </c>
      <c r="N282" s="214" t="s">
        <v>20</v>
      </c>
      <c r="O282" s="214" t="s">
        <v>15</v>
      </c>
      <c r="P282" s="214" t="s">
        <v>15</v>
      </c>
      <c r="Q282" s="214" t="s">
        <v>20</v>
      </c>
      <c r="R282" s="214" t="s">
        <v>15</v>
      </c>
      <c r="S282" s="214" t="s">
        <v>15</v>
      </c>
      <c r="T282" s="214" t="s">
        <v>15</v>
      </c>
      <c r="U282" s="214" t="s">
        <v>15</v>
      </c>
      <c r="V282" s="214" t="s">
        <v>15</v>
      </c>
      <c r="W282" s="214" t="s">
        <v>15</v>
      </c>
      <c r="X282" s="214" t="s">
        <v>15</v>
      </c>
      <c r="Y282" s="214" t="s">
        <v>15</v>
      </c>
      <c r="Z282" s="234"/>
      <c r="AA282" s="214" t="s">
        <v>546</v>
      </c>
      <c r="AB282" s="214" t="s">
        <v>20</v>
      </c>
      <c r="AC282" s="214" t="s">
        <v>15</v>
      </c>
      <c r="AD282" s="320" t="s">
        <v>569</v>
      </c>
      <c r="AE282" s="320" t="s">
        <v>573</v>
      </c>
      <c r="AF282" s="162" t="str">
        <f t="shared" si="16"/>
        <v/>
      </c>
      <c r="AG282" s="162" t="str">
        <f t="shared" si="17"/>
        <v/>
      </c>
      <c r="AH282" s="164" t="str">
        <f t="shared" si="18"/>
        <v/>
      </c>
      <c r="AI282" s="164" t="str">
        <f t="shared" si="19"/>
        <v/>
      </c>
      <c r="AJ282" s="369"/>
      <c r="AK282" s="368"/>
      <c r="AL282" s="368"/>
      <c r="AM282" s="368"/>
      <c r="AN282" s="368"/>
      <c r="AO282" s="368"/>
      <c r="AP282" s="368"/>
      <c r="AQ282" s="368"/>
      <c r="AR282" s="368"/>
      <c r="AS282" s="198"/>
      <c r="AT282" s="198"/>
      <c r="AU282" s="377"/>
      <c r="AV282" s="382"/>
      <c r="AW282" s="426"/>
      <c r="AX282" s="359"/>
      <c r="AY282" s="359"/>
      <c r="AZ282" s="359"/>
      <c r="BA282" s="359"/>
      <c r="BB282" s="426"/>
      <c r="BC282" s="426"/>
      <c r="BD282" s="426"/>
      <c r="BE282" s="426"/>
      <c r="BF282" s="469"/>
      <c r="BG282" s="467">
        <f>-492*(4000/800)/0.001/920/1000</f>
        <v>-2.6739130434782612</v>
      </c>
      <c r="BH282" s="341"/>
      <c r="BI282" s="446" t="s">
        <v>576</v>
      </c>
      <c r="BJ282" s="507"/>
    </row>
    <row r="283" spans="1:62" ht="15.75" customHeight="1" thickBot="1" x14ac:dyDescent="0.25">
      <c r="A283" s="176">
        <v>282</v>
      </c>
      <c r="B283" s="175">
        <v>1</v>
      </c>
      <c r="C283" s="166" t="s">
        <v>542</v>
      </c>
      <c r="D283" s="159" t="s">
        <v>2100</v>
      </c>
      <c r="E283" s="166" t="s">
        <v>13</v>
      </c>
      <c r="F283" s="166" t="s">
        <v>577</v>
      </c>
      <c r="G283" s="166" t="s">
        <v>20</v>
      </c>
      <c r="H283" s="166" t="s">
        <v>566</v>
      </c>
      <c r="I283" s="181">
        <v>2012</v>
      </c>
      <c r="J283" s="181" t="s">
        <v>567</v>
      </c>
      <c r="K283" s="181" t="s">
        <v>568</v>
      </c>
      <c r="L283" s="181" t="s">
        <v>19</v>
      </c>
      <c r="M283" s="556" t="s">
        <v>4140</v>
      </c>
      <c r="N283" s="214" t="s">
        <v>20</v>
      </c>
      <c r="O283" s="214" t="s">
        <v>15</v>
      </c>
      <c r="P283" s="214" t="s">
        <v>15</v>
      </c>
      <c r="Q283" s="214" t="s">
        <v>20</v>
      </c>
      <c r="R283" s="214" t="s">
        <v>15</v>
      </c>
      <c r="S283" s="214" t="s">
        <v>15</v>
      </c>
      <c r="T283" s="214" t="s">
        <v>15</v>
      </c>
      <c r="U283" s="214" t="s">
        <v>15</v>
      </c>
      <c r="V283" s="214" t="s">
        <v>15</v>
      </c>
      <c r="W283" s="214" t="s">
        <v>15</v>
      </c>
      <c r="X283" s="214" t="s">
        <v>15</v>
      </c>
      <c r="Y283" s="214" t="s">
        <v>15</v>
      </c>
      <c r="Z283" s="234"/>
      <c r="AA283" s="214" t="s">
        <v>546</v>
      </c>
      <c r="AB283" s="214" t="s">
        <v>20</v>
      </c>
      <c r="AC283" s="214" t="s">
        <v>15</v>
      </c>
      <c r="AD283" s="320" t="s">
        <v>569</v>
      </c>
      <c r="AE283" s="320" t="s">
        <v>578</v>
      </c>
      <c r="AF283" s="162" t="str">
        <f t="shared" si="16"/>
        <v/>
      </c>
      <c r="AG283" s="162" t="str">
        <f t="shared" si="17"/>
        <v/>
      </c>
      <c r="AH283" s="164" t="str">
        <f t="shared" si="18"/>
        <v/>
      </c>
      <c r="AI283" s="164" t="str">
        <f t="shared" si="19"/>
        <v/>
      </c>
      <c r="AJ283" s="369"/>
      <c r="AK283" s="368"/>
      <c r="AL283" s="368"/>
      <c r="AM283" s="368"/>
      <c r="AN283" s="368"/>
      <c r="AO283" s="368"/>
      <c r="AP283" s="368"/>
      <c r="AQ283" s="368"/>
      <c r="AR283" s="368"/>
      <c r="AS283" s="198"/>
      <c r="AT283" s="198"/>
      <c r="AU283" s="377"/>
      <c r="AV283" s="382"/>
      <c r="AW283" s="426"/>
      <c r="AX283" s="359"/>
      <c r="AY283" s="359"/>
      <c r="AZ283" s="359"/>
      <c r="BA283" s="359"/>
      <c r="BB283" s="426"/>
      <c r="BC283" s="426"/>
      <c r="BD283" s="426"/>
      <c r="BE283" s="426"/>
      <c r="BF283" s="469"/>
      <c r="BG283" s="467">
        <f>-632*(2000/400)/0.001/920/1000</f>
        <v>-3.4347826086956519</v>
      </c>
      <c r="BH283" s="341"/>
      <c r="BI283" s="446" t="s">
        <v>579</v>
      </c>
      <c r="BJ283" s="507"/>
    </row>
    <row r="284" spans="1:62" ht="15.75" customHeight="1" thickBot="1" x14ac:dyDescent="0.25">
      <c r="A284" s="174">
        <v>283</v>
      </c>
      <c r="B284" s="175">
        <v>1</v>
      </c>
      <c r="C284" s="166" t="s">
        <v>24</v>
      </c>
      <c r="D284" s="166" t="s">
        <v>269</v>
      </c>
      <c r="E284" s="166" t="s">
        <v>13</v>
      </c>
      <c r="F284" s="166" t="s">
        <v>580</v>
      </c>
      <c r="G284" s="166" t="s">
        <v>15</v>
      </c>
      <c r="H284" s="166" t="s">
        <v>101</v>
      </c>
      <c r="I284" s="181">
        <v>2009</v>
      </c>
      <c r="J284" s="181" t="s">
        <v>102</v>
      </c>
      <c r="K284" s="181" t="s">
        <v>103</v>
      </c>
      <c r="L284" s="181" t="s">
        <v>104</v>
      </c>
      <c r="M284" s="556" t="s">
        <v>4141</v>
      </c>
      <c r="N284" s="214" t="s">
        <v>20</v>
      </c>
      <c r="O284" s="214" t="s">
        <v>15</v>
      </c>
      <c r="P284" s="214" t="s">
        <v>15</v>
      </c>
      <c r="Q284" s="214" t="s">
        <v>15</v>
      </c>
      <c r="R284" s="214" t="s">
        <v>15</v>
      </c>
      <c r="S284" s="214" t="s">
        <v>15</v>
      </c>
      <c r="T284" s="214" t="s">
        <v>15</v>
      </c>
      <c r="U284" s="214" t="s">
        <v>15</v>
      </c>
      <c r="V284" s="214" t="s">
        <v>15</v>
      </c>
      <c r="W284" s="214" t="s">
        <v>15</v>
      </c>
      <c r="X284" s="214" t="s">
        <v>15</v>
      </c>
      <c r="Y284" s="214" t="s">
        <v>15</v>
      </c>
      <c r="Z284" s="234"/>
      <c r="AA284" s="214" t="s">
        <v>105</v>
      </c>
      <c r="AB284" s="214" t="s">
        <v>15</v>
      </c>
      <c r="AC284" s="214" t="s">
        <v>20</v>
      </c>
      <c r="AD284" s="320" t="s">
        <v>581</v>
      </c>
      <c r="AE284" s="320" t="s">
        <v>2852</v>
      </c>
      <c r="AF284" s="162" t="str">
        <f t="shared" si="16"/>
        <v/>
      </c>
      <c r="AG284" s="162" t="str">
        <f t="shared" si="17"/>
        <v/>
      </c>
      <c r="AH284" s="164">
        <f t="shared" si="18"/>
        <v>4.6639231824417013</v>
      </c>
      <c r="AI284" s="164" t="str">
        <f t="shared" si="19"/>
        <v/>
      </c>
      <c r="AJ284" s="369"/>
      <c r="AK284" s="368"/>
      <c r="AL284" s="368"/>
      <c r="AM284" s="368"/>
      <c r="AN284" s="368"/>
      <c r="AO284" s="368"/>
      <c r="AP284" s="368"/>
      <c r="AQ284" s="368"/>
      <c r="AR284" s="368"/>
      <c r="AS284" s="198"/>
      <c r="AT284" s="198"/>
      <c r="AU284" s="377"/>
      <c r="AV284" s="382"/>
      <c r="AW284" s="426"/>
      <c r="AX284" s="359"/>
      <c r="AY284" s="359"/>
      <c r="AZ284" s="359"/>
      <c r="BA284" s="359"/>
      <c r="BB284" s="426"/>
      <c r="BC284" s="426"/>
      <c r="BD284" s="426"/>
      <c r="BE284" s="426"/>
      <c r="BF284" s="468">
        <f>3.4/0.729</f>
        <v>4.6639231824417013</v>
      </c>
      <c r="BG284" s="467"/>
      <c r="BH284" s="341"/>
      <c r="BI284" s="446" t="s">
        <v>47</v>
      </c>
      <c r="BJ284" s="507"/>
    </row>
    <row r="285" spans="1:62" ht="15.75" customHeight="1" thickBot="1" x14ac:dyDescent="0.25">
      <c r="A285" s="176">
        <v>284</v>
      </c>
      <c r="B285" s="175">
        <v>1</v>
      </c>
      <c r="C285" s="166" t="s">
        <v>24</v>
      </c>
      <c r="D285" s="166" t="s">
        <v>53</v>
      </c>
      <c r="E285" s="166" t="s">
        <v>13</v>
      </c>
      <c r="F285" s="166" t="s">
        <v>583</v>
      </c>
      <c r="G285" s="166" t="s">
        <v>15</v>
      </c>
      <c r="H285" s="166" t="s">
        <v>101</v>
      </c>
      <c r="I285" s="181">
        <v>2009</v>
      </c>
      <c r="J285" s="181" t="s">
        <v>102</v>
      </c>
      <c r="K285" s="181" t="s">
        <v>103</v>
      </c>
      <c r="L285" s="181" t="s">
        <v>104</v>
      </c>
      <c r="M285" s="556" t="s">
        <v>4141</v>
      </c>
      <c r="N285" s="214" t="s">
        <v>20</v>
      </c>
      <c r="O285" s="214" t="s">
        <v>15</v>
      </c>
      <c r="P285" s="214" t="s">
        <v>15</v>
      </c>
      <c r="Q285" s="214" t="s">
        <v>15</v>
      </c>
      <c r="R285" s="214" t="s">
        <v>15</v>
      </c>
      <c r="S285" s="214" t="s">
        <v>15</v>
      </c>
      <c r="T285" s="214" t="s">
        <v>15</v>
      </c>
      <c r="U285" s="214" t="s">
        <v>15</v>
      </c>
      <c r="V285" s="214" t="s">
        <v>15</v>
      </c>
      <c r="W285" s="214" t="s">
        <v>15</v>
      </c>
      <c r="X285" s="214" t="s">
        <v>15</v>
      </c>
      <c r="Y285" s="214" t="s">
        <v>15</v>
      </c>
      <c r="Z285" s="234"/>
      <c r="AA285" s="214" t="s">
        <v>105</v>
      </c>
      <c r="AB285" s="214" t="s">
        <v>15</v>
      </c>
      <c r="AC285" s="214" t="s">
        <v>20</v>
      </c>
      <c r="AD285" s="320" t="s">
        <v>581</v>
      </c>
      <c r="AE285" s="320" t="s">
        <v>582</v>
      </c>
      <c r="AF285" s="162" t="str">
        <f t="shared" si="16"/>
        <v/>
      </c>
      <c r="AG285" s="162" t="str">
        <f t="shared" si="17"/>
        <v/>
      </c>
      <c r="AH285" s="164">
        <f t="shared" si="18"/>
        <v>29.685157421289354</v>
      </c>
      <c r="AI285" s="164" t="str">
        <f t="shared" si="19"/>
        <v/>
      </c>
      <c r="AJ285" s="369"/>
      <c r="AK285" s="368"/>
      <c r="AL285" s="368"/>
      <c r="AM285" s="368"/>
      <c r="AN285" s="368"/>
      <c r="AO285" s="368"/>
      <c r="AP285" s="368"/>
      <c r="AQ285" s="368"/>
      <c r="AR285" s="368"/>
      <c r="AS285" s="198"/>
      <c r="AT285" s="198"/>
      <c r="AU285" s="377"/>
      <c r="AV285" s="382"/>
      <c r="AW285" s="426"/>
      <c r="AX285" s="359"/>
      <c r="AY285" s="359"/>
      <c r="AZ285" s="359"/>
      <c r="BA285" s="359"/>
      <c r="BB285" s="426"/>
      <c r="BC285" s="426"/>
      <c r="BD285" s="426"/>
      <c r="BE285" s="426"/>
      <c r="BF285" s="468">
        <f>19.8/0.667</f>
        <v>29.685157421289354</v>
      </c>
      <c r="BG285" s="467"/>
      <c r="BH285" s="341"/>
      <c r="BI285" s="446" t="s">
        <v>47</v>
      </c>
      <c r="BJ285" s="507"/>
    </row>
    <row r="286" spans="1:62" ht="15.75" customHeight="1" thickBot="1" x14ac:dyDescent="0.25">
      <c r="A286" s="174">
        <v>285</v>
      </c>
      <c r="B286" s="175">
        <v>1</v>
      </c>
      <c r="C286" s="166" t="s">
        <v>11</v>
      </c>
      <c r="D286" s="166" t="s">
        <v>2844</v>
      </c>
      <c r="E286" s="166" t="s">
        <v>13</v>
      </c>
      <c r="F286" s="166" t="s">
        <v>584</v>
      </c>
      <c r="G286" s="166" t="s">
        <v>15</v>
      </c>
      <c r="H286" s="166" t="s">
        <v>101</v>
      </c>
      <c r="I286" s="181">
        <v>2009</v>
      </c>
      <c r="J286" s="181" t="s">
        <v>102</v>
      </c>
      <c r="K286" s="181" t="s">
        <v>103</v>
      </c>
      <c r="L286" s="181" t="s">
        <v>104</v>
      </c>
      <c r="M286" s="556" t="s">
        <v>4141</v>
      </c>
      <c r="N286" s="214" t="s">
        <v>20</v>
      </c>
      <c r="O286" s="214" t="s">
        <v>15</v>
      </c>
      <c r="P286" s="214" t="s">
        <v>15</v>
      </c>
      <c r="Q286" s="214" t="s">
        <v>15</v>
      </c>
      <c r="R286" s="214" t="s">
        <v>15</v>
      </c>
      <c r="S286" s="214" t="s">
        <v>15</v>
      </c>
      <c r="T286" s="214" t="s">
        <v>15</v>
      </c>
      <c r="U286" s="214" t="s">
        <v>15</v>
      </c>
      <c r="V286" s="214" t="s">
        <v>15</v>
      </c>
      <c r="W286" s="214" t="s">
        <v>15</v>
      </c>
      <c r="X286" s="214" t="s">
        <v>15</v>
      </c>
      <c r="Y286" s="214" t="s">
        <v>15</v>
      </c>
      <c r="Z286" s="234"/>
      <c r="AA286" s="214" t="s">
        <v>105</v>
      </c>
      <c r="AB286" s="214" t="s">
        <v>15</v>
      </c>
      <c r="AC286" s="214" t="s">
        <v>20</v>
      </c>
      <c r="AD286" s="320" t="s">
        <v>585</v>
      </c>
      <c r="AE286" s="320"/>
      <c r="AF286" s="162" t="str">
        <f t="shared" si="16"/>
        <v/>
      </c>
      <c r="AG286" s="162" t="str">
        <f t="shared" si="17"/>
        <v/>
      </c>
      <c r="AH286" s="164">
        <f t="shared" si="18"/>
        <v>1.02</v>
      </c>
      <c r="AI286" s="164" t="str">
        <f t="shared" si="19"/>
        <v/>
      </c>
      <c r="AJ286" s="369"/>
      <c r="AK286" s="368"/>
      <c r="AL286" s="368"/>
      <c r="AM286" s="368"/>
      <c r="AN286" s="368"/>
      <c r="AO286" s="368"/>
      <c r="AP286" s="368"/>
      <c r="AQ286" s="368"/>
      <c r="AR286" s="368"/>
      <c r="AS286" s="198"/>
      <c r="AT286" s="198"/>
      <c r="AU286" s="377"/>
      <c r="AV286" s="382"/>
      <c r="AW286" s="426"/>
      <c r="AX286" s="359"/>
      <c r="AY286" s="359"/>
      <c r="AZ286" s="359"/>
      <c r="BA286" s="359"/>
      <c r="BB286" s="426"/>
      <c r="BC286" s="426"/>
      <c r="BD286" s="426"/>
      <c r="BE286" s="426"/>
      <c r="BF286" s="468">
        <v>1.02</v>
      </c>
      <c r="BG286" s="467"/>
      <c r="BH286" s="341"/>
      <c r="BI286" s="446" t="s">
        <v>47</v>
      </c>
      <c r="BJ286" s="507"/>
    </row>
    <row r="287" spans="1:62" ht="15.75" customHeight="1" thickBot="1" x14ac:dyDescent="0.25">
      <c r="A287" s="176">
        <v>286</v>
      </c>
      <c r="B287" s="175">
        <v>1</v>
      </c>
      <c r="C287" s="166" t="s">
        <v>24</v>
      </c>
      <c r="D287" s="166" t="s">
        <v>283</v>
      </c>
      <c r="E287" s="166" t="s">
        <v>13</v>
      </c>
      <c r="F287" s="166" t="s">
        <v>586</v>
      </c>
      <c r="G287" s="166" t="s">
        <v>15</v>
      </c>
      <c r="H287" s="166" t="s">
        <v>101</v>
      </c>
      <c r="I287" s="181">
        <v>2009</v>
      </c>
      <c r="J287" s="181" t="s">
        <v>102</v>
      </c>
      <c r="K287" s="181" t="s">
        <v>103</v>
      </c>
      <c r="L287" s="181" t="s">
        <v>104</v>
      </c>
      <c r="M287" s="556" t="s">
        <v>4141</v>
      </c>
      <c r="N287" s="214" t="s">
        <v>20</v>
      </c>
      <c r="O287" s="214" t="s">
        <v>15</v>
      </c>
      <c r="P287" s="214" t="s">
        <v>15</v>
      </c>
      <c r="Q287" s="214" t="s">
        <v>15</v>
      </c>
      <c r="R287" s="214" t="s">
        <v>15</v>
      </c>
      <c r="S287" s="214" t="s">
        <v>15</v>
      </c>
      <c r="T287" s="214" t="s">
        <v>15</v>
      </c>
      <c r="U287" s="214" t="s">
        <v>15</v>
      </c>
      <c r="V287" s="214" t="s">
        <v>15</v>
      </c>
      <c r="W287" s="214" t="s">
        <v>15</v>
      </c>
      <c r="X287" s="214" t="s">
        <v>15</v>
      </c>
      <c r="Y287" s="214" t="s">
        <v>15</v>
      </c>
      <c r="Z287" s="234"/>
      <c r="AA287" s="214" t="s">
        <v>105</v>
      </c>
      <c r="AB287" s="214" t="s">
        <v>15</v>
      </c>
      <c r="AC287" s="214" t="s">
        <v>20</v>
      </c>
      <c r="AD287" s="320" t="s">
        <v>581</v>
      </c>
      <c r="AE287" s="320" t="s">
        <v>582</v>
      </c>
      <c r="AF287" s="162" t="str">
        <f t="shared" si="16"/>
        <v/>
      </c>
      <c r="AG287" s="162" t="str">
        <f t="shared" si="17"/>
        <v/>
      </c>
      <c r="AH287" s="164">
        <f t="shared" si="18"/>
        <v>2.8485757121439277</v>
      </c>
      <c r="AI287" s="164" t="str">
        <f t="shared" si="19"/>
        <v/>
      </c>
      <c r="AJ287" s="369"/>
      <c r="AK287" s="368"/>
      <c r="AL287" s="368"/>
      <c r="AM287" s="368"/>
      <c r="AN287" s="368"/>
      <c r="AO287" s="368"/>
      <c r="AP287" s="368"/>
      <c r="AQ287" s="368"/>
      <c r="AR287" s="368"/>
      <c r="AS287" s="198"/>
      <c r="AT287" s="198"/>
      <c r="AU287" s="377"/>
      <c r="AV287" s="382"/>
      <c r="AW287" s="426"/>
      <c r="AX287" s="359"/>
      <c r="AY287" s="359"/>
      <c r="AZ287" s="359"/>
      <c r="BA287" s="359"/>
      <c r="BB287" s="426"/>
      <c r="BC287" s="426"/>
      <c r="BD287" s="426"/>
      <c r="BE287" s="426"/>
      <c r="BF287" s="467">
        <f>1.9/0.667</f>
        <v>2.8485757121439277</v>
      </c>
      <c r="BG287" s="467"/>
      <c r="BH287" s="341"/>
      <c r="BI287" s="446" t="s">
        <v>47</v>
      </c>
      <c r="BJ287" s="507"/>
    </row>
    <row r="288" spans="1:62" ht="15.75" customHeight="1" thickBot="1" x14ac:dyDescent="0.25">
      <c r="A288" s="174">
        <v>287</v>
      </c>
      <c r="B288" s="175">
        <v>1</v>
      </c>
      <c r="C288" s="166" t="s">
        <v>587</v>
      </c>
      <c r="D288" s="166" t="s">
        <v>588</v>
      </c>
      <c r="E288" s="166" t="s">
        <v>13</v>
      </c>
      <c r="F288" s="166" t="s">
        <v>589</v>
      </c>
      <c r="G288" s="166" t="s">
        <v>15</v>
      </c>
      <c r="H288" s="166" t="s">
        <v>16</v>
      </c>
      <c r="I288" s="181">
        <v>2012</v>
      </c>
      <c r="J288" s="181" t="s">
        <v>590</v>
      </c>
      <c r="K288" s="181" t="s">
        <v>591</v>
      </c>
      <c r="L288" s="181"/>
      <c r="M288" s="556" t="s">
        <v>4142</v>
      </c>
      <c r="N288" s="214" t="s">
        <v>20</v>
      </c>
      <c r="O288" s="214" t="s">
        <v>15</v>
      </c>
      <c r="P288" s="214" t="s">
        <v>20</v>
      </c>
      <c r="Q288" s="214" t="s">
        <v>20</v>
      </c>
      <c r="R288" s="214" t="s">
        <v>15</v>
      </c>
      <c r="S288" s="214" t="s">
        <v>15</v>
      </c>
      <c r="T288" s="214" t="s">
        <v>15</v>
      </c>
      <c r="U288" s="214" t="s">
        <v>15</v>
      </c>
      <c r="V288" s="214" t="s">
        <v>15</v>
      </c>
      <c r="W288" s="214" t="s">
        <v>15</v>
      </c>
      <c r="X288" s="214" t="s">
        <v>15</v>
      </c>
      <c r="Y288" s="214" t="s">
        <v>15</v>
      </c>
      <c r="Z288" s="234"/>
      <c r="AA288" s="214" t="s">
        <v>592</v>
      </c>
      <c r="AB288" s="214" t="s">
        <v>15</v>
      </c>
      <c r="AC288" s="214" t="s">
        <v>15</v>
      </c>
      <c r="AD288" s="320" t="s">
        <v>593</v>
      </c>
      <c r="AE288" s="320" t="s">
        <v>594</v>
      </c>
      <c r="AF288" s="162" t="str">
        <f t="shared" si="16"/>
        <v/>
      </c>
      <c r="AG288" s="162" t="str">
        <f t="shared" si="17"/>
        <v/>
      </c>
      <c r="AH288" s="164" t="str">
        <f t="shared" si="18"/>
        <v/>
      </c>
      <c r="AI288" s="164" t="str">
        <f t="shared" si="19"/>
        <v/>
      </c>
      <c r="AJ288" s="369"/>
      <c r="AK288" s="368"/>
      <c r="AL288" s="368"/>
      <c r="AM288" s="368"/>
      <c r="AN288" s="368"/>
      <c r="AO288" s="368"/>
      <c r="AP288" s="368"/>
      <c r="AQ288" s="368"/>
      <c r="AR288" s="368"/>
      <c r="AS288" s="198"/>
      <c r="AT288" s="198"/>
      <c r="AU288" s="377"/>
      <c r="AV288" s="382"/>
      <c r="AW288" s="426"/>
      <c r="AX288" s="359"/>
      <c r="AY288" s="359"/>
      <c r="AZ288" s="359"/>
      <c r="BA288" s="359"/>
      <c r="BB288" s="426"/>
      <c r="BC288" s="426"/>
      <c r="BD288" s="426"/>
      <c r="BE288" s="426"/>
      <c r="BF288" s="469"/>
      <c r="BG288" s="468">
        <v>0.81</v>
      </c>
      <c r="BH288" s="335" t="s">
        <v>595</v>
      </c>
      <c r="BI288" s="446" t="s">
        <v>93</v>
      </c>
      <c r="BJ288" s="507"/>
    </row>
    <row r="289" spans="1:62" ht="15.75" customHeight="1" thickBot="1" x14ac:dyDescent="0.25">
      <c r="A289" s="176">
        <v>288</v>
      </c>
      <c r="B289" s="175">
        <v>1</v>
      </c>
      <c r="C289" s="166" t="s">
        <v>236</v>
      </c>
      <c r="D289" s="166" t="s">
        <v>597</v>
      </c>
      <c r="E289" s="166" t="s">
        <v>13</v>
      </c>
      <c r="F289" s="166" t="s">
        <v>598</v>
      </c>
      <c r="G289" s="166" t="s">
        <v>20</v>
      </c>
      <c r="H289" s="166" t="s">
        <v>599</v>
      </c>
      <c r="I289" s="181">
        <v>2015</v>
      </c>
      <c r="J289" s="181" t="s">
        <v>600</v>
      </c>
      <c r="K289" s="181" t="s">
        <v>601</v>
      </c>
      <c r="L289" s="181"/>
      <c r="M289" s="556" t="s">
        <v>4143</v>
      </c>
      <c r="N289" s="214" t="s">
        <v>20</v>
      </c>
      <c r="O289" s="214" t="s">
        <v>15</v>
      </c>
      <c r="P289" s="214" t="s">
        <v>20</v>
      </c>
      <c r="Q289" s="214" t="s">
        <v>15</v>
      </c>
      <c r="R289" s="214" t="s">
        <v>15</v>
      </c>
      <c r="S289" s="214" t="s">
        <v>15</v>
      </c>
      <c r="T289" s="214" t="s">
        <v>15</v>
      </c>
      <c r="U289" s="214" t="s">
        <v>15</v>
      </c>
      <c r="V289" s="214" t="s">
        <v>15</v>
      </c>
      <c r="W289" s="214" t="s">
        <v>15</v>
      </c>
      <c r="X289" s="214" t="s">
        <v>15</v>
      </c>
      <c r="Y289" s="214" t="s">
        <v>15</v>
      </c>
      <c r="Z289" s="234"/>
      <c r="AA289" s="214" t="s">
        <v>602</v>
      </c>
      <c r="AB289" s="214" t="s">
        <v>15</v>
      </c>
      <c r="AC289" s="214" t="s">
        <v>15</v>
      </c>
      <c r="AD289" s="320" t="s">
        <v>603</v>
      </c>
      <c r="AE289" s="320" t="s">
        <v>604</v>
      </c>
      <c r="AF289" s="162" t="str">
        <f t="shared" si="16"/>
        <v/>
      </c>
      <c r="AG289" s="162" t="str">
        <f t="shared" si="17"/>
        <v/>
      </c>
      <c r="AH289" s="164" t="str">
        <f t="shared" si="18"/>
        <v/>
      </c>
      <c r="AI289" s="164" t="str">
        <f t="shared" si="19"/>
        <v/>
      </c>
      <c r="AJ289" s="369"/>
      <c r="AK289" s="368"/>
      <c r="AL289" s="368"/>
      <c r="AM289" s="368"/>
      <c r="AN289" s="368"/>
      <c r="AO289" s="368"/>
      <c r="AP289" s="368"/>
      <c r="AQ289" s="368"/>
      <c r="AR289" s="368"/>
      <c r="AS289" s="198"/>
      <c r="AT289" s="199">
        <f>6529/1000</f>
        <v>6.5289999999999999</v>
      </c>
      <c r="AU289" s="377"/>
      <c r="AW289" s="426"/>
      <c r="AX289" s="359"/>
      <c r="AY289" s="359"/>
      <c r="AZ289" s="359"/>
      <c r="BA289" s="359"/>
      <c r="BB289" s="426"/>
      <c r="BC289" s="426"/>
      <c r="BD289" s="426"/>
      <c r="BE289" s="426"/>
      <c r="BF289" s="469"/>
      <c r="BG289" s="467">
        <f>456/1000</f>
        <v>0.45600000000000002</v>
      </c>
      <c r="BH289" s="341"/>
      <c r="BI289" s="446" t="s">
        <v>113</v>
      </c>
      <c r="BJ289" s="507"/>
    </row>
    <row r="290" spans="1:62" ht="15.75" customHeight="1" thickBot="1" x14ac:dyDescent="0.25">
      <c r="A290" s="174">
        <v>289</v>
      </c>
      <c r="B290" s="175">
        <v>1</v>
      </c>
      <c r="C290" s="166" t="s">
        <v>236</v>
      </c>
      <c r="D290" s="166" t="s">
        <v>597</v>
      </c>
      <c r="E290" s="166" t="s">
        <v>13</v>
      </c>
      <c r="F290" s="166" t="s">
        <v>605</v>
      </c>
      <c r="G290" s="166" t="s">
        <v>20</v>
      </c>
      <c r="H290" s="166" t="s">
        <v>606</v>
      </c>
      <c r="I290" s="181">
        <v>2015</v>
      </c>
      <c r="J290" s="181" t="s">
        <v>600</v>
      </c>
      <c r="K290" s="181" t="s">
        <v>601</v>
      </c>
      <c r="L290" s="181"/>
      <c r="M290" s="556" t="s">
        <v>4143</v>
      </c>
      <c r="N290" s="214" t="s">
        <v>20</v>
      </c>
      <c r="O290" s="214" t="s">
        <v>15</v>
      </c>
      <c r="P290" s="214" t="s">
        <v>20</v>
      </c>
      <c r="Q290" s="214" t="s">
        <v>15</v>
      </c>
      <c r="R290" s="214" t="s">
        <v>15</v>
      </c>
      <c r="S290" s="214" t="s">
        <v>15</v>
      </c>
      <c r="T290" s="214" t="s">
        <v>15</v>
      </c>
      <c r="U290" s="214" t="s">
        <v>15</v>
      </c>
      <c r="V290" s="214" t="s">
        <v>15</v>
      </c>
      <c r="W290" s="214" t="s">
        <v>15</v>
      </c>
      <c r="X290" s="214" t="s">
        <v>15</v>
      </c>
      <c r="Y290" s="214" t="s">
        <v>15</v>
      </c>
      <c r="Z290" s="234"/>
      <c r="AA290" s="214" t="s">
        <v>602</v>
      </c>
      <c r="AB290" s="214" t="s">
        <v>15</v>
      </c>
      <c r="AC290" s="214" t="s">
        <v>15</v>
      </c>
      <c r="AD290" s="320" t="s">
        <v>603</v>
      </c>
      <c r="AE290" s="320" t="s">
        <v>604</v>
      </c>
      <c r="AF290" s="162" t="str">
        <f t="shared" si="16"/>
        <v/>
      </c>
      <c r="AG290" s="162" t="str">
        <f t="shared" si="17"/>
        <v/>
      </c>
      <c r="AH290" s="164" t="str">
        <f t="shared" si="18"/>
        <v/>
      </c>
      <c r="AI290" s="164" t="str">
        <f t="shared" si="19"/>
        <v/>
      </c>
      <c r="AJ290" s="369"/>
      <c r="AK290" s="368"/>
      <c r="AL290" s="368"/>
      <c r="AM290" s="368"/>
      <c r="AN290" s="368"/>
      <c r="AO290" s="368"/>
      <c r="AP290" s="368"/>
      <c r="AQ290" s="368"/>
      <c r="AR290" s="368"/>
      <c r="AS290" s="198"/>
      <c r="AT290" s="199">
        <f>2759/1000</f>
        <v>2.7589999999999999</v>
      </c>
      <c r="AU290" s="377"/>
      <c r="AW290" s="426"/>
      <c r="AX290" s="359"/>
      <c r="AY290" s="359"/>
      <c r="AZ290" s="359"/>
      <c r="BA290" s="359"/>
      <c r="BB290" s="426"/>
      <c r="BC290" s="426"/>
      <c r="BD290" s="426"/>
      <c r="BE290" s="426"/>
      <c r="BF290" s="469"/>
      <c r="BG290" s="467">
        <f>203/1000</f>
        <v>0.20300000000000001</v>
      </c>
      <c r="BH290" s="341"/>
      <c r="BI290" s="446" t="s">
        <v>113</v>
      </c>
      <c r="BJ290" s="507"/>
    </row>
    <row r="291" spans="1:62" ht="15.75" customHeight="1" thickBot="1" x14ac:dyDescent="0.25">
      <c r="A291" s="176">
        <v>290</v>
      </c>
      <c r="B291" s="175">
        <v>1</v>
      </c>
      <c r="C291" s="166" t="s">
        <v>162</v>
      </c>
      <c r="D291" s="159" t="s">
        <v>2206</v>
      </c>
      <c r="E291" s="166" t="s">
        <v>13</v>
      </c>
      <c r="F291" s="166" t="s">
        <v>607</v>
      </c>
      <c r="G291" s="166" t="s">
        <v>20</v>
      </c>
      <c r="H291" s="166" t="s">
        <v>608</v>
      </c>
      <c r="I291" s="181">
        <v>2013</v>
      </c>
      <c r="J291" s="181" t="s">
        <v>609</v>
      </c>
      <c r="K291" s="181" t="s">
        <v>610</v>
      </c>
      <c r="L291" s="181" t="s">
        <v>19</v>
      </c>
      <c r="M291" s="556" t="s">
        <v>4144</v>
      </c>
      <c r="N291" s="214" t="s">
        <v>20</v>
      </c>
      <c r="O291" s="214" t="s">
        <v>15</v>
      </c>
      <c r="P291" s="214" t="s">
        <v>20</v>
      </c>
      <c r="Q291" s="214" t="s">
        <v>20</v>
      </c>
      <c r="R291" s="214" t="s">
        <v>15</v>
      </c>
      <c r="S291" s="214" t="s">
        <v>20</v>
      </c>
      <c r="T291" s="214" t="s">
        <v>15</v>
      </c>
      <c r="U291" s="214" t="s">
        <v>15</v>
      </c>
      <c r="V291" s="214" t="s">
        <v>15</v>
      </c>
      <c r="W291" s="214" t="s">
        <v>15</v>
      </c>
      <c r="X291" s="214" t="s">
        <v>15</v>
      </c>
      <c r="Y291" s="214" t="s">
        <v>15</v>
      </c>
      <c r="Z291" s="234"/>
      <c r="AA291" s="214" t="s">
        <v>611</v>
      </c>
      <c r="AB291" s="214" t="s">
        <v>15</v>
      </c>
      <c r="AC291" s="214" t="s">
        <v>20</v>
      </c>
      <c r="AD291" s="320" t="s">
        <v>612</v>
      </c>
      <c r="AE291" s="320"/>
      <c r="AF291" s="162" t="str">
        <f t="shared" si="16"/>
        <v/>
      </c>
      <c r="AG291" s="162" t="str">
        <f t="shared" si="17"/>
        <v/>
      </c>
      <c r="AH291" s="164">
        <f t="shared" si="18"/>
        <v>0.126</v>
      </c>
      <c r="AI291" s="164" t="str">
        <f t="shared" si="19"/>
        <v/>
      </c>
      <c r="AJ291" s="368"/>
      <c r="AK291" s="368"/>
      <c r="AL291" s="368"/>
      <c r="AM291" s="368"/>
      <c r="AN291" s="368"/>
      <c r="AO291" s="368"/>
      <c r="AP291" s="368"/>
      <c r="AQ291" s="368"/>
      <c r="AR291" s="368"/>
      <c r="AS291" s="195"/>
      <c r="AT291" s="195"/>
      <c r="AU291" s="377"/>
      <c r="AV291" s="382"/>
      <c r="AW291" s="359">
        <v>0.126</v>
      </c>
      <c r="AX291" s="426"/>
      <c r="AY291" s="426"/>
      <c r="AZ291" s="426"/>
      <c r="BA291" s="359">
        <v>6.8000000000000005E-2</v>
      </c>
      <c r="BB291" s="426"/>
      <c r="BC291" s="426"/>
      <c r="BD291" s="426"/>
      <c r="BE291" s="426"/>
      <c r="BF291" s="469">
        <v>0.126</v>
      </c>
      <c r="BG291" s="469">
        <f>0.126+0.068</f>
        <v>0.19400000000000001</v>
      </c>
      <c r="BH291" s="341"/>
      <c r="BI291" s="447"/>
      <c r="BJ291" s="505"/>
    </row>
    <row r="292" spans="1:62" ht="15.75" customHeight="1" thickBot="1" x14ac:dyDescent="0.25">
      <c r="A292" s="174">
        <v>291</v>
      </c>
      <c r="B292" s="175">
        <v>1</v>
      </c>
      <c r="C292" s="166" t="s">
        <v>162</v>
      </c>
      <c r="D292" s="159" t="s">
        <v>2206</v>
      </c>
      <c r="E292" s="166" t="s">
        <v>13</v>
      </c>
      <c r="F292" s="166" t="s">
        <v>613</v>
      </c>
      <c r="G292" s="166" t="s">
        <v>20</v>
      </c>
      <c r="H292" s="166" t="s">
        <v>608</v>
      </c>
      <c r="I292" s="181">
        <v>2013</v>
      </c>
      <c r="J292" s="181" t="s">
        <v>609</v>
      </c>
      <c r="K292" s="181" t="s">
        <v>610</v>
      </c>
      <c r="L292" s="181" t="s">
        <v>19</v>
      </c>
      <c r="M292" s="556" t="s">
        <v>4144</v>
      </c>
      <c r="N292" s="214" t="s">
        <v>20</v>
      </c>
      <c r="O292" s="214" t="s">
        <v>15</v>
      </c>
      <c r="P292" s="214" t="s">
        <v>20</v>
      </c>
      <c r="Q292" s="214" t="s">
        <v>20</v>
      </c>
      <c r="R292" s="214" t="s">
        <v>15</v>
      </c>
      <c r="S292" s="214" t="s">
        <v>20</v>
      </c>
      <c r="T292" s="214" t="s">
        <v>15</v>
      </c>
      <c r="U292" s="214" t="s">
        <v>15</v>
      </c>
      <c r="V292" s="214" t="s">
        <v>15</v>
      </c>
      <c r="W292" s="214" t="s">
        <v>15</v>
      </c>
      <c r="X292" s="214" t="s">
        <v>15</v>
      </c>
      <c r="Y292" s="214" t="s">
        <v>15</v>
      </c>
      <c r="Z292" s="234"/>
      <c r="AA292" s="214" t="s">
        <v>611</v>
      </c>
      <c r="AB292" s="214" t="s">
        <v>15</v>
      </c>
      <c r="AC292" s="214" t="s">
        <v>20</v>
      </c>
      <c r="AD292" s="320" t="s">
        <v>612</v>
      </c>
      <c r="AE292" s="320"/>
      <c r="AF292" s="162" t="str">
        <f t="shared" si="16"/>
        <v/>
      </c>
      <c r="AG292" s="162" t="str">
        <f t="shared" si="17"/>
        <v/>
      </c>
      <c r="AH292" s="164">
        <f t="shared" si="18"/>
        <v>0.14499999999999999</v>
      </c>
      <c r="AI292" s="164" t="str">
        <f t="shared" si="19"/>
        <v/>
      </c>
      <c r="AJ292" s="368"/>
      <c r="AK292" s="368"/>
      <c r="AL292" s="368"/>
      <c r="AM292" s="368"/>
      <c r="AN292" s="368"/>
      <c r="AO292" s="368"/>
      <c r="AP292" s="368"/>
      <c r="AQ292" s="368"/>
      <c r="AR292" s="368"/>
      <c r="AS292" s="195"/>
      <c r="AT292" s="195"/>
      <c r="AU292" s="377"/>
      <c r="AV292" s="382"/>
      <c r="AW292" s="359">
        <v>0.14499999999999999</v>
      </c>
      <c r="AX292" s="426"/>
      <c r="AY292" s="426"/>
      <c r="AZ292" s="426"/>
      <c r="BA292" s="359">
        <v>4.2000000000000003E-2</v>
      </c>
      <c r="BB292" s="426"/>
      <c r="BC292" s="426"/>
      <c r="BD292" s="426"/>
      <c r="BE292" s="426"/>
      <c r="BF292" s="469">
        <v>0.14499999999999999</v>
      </c>
      <c r="BG292" s="469">
        <f>0.145+0.042</f>
        <v>0.187</v>
      </c>
      <c r="BH292" s="341"/>
      <c r="BI292" s="447"/>
      <c r="BJ292" s="505"/>
    </row>
    <row r="293" spans="1:62" ht="15.75" customHeight="1" thickBot="1" x14ac:dyDescent="0.25">
      <c r="A293" s="176">
        <v>292</v>
      </c>
      <c r="B293" s="175">
        <v>1</v>
      </c>
      <c r="C293" s="166" t="s">
        <v>162</v>
      </c>
      <c r="D293" s="159" t="s">
        <v>2204</v>
      </c>
      <c r="E293" s="166" t="s">
        <v>13</v>
      </c>
      <c r="F293" s="166" t="s">
        <v>614</v>
      </c>
      <c r="G293" s="166" t="s">
        <v>20</v>
      </c>
      <c r="H293" s="166" t="s">
        <v>608</v>
      </c>
      <c r="I293" s="181">
        <v>2013</v>
      </c>
      <c r="J293" s="181" t="s">
        <v>609</v>
      </c>
      <c r="K293" s="181" t="s">
        <v>610</v>
      </c>
      <c r="L293" s="181" t="s">
        <v>19</v>
      </c>
      <c r="M293" s="556" t="s">
        <v>4144</v>
      </c>
      <c r="N293" s="214" t="s">
        <v>20</v>
      </c>
      <c r="O293" s="214" t="s">
        <v>15</v>
      </c>
      <c r="P293" s="214" t="s">
        <v>20</v>
      </c>
      <c r="Q293" s="214" t="s">
        <v>20</v>
      </c>
      <c r="R293" s="214" t="s">
        <v>15</v>
      </c>
      <c r="S293" s="214" t="s">
        <v>20</v>
      </c>
      <c r="T293" s="214" t="s">
        <v>15</v>
      </c>
      <c r="U293" s="214" t="s">
        <v>15</v>
      </c>
      <c r="V293" s="214" t="s">
        <v>15</v>
      </c>
      <c r="W293" s="214" t="s">
        <v>15</v>
      </c>
      <c r="X293" s="214" t="s">
        <v>15</v>
      </c>
      <c r="Y293" s="214" t="s">
        <v>15</v>
      </c>
      <c r="Z293" s="234"/>
      <c r="AA293" s="214" t="s">
        <v>611</v>
      </c>
      <c r="AB293" s="214" t="s">
        <v>15</v>
      </c>
      <c r="AC293" s="214" t="s">
        <v>20</v>
      </c>
      <c r="AD293" s="320" t="s">
        <v>615</v>
      </c>
      <c r="AE293" s="320"/>
      <c r="AF293" s="162" t="str">
        <f t="shared" si="16"/>
        <v/>
      </c>
      <c r="AG293" s="162" t="str">
        <f t="shared" si="17"/>
        <v/>
      </c>
      <c r="AH293" s="164">
        <f t="shared" si="18"/>
        <v>0.151</v>
      </c>
      <c r="AI293" s="164">
        <f t="shared" si="19"/>
        <v>0.17799999999999999</v>
      </c>
      <c r="AJ293" s="368"/>
      <c r="AK293" s="368"/>
      <c r="AL293" s="368"/>
      <c r="AM293" s="368"/>
      <c r="AN293" s="368"/>
      <c r="AO293" s="368"/>
      <c r="AP293" s="368"/>
      <c r="AQ293" s="368"/>
      <c r="AR293" s="368"/>
      <c r="AS293" s="195"/>
      <c r="AT293" s="195"/>
      <c r="AU293" s="377"/>
      <c r="AV293" s="382"/>
      <c r="AW293" s="359">
        <v>0.151</v>
      </c>
      <c r="AX293" s="426"/>
      <c r="AY293" s="359">
        <v>2.7E-2</v>
      </c>
      <c r="AZ293" s="426"/>
      <c r="BA293" s="359">
        <v>6.9000000000000006E-2</v>
      </c>
      <c r="BB293" s="426"/>
      <c r="BC293" s="426"/>
      <c r="BD293" s="426"/>
      <c r="BE293" s="426"/>
      <c r="BF293" s="469">
        <v>0.151</v>
      </c>
      <c r="BG293" s="469">
        <v>0.247</v>
      </c>
      <c r="BH293" s="341"/>
      <c r="BI293" s="447"/>
      <c r="BJ293" s="505"/>
    </row>
    <row r="294" spans="1:62" ht="15.75" customHeight="1" thickBot="1" x14ac:dyDescent="0.25">
      <c r="A294" s="174">
        <v>293</v>
      </c>
      <c r="B294" s="175">
        <v>1</v>
      </c>
      <c r="C294" s="166" t="s">
        <v>162</v>
      </c>
      <c r="D294" s="159" t="s">
        <v>2204</v>
      </c>
      <c r="E294" s="166" t="s">
        <v>13</v>
      </c>
      <c r="F294" s="166" t="s">
        <v>616</v>
      </c>
      <c r="G294" s="166" t="s">
        <v>20</v>
      </c>
      <c r="H294" s="166" t="s">
        <v>608</v>
      </c>
      <c r="I294" s="181">
        <v>2013</v>
      </c>
      <c r="J294" s="181" t="s">
        <v>609</v>
      </c>
      <c r="K294" s="181" t="s">
        <v>610</v>
      </c>
      <c r="L294" s="181" t="s">
        <v>19</v>
      </c>
      <c r="M294" s="556" t="s">
        <v>4144</v>
      </c>
      <c r="N294" s="214" t="s">
        <v>20</v>
      </c>
      <c r="O294" s="214" t="s">
        <v>15</v>
      </c>
      <c r="P294" s="214" t="s">
        <v>20</v>
      </c>
      <c r="Q294" s="214" t="s">
        <v>20</v>
      </c>
      <c r="R294" s="214" t="s">
        <v>15</v>
      </c>
      <c r="S294" s="214" t="s">
        <v>20</v>
      </c>
      <c r="T294" s="214" t="s">
        <v>15</v>
      </c>
      <c r="U294" s="214" t="s">
        <v>15</v>
      </c>
      <c r="V294" s="214" t="s">
        <v>15</v>
      </c>
      <c r="W294" s="214" t="s">
        <v>15</v>
      </c>
      <c r="X294" s="214" t="s">
        <v>15</v>
      </c>
      <c r="Y294" s="214" t="s">
        <v>15</v>
      </c>
      <c r="Z294" s="234"/>
      <c r="AA294" s="214" t="s">
        <v>611</v>
      </c>
      <c r="AB294" s="214" t="s">
        <v>15</v>
      </c>
      <c r="AC294" s="214" t="s">
        <v>20</v>
      </c>
      <c r="AD294" s="320" t="s">
        <v>615</v>
      </c>
      <c r="AE294" s="320"/>
      <c r="AF294" s="162" t="str">
        <f t="shared" si="16"/>
        <v/>
      </c>
      <c r="AG294" s="162" t="str">
        <f t="shared" si="17"/>
        <v/>
      </c>
      <c r="AH294" s="164">
        <f t="shared" si="18"/>
        <v>0.17399999999999999</v>
      </c>
      <c r="AI294" s="164">
        <f t="shared" si="19"/>
        <v>0.20099999999999998</v>
      </c>
      <c r="AJ294" s="368"/>
      <c r="AK294" s="368"/>
      <c r="AL294" s="368"/>
      <c r="AM294" s="368"/>
      <c r="AN294" s="368"/>
      <c r="AO294" s="368"/>
      <c r="AP294" s="368"/>
      <c r="AQ294" s="368"/>
      <c r="AR294" s="368"/>
      <c r="AS294" s="195"/>
      <c r="AT294" s="195"/>
      <c r="AU294" s="377"/>
      <c r="AV294" s="382"/>
      <c r="AW294" s="359">
        <v>0.17399999999999999</v>
      </c>
      <c r="AX294" s="426"/>
      <c r="AY294" s="359">
        <v>2.7E-2</v>
      </c>
      <c r="AZ294" s="426"/>
      <c r="BA294" s="359">
        <v>6.0999999999999999E-2</v>
      </c>
      <c r="BB294" s="426"/>
      <c r="BC294" s="426"/>
      <c r="BD294" s="426"/>
      <c r="BE294" s="426"/>
      <c r="BF294" s="469">
        <v>0.17399999999999999</v>
      </c>
      <c r="BG294" s="469">
        <v>0.26200000000000001</v>
      </c>
      <c r="BH294" s="341"/>
      <c r="BI294" s="447"/>
      <c r="BJ294" s="505"/>
    </row>
    <row r="295" spans="1:62" ht="15.75" customHeight="1" thickBot="1" x14ac:dyDescent="0.25">
      <c r="A295" s="176">
        <v>294</v>
      </c>
      <c r="B295" s="175">
        <v>1</v>
      </c>
      <c r="C295" s="166" t="s">
        <v>162</v>
      </c>
      <c r="D295" s="166" t="s">
        <v>2845</v>
      </c>
      <c r="E295" s="166" t="s">
        <v>13</v>
      </c>
      <c r="F295" s="166" t="s">
        <v>617</v>
      </c>
      <c r="G295" s="166" t="s">
        <v>20</v>
      </c>
      <c r="H295" s="166" t="s">
        <v>608</v>
      </c>
      <c r="I295" s="181">
        <v>2013</v>
      </c>
      <c r="J295" s="181" t="s">
        <v>609</v>
      </c>
      <c r="K295" s="181" t="s">
        <v>610</v>
      </c>
      <c r="L295" s="181" t="s">
        <v>19</v>
      </c>
      <c r="M295" s="556" t="s">
        <v>4144</v>
      </c>
      <c r="N295" s="214" t="s">
        <v>20</v>
      </c>
      <c r="O295" s="214" t="s">
        <v>15</v>
      </c>
      <c r="P295" s="214" t="s">
        <v>20</v>
      </c>
      <c r="Q295" s="214" t="s">
        <v>20</v>
      </c>
      <c r="R295" s="214" t="s">
        <v>15</v>
      </c>
      <c r="S295" s="214" t="s">
        <v>20</v>
      </c>
      <c r="T295" s="214" t="s">
        <v>15</v>
      </c>
      <c r="U295" s="214" t="s">
        <v>15</v>
      </c>
      <c r="V295" s="214" t="s">
        <v>15</v>
      </c>
      <c r="W295" s="214" t="s">
        <v>15</v>
      </c>
      <c r="X295" s="214" t="s">
        <v>15</v>
      </c>
      <c r="Y295" s="214" t="s">
        <v>15</v>
      </c>
      <c r="Z295" s="234"/>
      <c r="AA295" s="214" t="s">
        <v>611</v>
      </c>
      <c r="AB295" s="214" t="s">
        <v>15</v>
      </c>
      <c r="AC295" s="214" t="s">
        <v>20</v>
      </c>
      <c r="AD295" s="320" t="s">
        <v>618</v>
      </c>
      <c r="AE295" s="320"/>
      <c r="AF295" s="162" t="str">
        <f t="shared" si="16"/>
        <v/>
      </c>
      <c r="AG295" s="162" t="str">
        <f t="shared" si="17"/>
        <v/>
      </c>
      <c r="AH295" s="164">
        <f t="shared" si="18"/>
        <v>0.82899999999999996</v>
      </c>
      <c r="AI295" s="164">
        <f t="shared" si="19"/>
        <v>2.7759999999999998</v>
      </c>
      <c r="AJ295" s="370"/>
      <c r="AK295" s="370"/>
      <c r="AL295" s="370"/>
      <c r="AM295" s="370"/>
      <c r="AN295" s="370"/>
      <c r="AO295" s="370"/>
      <c r="AP295" s="370"/>
      <c r="AQ295" s="370"/>
      <c r="AR295" s="370"/>
      <c r="AS295" s="195"/>
      <c r="AT295" s="195"/>
      <c r="AU295" s="377"/>
      <c r="AV295" s="382"/>
      <c r="AW295" s="427">
        <v>0.82899999999999996</v>
      </c>
      <c r="AX295" s="427"/>
      <c r="AY295" s="427">
        <v>1.9470000000000001</v>
      </c>
      <c r="AZ295" s="427"/>
      <c r="BA295" s="427">
        <v>0.41499999999999998</v>
      </c>
      <c r="BB295" s="427"/>
      <c r="BC295" s="427"/>
      <c r="BD295" s="427"/>
      <c r="BE295" s="427"/>
      <c r="BF295" s="469">
        <v>0.82899999999999996</v>
      </c>
      <c r="BG295" s="469">
        <v>3.1920000000000002</v>
      </c>
      <c r="BH295" s="341"/>
      <c r="BI295" s="447"/>
      <c r="BJ295" s="505"/>
    </row>
    <row r="296" spans="1:62" ht="15.75" customHeight="1" thickBot="1" x14ac:dyDescent="0.25">
      <c r="A296" s="174">
        <v>295</v>
      </c>
      <c r="B296" s="175">
        <v>1</v>
      </c>
      <c r="C296" s="166" t="s">
        <v>162</v>
      </c>
      <c r="D296" s="166" t="s">
        <v>2845</v>
      </c>
      <c r="E296" s="166" t="s">
        <v>13</v>
      </c>
      <c r="F296" s="166" t="s">
        <v>619</v>
      </c>
      <c r="G296" s="166" t="s">
        <v>20</v>
      </c>
      <c r="H296" s="166" t="s">
        <v>608</v>
      </c>
      <c r="I296" s="181">
        <v>2013</v>
      </c>
      <c r="J296" s="181" t="s">
        <v>609</v>
      </c>
      <c r="K296" s="181" t="s">
        <v>610</v>
      </c>
      <c r="L296" s="181" t="s">
        <v>19</v>
      </c>
      <c r="M296" s="556" t="s">
        <v>4144</v>
      </c>
      <c r="N296" s="214" t="s">
        <v>20</v>
      </c>
      <c r="O296" s="214" t="s">
        <v>15</v>
      </c>
      <c r="P296" s="214" t="s">
        <v>20</v>
      </c>
      <c r="Q296" s="214" t="s">
        <v>20</v>
      </c>
      <c r="R296" s="214" t="s">
        <v>15</v>
      </c>
      <c r="S296" s="214" t="s">
        <v>20</v>
      </c>
      <c r="T296" s="214" t="s">
        <v>15</v>
      </c>
      <c r="U296" s="214" t="s">
        <v>15</v>
      </c>
      <c r="V296" s="214" t="s">
        <v>15</v>
      </c>
      <c r="W296" s="214" t="s">
        <v>15</v>
      </c>
      <c r="X296" s="214" t="s">
        <v>15</v>
      </c>
      <c r="Y296" s="214" t="s">
        <v>15</v>
      </c>
      <c r="Z296" s="234"/>
      <c r="AA296" s="214" t="s">
        <v>611</v>
      </c>
      <c r="AB296" s="214" t="s">
        <v>15</v>
      </c>
      <c r="AC296" s="214" t="s">
        <v>20</v>
      </c>
      <c r="AD296" s="320" t="s">
        <v>618</v>
      </c>
      <c r="AE296" s="320"/>
      <c r="AF296" s="162" t="str">
        <f t="shared" si="16"/>
        <v/>
      </c>
      <c r="AG296" s="162" t="str">
        <f t="shared" si="17"/>
        <v/>
      </c>
      <c r="AH296" s="164">
        <f t="shared" si="18"/>
        <v>0.95499999999999996</v>
      </c>
      <c r="AI296" s="164">
        <f t="shared" si="19"/>
        <v>2.9020000000000001</v>
      </c>
      <c r="AJ296" s="368"/>
      <c r="AK296" s="368"/>
      <c r="AL296" s="368"/>
      <c r="AM296" s="368"/>
      <c r="AN296" s="368"/>
      <c r="AO296" s="368"/>
      <c r="AP296" s="368"/>
      <c r="AQ296" s="368"/>
      <c r="AR296" s="368"/>
      <c r="AS296" s="195"/>
      <c r="AT296" s="195"/>
      <c r="AU296" s="377"/>
      <c r="AV296" s="382"/>
      <c r="AW296" s="359">
        <v>0.95499999999999996</v>
      </c>
      <c r="AX296" s="426"/>
      <c r="AY296" s="359">
        <v>1.9470000000000001</v>
      </c>
      <c r="AZ296" s="426"/>
      <c r="BA296" s="359">
        <v>0.29899999999999999</v>
      </c>
      <c r="BB296" s="426"/>
      <c r="BC296" s="426"/>
      <c r="BD296" s="426"/>
      <c r="BE296" s="426"/>
      <c r="BF296" s="469">
        <v>0.95499999999999996</v>
      </c>
      <c r="BG296" s="469">
        <v>3.2010000000000001</v>
      </c>
      <c r="BH296" s="341"/>
      <c r="BI296" s="447"/>
      <c r="BJ296" s="505"/>
    </row>
    <row r="297" spans="1:62" ht="15.75" customHeight="1" thickBot="1" x14ac:dyDescent="0.25">
      <c r="A297" s="176">
        <v>296</v>
      </c>
      <c r="B297" s="175">
        <v>1</v>
      </c>
      <c r="C297" s="166" t="s">
        <v>1110</v>
      </c>
      <c r="D297" s="166" t="s">
        <v>2198</v>
      </c>
      <c r="E297" s="166" t="s">
        <v>13</v>
      </c>
      <c r="F297" s="166" t="s">
        <v>620</v>
      </c>
      <c r="G297" s="166" t="s">
        <v>20</v>
      </c>
      <c r="H297" s="166" t="s">
        <v>608</v>
      </c>
      <c r="I297" s="181">
        <v>2013</v>
      </c>
      <c r="J297" s="181" t="s">
        <v>609</v>
      </c>
      <c r="K297" s="181" t="s">
        <v>610</v>
      </c>
      <c r="L297" s="181" t="s">
        <v>19</v>
      </c>
      <c r="M297" s="556" t="s">
        <v>4144</v>
      </c>
      <c r="N297" s="214" t="s">
        <v>20</v>
      </c>
      <c r="O297" s="214" t="s">
        <v>15</v>
      </c>
      <c r="P297" s="214" t="s">
        <v>20</v>
      </c>
      <c r="Q297" s="214" t="s">
        <v>20</v>
      </c>
      <c r="R297" s="214" t="s">
        <v>15</v>
      </c>
      <c r="S297" s="214" t="s">
        <v>20</v>
      </c>
      <c r="T297" s="214" t="s">
        <v>15</v>
      </c>
      <c r="U297" s="214" t="s">
        <v>15</v>
      </c>
      <c r="V297" s="214" t="s">
        <v>15</v>
      </c>
      <c r="W297" s="214" t="s">
        <v>15</v>
      </c>
      <c r="X297" s="214" t="s">
        <v>15</v>
      </c>
      <c r="Y297" s="214" t="s">
        <v>15</v>
      </c>
      <c r="Z297" s="234"/>
      <c r="AA297" s="214" t="s">
        <v>611</v>
      </c>
      <c r="AB297" s="214" t="s">
        <v>15</v>
      </c>
      <c r="AC297" s="214" t="s">
        <v>20</v>
      </c>
      <c r="AD297" s="320" t="s">
        <v>621</v>
      </c>
      <c r="AE297" s="320"/>
      <c r="AF297" s="162" t="str">
        <f t="shared" si="16"/>
        <v/>
      </c>
      <c r="AG297" s="162" t="str">
        <f t="shared" si="17"/>
        <v/>
      </c>
      <c r="AH297" s="164">
        <f t="shared" si="18"/>
        <v>0.44</v>
      </c>
      <c r="AI297" s="164">
        <f t="shared" si="19"/>
        <v>1.72</v>
      </c>
      <c r="AJ297" s="370"/>
      <c r="AK297" s="370"/>
      <c r="AL297" s="370"/>
      <c r="AM297" s="370"/>
      <c r="AN297" s="370"/>
      <c r="AO297" s="370"/>
      <c r="AP297" s="370"/>
      <c r="AQ297" s="370"/>
      <c r="AR297" s="370"/>
      <c r="AS297" s="195"/>
      <c r="AT297" s="195"/>
      <c r="AU297" s="377"/>
      <c r="AV297" s="382"/>
      <c r="AW297" s="427">
        <v>0.44</v>
      </c>
      <c r="AX297" s="427"/>
      <c r="AY297" s="427">
        <v>1.28</v>
      </c>
      <c r="AZ297" s="427"/>
      <c r="BA297" s="427">
        <v>0.55200000000000005</v>
      </c>
      <c r="BB297" s="427"/>
      <c r="BC297" s="427"/>
      <c r="BD297" s="427"/>
      <c r="BE297" s="427"/>
      <c r="BF297" s="469">
        <f>AW297</f>
        <v>0.44</v>
      </c>
      <c r="BG297" s="469">
        <v>2.2709999999999999</v>
      </c>
      <c r="BH297" s="341"/>
      <c r="BI297" s="447"/>
      <c r="BJ297" s="505"/>
    </row>
    <row r="298" spans="1:62" ht="15.75" customHeight="1" thickBot="1" x14ac:dyDescent="0.25">
      <c r="A298" s="174">
        <v>297</v>
      </c>
      <c r="B298" s="175">
        <v>1</v>
      </c>
      <c r="C298" s="166" t="s">
        <v>162</v>
      </c>
      <c r="D298" s="159" t="s">
        <v>2206</v>
      </c>
      <c r="E298" s="166" t="s">
        <v>13</v>
      </c>
      <c r="F298" s="166" t="s">
        <v>622</v>
      </c>
      <c r="G298" s="166" t="s">
        <v>20</v>
      </c>
      <c r="H298" s="166" t="s">
        <v>608</v>
      </c>
      <c r="I298" s="181">
        <v>2013</v>
      </c>
      <c r="J298" s="181" t="s">
        <v>609</v>
      </c>
      <c r="K298" s="181" t="s">
        <v>610</v>
      </c>
      <c r="L298" s="181" t="s">
        <v>19</v>
      </c>
      <c r="M298" s="556" t="s">
        <v>4144</v>
      </c>
      <c r="N298" s="214" t="s">
        <v>20</v>
      </c>
      <c r="O298" s="214" t="s">
        <v>15</v>
      </c>
      <c r="P298" s="214" t="s">
        <v>20</v>
      </c>
      <c r="Q298" s="214" t="s">
        <v>20</v>
      </c>
      <c r="R298" s="214" t="s">
        <v>15</v>
      </c>
      <c r="S298" s="214" t="s">
        <v>20</v>
      </c>
      <c r="T298" s="214" t="s">
        <v>15</v>
      </c>
      <c r="U298" s="214" t="s">
        <v>15</v>
      </c>
      <c r="V298" s="214" t="s">
        <v>15</v>
      </c>
      <c r="W298" s="214" t="s">
        <v>15</v>
      </c>
      <c r="X298" s="214" t="s">
        <v>15</v>
      </c>
      <c r="Y298" s="214" t="s">
        <v>15</v>
      </c>
      <c r="Z298" s="234"/>
      <c r="AA298" s="214" t="s">
        <v>611</v>
      </c>
      <c r="AB298" s="214" t="s">
        <v>15</v>
      </c>
      <c r="AC298" s="214" t="s">
        <v>20</v>
      </c>
      <c r="AD298" s="320" t="s">
        <v>621</v>
      </c>
      <c r="AE298" s="320"/>
      <c r="AF298" s="162" t="str">
        <f t="shared" si="16"/>
        <v/>
      </c>
      <c r="AG298" s="162" t="str">
        <f t="shared" si="17"/>
        <v/>
      </c>
      <c r="AH298" s="164">
        <f t="shared" si="18"/>
        <v>0.50600000000000001</v>
      </c>
      <c r="AI298" s="164">
        <f t="shared" si="19"/>
        <v>1.786</v>
      </c>
      <c r="AJ298" s="368"/>
      <c r="AK298" s="368"/>
      <c r="AL298" s="368"/>
      <c r="AM298" s="368"/>
      <c r="AN298" s="368"/>
      <c r="AO298" s="368"/>
      <c r="AP298" s="368"/>
      <c r="AQ298" s="368"/>
      <c r="AR298" s="368"/>
      <c r="AS298" s="195"/>
      <c r="AT298" s="195"/>
      <c r="AU298" s="377"/>
      <c r="AV298" s="382"/>
      <c r="AW298" s="359">
        <v>0.50600000000000001</v>
      </c>
      <c r="AX298" s="426"/>
      <c r="AY298" s="359">
        <v>1.28</v>
      </c>
      <c r="AZ298" s="426"/>
      <c r="BA298" s="359">
        <v>0.28599999999999998</v>
      </c>
      <c r="BB298" s="426"/>
      <c r="BC298" s="426"/>
      <c r="BD298" s="426"/>
      <c r="BE298" s="426"/>
      <c r="BF298" s="469">
        <f>AW298</f>
        <v>0.50600000000000001</v>
      </c>
      <c r="BG298" s="469">
        <v>2.0720000000000001</v>
      </c>
      <c r="BH298" s="341"/>
      <c r="BI298" s="447"/>
      <c r="BJ298" s="505"/>
    </row>
    <row r="299" spans="1:62" ht="15.75" customHeight="1" thickBot="1" x14ac:dyDescent="0.25">
      <c r="A299" s="176">
        <v>298</v>
      </c>
      <c r="B299" s="175">
        <v>1</v>
      </c>
      <c r="C299" s="166" t="s">
        <v>162</v>
      </c>
      <c r="D299" s="159" t="s">
        <v>2206</v>
      </c>
      <c r="E299" s="166" t="s">
        <v>13</v>
      </c>
      <c r="F299" s="166" t="s">
        <v>623</v>
      </c>
      <c r="G299" s="166" t="s">
        <v>15</v>
      </c>
      <c r="H299" s="166" t="s">
        <v>101</v>
      </c>
      <c r="I299" s="181">
        <v>2010</v>
      </c>
      <c r="J299" s="181" t="s">
        <v>624</v>
      </c>
      <c r="K299" s="181" t="s">
        <v>625</v>
      </c>
      <c r="L299" s="181" t="s">
        <v>19</v>
      </c>
      <c r="M299" s="556" t="s">
        <v>4145</v>
      </c>
      <c r="N299" s="214" t="s">
        <v>20</v>
      </c>
      <c r="O299" s="214" t="s">
        <v>15</v>
      </c>
      <c r="P299" s="214" t="s">
        <v>20</v>
      </c>
      <c r="Q299" s="214" t="s">
        <v>15</v>
      </c>
      <c r="R299" s="214" t="s">
        <v>20</v>
      </c>
      <c r="S299" s="214" t="s">
        <v>20</v>
      </c>
      <c r="T299" s="214" t="s">
        <v>15</v>
      </c>
      <c r="U299" s="214" t="s">
        <v>15</v>
      </c>
      <c r="V299" s="214" t="s">
        <v>15</v>
      </c>
      <c r="W299" s="214" t="s">
        <v>15</v>
      </c>
      <c r="X299" s="214" t="s">
        <v>15</v>
      </c>
      <c r="Y299" s="214" t="s">
        <v>20</v>
      </c>
      <c r="Z299" s="234"/>
      <c r="AA299" s="214" t="s">
        <v>626</v>
      </c>
      <c r="AB299" s="214" t="s">
        <v>20</v>
      </c>
      <c r="AC299" s="214" t="s">
        <v>15</v>
      </c>
      <c r="AD299" s="320" t="s">
        <v>627</v>
      </c>
      <c r="AE299" s="320" t="s">
        <v>628</v>
      </c>
      <c r="AF299" s="162" t="str">
        <f t="shared" si="16"/>
        <v/>
      </c>
      <c r="AG299" s="162" t="str">
        <f t="shared" si="17"/>
        <v/>
      </c>
      <c r="AH299" s="164" t="str">
        <f t="shared" si="18"/>
        <v/>
      </c>
      <c r="AI299" s="164" t="str">
        <f t="shared" si="19"/>
        <v/>
      </c>
      <c r="AJ299" s="368"/>
      <c r="AK299" s="368"/>
      <c r="AL299" s="368"/>
      <c r="AM299" s="368"/>
      <c r="AN299" s="368"/>
      <c r="AO299" s="368"/>
      <c r="AP299" s="368"/>
      <c r="AQ299" s="368"/>
      <c r="AR299" s="368"/>
      <c r="AS299" s="195"/>
      <c r="AT299" s="195"/>
      <c r="AU299" s="377"/>
      <c r="AV299" s="382"/>
      <c r="AW299" s="359"/>
      <c r="AX299" s="426"/>
      <c r="AY299" s="359"/>
      <c r="AZ299" s="426"/>
      <c r="BA299" s="359"/>
      <c r="BB299" s="426"/>
      <c r="BC299" s="426"/>
      <c r="BD299" s="426"/>
      <c r="BE299" s="426"/>
      <c r="BF299" s="469"/>
      <c r="BG299" s="468">
        <v>0.12</v>
      </c>
      <c r="BH299" s="335" t="s">
        <v>629</v>
      </c>
      <c r="BI299" s="446" t="s">
        <v>630</v>
      </c>
      <c r="BJ299" s="505"/>
    </row>
    <row r="300" spans="1:62" ht="15.75" customHeight="1" thickBot="1" x14ac:dyDescent="0.25">
      <c r="A300" s="174">
        <v>299</v>
      </c>
      <c r="B300" s="175">
        <v>1</v>
      </c>
      <c r="C300" s="166" t="s">
        <v>162</v>
      </c>
      <c r="D300" s="159" t="s">
        <v>2057</v>
      </c>
      <c r="E300" s="166" t="s">
        <v>13</v>
      </c>
      <c r="F300" s="166" t="s">
        <v>632</v>
      </c>
      <c r="G300" s="166" t="s">
        <v>20</v>
      </c>
      <c r="H300" s="166" t="s">
        <v>633</v>
      </c>
      <c r="I300" s="181">
        <v>2015</v>
      </c>
      <c r="J300" s="181" t="s">
        <v>634</v>
      </c>
      <c r="K300" s="181" t="s">
        <v>635</v>
      </c>
      <c r="L300" s="181" t="s">
        <v>19</v>
      </c>
      <c r="M300" s="556" t="s">
        <v>4146</v>
      </c>
      <c r="N300" s="214" t="s">
        <v>20</v>
      </c>
      <c r="O300" s="214" t="s">
        <v>15</v>
      </c>
      <c r="P300" s="214" t="s">
        <v>15</v>
      </c>
      <c r="Q300" s="214" t="s">
        <v>15</v>
      </c>
      <c r="R300" s="214" t="s">
        <v>15</v>
      </c>
      <c r="S300" s="214" t="s">
        <v>15</v>
      </c>
      <c r="T300" s="214" t="s">
        <v>15</v>
      </c>
      <c r="U300" s="214" t="s">
        <v>15</v>
      </c>
      <c r="V300" s="214" t="s">
        <v>15</v>
      </c>
      <c r="W300" s="214" t="s">
        <v>15</v>
      </c>
      <c r="X300" s="214" t="s">
        <v>15</v>
      </c>
      <c r="Y300" s="214" t="s">
        <v>20</v>
      </c>
      <c r="Z300" s="234"/>
      <c r="AA300" s="214" t="s">
        <v>636</v>
      </c>
      <c r="AB300" s="214" t="s">
        <v>15</v>
      </c>
      <c r="AC300" s="214" t="s">
        <v>20</v>
      </c>
      <c r="AD300" s="320" t="s">
        <v>637</v>
      </c>
      <c r="AE300" s="320" t="s">
        <v>485</v>
      </c>
      <c r="AF300" s="162" t="str">
        <f t="shared" si="16"/>
        <v/>
      </c>
      <c r="AG300" s="162" t="str">
        <f t="shared" si="17"/>
        <v/>
      </c>
      <c r="AH300" s="164">
        <f t="shared" si="18"/>
        <v>0.12819999999999998</v>
      </c>
      <c r="AI300" s="164" t="str">
        <f t="shared" si="19"/>
        <v/>
      </c>
      <c r="AJ300" s="368"/>
      <c r="AK300" s="368"/>
      <c r="AL300" s="368"/>
      <c r="AM300" s="368"/>
      <c r="AN300" s="368"/>
      <c r="AO300" s="368"/>
      <c r="AP300" s="368"/>
      <c r="AQ300" s="368"/>
      <c r="AR300" s="368"/>
      <c r="AS300" s="195"/>
      <c r="AT300" s="195"/>
      <c r="AU300" s="377"/>
      <c r="AV300" s="382"/>
      <c r="AW300" s="359"/>
      <c r="AX300" s="426"/>
      <c r="AY300" s="359"/>
      <c r="AZ300" s="426"/>
      <c r="BA300" s="359"/>
      <c r="BB300" s="426"/>
      <c r="BC300" s="426"/>
      <c r="BD300" s="426"/>
      <c r="BE300" s="426"/>
      <c r="BF300" s="468">
        <f>128.2/1000</f>
        <v>0.12819999999999998</v>
      </c>
      <c r="BG300" s="469"/>
      <c r="BH300" s="341"/>
      <c r="BI300" s="446" t="s">
        <v>638</v>
      </c>
      <c r="BJ300" s="505"/>
    </row>
    <row r="301" spans="1:62" ht="15.75" customHeight="1" thickBot="1" x14ac:dyDescent="0.25">
      <c r="A301" s="176">
        <v>300</v>
      </c>
      <c r="B301" s="175">
        <v>1</v>
      </c>
      <c r="C301" s="166" t="s">
        <v>162</v>
      </c>
      <c r="D301" s="159" t="s">
        <v>2057</v>
      </c>
      <c r="E301" s="166" t="s">
        <v>13</v>
      </c>
      <c r="F301" s="166" t="s">
        <v>639</v>
      </c>
      <c r="G301" s="166" t="s">
        <v>20</v>
      </c>
      <c r="H301" s="166" t="s">
        <v>633</v>
      </c>
      <c r="I301" s="181">
        <v>2015</v>
      </c>
      <c r="J301" s="181" t="s">
        <v>634</v>
      </c>
      <c r="K301" s="181" t="s">
        <v>635</v>
      </c>
      <c r="L301" s="181" t="s">
        <v>19</v>
      </c>
      <c r="M301" s="556" t="s">
        <v>4146</v>
      </c>
      <c r="N301" s="214" t="s">
        <v>20</v>
      </c>
      <c r="O301" s="214" t="s">
        <v>15</v>
      </c>
      <c r="P301" s="214" t="s">
        <v>15</v>
      </c>
      <c r="Q301" s="214" t="s">
        <v>15</v>
      </c>
      <c r="R301" s="214" t="s">
        <v>15</v>
      </c>
      <c r="S301" s="214" t="s">
        <v>15</v>
      </c>
      <c r="T301" s="214" t="s">
        <v>15</v>
      </c>
      <c r="U301" s="214" t="s">
        <v>15</v>
      </c>
      <c r="V301" s="214" t="s">
        <v>15</v>
      </c>
      <c r="W301" s="214" t="s">
        <v>15</v>
      </c>
      <c r="X301" s="214" t="s">
        <v>15</v>
      </c>
      <c r="Y301" s="214" t="s">
        <v>20</v>
      </c>
      <c r="Z301" s="234"/>
      <c r="AA301" s="214" t="s">
        <v>636</v>
      </c>
      <c r="AB301" s="214" t="s">
        <v>15</v>
      </c>
      <c r="AC301" s="214" t="s">
        <v>20</v>
      </c>
      <c r="AD301" s="320" t="s">
        <v>637</v>
      </c>
      <c r="AE301" s="320" t="s">
        <v>640</v>
      </c>
      <c r="AF301" s="162" t="str">
        <f t="shared" si="16"/>
        <v/>
      </c>
      <c r="AG301" s="162" t="str">
        <f t="shared" si="17"/>
        <v/>
      </c>
      <c r="AH301" s="164">
        <f t="shared" si="18"/>
        <v>6.3100000000000003E-2</v>
      </c>
      <c r="AI301" s="164" t="str">
        <f t="shared" si="19"/>
        <v/>
      </c>
      <c r="AJ301" s="368"/>
      <c r="AK301" s="368"/>
      <c r="AL301" s="368"/>
      <c r="AM301" s="368"/>
      <c r="AN301" s="368"/>
      <c r="AO301" s="368"/>
      <c r="AP301" s="368"/>
      <c r="AQ301" s="368"/>
      <c r="AR301" s="368"/>
      <c r="AS301" s="195"/>
      <c r="AT301" s="195"/>
      <c r="AU301" s="377"/>
      <c r="AV301" s="382"/>
      <c r="AW301" s="359"/>
      <c r="AX301" s="426"/>
      <c r="AY301" s="359"/>
      <c r="AZ301" s="426"/>
      <c r="BA301" s="359"/>
      <c r="BB301" s="426"/>
      <c r="BC301" s="426"/>
      <c r="BD301" s="426"/>
      <c r="BE301" s="426"/>
      <c r="BF301" s="468">
        <f>63.1/1000</f>
        <v>6.3100000000000003E-2</v>
      </c>
      <c r="BG301" s="469"/>
      <c r="BH301" s="341"/>
      <c r="BI301" s="446" t="s">
        <v>638</v>
      </c>
      <c r="BJ301" s="505"/>
    </row>
    <row r="302" spans="1:62" ht="15.75" customHeight="1" thickBot="1" x14ac:dyDescent="0.25">
      <c r="A302" s="174">
        <v>301</v>
      </c>
      <c r="B302" s="175">
        <v>1</v>
      </c>
      <c r="C302" s="166" t="s">
        <v>259</v>
      </c>
      <c r="D302" s="166" t="s">
        <v>641</v>
      </c>
      <c r="E302" s="166" t="s">
        <v>13</v>
      </c>
      <c r="F302" s="166" t="s">
        <v>642</v>
      </c>
      <c r="G302" s="166" t="s">
        <v>20</v>
      </c>
      <c r="H302" s="166" t="s">
        <v>73</v>
      </c>
      <c r="I302" s="181">
        <v>2015</v>
      </c>
      <c r="J302" s="181" t="s">
        <v>643</v>
      </c>
      <c r="K302" s="181" t="s">
        <v>644</v>
      </c>
      <c r="L302" s="181" t="s">
        <v>19</v>
      </c>
      <c r="M302" s="556" t="s">
        <v>4147</v>
      </c>
      <c r="N302" s="214" t="s">
        <v>20</v>
      </c>
      <c r="O302" s="214" t="s">
        <v>15</v>
      </c>
      <c r="P302" s="214" t="s">
        <v>15</v>
      </c>
      <c r="Q302" s="214" t="s">
        <v>15</v>
      </c>
      <c r="R302" s="214" t="s">
        <v>15</v>
      </c>
      <c r="S302" s="214" t="s">
        <v>15</v>
      </c>
      <c r="T302" s="214" t="s">
        <v>15</v>
      </c>
      <c r="U302" s="214" t="s">
        <v>15</v>
      </c>
      <c r="V302" s="214" t="s">
        <v>15</v>
      </c>
      <c r="W302" s="214" t="s">
        <v>15</v>
      </c>
      <c r="X302" s="214" t="s">
        <v>15</v>
      </c>
      <c r="Y302" s="214" t="s">
        <v>20</v>
      </c>
      <c r="Z302" s="234"/>
      <c r="AA302" s="214" t="s">
        <v>645</v>
      </c>
      <c r="AB302" s="214" t="s">
        <v>20</v>
      </c>
      <c r="AC302" s="214" t="s">
        <v>15</v>
      </c>
      <c r="AD302" s="320" t="s">
        <v>646</v>
      </c>
      <c r="AE302" s="320"/>
      <c r="AF302" s="162" t="str">
        <f t="shared" si="16"/>
        <v/>
      </c>
      <c r="AG302" s="162" t="str">
        <f t="shared" si="17"/>
        <v/>
      </c>
      <c r="AH302" s="164">
        <f t="shared" si="18"/>
        <v>0.17100000000000001</v>
      </c>
      <c r="AI302" s="164" t="str">
        <f t="shared" si="19"/>
        <v/>
      </c>
      <c r="AJ302" s="368"/>
      <c r="AK302" s="368"/>
      <c r="AL302" s="368"/>
      <c r="AM302" s="368"/>
      <c r="AN302" s="368"/>
      <c r="AO302" s="368"/>
      <c r="AP302" s="368"/>
      <c r="AQ302" s="368"/>
      <c r="AR302" s="368"/>
      <c r="AS302" s="195"/>
      <c r="AT302" s="195"/>
      <c r="AU302" s="377"/>
      <c r="AV302" s="382"/>
      <c r="AW302" s="359"/>
      <c r="AX302" s="426"/>
      <c r="AY302" s="359"/>
      <c r="AZ302" s="426"/>
      <c r="BA302" s="359"/>
      <c r="BB302" s="426"/>
      <c r="BC302" s="426"/>
      <c r="BD302" s="426"/>
      <c r="BE302" s="426"/>
      <c r="BF302" s="468">
        <v>0.17100000000000001</v>
      </c>
      <c r="BG302" s="469"/>
      <c r="BH302" s="341"/>
      <c r="BI302" s="446" t="s">
        <v>647</v>
      </c>
      <c r="BJ302" s="505"/>
    </row>
    <row r="303" spans="1:62" ht="15.75" customHeight="1" thickBot="1" x14ac:dyDescent="0.25">
      <c r="A303" s="176">
        <v>302</v>
      </c>
      <c r="B303" s="175">
        <v>1</v>
      </c>
      <c r="C303" s="166" t="s">
        <v>162</v>
      </c>
      <c r="D303" s="166" t="s">
        <v>3754</v>
      </c>
      <c r="E303" s="166" t="s">
        <v>13</v>
      </c>
      <c r="F303" s="166" t="s">
        <v>648</v>
      </c>
      <c r="G303" s="166" t="s">
        <v>20</v>
      </c>
      <c r="H303" s="166" t="s">
        <v>73</v>
      </c>
      <c r="I303" s="181">
        <v>2015</v>
      </c>
      <c r="J303" s="181" t="s">
        <v>643</v>
      </c>
      <c r="K303" s="181" t="s">
        <v>644</v>
      </c>
      <c r="L303" s="181" t="s">
        <v>19</v>
      </c>
      <c r="M303" s="556" t="s">
        <v>4147</v>
      </c>
      <c r="N303" s="214" t="s">
        <v>20</v>
      </c>
      <c r="O303" s="214" t="s">
        <v>15</v>
      </c>
      <c r="P303" s="214" t="s">
        <v>15</v>
      </c>
      <c r="Q303" s="214" t="s">
        <v>15</v>
      </c>
      <c r="R303" s="214" t="s">
        <v>15</v>
      </c>
      <c r="S303" s="214" t="s">
        <v>15</v>
      </c>
      <c r="T303" s="214" t="s">
        <v>15</v>
      </c>
      <c r="U303" s="214" t="s">
        <v>15</v>
      </c>
      <c r="V303" s="214" t="s">
        <v>15</v>
      </c>
      <c r="W303" s="214" t="s">
        <v>15</v>
      </c>
      <c r="X303" s="214" t="s">
        <v>15</v>
      </c>
      <c r="Y303" s="214" t="s">
        <v>20</v>
      </c>
      <c r="Z303" s="234"/>
      <c r="AA303" s="214" t="s">
        <v>645</v>
      </c>
      <c r="AB303" s="214" t="s">
        <v>20</v>
      </c>
      <c r="AC303" s="214" t="s">
        <v>15</v>
      </c>
      <c r="AD303" s="320" t="s">
        <v>649</v>
      </c>
      <c r="AE303" s="320"/>
      <c r="AF303" s="162" t="str">
        <f t="shared" si="16"/>
        <v/>
      </c>
      <c r="AG303" s="162" t="str">
        <f t="shared" si="17"/>
        <v/>
      </c>
      <c r="AH303" s="164">
        <f t="shared" si="18"/>
        <v>0.22500000000000001</v>
      </c>
      <c r="AI303" s="164" t="str">
        <f t="shared" si="19"/>
        <v/>
      </c>
      <c r="AJ303" s="368"/>
      <c r="AK303" s="368"/>
      <c r="AL303" s="368"/>
      <c r="AM303" s="368"/>
      <c r="AN303" s="368"/>
      <c r="AO303" s="368"/>
      <c r="AP303" s="368"/>
      <c r="AQ303" s="368"/>
      <c r="AR303" s="368"/>
      <c r="AS303" s="195"/>
      <c r="AT303" s="195"/>
      <c r="AU303" s="377"/>
      <c r="AV303" s="382"/>
      <c r="AW303" s="359"/>
      <c r="AX303" s="426"/>
      <c r="AY303" s="359"/>
      <c r="AZ303" s="426"/>
      <c r="BA303" s="359"/>
      <c r="BB303" s="426"/>
      <c r="BC303" s="426"/>
      <c r="BD303" s="426"/>
      <c r="BE303" s="426"/>
      <c r="BF303" s="468">
        <v>0.22500000000000001</v>
      </c>
      <c r="BG303" s="469"/>
      <c r="BH303" s="341"/>
      <c r="BI303" s="446" t="s">
        <v>647</v>
      </c>
      <c r="BJ303" s="505"/>
    </row>
    <row r="304" spans="1:62" ht="15.75" customHeight="1" thickBot="1" x14ac:dyDescent="0.25">
      <c r="A304" s="174">
        <v>303</v>
      </c>
      <c r="B304" s="175">
        <v>1</v>
      </c>
      <c r="C304" s="166" t="s">
        <v>162</v>
      </c>
      <c r="D304" s="159" t="s">
        <v>2057</v>
      </c>
      <c r="E304" s="166" t="s">
        <v>13</v>
      </c>
      <c r="F304" s="166" t="s">
        <v>650</v>
      </c>
      <c r="G304" s="166" t="s">
        <v>20</v>
      </c>
      <c r="H304" s="166" t="s">
        <v>87</v>
      </c>
      <c r="I304" s="181">
        <v>2015</v>
      </c>
      <c r="J304" s="181" t="s">
        <v>643</v>
      </c>
      <c r="K304" s="181" t="s">
        <v>644</v>
      </c>
      <c r="L304" s="181" t="s">
        <v>19</v>
      </c>
      <c r="M304" s="556" t="s">
        <v>4147</v>
      </c>
      <c r="N304" s="214" t="s">
        <v>20</v>
      </c>
      <c r="O304" s="214" t="s">
        <v>15</v>
      </c>
      <c r="P304" s="214" t="s">
        <v>15</v>
      </c>
      <c r="Q304" s="214" t="s">
        <v>15</v>
      </c>
      <c r="R304" s="214" t="s">
        <v>15</v>
      </c>
      <c r="S304" s="214" t="s">
        <v>15</v>
      </c>
      <c r="T304" s="214" t="s">
        <v>15</v>
      </c>
      <c r="U304" s="214" t="s">
        <v>15</v>
      </c>
      <c r="V304" s="214" t="s">
        <v>15</v>
      </c>
      <c r="W304" s="214" t="s">
        <v>15</v>
      </c>
      <c r="X304" s="214" t="s">
        <v>15</v>
      </c>
      <c r="Y304" s="214" t="s">
        <v>20</v>
      </c>
      <c r="Z304" s="234"/>
      <c r="AA304" s="214" t="s">
        <v>645</v>
      </c>
      <c r="AB304" s="214" t="s">
        <v>20</v>
      </c>
      <c r="AC304" s="214" t="s">
        <v>15</v>
      </c>
      <c r="AD304" s="320" t="s">
        <v>649</v>
      </c>
      <c r="AE304" s="320"/>
      <c r="AF304" s="162" t="str">
        <f t="shared" si="16"/>
        <v/>
      </c>
      <c r="AG304" s="162" t="str">
        <f t="shared" si="17"/>
        <v/>
      </c>
      <c r="AH304" s="164">
        <f t="shared" si="18"/>
        <v>0.24299999999999999</v>
      </c>
      <c r="AI304" s="164" t="str">
        <f t="shared" si="19"/>
        <v/>
      </c>
      <c r="AJ304" s="368"/>
      <c r="AK304" s="368"/>
      <c r="AL304" s="368"/>
      <c r="AM304" s="368"/>
      <c r="AN304" s="368"/>
      <c r="AO304" s="368"/>
      <c r="AP304" s="368"/>
      <c r="AQ304" s="368"/>
      <c r="AR304" s="368"/>
      <c r="AS304" s="195"/>
      <c r="AT304" s="195"/>
      <c r="AU304" s="377"/>
      <c r="AV304" s="382"/>
      <c r="AW304" s="359"/>
      <c r="AX304" s="426"/>
      <c r="AY304" s="359"/>
      <c r="AZ304" s="426"/>
      <c r="BA304" s="359"/>
      <c r="BB304" s="426"/>
      <c r="BC304" s="426"/>
      <c r="BD304" s="426"/>
      <c r="BE304" s="426"/>
      <c r="BF304" s="468">
        <v>0.24299999999999999</v>
      </c>
      <c r="BG304" s="469"/>
      <c r="BH304" s="341"/>
      <c r="BI304" s="446" t="s">
        <v>647</v>
      </c>
      <c r="BJ304" s="505"/>
    </row>
    <row r="305" spans="1:62" ht="15.75" customHeight="1" thickBot="1" x14ac:dyDescent="0.25">
      <c r="A305" s="176">
        <v>304</v>
      </c>
      <c r="B305" s="175">
        <v>1</v>
      </c>
      <c r="C305" s="166" t="s">
        <v>162</v>
      </c>
      <c r="D305" s="166" t="s">
        <v>3754</v>
      </c>
      <c r="E305" s="166" t="s">
        <v>13</v>
      </c>
      <c r="F305" s="166" t="s">
        <v>648</v>
      </c>
      <c r="G305" s="166" t="s">
        <v>20</v>
      </c>
      <c r="H305" s="166" t="s">
        <v>87</v>
      </c>
      <c r="I305" s="181">
        <v>2015</v>
      </c>
      <c r="J305" s="181" t="s">
        <v>643</v>
      </c>
      <c r="K305" s="181" t="s">
        <v>644</v>
      </c>
      <c r="L305" s="181" t="s">
        <v>19</v>
      </c>
      <c r="M305" s="556" t="s">
        <v>4147</v>
      </c>
      <c r="N305" s="214" t="s">
        <v>20</v>
      </c>
      <c r="O305" s="214" t="s">
        <v>15</v>
      </c>
      <c r="P305" s="214" t="s">
        <v>15</v>
      </c>
      <c r="Q305" s="214" t="s">
        <v>15</v>
      </c>
      <c r="R305" s="214" t="s">
        <v>15</v>
      </c>
      <c r="S305" s="214" t="s">
        <v>15</v>
      </c>
      <c r="T305" s="214" t="s">
        <v>15</v>
      </c>
      <c r="U305" s="214" t="s">
        <v>15</v>
      </c>
      <c r="V305" s="214" t="s">
        <v>15</v>
      </c>
      <c r="W305" s="214" t="s">
        <v>15</v>
      </c>
      <c r="X305" s="214" t="s">
        <v>15</v>
      </c>
      <c r="Y305" s="214" t="s">
        <v>20</v>
      </c>
      <c r="Z305" s="234"/>
      <c r="AA305" s="214" t="s">
        <v>645</v>
      </c>
      <c r="AB305" s="214" t="s">
        <v>20</v>
      </c>
      <c r="AC305" s="214" t="s">
        <v>15</v>
      </c>
      <c r="AD305" s="320" t="s">
        <v>649</v>
      </c>
      <c r="AE305" s="320"/>
      <c r="AF305" s="162" t="str">
        <f t="shared" si="16"/>
        <v/>
      </c>
      <c r="AG305" s="162" t="str">
        <f t="shared" si="17"/>
        <v/>
      </c>
      <c r="AH305" s="164">
        <f t="shared" si="18"/>
        <v>0.20499999999999999</v>
      </c>
      <c r="AI305" s="164" t="str">
        <f t="shared" si="19"/>
        <v/>
      </c>
      <c r="AJ305" s="368"/>
      <c r="AK305" s="368"/>
      <c r="AL305" s="368"/>
      <c r="AM305" s="368"/>
      <c r="AN305" s="368"/>
      <c r="AO305" s="368"/>
      <c r="AP305" s="368"/>
      <c r="AQ305" s="368"/>
      <c r="AR305" s="368"/>
      <c r="AS305" s="195"/>
      <c r="AT305" s="195"/>
      <c r="AU305" s="377"/>
      <c r="AV305" s="382"/>
      <c r="AW305" s="359"/>
      <c r="AX305" s="426"/>
      <c r="AY305" s="359"/>
      <c r="AZ305" s="426"/>
      <c r="BA305" s="359"/>
      <c r="BB305" s="426"/>
      <c r="BC305" s="426"/>
      <c r="BD305" s="426"/>
      <c r="BE305" s="426"/>
      <c r="BF305" s="468">
        <v>0.20499999999999999</v>
      </c>
      <c r="BG305" s="469"/>
      <c r="BH305" s="341"/>
      <c r="BI305" s="446" t="s">
        <v>647</v>
      </c>
      <c r="BJ305" s="505"/>
    </row>
    <row r="306" spans="1:62" ht="15.75" customHeight="1" thickBot="1" x14ac:dyDescent="0.25">
      <c r="A306" s="174">
        <v>305</v>
      </c>
      <c r="B306" s="175">
        <v>1</v>
      </c>
      <c r="C306" s="166" t="s">
        <v>162</v>
      </c>
      <c r="D306" s="159" t="s">
        <v>2057</v>
      </c>
      <c r="E306" s="166" t="s">
        <v>13</v>
      </c>
      <c r="F306" s="166" t="s">
        <v>651</v>
      </c>
      <c r="G306" s="166" t="s">
        <v>122</v>
      </c>
      <c r="H306" s="166" t="s">
        <v>73</v>
      </c>
      <c r="I306" s="181">
        <v>2013</v>
      </c>
      <c r="J306" s="181" t="s">
        <v>652</v>
      </c>
      <c r="K306" s="181" t="s">
        <v>653</v>
      </c>
      <c r="L306" s="181" t="s">
        <v>19</v>
      </c>
      <c r="M306" s="556" t="s">
        <v>4148</v>
      </c>
      <c r="N306" s="214" t="s">
        <v>20</v>
      </c>
      <c r="O306" s="214" t="s">
        <v>15</v>
      </c>
      <c r="P306" s="214" t="s">
        <v>15</v>
      </c>
      <c r="Q306" s="214" t="s">
        <v>15</v>
      </c>
      <c r="R306" s="214" t="s">
        <v>15</v>
      </c>
      <c r="S306" s="214" t="s">
        <v>15</v>
      </c>
      <c r="T306" s="214" t="s">
        <v>15</v>
      </c>
      <c r="U306" s="214" t="s">
        <v>15</v>
      </c>
      <c r="V306" s="214" t="s">
        <v>15</v>
      </c>
      <c r="W306" s="214" t="s">
        <v>15</v>
      </c>
      <c r="X306" s="214" t="s">
        <v>15</v>
      </c>
      <c r="Y306" s="214" t="s">
        <v>15</v>
      </c>
      <c r="Z306" s="234"/>
      <c r="AA306" s="214" t="s">
        <v>654</v>
      </c>
      <c r="AB306" s="214" t="s">
        <v>20</v>
      </c>
      <c r="AC306" s="214" t="s">
        <v>15</v>
      </c>
      <c r="AD306" s="320" t="s">
        <v>655</v>
      </c>
      <c r="AE306" s="320" t="s">
        <v>485</v>
      </c>
      <c r="AF306" s="162" t="str">
        <f t="shared" si="16"/>
        <v/>
      </c>
      <c r="AG306" s="162" t="str">
        <f t="shared" si="17"/>
        <v/>
      </c>
      <c r="AH306" s="164">
        <f t="shared" si="18"/>
        <v>2.5000000000000001E-2</v>
      </c>
      <c r="AI306" s="164" t="str">
        <f t="shared" si="19"/>
        <v/>
      </c>
      <c r="AJ306" s="368"/>
      <c r="AK306" s="368"/>
      <c r="AL306" s="368"/>
      <c r="AM306" s="368"/>
      <c r="AN306" s="368"/>
      <c r="AO306" s="368"/>
      <c r="AP306" s="368"/>
      <c r="AQ306" s="368"/>
      <c r="AR306" s="368"/>
      <c r="AS306" s="195"/>
      <c r="AT306" s="195"/>
      <c r="AU306" s="377"/>
      <c r="AV306" s="382"/>
      <c r="AW306" s="359"/>
      <c r="AX306" s="426"/>
      <c r="AY306" s="359"/>
      <c r="AZ306" s="426"/>
      <c r="BA306" s="359"/>
      <c r="BB306" s="426"/>
      <c r="BC306" s="426"/>
      <c r="BD306" s="426"/>
      <c r="BE306" s="426"/>
      <c r="BF306" s="468">
        <v>2.5000000000000001E-2</v>
      </c>
      <c r="BG306" s="469"/>
      <c r="BH306" s="341"/>
      <c r="BI306" s="447"/>
      <c r="BJ306" s="505"/>
    </row>
    <row r="307" spans="1:62" ht="15.75" customHeight="1" thickBot="1" x14ac:dyDescent="0.25">
      <c r="A307" s="176">
        <v>306</v>
      </c>
      <c r="B307" s="175">
        <v>1</v>
      </c>
      <c r="C307" s="166" t="s">
        <v>162</v>
      </c>
      <c r="D307" s="159" t="s">
        <v>2057</v>
      </c>
      <c r="E307" s="166" t="s">
        <v>13</v>
      </c>
      <c r="F307" s="166" t="s">
        <v>656</v>
      </c>
      <c r="G307" s="166" t="s">
        <v>122</v>
      </c>
      <c r="H307" s="166" t="s">
        <v>73</v>
      </c>
      <c r="I307" s="181">
        <v>2013</v>
      </c>
      <c r="J307" s="181" t="s">
        <v>652</v>
      </c>
      <c r="K307" s="181" t="s">
        <v>653</v>
      </c>
      <c r="L307" s="181" t="s">
        <v>19</v>
      </c>
      <c r="M307" s="556" t="s">
        <v>4148</v>
      </c>
      <c r="N307" s="214" t="s">
        <v>20</v>
      </c>
      <c r="O307" s="214" t="s">
        <v>15</v>
      </c>
      <c r="P307" s="214" t="s">
        <v>15</v>
      </c>
      <c r="Q307" s="214" t="s">
        <v>15</v>
      </c>
      <c r="R307" s="214" t="s">
        <v>15</v>
      </c>
      <c r="S307" s="214" t="s">
        <v>15</v>
      </c>
      <c r="T307" s="214" t="s">
        <v>15</v>
      </c>
      <c r="U307" s="214" t="s">
        <v>15</v>
      </c>
      <c r="V307" s="214" t="s">
        <v>15</v>
      </c>
      <c r="W307" s="214" t="s">
        <v>15</v>
      </c>
      <c r="X307" s="214" t="s">
        <v>15</v>
      </c>
      <c r="Y307" s="214" t="s">
        <v>15</v>
      </c>
      <c r="Z307" s="234"/>
      <c r="AA307" s="214" t="s">
        <v>654</v>
      </c>
      <c r="AB307" s="214" t="s">
        <v>20</v>
      </c>
      <c r="AC307" s="214" t="s">
        <v>15</v>
      </c>
      <c r="AD307" s="320" t="s">
        <v>655</v>
      </c>
      <c r="AE307" s="320"/>
      <c r="AF307" s="162" t="str">
        <f t="shared" si="16"/>
        <v/>
      </c>
      <c r="AG307" s="162" t="str">
        <f t="shared" si="17"/>
        <v/>
      </c>
      <c r="AH307" s="164">
        <f t="shared" si="18"/>
        <v>3.6700000000000003E-2</v>
      </c>
      <c r="AI307" s="164" t="str">
        <f t="shared" si="19"/>
        <v/>
      </c>
      <c r="AJ307" s="368"/>
      <c r="AK307" s="368"/>
      <c r="AL307" s="368"/>
      <c r="AM307" s="368"/>
      <c r="AN307" s="368"/>
      <c r="AO307" s="368"/>
      <c r="AP307" s="368"/>
      <c r="AQ307" s="368"/>
      <c r="AR307" s="368"/>
      <c r="AS307" s="195"/>
      <c r="AT307" s="195"/>
      <c r="AU307" s="377"/>
      <c r="AV307" s="382"/>
      <c r="AW307" s="359"/>
      <c r="AX307" s="426"/>
      <c r="AY307" s="359"/>
      <c r="AZ307" s="426"/>
      <c r="BA307" s="359"/>
      <c r="BB307" s="426"/>
      <c r="BC307" s="426"/>
      <c r="BD307" s="426"/>
      <c r="BE307" s="426"/>
      <c r="BF307" s="468">
        <v>3.6700000000000003E-2</v>
      </c>
      <c r="BG307" s="469"/>
      <c r="BH307" s="341"/>
      <c r="BI307" s="447"/>
      <c r="BJ307" s="505"/>
    </row>
    <row r="308" spans="1:62" ht="15.75" customHeight="1" thickBot="1" x14ac:dyDescent="0.25">
      <c r="A308" s="174">
        <v>307</v>
      </c>
      <c r="B308" s="175">
        <v>1</v>
      </c>
      <c r="C308" s="166" t="s">
        <v>162</v>
      </c>
      <c r="D308" s="159" t="s">
        <v>2057</v>
      </c>
      <c r="E308" s="166" t="s">
        <v>13</v>
      </c>
      <c r="F308" s="166" t="s">
        <v>657</v>
      </c>
      <c r="G308" s="166" t="s">
        <v>122</v>
      </c>
      <c r="H308" s="166" t="s">
        <v>73</v>
      </c>
      <c r="I308" s="181">
        <v>2013</v>
      </c>
      <c r="J308" s="181" t="s">
        <v>652</v>
      </c>
      <c r="K308" s="181" t="s">
        <v>653</v>
      </c>
      <c r="L308" s="181" t="s">
        <v>19</v>
      </c>
      <c r="M308" s="556" t="s">
        <v>4148</v>
      </c>
      <c r="N308" s="214" t="s">
        <v>20</v>
      </c>
      <c r="O308" s="214" t="s">
        <v>15</v>
      </c>
      <c r="P308" s="214" t="s">
        <v>15</v>
      </c>
      <c r="Q308" s="214" t="s">
        <v>15</v>
      </c>
      <c r="R308" s="214" t="s">
        <v>15</v>
      </c>
      <c r="S308" s="214" t="s">
        <v>15</v>
      </c>
      <c r="T308" s="214" t="s">
        <v>15</v>
      </c>
      <c r="U308" s="214" t="s">
        <v>15</v>
      </c>
      <c r="V308" s="214" t="s">
        <v>15</v>
      </c>
      <c r="W308" s="214" t="s">
        <v>15</v>
      </c>
      <c r="X308" s="214" t="s">
        <v>15</v>
      </c>
      <c r="Y308" s="214" t="s">
        <v>15</v>
      </c>
      <c r="Z308" s="234"/>
      <c r="AA308" s="214" t="s">
        <v>654</v>
      </c>
      <c r="AB308" s="214" t="s">
        <v>20</v>
      </c>
      <c r="AC308" s="214" t="s">
        <v>15</v>
      </c>
      <c r="AD308" s="320" t="s">
        <v>655</v>
      </c>
      <c r="AE308" s="320"/>
      <c r="AF308" s="162" t="str">
        <f t="shared" si="16"/>
        <v/>
      </c>
      <c r="AG308" s="162" t="str">
        <f t="shared" si="17"/>
        <v/>
      </c>
      <c r="AH308" s="164">
        <f t="shared" si="18"/>
        <v>3.5799999999999998E-2</v>
      </c>
      <c r="AI308" s="164" t="str">
        <f t="shared" si="19"/>
        <v/>
      </c>
      <c r="AJ308" s="368"/>
      <c r="AK308" s="368"/>
      <c r="AL308" s="368"/>
      <c r="AM308" s="368"/>
      <c r="AN308" s="368"/>
      <c r="AO308" s="368"/>
      <c r="AP308" s="368"/>
      <c r="AQ308" s="368"/>
      <c r="AR308" s="368"/>
      <c r="AS308" s="195"/>
      <c r="AT308" s="195"/>
      <c r="AU308" s="377"/>
      <c r="AV308" s="382"/>
      <c r="AW308" s="359"/>
      <c r="AX308" s="426"/>
      <c r="AY308" s="359"/>
      <c r="AZ308" s="426"/>
      <c r="BA308" s="359"/>
      <c r="BB308" s="426"/>
      <c r="BC308" s="426"/>
      <c r="BD308" s="426"/>
      <c r="BE308" s="426"/>
      <c r="BF308" s="468">
        <v>3.5799999999999998E-2</v>
      </c>
      <c r="BG308" s="469"/>
      <c r="BH308" s="341"/>
      <c r="BI308" s="447"/>
      <c r="BJ308" s="505"/>
    </row>
    <row r="309" spans="1:62" ht="15.75" customHeight="1" thickBot="1" x14ac:dyDescent="0.25">
      <c r="A309" s="176">
        <v>308</v>
      </c>
      <c r="B309" s="175">
        <v>1</v>
      </c>
      <c r="C309" s="166" t="s">
        <v>162</v>
      </c>
      <c r="D309" s="166" t="s">
        <v>3754</v>
      </c>
      <c r="E309" s="166" t="s">
        <v>13</v>
      </c>
      <c r="F309" s="166" t="s">
        <v>658</v>
      </c>
      <c r="G309" s="166" t="s">
        <v>122</v>
      </c>
      <c r="H309" s="166" t="s">
        <v>73</v>
      </c>
      <c r="I309" s="181">
        <v>2013</v>
      </c>
      <c r="J309" s="181" t="s">
        <v>652</v>
      </c>
      <c r="K309" s="181" t="s">
        <v>653</v>
      </c>
      <c r="L309" s="181" t="s">
        <v>19</v>
      </c>
      <c r="M309" s="556" t="s">
        <v>4148</v>
      </c>
      <c r="N309" s="214" t="s">
        <v>20</v>
      </c>
      <c r="O309" s="214" t="s">
        <v>15</v>
      </c>
      <c r="P309" s="214" t="s">
        <v>15</v>
      </c>
      <c r="Q309" s="214" t="s">
        <v>15</v>
      </c>
      <c r="R309" s="214" t="s">
        <v>15</v>
      </c>
      <c r="S309" s="214" t="s">
        <v>15</v>
      </c>
      <c r="T309" s="214" t="s">
        <v>15</v>
      </c>
      <c r="U309" s="214" t="s">
        <v>15</v>
      </c>
      <c r="V309" s="214" t="s">
        <v>15</v>
      </c>
      <c r="W309" s="214" t="s">
        <v>15</v>
      </c>
      <c r="X309" s="214" t="s">
        <v>15</v>
      </c>
      <c r="Y309" s="214" t="s">
        <v>15</v>
      </c>
      <c r="Z309" s="234"/>
      <c r="AA309" s="214" t="s">
        <v>654</v>
      </c>
      <c r="AB309" s="214" t="s">
        <v>20</v>
      </c>
      <c r="AC309" s="214" t="s">
        <v>15</v>
      </c>
      <c r="AD309" s="320" t="s">
        <v>655</v>
      </c>
      <c r="AE309" s="320"/>
      <c r="AF309" s="162" t="str">
        <f t="shared" si="16"/>
        <v/>
      </c>
      <c r="AG309" s="162" t="str">
        <f t="shared" si="17"/>
        <v/>
      </c>
      <c r="AH309" s="164">
        <f t="shared" si="18"/>
        <v>0.20899999999999999</v>
      </c>
      <c r="AI309" s="164" t="str">
        <f t="shared" si="19"/>
        <v/>
      </c>
      <c r="AJ309" s="368"/>
      <c r="AK309" s="368"/>
      <c r="AL309" s="368"/>
      <c r="AM309" s="368"/>
      <c r="AN309" s="368"/>
      <c r="AO309" s="368"/>
      <c r="AP309" s="368"/>
      <c r="AQ309" s="368"/>
      <c r="AR309" s="368"/>
      <c r="AS309" s="195"/>
      <c r="AT309" s="195"/>
      <c r="AU309" s="377"/>
      <c r="AV309" s="382"/>
      <c r="AW309" s="359"/>
      <c r="AX309" s="426"/>
      <c r="AY309" s="359"/>
      <c r="AZ309" s="426"/>
      <c r="BA309" s="359"/>
      <c r="BB309" s="426"/>
      <c r="BC309" s="426"/>
      <c r="BD309" s="426"/>
      <c r="BE309" s="426"/>
      <c r="BF309" s="468">
        <v>0.20899999999999999</v>
      </c>
      <c r="BG309" s="469"/>
      <c r="BH309" s="341"/>
      <c r="BI309" s="447"/>
      <c r="BJ309" s="505"/>
    </row>
    <row r="310" spans="1:62" ht="15.75" customHeight="1" thickBot="1" x14ac:dyDescent="0.25">
      <c r="A310" s="174">
        <v>309</v>
      </c>
      <c r="B310" s="175">
        <v>1</v>
      </c>
      <c r="C310" s="166" t="s">
        <v>162</v>
      </c>
      <c r="D310" s="166" t="s">
        <v>659</v>
      </c>
      <c r="E310" s="166" t="s">
        <v>13</v>
      </c>
      <c r="F310" s="166" t="s">
        <v>651</v>
      </c>
      <c r="G310" s="166" t="s">
        <v>122</v>
      </c>
      <c r="H310" s="166" t="s">
        <v>73</v>
      </c>
      <c r="I310" s="181">
        <v>2013</v>
      </c>
      <c r="J310" s="181" t="s">
        <v>652</v>
      </c>
      <c r="K310" s="181" t="s">
        <v>653</v>
      </c>
      <c r="L310" s="181" t="s">
        <v>19</v>
      </c>
      <c r="M310" s="556" t="s">
        <v>4148</v>
      </c>
      <c r="N310" s="214" t="s">
        <v>20</v>
      </c>
      <c r="O310" s="214" t="s">
        <v>15</v>
      </c>
      <c r="P310" s="214" t="s">
        <v>15</v>
      </c>
      <c r="Q310" s="214" t="s">
        <v>15</v>
      </c>
      <c r="R310" s="214" t="s">
        <v>15</v>
      </c>
      <c r="S310" s="214" t="s">
        <v>15</v>
      </c>
      <c r="T310" s="214" t="s">
        <v>15</v>
      </c>
      <c r="U310" s="214" t="s">
        <v>15</v>
      </c>
      <c r="V310" s="214" t="s">
        <v>15</v>
      </c>
      <c r="W310" s="214" t="s">
        <v>15</v>
      </c>
      <c r="X310" s="214" t="s">
        <v>15</v>
      </c>
      <c r="Y310" s="214" t="s">
        <v>15</v>
      </c>
      <c r="Z310" s="234"/>
      <c r="AA310" s="214" t="s">
        <v>654</v>
      </c>
      <c r="AB310" s="214" t="s">
        <v>20</v>
      </c>
      <c r="AC310" s="214" t="s">
        <v>15</v>
      </c>
      <c r="AD310" s="320" t="s">
        <v>660</v>
      </c>
      <c r="AE310" s="320"/>
      <c r="AF310" s="162">
        <f t="shared" si="16"/>
        <v>0.74</v>
      </c>
      <c r="AG310" s="162" t="str">
        <f t="shared" si="17"/>
        <v/>
      </c>
      <c r="AH310" s="164">
        <f t="shared" si="18"/>
        <v>5.7299999999999997E-2</v>
      </c>
      <c r="AI310" s="164" t="str">
        <f t="shared" si="19"/>
        <v/>
      </c>
      <c r="AJ310" s="368"/>
      <c r="AK310" s="368"/>
      <c r="AL310" s="368"/>
      <c r="AM310" s="368"/>
      <c r="AN310" s="368"/>
      <c r="AO310" s="368"/>
      <c r="AP310" s="368"/>
      <c r="AQ310" s="368"/>
      <c r="AR310" s="368"/>
      <c r="AS310" s="524">
        <v>0.74</v>
      </c>
      <c r="AT310" s="195"/>
      <c r="AU310" s="377"/>
      <c r="AV310" s="382"/>
      <c r="AW310" s="359"/>
      <c r="AX310" s="426"/>
      <c r="AY310" s="359"/>
      <c r="AZ310" s="426"/>
      <c r="BA310" s="359"/>
      <c r="BB310" s="426"/>
      <c r="BC310" s="426"/>
      <c r="BD310" s="426"/>
      <c r="BE310" s="426"/>
      <c r="BF310" s="468">
        <v>5.7299999999999997E-2</v>
      </c>
      <c r="BG310" s="469"/>
      <c r="BH310" s="341"/>
      <c r="BI310" s="447"/>
      <c r="BJ310" s="505"/>
    </row>
    <row r="311" spans="1:62" ht="15.75" customHeight="1" thickBot="1" x14ac:dyDescent="0.25">
      <c r="A311" s="176">
        <v>310</v>
      </c>
      <c r="B311" s="175">
        <v>1</v>
      </c>
      <c r="C311" s="166" t="s">
        <v>162</v>
      </c>
      <c r="D311" s="166" t="s">
        <v>659</v>
      </c>
      <c r="E311" s="166" t="s">
        <v>13</v>
      </c>
      <c r="F311" s="166" t="s">
        <v>656</v>
      </c>
      <c r="G311" s="166" t="s">
        <v>122</v>
      </c>
      <c r="H311" s="166" t="s">
        <v>73</v>
      </c>
      <c r="I311" s="181">
        <v>2013</v>
      </c>
      <c r="J311" s="181" t="s">
        <v>652</v>
      </c>
      <c r="K311" s="181" t="s">
        <v>653</v>
      </c>
      <c r="L311" s="181" t="s">
        <v>19</v>
      </c>
      <c r="M311" s="556" t="s">
        <v>4148</v>
      </c>
      <c r="N311" s="214" t="s">
        <v>20</v>
      </c>
      <c r="O311" s="214" t="s">
        <v>15</v>
      </c>
      <c r="P311" s="214" t="s">
        <v>15</v>
      </c>
      <c r="Q311" s="214" t="s">
        <v>15</v>
      </c>
      <c r="R311" s="214" t="s">
        <v>15</v>
      </c>
      <c r="S311" s="214" t="s">
        <v>15</v>
      </c>
      <c r="T311" s="214" t="s">
        <v>15</v>
      </c>
      <c r="U311" s="214" t="s">
        <v>15</v>
      </c>
      <c r="V311" s="214" t="s">
        <v>15</v>
      </c>
      <c r="W311" s="214" t="s">
        <v>15</v>
      </c>
      <c r="X311" s="214" t="s">
        <v>15</v>
      </c>
      <c r="Y311" s="214" t="s">
        <v>15</v>
      </c>
      <c r="Z311" s="234"/>
      <c r="AA311" s="214" t="s">
        <v>654</v>
      </c>
      <c r="AB311" s="214" t="s">
        <v>20</v>
      </c>
      <c r="AC311" s="214" t="s">
        <v>15</v>
      </c>
      <c r="AD311" s="320" t="s">
        <v>660</v>
      </c>
      <c r="AE311" s="320"/>
      <c r="AF311" s="162">
        <f t="shared" si="16"/>
        <v>1.29</v>
      </c>
      <c r="AG311" s="162" t="str">
        <f t="shared" si="17"/>
        <v/>
      </c>
      <c r="AH311" s="164">
        <f t="shared" si="18"/>
        <v>5.8299999999999998E-2</v>
      </c>
      <c r="AI311" s="164" t="str">
        <f t="shared" si="19"/>
        <v/>
      </c>
      <c r="AJ311" s="368"/>
      <c r="AK311" s="368"/>
      <c r="AL311" s="368"/>
      <c r="AM311" s="368"/>
      <c r="AN311" s="368"/>
      <c r="AO311" s="368"/>
      <c r="AP311" s="368"/>
      <c r="AQ311" s="368"/>
      <c r="AR311" s="368"/>
      <c r="AS311" s="524">
        <v>1.29</v>
      </c>
      <c r="AT311" s="195"/>
      <c r="AU311" s="377"/>
      <c r="AV311" s="382"/>
      <c r="AW311" s="359"/>
      <c r="AX311" s="426"/>
      <c r="AY311" s="359"/>
      <c r="AZ311" s="426"/>
      <c r="BA311" s="359"/>
      <c r="BB311" s="426"/>
      <c r="BC311" s="426"/>
      <c r="BD311" s="426"/>
      <c r="BE311" s="426"/>
      <c r="BF311" s="468">
        <v>5.8299999999999998E-2</v>
      </c>
      <c r="BG311" s="469"/>
      <c r="BH311" s="341"/>
      <c r="BI311" s="447"/>
      <c r="BJ311" s="505"/>
    </row>
    <row r="312" spans="1:62" ht="17" thickBot="1" x14ac:dyDescent="0.25">
      <c r="A312" s="174">
        <v>311</v>
      </c>
      <c r="B312" s="175">
        <v>1</v>
      </c>
      <c r="C312" s="166" t="s">
        <v>162</v>
      </c>
      <c r="D312" s="166" t="s">
        <v>659</v>
      </c>
      <c r="E312" s="166" t="s">
        <v>13</v>
      </c>
      <c r="F312" s="166" t="s">
        <v>657</v>
      </c>
      <c r="G312" s="166" t="s">
        <v>122</v>
      </c>
      <c r="H312" s="166" t="s">
        <v>73</v>
      </c>
      <c r="I312" s="181">
        <v>2013</v>
      </c>
      <c r="J312" s="181" t="s">
        <v>652</v>
      </c>
      <c r="K312" s="181" t="s">
        <v>653</v>
      </c>
      <c r="L312" s="181" t="s">
        <v>19</v>
      </c>
      <c r="M312" s="556" t="s">
        <v>4148</v>
      </c>
      <c r="N312" s="214" t="s">
        <v>20</v>
      </c>
      <c r="O312" s="214" t="s">
        <v>15</v>
      </c>
      <c r="P312" s="214" t="s">
        <v>15</v>
      </c>
      <c r="Q312" s="214" t="s">
        <v>15</v>
      </c>
      <c r="R312" s="214" t="s">
        <v>15</v>
      </c>
      <c r="S312" s="214" t="s">
        <v>15</v>
      </c>
      <c r="T312" s="214" t="s">
        <v>15</v>
      </c>
      <c r="U312" s="214" t="s">
        <v>15</v>
      </c>
      <c r="V312" s="214" t="s">
        <v>15</v>
      </c>
      <c r="W312" s="214" t="s">
        <v>15</v>
      </c>
      <c r="X312" s="214" t="s">
        <v>15</v>
      </c>
      <c r="Y312" s="214" t="s">
        <v>15</v>
      </c>
      <c r="Z312" s="234"/>
      <c r="AA312" s="214" t="s">
        <v>654</v>
      </c>
      <c r="AB312" s="214" t="s">
        <v>20</v>
      </c>
      <c r="AC312" s="214" t="s">
        <v>15</v>
      </c>
      <c r="AD312" s="320" t="s">
        <v>660</v>
      </c>
      <c r="AE312" s="320"/>
      <c r="AF312" s="162">
        <f t="shared" si="16"/>
        <v>1.1499999999999999</v>
      </c>
      <c r="AG312" s="162" t="str">
        <f t="shared" si="17"/>
        <v/>
      </c>
      <c r="AH312" s="164">
        <f t="shared" si="18"/>
        <v>5.1400000000000001E-2</v>
      </c>
      <c r="AI312" s="164" t="str">
        <f t="shared" si="19"/>
        <v/>
      </c>
      <c r="AJ312" s="368"/>
      <c r="AK312" s="368"/>
      <c r="AL312" s="368"/>
      <c r="AM312" s="368"/>
      <c r="AN312" s="368"/>
      <c r="AO312" s="368"/>
      <c r="AP312" s="368"/>
      <c r="AQ312" s="368"/>
      <c r="AR312" s="368"/>
      <c r="AS312" s="524">
        <v>1.1499999999999999</v>
      </c>
      <c r="AT312" s="195"/>
      <c r="AU312" s="377"/>
      <c r="AV312" s="382"/>
      <c r="AW312" s="359"/>
      <c r="AX312" s="426"/>
      <c r="AY312" s="359"/>
      <c r="AZ312" s="426"/>
      <c r="BA312" s="359"/>
      <c r="BB312" s="426"/>
      <c r="BC312" s="426"/>
      <c r="BD312" s="426"/>
      <c r="BE312" s="426"/>
      <c r="BF312" s="468">
        <v>5.1400000000000001E-2</v>
      </c>
      <c r="BG312" s="469"/>
      <c r="BH312" s="341"/>
      <c r="BI312" s="447"/>
      <c r="BJ312" s="505"/>
    </row>
    <row r="313" spans="1:62" ht="15.75" customHeight="1" thickBot="1" x14ac:dyDescent="0.25">
      <c r="A313" s="176">
        <v>312</v>
      </c>
      <c r="B313" s="175">
        <v>1</v>
      </c>
      <c r="C313" s="166" t="s">
        <v>162</v>
      </c>
      <c r="D313" s="166" t="s">
        <v>4057</v>
      </c>
      <c r="E313" s="166" t="s">
        <v>13</v>
      </c>
      <c r="F313" s="166" t="s">
        <v>661</v>
      </c>
      <c r="G313" s="166" t="s">
        <v>122</v>
      </c>
      <c r="H313" s="166" t="s">
        <v>73</v>
      </c>
      <c r="I313" s="181">
        <v>2013</v>
      </c>
      <c r="J313" s="181" t="s">
        <v>652</v>
      </c>
      <c r="K313" s="181" t="s">
        <v>653</v>
      </c>
      <c r="L313" s="181" t="s">
        <v>19</v>
      </c>
      <c r="M313" s="556" t="s">
        <v>4148</v>
      </c>
      <c r="N313" s="214" t="s">
        <v>20</v>
      </c>
      <c r="O313" s="214" t="s">
        <v>15</v>
      </c>
      <c r="P313" s="214" t="s">
        <v>15</v>
      </c>
      <c r="Q313" s="214" t="s">
        <v>15</v>
      </c>
      <c r="R313" s="214" t="s">
        <v>15</v>
      </c>
      <c r="S313" s="214" t="s">
        <v>15</v>
      </c>
      <c r="T313" s="214" t="s">
        <v>15</v>
      </c>
      <c r="U313" s="214" t="s">
        <v>15</v>
      </c>
      <c r="V313" s="214" t="s">
        <v>15</v>
      </c>
      <c r="W313" s="214" t="s">
        <v>15</v>
      </c>
      <c r="X313" s="214" t="s">
        <v>15</v>
      </c>
      <c r="Y313" s="214" t="s">
        <v>15</v>
      </c>
      <c r="Z313" s="234"/>
      <c r="AA313" s="214" t="s">
        <v>654</v>
      </c>
      <c r="AB313" s="214" t="s">
        <v>20</v>
      </c>
      <c r="AC313" s="214" t="s">
        <v>15</v>
      </c>
      <c r="AD313" s="320" t="s">
        <v>660</v>
      </c>
      <c r="AE313" s="320"/>
      <c r="AF313" s="162">
        <f t="shared" si="16"/>
        <v>5.22</v>
      </c>
      <c r="AG313" s="162" t="str">
        <f t="shared" si="17"/>
        <v/>
      </c>
      <c r="AH313" s="164">
        <f t="shared" si="18"/>
        <v>0.30299999999999999</v>
      </c>
      <c r="AI313" s="164" t="str">
        <f t="shared" si="19"/>
        <v/>
      </c>
      <c r="AJ313" s="368"/>
      <c r="AK313" s="368"/>
      <c r="AL313" s="368"/>
      <c r="AM313" s="368"/>
      <c r="AN313" s="368"/>
      <c r="AO313" s="368"/>
      <c r="AP313" s="368"/>
      <c r="AQ313" s="368"/>
      <c r="AR313" s="368"/>
      <c r="AS313" s="524">
        <v>5.22</v>
      </c>
      <c r="AT313" s="195"/>
      <c r="AU313" s="377"/>
      <c r="AV313" s="382"/>
      <c r="AW313" s="359"/>
      <c r="AX313" s="426"/>
      <c r="AY313" s="359"/>
      <c r="AZ313" s="426"/>
      <c r="BA313" s="359"/>
      <c r="BB313" s="426"/>
      <c r="BC313" s="426"/>
      <c r="BD313" s="426"/>
      <c r="BE313" s="426"/>
      <c r="BF313" s="468">
        <v>0.30299999999999999</v>
      </c>
      <c r="BG313" s="469"/>
      <c r="BH313" s="341"/>
      <c r="BI313" s="447"/>
      <c r="BJ313" s="505"/>
    </row>
    <row r="314" spans="1:62" ht="15.75" customHeight="1" thickBot="1" x14ac:dyDescent="0.25">
      <c r="A314" s="174">
        <v>313</v>
      </c>
      <c r="B314" s="175">
        <v>1</v>
      </c>
      <c r="C314" s="166" t="s">
        <v>162</v>
      </c>
      <c r="D314" s="166" t="s">
        <v>3297</v>
      </c>
      <c r="E314" s="166" t="s">
        <v>13</v>
      </c>
      <c r="F314" s="166" t="s">
        <v>662</v>
      </c>
      <c r="G314" s="166" t="s">
        <v>15</v>
      </c>
      <c r="H314" s="166" t="s">
        <v>55</v>
      </c>
      <c r="I314" s="181">
        <v>2012</v>
      </c>
      <c r="J314" s="181" t="s">
        <v>663</v>
      </c>
      <c r="K314" s="181" t="s">
        <v>664</v>
      </c>
      <c r="L314" s="181" t="s">
        <v>19</v>
      </c>
      <c r="M314" s="556" t="s">
        <v>4149</v>
      </c>
      <c r="N314" s="214" t="s">
        <v>20</v>
      </c>
      <c r="O314" s="214" t="s">
        <v>15</v>
      </c>
      <c r="P314" s="214" t="s">
        <v>20</v>
      </c>
      <c r="Q314" s="214" t="s">
        <v>15</v>
      </c>
      <c r="R314" s="214" t="s">
        <v>20</v>
      </c>
      <c r="S314" s="214" t="s">
        <v>20</v>
      </c>
      <c r="T314" s="214" t="s">
        <v>15</v>
      </c>
      <c r="U314" s="214" t="s">
        <v>15</v>
      </c>
      <c r="V314" s="214" t="s">
        <v>15</v>
      </c>
      <c r="W314" s="214" t="s">
        <v>15</v>
      </c>
      <c r="X314" s="214" t="s">
        <v>15</v>
      </c>
      <c r="Y314" s="214" t="s">
        <v>20</v>
      </c>
      <c r="Z314" s="234"/>
      <c r="AA314" s="214" t="s">
        <v>665</v>
      </c>
      <c r="AB314" s="214" t="s">
        <v>15</v>
      </c>
      <c r="AC314" s="214" t="s">
        <v>20</v>
      </c>
      <c r="AD314" s="320" t="s">
        <v>2851</v>
      </c>
      <c r="AE314" s="320" t="s">
        <v>667</v>
      </c>
      <c r="AF314" s="162" t="str">
        <f t="shared" si="16"/>
        <v/>
      </c>
      <c r="AG314" s="162" t="str">
        <f t="shared" si="17"/>
        <v/>
      </c>
      <c r="AH314" s="164">
        <f t="shared" si="18"/>
        <v>2.2971014492753623</v>
      </c>
      <c r="AI314" s="164">
        <f t="shared" si="19"/>
        <v>2.4130434782608692</v>
      </c>
      <c r="AJ314" s="370"/>
      <c r="AK314" s="370"/>
      <c r="AL314" s="370"/>
      <c r="AM314" s="370"/>
      <c r="AN314" s="370"/>
      <c r="AO314" s="370"/>
      <c r="AP314" s="370"/>
      <c r="AQ314" s="370"/>
      <c r="AR314" s="370"/>
      <c r="AS314" s="195"/>
      <c r="AT314" s="195"/>
      <c r="AU314" s="377"/>
      <c r="AV314" s="382"/>
      <c r="AW314" s="427">
        <f>(5.18-0.19-1.83)/1.38</f>
        <v>2.2898550724637676</v>
      </c>
      <c r="AX314" s="427">
        <f>0.17/1.38</f>
        <v>0.12318840579710147</v>
      </c>
      <c r="AY314" s="427"/>
      <c r="AZ314" s="426">
        <f>(1.83/2)/1.38</f>
        <v>0.66304347826086962</v>
      </c>
      <c r="BA314" s="426">
        <f>(1.83/2)/1.38</f>
        <v>0.66304347826086962</v>
      </c>
      <c r="BB314" s="427"/>
      <c r="BC314" s="427"/>
      <c r="BD314" s="427"/>
      <c r="BE314" s="427"/>
      <c r="BF314" s="469">
        <v>2.2971014492753623</v>
      </c>
      <c r="BG314" s="469">
        <v>3.760869565217392</v>
      </c>
      <c r="BH314" s="341"/>
      <c r="BI314" s="447"/>
      <c r="BJ314" s="505"/>
    </row>
    <row r="315" spans="1:62" ht="15.75" customHeight="1" thickBot="1" x14ac:dyDescent="0.25">
      <c r="A315" s="176">
        <v>314</v>
      </c>
      <c r="B315" s="175">
        <v>1</v>
      </c>
      <c r="C315" s="166" t="s">
        <v>162</v>
      </c>
      <c r="D315" s="166" t="s">
        <v>736</v>
      </c>
      <c r="E315" s="166" t="s">
        <v>13</v>
      </c>
      <c r="F315" s="166" t="s">
        <v>668</v>
      </c>
      <c r="G315" s="166" t="s">
        <v>15</v>
      </c>
      <c r="H315" s="166" t="s">
        <v>55</v>
      </c>
      <c r="I315" s="181">
        <v>2012</v>
      </c>
      <c r="J315" s="181" t="s">
        <v>663</v>
      </c>
      <c r="K315" s="181" t="s">
        <v>664</v>
      </c>
      <c r="L315" s="181" t="s">
        <v>19</v>
      </c>
      <c r="M315" s="556" t="s">
        <v>4149</v>
      </c>
      <c r="N315" s="214" t="s">
        <v>20</v>
      </c>
      <c r="O315" s="214" t="s">
        <v>15</v>
      </c>
      <c r="P315" s="214" t="s">
        <v>20</v>
      </c>
      <c r="Q315" s="214" t="s">
        <v>15</v>
      </c>
      <c r="R315" s="214" t="s">
        <v>20</v>
      </c>
      <c r="S315" s="214" t="s">
        <v>20</v>
      </c>
      <c r="T315" s="214" t="s">
        <v>15</v>
      </c>
      <c r="U315" s="214" t="s">
        <v>15</v>
      </c>
      <c r="V315" s="214" t="s">
        <v>15</v>
      </c>
      <c r="W315" s="214" t="s">
        <v>15</v>
      </c>
      <c r="X315" s="214" t="s">
        <v>15</v>
      </c>
      <c r="Y315" s="214" t="s">
        <v>20</v>
      </c>
      <c r="Z315" s="234"/>
      <c r="AA315" s="214" t="s">
        <v>665</v>
      </c>
      <c r="AB315" s="214" t="s">
        <v>15</v>
      </c>
      <c r="AC315" s="214" t="s">
        <v>20</v>
      </c>
      <c r="AD315" s="320" t="s">
        <v>666</v>
      </c>
      <c r="AE315" s="320" t="s">
        <v>669</v>
      </c>
      <c r="AF315" s="162" t="str">
        <f t="shared" si="16"/>
        <v/>
      </c>
      <c r="AG315" s="162" t="str">
        <f t="shared" si="17"/>
        <v/>
      </c>
      <c r="AH315" s="164">
        <f t="shared" si="18"/>
        <v>2.1467889908256876</v>
      </c>
      <c r="AI315" s="164">
        <f t="shared" si="19"/>
        <v>2.2935779816513762</v>
      </c>
      <c r="AJ315" s="368"/>
      <c r="AK315" s="368"/>
      <c r="AL315" s="368"/>
      <c r="AM315" s="368"/>
      <c r="AN315" s="368"/>
      <c r="AO315" s="368"/>
      <c r="AP315" s="368"/>
      <c r="AQ315" s="368"/>
      <c r="AR315" s="368"/>
      <c r="AS315" s="195"/>
      <c r="AT315" s="195"/>
      <c r="AU315" s="377"/>
      <c r="AV315" s="382"/>
      <c r="AW315" s="359">
        <f>(3-0.17-0.5)/1.09</f>
        <v>2.1376146788990824</v>
      </c>
      <c r="AX315" s="359">
        <f>0.17/1.09</f>
        <v>0.15596330275229359</v>
      </c>
      <c r="AY315" s="359"/>
      <c r="AZ315" s="359">
        <f>(0.5/2)/1.09</f>
        <v>0.2293577981651376</v>
      </c>
      <c r="BA315" s="359">
        <f>(0.5/2)/1.09</f>
        <v>0.2293577981651376</v>
      </c>
      <c r="BB315" s="359"/>
      <c r="BC315" s="426"/>
      <c r="BD315" s="426"/>
      <c r="BE315" s="426"/>
      <c r="BF315" s="469">
        <v>2.1467889908256876</v>
      </c>
      <c r="BG315" s="469">
        <v>2.7614678899082565</v>
      </c>
      <c r="BH315" s="341"/>
      <c r="BI315" s="447"/>
      <c r="BJ315" s="505"/>
    </row>
    <row r="316" spans="1:62" ht="15.75" customHeight="1" thickBot="1" x14ac:dyDescent="0.25">
      <c r="A316" s="174">
        <v>315</v>
      </c>
      <c r="B316" s="175">
        <v>1</v>
      </c>
      <c r="C316" s="166" t="s">
        <v>236</v>
      </c>
      <c r="D316" s="166" t="s">
        <v>3294</v>
      </c>
      <c r="E316" s="166" t="s">
        <v>13</v>
      </c>
      <c r="F316" s="166" t="s">
        <v>671</v>
      </c>
      <c r="G316" s="166" t="s">
        <v>15</v>
      </c>
      <c r="H316" s="166" t="s">
        <v>55</v>
      </c>
      <c r="I316" s="181">
        <v>2012</v>
      </c>
      <c r="J316" s="181" t="s">
        <v>663</v>
      </c>
      <c r="K316" s="181" t="s">
        <v>664</v>
      </c>
      <c r="L316" s="181" t="s">
        <v>19</v>
      </c>
      <c r="M316" s="556" t="s">
        <v>4149</v>
      </c>
      <c r="N316" s="214" t="s">
        <v>20</v>
      </c>
      <c r="O316" s="214" t="s">
        <v>15</v>
      </c>
      <c r="P316" s="214" t="s">
        <v>20</v>
      </c>
      <c r="Q316" s="214" t="s">
        <v>15</v>
      </c>
      <c r="R316" s="214" t="s">
        <v>20</v>
      </c>
      <c r="S316" s="214" t="s">
        <v>20</v>
      </c>
      <c r="T316" s="214" t="s">
        <v>15</v>
      </c>
      <c r="U316" s="214" t="s">
        <v>15</v>
      </c>
      <c r="V316" s="214" t="s">
        <v>15</v>
      </c>
      <c r="W316" s="214" t="s">
        <v>15</v>
      </c>
      <c r="X316" s="214" t="s">
        <v>15</v>
      </c>
      <c r="Y316" s="214" t="s">
        <v>20</v>
      </c>
      <c r="Z316" s="234"/>
      <c r="AA316" s="214" t="s">
        <v>665</v>
      </c>
      <c r="AB316" s="214" t="s">
        <v>15</v>
      </c>
      <c r="AC316" s="214" t="s">
        <v>20</v>
      </c>
      <c r="AD316" s="320" t="s">
        <v>666</v>
      </c>
      <c r="AE316" s="320" t="s">
        <v>672</v>
      </c>
      <c r="AF316" s="162" t="str">
        <f t="shared" si="16"/>
        <v/>
      </c>
      <c r="AG316" s="162" t="str">
        <f t="shared" si="17"/>
        <v/>
      </c>
      <c r="AH316" s="164">
        <f t="shared" si="18"/>
        <v>2.2252010723860591</v>
      </c>
      <c r="AI316" s="164">
        <f t="shared" si="19"/>
        <v>2.4530831099195711</v>
      </c>
      <c r="AJ316" s="368"/>
      <c r="AK316" s="368"/>
      <c r="AL316" s="368"/>
      <c r="AM316" s="368"/>
      <c r="AN316" s="368"/>
      <c r="AO316" s="368"/>
      <c r="AP316" s="368"/>
      <c r="AQ316" s="368"/>
      <c r="AR316" s="368"/>
      <c r="AS316" s="195"/>
      <c r="AT316" s="195"/>
      <c r="AU316" s="377"/>
      <c r="AV316" s="382"/>
      <c r="AW316" s="359">
        <f>(2.46-0.17-0.63)/0.746</f>
        <v>2.2252010723860591</v>
      </c>
      <c r="AX316" s="359">
        <f>0.17/0.746</f>
        <v>0.22788203753351208</v>
      </c>
      <c r="AY316" s="426"/>
      <c r="AZ316" s="426">
        <f>(0.63/2)/0.746</f>
        <v>0.42225201072386059</v>
      </c>
      <c r="BA316" s="426">
        <f>(0.63/2)/0.746</f>
        <v>0.42225201072386059</v>
      </c>
      <c r="BB316" s="426"/>
      <c r="BC316" s="426"/>
      <c r="BD316" s="426"/>
      <c r="BE316" s="426"/>
      <c r="BF316" s="469">
        <v>2.2252010723860591</v>
      </c>
      <c r="BG316" s="469">
        <v>3.2975871313672922</v>
      </c>
      <c r="BH316" s="341"/>
      <c r="BI316" s="447"/>
      <c r="BJ316" s="505"/>
    </row>
    <row r="317" spans="1:62" ht="15.75" customHeight="1" thickBot="1" x14ac:dyDescent="0.25">
      <c r="A317" s="176">
        <v>316</v>
      </c>
      <c r="B317" s="175">
        <v>1</v>
      </c>
      <c r="C317" s="166" t="s">
        <v>596</v>
      </c>
      <c r="D317" s="166" t="s">
        <v>3064</v>
      </c>
      <c r="E317" s="166" t="s">
        <v>144</v>
      </c>
      <c r="F317" s="166" t="s">
        <v>2843</v>
      </c>
      <c r="G317" s="166" t="s">
        <v>15</v>
      </c>
      <c r="H317" s="166" t="s">
        <v>73</v>
      </c>
      <c r="I317" s="181">
        <v>2012</v>
      </c>
      <c r="J317" s="181" t="s">
        <v>673</v>
      </c>
      <c r="K317" s="181" t="s">
        <v>674</v>
      </c>
      <c r="L317" s="181" t="s">
        <v>104</v>
      </c>
      <c r="M317" s="556" t="s">
        <v>4150</v>
      </c>
      <c r="N317" s="214" t="s">
        <v>20</v>
      </c>
      <c r="O317" s="214" t="s">
        <v>20</v>
      </c>
      <c r="P317" s="214" t="s">
        <v>20</v>
      </c>
      <c r="Q317" s="214" t="s">
        <v>20</v>
      </c>
      <c r="R317" s="214" t="s">
        <v>20</v>
      </c>
      <c r="S317" s="214" t="s">
        <v>15</v>
      </c>
      <c r="T317" s="214" t="s">
        <v>15</v>
      </c>
      <c r="U317" s="214" t="s">
        <v>15</v>
      </c>
      <c r="V317" s="214" t="s">
        <v>15</v>
      </c>
      <c r="W317" s="214" t="s">
        <v>15</v>
      </c>
      <c r="X317" s="214" t="s">
        <v>15</v>
      </c>
      <c r="Y317" s="214" t="s">
        <v>20</v>
      </c>
      <c r="Z317" s="234"/>
      <c r="AA317" s="214" t="s">
        <v>675</v>
      </c>
      <c r="AB317" s="214" t="s">
        <v>20</v>
      </c>
      <c r="AC317" s="214" t="s">
        <v>20</v>
      </c>
      <c r="AD317" s="320" t="s">
        <v>676</v>
      </c>
      <c r="AE317" s="320" t="s">
        <v>677</v>
      </c>
      <c r="AF317" s="162" t="str">
        <f t="shared" si="16"/>
        <v/>
      </c>
      <c r="AG317" s="162" t="str">
        <f t="shared" si="17"/>
        <v/>
      </c>
      <c r="AH317" s="164">
        <f t="shared" si="18"/>
        <v>0.15744274809160305</v>
      </c>
      <c r="AI317" s="164">
        <f t="shared" si="19"/>
        <v>0.29580152671755722</v>
      </c>
      <c r="AJ317" s="368"/>
      <c r="AK317" s="368"/>
      <c r="AL317" s="368"/>
      <c r="AM317" s="368"/>
      <c r="AN317" s="368"/>
      <c r="AO317" s="368"/>
      <c r="AP317" s="368"/>
      <c r="AQ317" s="368"/>
      <c r="AR317" s="368"/>
      <c r="AS317" s="195"/>
      <c r="AT317" s="195"/>
      <c r="AU317" s="377"/>
      <c r="AV317" s="382"/>
      <c r="AW317" s="426">
        <f>0.165/1.048</f>
        <v>0.15744274809160305</v>
      </c>
      <c r="AX317" s="426"/>
      <c r="AY317" s="426">
        <f>0.145/1.048</f>
        <v>0.13835877862595419</v>
      </c>
      <c r="AZ317" s="426">
        <f>0.339/1.048</f>
        <v>0.32347328244274809</v>
      </c>
      <c r="BA317" s="426"/>
      <c r="BB317" s="426"/>
      <c r="BC317" s="426"/>
      <c r="BD317" s="426"/>
      <c r="BE317" s="426"/>
      <c r="BF317" s="469">
        <v>0.15744274809160305</v>
      </c>
      <c r="BG317" s="469">
        <v>0.63740458015267176</v>
      </c>
      <c r="BH317" s="341"/>
      <c r="BI317" s="446" t="s">
        <v>678</v>
      </c>
      <c r="BJ317" s="505"/>
    </row>
    <row r="318" spans="1:62" ht="15.75" customHeight="1" thickBot="1" x14ac:dyDescent="0.25">
      <c r="A318" s="174">
        <v>317</v>
      </c>
      <c r="B318" s="175">
        <v>1</v>
      </c>
      <c r="C318" s="166" t="s">
        <v>596</v>
      </c>
      <c r="D318" s="166" t="s">
        <v>3064</v>
      </c>
      <c r="E318" s="166" t="s">
        <v>144</v>
      </c>
      <c r="F318" s="166" t="s">
        <v>679</v>
      </c>
      <c r="G318" s="166" t="s">
        <v>122</v>
      </c>
      <c r="H318" s="166" t="s">
        <v>680</v>
      </c>
      <c r="I318" s="181">
        <v>2012</v>
      </c>
      <c r="J318" s="181" t="s">
        <v>681</v>
      </c>
      <c r="K318" s="181" t="s">
        <v>682</v>
      </c>
      <c r="L318" s="181" t="s">
        <v>19</v>
      </c>
      <c r="M318" s="556" t="s">
        <v>4151</v>
      </c>
      <c r="N318" s="214" t="s">
        <v>20</v>
      </c>
      <c r="O318" s="214" t="s">
        <v>15</v>
      </c>
      <c r="P318" s="214" t="s">
        <v>20</v>
      </c>
      <c r="Q318" s="214" t="s">
        <v>20</v>
      </c>
      <c r="R318" s="214" t="s">
        <v>20</v>
      </c>
      <c r="S318" s="214" t="s">
        <v>20</v>
      </c>
      <c r="T318" s="214" t="s">
        <v>20</v>
      </c>
      <c r="U318" s="214" t="s">
        <v>15</v>
      </c>
      <c r="V318" s="214" t="s">
        <v>15</v>
      </c>
      <c r="W318" s="214" t="s">
        <v>15</v>
      </c>
      <c r="X318" s="214" t="s">
        <v>15</v>
      </c>
      <c r="Y318" s="214" t="s">
        <v>15</v>
      </c>
      <c r="Z318" s="234"/>
      <c r="AA318" s="214" t="s">
        <v>683</v>
      </c>
      <c r="AB318" s="214" t="s">
        <v>15</v>
      </c>
      <c r="AC318" s="214" t="s">
        <v>20</v>
      </c>
      <c r="AD318" s="320" t="s">
        <v>684</v>
      </c>
      <c r="AE318" s="320" t="s">
        <v>685</v>
      </c>
      <c r="AF318" s="162" t="str">
        <f t="shared" si="16"/>
        <v/>
      </c>
      <c r="AG318" s="162" t="str">
        <f t="shared" si="17"/>
        <v/>
      </c>
      <c r="AH318" s="164">
        <f t="shared" si="18"/>
        <v>0.54616135235076602</v>
      </c>
      <c r="AI318" s="164">
        <f t="shared" si="19"/>
        <v>0.8129553523507661</v>
      </c>
      <c r="AJ318" s="368"/>
      <c r="AK318" s="368"/>
      <c r="AL318" s="368"/>
      <c r="AM318" s="368"/>
      <c r="AN318" s="368"/>
      <c r="AO318" s="368"/>
      <c r="AP318" s="368"/>
      <c r="AQ318" s="368"/>
      <c r="AR318" s="368"/>
      <c r="AS318" s="195"/>
      <c r="AT318" s="195"/>
      <c r="AU318" s="377"/>
      <c r="AV318" s="382"/>
      <c r="AW318" s="426">
        <v>0.54616135235076602</v>
      </c>
      <c r="AX318" s="359">
        <v>2.6800000000000001E-2</v>
      </c>
      <c r="AY318" s="359">
        <v>0.23999400000000001</v>
      </c>
      <c r="AZ318" s="359">
        <v>4.6626000000000001E-2</v>
      </c>
      <c r="BA318" s="359">
        <v>2.2255E-2</v>
      </c>
      <c r="BB318" s="359">
        <v>8.8413000000000005E-2</v>
      </c>
      <c r="BC318" s="426"/>
      <c r="BD318" s="426"/>
      <c r="BE318" s="426"/>
      <c r="BF318" s="469">
        <v>0.54616135235076602</v>
      </c>
      <c r="BG318" s="469">
        <v>0.9732614896988907</v>
      </c>
      <c r="BH318" s="341"/>
      <c r="BI318" s="446" t="s">
        <v>686</v>
      </c>
      <c r="BJ318" s="505"/>
    </row>
    <row r="319" spans="1:62" ht="15.75" customHeight="1" thickBot="1" x14ac:dyDescent="0.25">
      <c r="A319" s="176">
        <v>318</v>
      </c>
      <c r="B319" s="175">
        <v>1</v>
      </c>
      <c r="C319" s="166" t="s">
        <v>596</v>
      </c>
      <c r="D319" s="166" t="s">
        <v>3064</v>
      </c>
      <c r="E319" s="166" t="s">
        <v>144</v>
      </c>
      <c r="F319" s="166" t="s">
        <v>687</v>
      </c>
      <c r="G319" s="166" t="s">
        <v>122</v>
      </c>
      <c r="H319" s="166" t="s">
        <v>680</v>
      </c>
      <c r="I319" s="181">
        <v>2012</v>
      </c>
      <c r="J319" s="181" t="s">
        <v>681</v>
      </c>
      <c r="K319" s="181" t="s">
        <v>682</v>
      </c>
      <c r="L319" s="181" t="s">
        <v>19</v>
      </c>
      <c r="M319" s="556" t="s">
        <v>4151</v>
      </c>
      <c r="N319" s="214" t="s">
        <v>20</v>
      </c>
      <c r="O319" s="214" t="s">
        <v>15</v>
      </c>
      <c r="P319" s="214" t="s">
        <v>20</v>
      </c>
      <c r="Q319" s="214" t="s">
        <v>20</v>
      </c>
      <c r="R319" s="214" t="s">
        <v>20</v>
      </c>
      <c r="S319" s="214" t="s">
        <v>20</v>
      </c>
      <c r="T319" s="214" t="s">
        <v>20</v>
      </c>
      <c r="U319" s="214" t="s">
        <v>15</v>
      </c>
      <c r="V319" s="214" t="s">
        <v>15</v>
      </c>
      <c r="W319" s="214" t="s">
        <v>15</v>
      </c>
      <c r="X319" s="214" t="s">
        <v>15</v>
      </c>
      <c r="Y319" s="214" t="s">
        <v>15</v>
      </c>
      <c r="Z319" s="234"/>
      <c r="AA319" s="214" t="s">
        <v>683</v>
      </c>
      <c r="AB319" s="214" t="s">
        <v>15</v>
      </c>
      <c r="AC319" s="214" t="s">
        <v>20</v>
      </c>
      <c r="AD319" s="320" t="s">
        <v>684</v>
      </c>
      <c r="AE319" s="320" t="s">
        <v>685</v>
      </c>
      <c r="AF319" s="162" t="str">
        <f t="shared" si="16"/>
        <v/>
      </c>
      <c r="AG319" s="162" t="str">
        <f t="shared" si="17"/>
        <v/>
      </c>
      <c r="AH319" s="164">
        <f t="shared" si="18"/>
        <v>0.45408904384574755</v>
      </c>
      <c r="AI319" s="164">
        <f t="shared" si="19"/>
        <v>0.71617304384574754</v>
      </c>
      <c r="AJ319" s="370"/>
      <c r="AK319" s="370"/>
      <c r="AL319" s="370"/>
      <c r="AM319" s="370"/>
      <c r="AN319" s="370"/>
      <c r="AO319" s="370"/>
      <c r="AP319" s="370"/>
      <c r="AQ319" s="370"/>
      <c r="AR319" s="370"/>
      <c r="AS319" s="195"/>
      <c r="AT319" s="195"/>
      <c r="AU319" s="377"/>
      <c r="AV319" s="382"/>
      <c r="AW319" s="426">
        <v>0.45408904384574755</v>
      </c>
      <c r="AX319" s="427">
        <v>2.2089999999999999E-2</v>
      </c>
      <c r="AY319" s="359">
        <v>0.23999400000000001</v>
      </c>
      <c r="AZ319" s="359">
        <v>4.6626000000000001E-2</v>
      </c>
      <c r="BA319" s="359">
        <v>2.2255E-2</v>
      </c>
      <c r="BB319" s="359">
        <v>8.8413000000000005E-2</v>
      </c>
      <c r="BC319" s="427"/>
      <c r="BD319" s="427"/>
      <c r="BE319" s="427"/>
      <c r="BF319" s="469">
        <v>0.45408904384574755</v>
      </c>
      <c r="BG319" s="469">
        <f>1.584*1.048/1.893</f>
        <v>0.87693185419968311</v>
      </c>
      <c r="BH319" s="341"/>
      <c r="BI319" s="446" t="s">
        <v>686</v>
      </c>
      <c r="BJ319" s="505"/>
    </row>
    <row r="320" spans="1:62" ht="15.75" customHeight="1" thickBot="1" x14ac:dyDescent="0.25">
      <c r="A320" s="174">
        <v>319</v>
      </c>
      <c r="B320" s="175">
        <v>1</v>
      </c>
      <c r="C320" s="166" t="s">
        <v>236</v>
      </c>
      <c r="D320" s="159" t="s">
        <v>1739</v>
      </c>
      <c r="E320" s="166" t="s">
        <v>13</v>
      </c>
      <c r="F320" s="166" t="s">
        <v>689</v>
      </c>
      <c r="G320" s="166" t="s">
        <v>20</v>
      </c>
      <c r="H320" s="166" t="s">
        <v>101</v>
      </c>
      <c r="I320" s="181">
        <v>2015</v>
      </c>
      <c r="J320" s="181" t="s">
        <v>690</v>
      </c>
      <c r="K320" s="181" t="s">
        <v>691</v>
      </c>
      <c r="L320" s="181" t="s">
        <v>692</v>
      </c>
      <c r="M320" s="556" t="s">
        <v>4152</v>
      </c>
      <c r="N320" s="214" t="s">
        <v>20</v>
      </c>
      <c r="O320" s="214" t="s">
        <v>20</v>
      </c>
      <c r="P320" s="214" t="s">
        <v>20</v>
      </c>
      <c r="Q320" s="214" t="s">
        <v>20</v>
      </c>
      <c r="R320" s="214" t="s">
        <v>20</v>
      </c>
      <c r="S320" s="214" t="s">
        <v>20</v>
      </c>
      <c r="T320" s="214" t="s">
        <v>15</v>
      </c>
      <c r="U320" s="214" t="s">
        <v>15</v>
      </c>
      <c r="V320" s="214" t="s">
        <v>15</v>
      </c>
      <c r="W320" s="214" t="s">
        <v>15</v>
      </c>
      <c r="X320" s="214" t="s">
        <v>15</v>
      </c>
      <c r="Y320" s="214" t="s">
        <v>15</v>
      </c>
      <c r="Z320" s="234"/>
      <c r="AA320" s="214" t="s">
        <v>693</v>
      </c>
      <c r="AB320" s="214" t="s">
        <v>15</v>
      </c>
      <c r="AC320" s="214" t="s">
        <v>20</v>
      </c>
      <c r="AD320" s="320" t="s">
        <v>694</v>
      </c>
      <c r="AE320" s="320"/>
      <c r="AF320" s="162" t="str">
        <f t="shared" si="16"/>
        <v/>
      </c>
      <c r="AG320" s="162" t="str">
        <f t="shared" si="17"/>
        <v/>
      </c>
      <c r="AH320" s="164">
        <f t="shared" si="18"/>
        <v>5.5E-2</v>
      </c>
      <c r="AI320" s="164" t="str">
        <f t="shared" si="19"/>
        <v/>
      </c>
      <c r="AJ320" s="368"/>
      <c r="AK320" s="368"/>
      <c r="AL320" s="368"/>
      <c r="AM320" s="368"/>
      <c r="AN320" s="368"/>
      <c r="AO320" s="368"/>
      <c r="AP320" s="368"/>
      <c r="AQ320" s="368"/>
      <c r="AR320" s="368"/>
      <c r="AS320" s="195"/>
      <c r="AT320" s="195"/>
      <c r="AU320" s="377"/>
      <c r="AV320" s="382"/>
      <c r="AW320" s="426">
        <v>5.5E-2</v>
      </c>
      <c r="AX320" s="426"/>
      <c r="AY320" s="426"/>
      <c r="AZ320" s="426">
        <v>0.23400000000000001</v>
      </c>
      <c r="BA320" s="359">
        <v>4.1000000000000002E-2</v>
      </c>
      <c r="BB320" s="426"/>
      <c r="BC320" s="426"/>
      <c r="BD320" s="426"/>
      <c r="BE320" s="426"/>
      <c r="BF320" s="469">
        <v>5.5E-2</v>
      </c>
      <c r="BG320" s="469">
        <v>0.32900000000000001</v>
      </c>
      <c r="BH320" s="341"/>
      <c r="BI320" s="447"/>
      <c r="BJ320" s="505"/>
    </row>
    <row r="321" spans="1:62" ht="15.75" customHeight="1" thickBot="1" x14ac:dyDescent="0.25">
      <c r="A321" s="176">
        <v>320</v>
      </c>
      <c r="B321" s="175">
        <v>1</v>
      </c>
      <c r="C321" s="166" t="s">
        <v>236</v>
      </c>
      <c r="D321" s="159" t="s">
        <v>1739</v>
      </c>
      <c r="E321" s="166" t="s">
        <v>13</v>
      </c>
      <c r="F321" s="166" t="s">
        <v>695</v>
      </c>
      <c r="G321" s="166" t="s">
        <v>20</v>
      </c>
      <c r="H321" s="166" t="s">
        <v>101</v>
      </c>
      <c r="I321" s="181">
        <v>2015</v>
      </c>
      <c r="J321" s="181" t="s">
        <v>690</v>
      </c>
      <c r="K321" s="181" t="s">
        <v>691</v>
      </c>
      <c r="L321" s="181" t="s">
        <v>692</v>
      </c>
      <c r="M321" s="556" t="s">
        <v>4152</v>
      </c>
      <c r="N321" s="214" t="s">
        <v>20</v>
      </c>
      <c r="O321" s="214" t="s">
        <v>20</v>
      </c>
      <c r="P321" s="214" t="s">
        <v>15</v>
      </c>
      <c r="Q321" s="214" t="s">
        <v>15</v>
      </c>
      <c r="R321" s="214" t="s">
        <v>15</v>
      </c>
      <c r="S321" s="214" t="s">
        <v>15</v>
      </c>
      <c r="T321" s="214" t="s">
        <v>15</v>
      </c>
      <c r="U321" s="214" t="s">
        <v>15</v>
      </c>
      <c r="V321" s="214" t="s">
        <v>15</v>
      </c>
      <c r="W321" s="214" t="s">
        <v>15</v>
      </c>
      <c r="X321" s="214" t="s">
        <v>15</v>
      </c>
      <c r="Y321" s="214" t="s">
        <v>15</v>
      </c>
      <c r="Z321" s="234"/>
      <c r="AA321" s="214" t="s">
        <v>696</v>
      </c>
      <c r="AB321" s="214" t="s">
        <v>15</v>
      </c>
      <c r="AC321" s="214" t="s">
        <v>20</v>
      </c>
      <c r="AD321" s="320" t="s">
        <v>694</v>
      </c>
      <c r="AE321" s="320"/>
      <c r="AF321" s="162" t="str">
        <f t="shared" si="16"/>
        <v/>
      </c>
      <c r="AG321" s="162" t="str">
        <f t="shared" si="17"/>
        <v/>
      </c>
      <c r="AH321" s="164">
        <f t="shared" si="18"/>
        <v>1.04</v>
      </c>
      <c r="AI321" s="164" t="str">
        <f t="shared" si="19"/>
        <v/>
      </c>
      <c r="AJ321" s="368"/>
      <c r="AK321" s="368"/>
      <c r="AL321" s="368"/>
      <c r="AM321" s="368"/>
      <c r="AN321" s="368"/>
      <c r="AO321" s="368"/>
      <c r="AP321" s="368"/>
      <c r="AQ321" s="368"/>
      <c r="AR321" s="368"/>
      <c r="AS321" s="195"/>
      <c r="AT321" s="195"/>
      <c r="AU321" s="377"/>
      <c r="AV321" s="382"/>
      <c r="AW321" s="426"/>
      <c r="AX321" s="426"/>
      <c r="AY321" s="426"/>
      <c r="AZ321" s="426"/>
      <c r="BA321" s="359"/>
      <c r="BB321" s="426"/>
      <c r="BC321" s="426"/>
      <c r="BD321" s="426"/>
      <c r="BE321" s="426"/>
      <c r="BF321" s="467">
        <f>(0.018+0.024+0.769+0.229)</f>
        <v>1.04</v>
      </c>
      <c r="BG321" s="468">
        <v>1.0409999999999999</v>
      </c>
      <c r="BH321" s="341"/>
      <c r="BI321" s="447"/>
      <c r="BJ321" s="505"/>
    </row>
    <row r="322" spans="1:62" ht="15.75" customHeight="1" thickBot="1" x14ac:dyDescent="0.25">
      <c r="A322" s="174">
        <v>321</v>
      </c>
      <c r="B322" s="175">
        <v>1</v>
      </c>
      <c r="C322" s="166" t="s">
        <v>236</v>
      </c>
      <c r="D322" s="159" t="s">
        <v>1739</v>
      </c>
      <c r="E322" s="166" t="s">
        <v>13</v>
      </c>
      <c r="F322" s="166" t="s">
        <v>697</v>
      </c>
      <c r="G322" s="166" t="s">
        <v>20</v>
      </c>
      <c r="H322" s="166" t="s">
        <v>87</v>
      </c>
      <c r="I322" s="181">
        <v>2015</v>
      </c>
      <c r="J322" s="181" t="s">
        <v>690</v>
      </c>
      <c r="K322" s="181" t="s">
        <v>691</v>
      </c>
      <c r="L322" s="181" t="s">
        <v>692</v>
      </c>
      <c r="M322" s="556" t="s">
        <v>4152</v>
      </c>
      <c r="N322" s="214" t="s">
        <v>20</v>
      </c>
      <c r="O322" s="214" t="s">
        <v>20</v>
      </c>
      <c r="P322" s="214" t="s">
        <v>20</v>
      </c>
      <c r="Q322" s="214" t="s">
        <v>20</v>
      </c>
      <c r="R322" s="214" t="s">
        <v>20</v>
      </c>
      <c r="S322" s="214" t="s">
        <v>20</v>
      </c>
      <c r="T322" s="214" t="s">
        <v>15</v>
      </c>
      <c r="U322" s="214" t="s">
        <v>15</v>
      </c>
      <c r="V322" s="214" t="s">
        <v>15</v>
      </c>
      <c r="W322" s="214" t="s">
        <v>15</v>
      </c>
      <c r="X322" s="214" t="s">
        <v>15</v>
      </c>
      <c r="Y322" s="214" t="s">
        <v>15</v>
      </c>
      <c r="Z322" s="234"/>
      <c r="AA322" s="214" t="s">
        <v>693</v>
      </c>
      <c r="AB322" s="214" t="s">
        <v>15</v>
      </c>
      <c r="AC322" s="214" t="s">
        <v>20</v>
      </c>
      <c r="AD322" s="320" t="s">
        <v>694</v>
      </c>
      <c r="AE322" s="320"/>
      <c r="AF322" s="162" t="str">
        <f t="shared" ref="AF322:AF385" si="20">IF(AS322&lt;&gt;0,AS322,"")</f>
        <v/>
      </c>
      <c r="AG322" s="162" t="str">
        <f t="shared" ref="AG322:AG385" si="21">IF(AND(SUM(AJ322:AL322)&lt;&gt;0,SUM(AJ322:AL322)&lt;&gt;AJ322),SUM(AJ322:AL322),"")</f>
        <v/>
      </c>
      <c r="AH322" s="164">
        <f t="shared" ref="AH322:AH385" si="22">IF(BF322&lt;&gt;0,BF322,"")</f>
        <v>0.24399999999999999</v>
      </c>
      <c r="AI322" s="164" t="str">
        <f t="shared" ref="AI322:AI385" si="23">IF(AND(SUM(AW322:AY322)&lt;&gt;0,SUM(AW322:AY322)&lt;&gt;AW322),SUM(AW322:AY322),"")</f>
        <v/>
      </c>
      <c r="AJ322" s="368"/>
      <c r="AK322" s="368"/>
      <c r="AL322" s="368"/>
      <c r="AM322" s="368"/>
      <c r="AN322" s="368"/>
      <c r="AO322" s="368"/>
      <c r="AP322" s="368"/>
      <c r="AQ322" s="368"/>
      <c r="AR322" s="368"/>
      <c r="AS322" s="195"/>
      <c r="AT322" s="195"/>
      <c r="AU322" s="377"/>
      <c r="AV322" s="382"/>
      <c r="AW322" s="426">
        <v>0.24399999999999999</v>
      </c>
      <c r="AX322" s="426"/>
      <c r="AY322" s="426"/>
      <c r="AZ322" s="426">
        <v>0</v>
      </c>
      <c r="BA322" s="426">
        <v>0.21099999999999999</v>
      </c>
      <c r="BB322" s="426"/>
      <c r="BC322" s="426"/>
      <c r="BD322" s="426"/>
      <c r="BE322" s="426"/>
      <c r="BF322" s="469">
        <v>0.24399999999999999</v>
      </c>
      <c r="BG322" s="469">
        <v>0.45700000000000002</v>
      </c>
      <c r="BH322" s="341"/>
      <c r="BI322" s="446" t="s">
        <v>698</v>
      </c>
      <c r="BJ322" s="505"/>
    </row>
    <row r="323" spans="1:62" ht="15.75" customHeight="1" thickBot="1" x14ac:dyDescent="0.25">
      <c r="A323" s="176">
        <v>322</v>
      </c>
      <c r="B323" s="175">
        <v>1</v>
      </c>
      <c r="C323" s="166" t="s">
        <v>236</v>
      </c>
      <c r="D323" s="159" t="s">
        <v>1739</v>
      </c>
      <c r="E323" s="166" t="s">
        <v>13</v>
      </c>
      <c r="F323" s="166" t="s">
        <v>699</v>
      </c>
      <c r="G323" s="166" t="s">
        <v>20</v>
      </c>
      <c r="H323" s="166" t="s">
        <v>700</v>
      </c>
      <c r="I323" s="181">
        <v>2005</v>
      </c>
      <c r="J323" s="181" t="s">
        <v>701</v>
      </c>
      <c r="K323" s="181" t="s">
        <v>702</v>
      </c>
      <c r="L323" s="181" t="s">
        <v>19</v>
      </c>
      <c r="M323" s="556" t="s">
        <v>4153</v>
      </c>
      <c r="N323" s="214" t="s">
        <v>20</v>
      </c>
      <c r="O323" s="214" t="s">
        <v>15</v>
      </c>
      <c r="P323" s="214" t="s">
        <v>15</v>
      </c>
      <c r="Q323" s="214" t="s">
        <v>15</v>
      </c>
      <c r="R323" s="214" t="s">
        <v>15</v>
      </c>
      <c r="S323" s="214" t="s">
        <v>15</v>
      </c>
      <c r="T323" s="214" t="s">
        <v>15</v>
      </c>
      <c r="U323" s="214" t="s">
        <v>15</v>
      </c>
      <c r="V323" s="214" t="s">
        <v>15</v>
      </c>
      <c r="W323" s="214" t="s">
        <v>15</v>
      </c>
      <c r="X323" s="214" t="s">
        <v>15</v>
      </c>
      <c r="Y323" s="214" t="s">
        <v>15</v>
      </c>
      <c r="Z323" s="234"/>
      <c r="AA323" s="214" t="s">
        <v>703</v>
      </c>
      <c r="AB323" s="214" t="s">
        <v>15</v>
      </c>
      <c r="AC323" s="214" t="s">
        <v>20</v>
      </c>
      <c r="AD323" s="320" t="s">
        <v>704</v>
      </c>
      <c r="AE323" s="320" t="s">
        <v>485</v>
      </c>
      <c r="AF323" s="162" t="str">
        <f t="shared" si="20"/>
        <v/>
      </c>
      <c r="AG323" s="162" t="str">
        <f t="shared" si="21"/>
        <v/>
      </c>
      <c r="AH323" s="164">
        <f t="shared" si="22"/>
        <v>4.0909000000000001E-2</v>
      </c>
      <c r="AI323" s="164" t="str">
        <f t="shared" si="23"/>
        <v/>
      </c>
      <c r="AJ323" s="368"/>
      <c r="AK323" s="368"/>
      <c r="AL323" s="368"/>
      <c r="AM323" s="368"/>
      <c r="AN323" s="368"/>
      <c r="AO323" s="368"/>
      <c r="AP323" s="368"/>
      <c r="AQ323" s="368"/>
      <c r="AR323" s="368"/>
      <c r="AS323" s="195"/>
      <c r="AT323" s="195"/>
      <c r="AU323" s="377"/>
      <c r="AV323" s="382"/>
      <c r="AW323" s="426"/>
      <c r="AX323" s="426"/>
      <c r="AY323" s="426"/>
      <c r="AZ323" s="426"/>
      <c r="BA323" s="426"/>
      <c r="BB323" s="426"/>
      <c r="BC323" s="426"/>
      <c r="BD323" s="426"/>
      <c r="BE323" s="426"/>
      <c r="BF323" s="467">
        <v>4.0909000000000001E-2</v>
      </c>
      <c r="BG323" s="469"/>
      <c r="BH323" s="341"/>
      <c r="BI323" s="446" t="s">
        <v>705</v>
      </c>
      <c r="BJ323" s="505"/>
    </row>
    <row r="324" spans="1:62" ht="15.75" customHeight="1" thickBot="1" x14ac:dyDescent="0.25">
      <c r="A324" s="174">
        <v>323</v>
      </c>
      <c r="B324" s="175">
        <v>1</v>
      </c>
      <c r="C324" s="166" t="s">
        <v>236</v>
      </c>
      <c r="D324" s="159" t="s">
        <v>1739</v>
      </c>
      <c r="E324" s="166" t="s">
        <v>13</v>
      </c>
      <c r="F324" s="166" t="s">
        <v>706</v>
      </c>
      <c r="G324" s="166" t="s">
        <v>20</v>
      </c>
      <c r="H324" s="166" t="s">
        <v>700</v>
      </c>
      <c r="I324" s="181">
        <v>2005</v>
      </c>
      <c r="J324" s="181" t="s">
        <v>701</v>
      </c>
      <c r="K324" s="181" t="s">
        <v>702</v>
      </c>
      <c r="L324" s="181" t="s">
        <v>19</v>
      </c>
      <c r="M324" s="556" t="s">
        <v>4153</v>
      </c>
      <c r="N324" s="214" t="s">
        <v>20</v>
      </c>
      <c r="O324" s="214" t="s">
        <v>15</v>
      </c>
      <c r="P324" s="214" t="s">
        <v>15</v>
      </c>
      <c r="Q324" s="214" t="s">
        <v>15</v>
      </c>
      <c r="R324" s="214" t="s">
        <v>15</v>
      </c>
      <c r="S324" s="214" t="s">
        <v>15</v>
      </c>
      <c r="T324" s="214" t="s">
        <v>15</v>
      </c>
      <c r="U324" s="214" t="s">
        <v>15</v>
      </c>
      <c r="V324" s="214" t="s">
        <v>15</v>
      </c>
      <c r="W324" s="214" t="s">
        <v>15</v>
      </c>
      <c r="X324" s="214" t="s">
        <v>15</v>
      </c>
      <c r="Y324" s="214" t="s">
        <v>15</v>
      </c>
      <c r="Z324" s="234"/>
      <c r="AA324" s="214" t="s">
        <v>703</v>
      </c>
      <c r="AB324" s="214" t="s">
        <v>15</v>
      </c>
      <c r="AC324" s="214" t="s">
        <v>20</v>
      </c>
      <c r="AD324" s="320" t="s">
        <v>704</v>
      </c>
      <c r="AE324" s="320" t="s">
        <v>485</v>
      </c>
      <c r="AF324" s="162" t="str">
        <f t="shared" si="20"/>
        <v/>
      </c>
      <c r="AG324" s="162" t="str">
        <f t="shared" si="21"/>
        <v/>
      </c>
      <c r="AH324" s="164">
        <f t="shared" si="22"/>
        <v>6.3182000000000002E-2</v>
      </c>
      <c r="AI324" s="164" t="str">
        <f t="shared" si="23"/>
        <v/>
      </c>
      <c r="AJ324" s="368"/>
      <c r="AK324" s="368"/>
      <c r="AL324" s="368"/>
      <c r="AM324" s="368"/>
      <c r="AN324" s="368"/>
      <c r="AO324" s="368"/>
      <c r="AP324" s="368"/>
      <c r="AQ324" s="368"/>
      <c r="AR324" s="368"/>
      <c r="AS324" s="195"/>
      <c r="AT324" s="195"/>
      <c r="AU324" s="377"/>
      <c r="AV324" s="382"/>
      <c r="AW324" s="426"/>
      <c r="AX324" s="426"/>
      <c r="AY324" s="426"/>
      <c r="AZ324" s="426"/>
      <c r="BA324" s="426"/>
      <c r="BB324" s="426"/>
      <c r="BC324" s="426"/>
      <c r="BD324" s="426"/>
      <c r="BE324" s="426"/>
      <c r="BF324" s="467">
        <v>6.3182000000000002E-2</v>
      </c>
      <c r="BG324" s="469"/>
      <c r="BH324" s="341"/>
      <c r="BI324" s="446" t="s">
        <v>705</v>
      </c>
      <c r="BJ324" s="505"/>
    </row>
    <row r="325" spans="1:62" ht="15.75" customHeight="1" thickBot="1" x14ac:dyDescent="0.25">
      <c r="A325" s="176">
        <v>324</v>
      </c>
      <c r="B325" s="175">
        <v>1</v>
      </c>
      <c r="C325" s="166" t="s">
        <v>236</v>
      </c>
      <c r="D325" s="159" t="s">
        <v>1739</v>
      </c>
      <c r="E325" s="166" t="s">
        <v>13</v>
      </c>
      <c r="F325" s="166" t="s">
        <v>707</v>
      </c>
      <c r="G325" s="166" t="s">
        <v>15</v>
      </c>
      <c r="H325" s="166" t="s">
        <v>708</v>
      </c>
      <c r="I325" s="181">
        <v>2006</v>
      </c>
      <c r="J325" s="181" t="s">
        <v>709</v>
      </c>
      <c r="K325" s="181" t="s">
        <v>710</v>
      </c>
      <c r="L325" s="181" t="s">
        <v>19</v>
      </c>
      <c r="M325" s="556" t="s">
        <v>4154</v>
      </c>
      <c r="N325" s="214" t="s">
        <v>20</v>
      </c>
      <c r="O325" s="214" t="s">
        <v>15</v>
      </c>
      <c r="P325" s="214" t="s">
        <v>15</v>
      </c>
      <c r="Q325" s="214" t="s">
        <v>15</v>
      </c>
      <c r="R325" s="214" t="s">
        <v>15</v>
      </c>
      <c r="S325" s="214" t="s">
        <v>15</v>
      </c>
      <c r="T325" s="214" t="s">
        <v>15</v>
      </c>
      <c r="U325" s="214" t="s">
        <v>15</v>
      </c>
      <c r="V325" s="214" t="s">
        <v>15</v>
      </c>
      <c r="W325" s="214" t="s">
        <v>15</v>
      </c>
      <c r="X325" s="214" t="s">
        <v>15</v>
      </c>
      <c r="Y325" s="214" t="s">
        <v>20</v>
      </c>
      <c r="Z325" s="234"/>
      <c r="AA325" s="214" t="s">
        <v>711</v>
      </c>
      <c r="AB325" s="214" t="s">
        <v>15</v>
      </c>
      <c r="AC325" s="214" t="s">
        <v>20</v>
      </c>
      <c r="AD325" s="320" t="s">
        <v>712</v>
      </c>
      <c r="AE325" s="320" t="s">
        <v>713</v>
      </c>
      <c r="AF325" s="162" t="str">
        <f t="shared" si="20"/>
        <v/>
      </c>
      <c r="AG325" s="162" t="str">
        <f t="shared" si="21"/>
        <v/>
      </c>
      <c r="AH325" s="164">
        <f t="shared" si="22"/>
        <v>8.2802547770700632E-2</v>
      </c>
      <c r="AI325" s="164" t="str">
        <f t="shared" si="23"/>
        <v/>
      </c>
      <c r="AJ325" s="368"/>
      <c r="AK325" s="368"/>
      <c r="AL325" s="368"/>
      <c r="AM325" s="368"/>
      <c r="AN325" s="368"/>
      <c r="AO325" s="368"/>
      <c r="AP325" s="368"/>
      <c r="AQ325" s="368"/>
      <c r="AR325" s="368"/>
      <c r="AS325" s="195"/>
      <c r="AT325" s="195"/>
      <c r="AU325" s="378" t="s">
        <v>714</v>
      </c>
      <c r="AV325" s="382"/>
      <c r="AW325" s="426"/>
      <c r="AX325" s="426"/>
      <c r="AY325" s="426"/>
      <c r="AZ325" s="426"/>
      <c r="BA325" s="426"/>
      <c r="BB325" s="426"/>
      <c r="BC325" s="426"/>
      <c r="BD325" s="426"/>
      <c r="BE325" s="426"/>
      <c r="BF325" s="467">
        <f>2600/31400</f>
        <v>8.2802547770700632E-2</v>
      </c>
      <c r="BG325" s="469"/>
      <c r="BH325" s="335" t="s">
        <v>715</v>
      </c>
      <c r="BI325" s="446" t="s">
        <v>714</v>
      </c>
      <c r="BJ325" s="505"/>
    </row>
    <row r="326" spans="1:62" ht="15.75" customHeight="1" thickBot="1" x14ac:dyDescent="0.25">
      <c r="A326" s="174">
        <v>325</v>
      </c>
      <c r="B326" s="175">
        <v>1</v>
      </c>
      <c r="C326" s="166" t="s">
        <v>236</v>
      </c>
      <c r="D326" s="159" t="s">
        <v>1739</v>
      </c>
      <c r="E326" s="166" t="s">
        <v>13</v>
      </c>
      <c r="F326" s="166" t="s">
        <v>716</v>
      </c>
      <c r="G326" s="166" t="s">
        <v>20</v>
      </c>
      <c r="H326" s="166" t="s">
        <v>183</v>
      </c>
      <c r="I326" s="181">
        <v>2013</v>
      </c>
      <c r="J326" s="181" t="s">
        <v>717</v>
      </c>
      <c r="K326" s="181" t="s">
        <v>718</v>
      </c>
      <c r="L326" s="181" t="s">
        <v>692</v>
      </c>
      <c r="M326" s="556" t="s">
        <v>4415</v>
      </c>
      <c r="N326" s="214" t="s">
        <v>20</v>
      </c>
      <c r="O326" s="214" t="s">
        <v>15</v>
      </c>
      <c r="P326" s="214" t="s">
        <v>20</v>
      </c>
      <c r="Q326" s="214" t="s">
        <v>20</v>
      </c>
      <c r="R326" s="214" t="s">
        <v>20</v>
      </c>
      <c r="S326" s="214" t="s">
        <v>20</v>
      </c>
      <c r="T326" s="214" t="s">
        <v>15</v>
      </c>
      <c r="U326" s="214" t="s">
        <v>15</v>
      </c>
      <c r="V326" s="214" t="s">
        <v>15</v>
      </c>
      <c r="W326" s="214" t="s">
        <v>15</v>
      </c>
      <c r="X326" s="214" t="s">
        <v>15</v>
      </c>
      <c r="Y326" s="214" t="s">
        <v>20</v>
      </c>
      <c r="Z326" s="234"/>
      <c r="AA326" s="214" t="s">
        <v>719</v>
      </c>
      <c r="AB326" s="214" t="s">
        <v>15</v>
      </c>
      <c r="AC326" s="214" t="s">
        <v>122</v>
      </c>
      <c r="AD326" s="320" t="s">
        <v>720</v>
      </c>
      <c r="AE326" s="320" t="s">
        <v>485</v>
      </c>
      <c r="AF326" s="162">
        <f t="shared" si="20"/>
        <v>1.1000000000000001</v>
      </c>
      <c r="AG326" s="162">
        <f t="shared" si="21"/>
        <v>1.1576000000000002</v>
      </c>
      <c r="AH326" s="164">
        <f t="shared" si="22"/>
        <v>6.4100000000000004E-2</v>
      </c>
      <c r="AI326" s="164">
        <f t="shared" si="23"/>
        <v>6.787E-2</v>
      </c>
      <c r="AJ326" s="369">
        <v>1.1000000000000001</v>
      </c>
      <c r="AK326" s="369">
        <v>5.7599999999999998E-2</v>
      </c>
      <c r="AL326" s="369">
        <v>0</v>
      </c>
      <c r="AM326" s="368">
        <f>0.465+2.2</f>
        <v>2.665</v>
      </c>
      <c r="AN326" s="369">
        <v>0.28299999999999997</v>
      </c>
      <c r="AO326" s="369"/>
      <c r="AP326" s="368"/>
      <c r="AQ326" s="369"/>
      <c r="AR326" s="369">
        <v>0</v>
      </c>
      <c r="AS326" s="195">
        <v>1.1000000000000001</v>
      </c>
      <c r="AT326" s="195">
        <v>4.0999999999999996</v>
      </c>
      <c r="AU326" s="377"/>
      <c r="AW326" s="359">
        <v>6.4100000000000004E-2</v>
      </c>
      <c r="AX326" s="359">
        <v>3.7699999999999999E-3</v>
      </c>
      <c r="AY326" s="359">
        <v>0</v>
      </c>
      <c r="AZ326" s="359">
        <f>0.02+0.173</f>
        <v>0.19299999999999998</v>
      </c>
      <c r="BA326" s="359">
        <v>1.4500000000000001E-2</v>
      </c>
      <c r="BB326" s="359"/>
      <c r="BC326" s="426"/>
      <c r="BD326" s="359"/>
      <c r="BE326" s="359">
        <f>0.00132+0.00363</f>
        <v>4.9499999999999995E-3</v>
      </c>
      <c r="BF326" s="469">
        <v>6.4100000000000004E-2</v>
      </c>
      <c r="BG326" s="469">
        <v>0.27600000000000002</v>
      </c>
      <c r="BH326" s="341"/>
      <c r="BI326" s="446" t="s">
        <v>721</v>
      </c>
      <c r="BJ326" s="505"/>
    </row>
    <row r="327" spans="1:62" ht="15.75" customHeight="1" x14ac:dyDescent="0.2">
      <c r="A327" s="176">
        <v>326</v>
      </c>
      <c r="B327" s="175">
        <v>1</v>
      </c>
      <c r="C327" s="166" t="s">
        <v>236</v>
      </c>
      <c r="D327" s="159" t="s">
        <v>1739</v>
      </c>
      <c r="E327" s="166" t="s">
        <v>13</v>
      </c>
      <c r="F327" s="166" t="s">
        <v>722</v>
      </c>
      <c r="G327" s="166" t="s">
        <v>20</v>
      </c>
      <c r="H327" s="166" t="s">
        <v>183</v>
      </c>
      <c r="I327" s="181">
        <v>2013</v>
      </c>
      <c r="J327" s="181" t="s">
        <v>717</v>
      </c>
      <c r="K327" s="181" t="s">
        <v>718</v>
      </c>
      <c r="L327" s="181" t="s">
        <v>692</v>
      </c>
      <c r="M327" s="557" t="s">
        <v>4415</v>
      </c>
      <c r="N327" s="214" t="s">
        <v>20</v>
      </c>
      <c r="O327" s="214" t="s">
        <v>15</v>
      </c>
      <c r="P327" s="214" t="s">
        <v>20</v>
      </c>
      <c r="Q327" s="214" t="s">
        <v>20</v>
      </c>
      <c r="R327" s="214" t="s">
        <v>20</v>
      </c>
      <c r="S327" s="214" t="s">
        <v>20</v>
      </c>
      <c r="T327" s="214" t="s">
        <v>15</v>
      </c>
      <c r="U327" s="214" t="s">
        <v>15</v>
      </c>
      <c r="V327" s="214" t="s">
        <v>15</v>
      </c>
      <c r="W327" s="214" t="s">
        <v>15</v>
      </c>
      <c r="X327" s="214" t="s">
        <v>15</v>
      </c>
      <c r="Y327" s="214" t="s">
        <v>20</v>
      </c>
      <c r="Z327" s="234"/>
      <c r="AA327" s="214" t="s">
        <v>719</v>
      </c>
      <c r="AB327" s="214" t="s">
        <v>15</v>
      </c>
      <c r="AC327" s="214" t="s">
        <v>20</v>
      </c>
      <c r="AD327" s="320" t="s">
        <v>720</v>
      </c>
      <c r="AE327" s="320" t="s">
        <v>485</v>
      </c>
      <c r="AF327" s="162">
        <f t="shared" si="20"/>
        <v>1.76</v>
      </c>
      <c r="AG327" s="162">
        <f t="shared" si="21"/>
        <v>1.591</v>
      </c>
      <c r="AH327" s="164">
        <f t="shared" si="22"/>
        <v>7.3200000000000001E-2</v>
      </c>
      <c r="AI327" s="164">
        <f t="shared" si="23"/>
        <v>7.5020000000000003E-2</v>
      </c>
      <c r="AJ327" s="369">
        <v>1.56</v>
      </c>
      <c r="AK327" s="369">
        <v>3.1E-2</v>
      </c>
      <c r="AL327" s="369">
        <v>0</v>
      </c>
      <c r="AM327" s="368">
        <f>0.435+2.2</f>
        <v>2.6350000000000002</v>
      </c>
      <c r="AN327" s="369">
        <v>0.23300000000000001</v>
      </c>
      <c r="AO327" s="369"/>
      <c r="AP327" s="369"/>
      <c r="AQ327" s="368"/>
      <c r="AR327" s="368">
        <f>0.0486+0.251</f>
        <v>0.29959999999999998</v>
      </c>
      <c r="AS327" s="195">
        <v>1.76</v>
      </c>
      <c r="AT327" s="195">
        <v>4.82</v>
      </c>
      <c r="AU327" s="377"/>
      <c r="AW327" s="359">
        <v>7.3200000000000001E-2</v>
      </c>
      <c r="AX327" s="359">
        <v>1.82E-3</v>
      </c>
      <c r="AY327" s="359">
        <v>0</v>
      </c>
      <c r="AZ327" s="359">
        <f>0.02+0.173</f>
        <v>0.19299999999999998</v>
      </c>
      <c r="BA327" s="359">
        <v>1.4500000000000001E-2</v>
      </c>
      <c r="BB327" s="359"/>
      <c r="BC327" s="359"/>
      <c r="BD327" s="426"/>
      <c r="BE327" s="426">
        <f>0.0000363+0.0117</f>
        <v>1.17363E-2</v>
      </c>
      <c r="BF327" s="469">
        <v>7.3200000000000001E-2</v>
      </c>
      <c r="BG327" s="469">
        <v>0.28299999999999997</v>
      </c>
      <c r="BH327" s="341"/>
      <c r="BI327" s="446" t="s">
        <v>721</v>
      </c>
      <c r="BJ327" s="505"/>
    </row>
    <row r="328" spans="1:62" ht="15.75" customHeight="1" thickBot="1" x14ac:dyDescent="0.25">
      <c r="A328" s="174">
        <v>327</v>
      </c>
      <c r="B328" s="175">
        <v>1</v>
      </c>
      <c r="C328" s="166" t="s">
        <v>162</v>
      </c>
      <c r="D328" s="159" t="s">
        <v>2206</v>
      </c>
      <c r="E328" s="166" t="s">
        <v>13</v>
      </c>
      <c r="F328" s="166" t="s">
        <v>723</v>
      </c>
      <c r="G328" s="166" t="s">
        <v>15</v>
      </c>
      <c r="H328" s="166" t="s">
        <v>42</v>
      </c>
      <c r="I328" s="181">
        <v>2011</v>
      </c>
      <c r="J328" s="181" t="s">
        <v>724</v>
      </c>
      <c r="K328" s="181"/>
      <c r="L328" s="181" t="s">
        <v>83</v>
      </c>
      <c r="M328" s="556" t="s">
        <v>4155</v>
      </c>
      <c r="N328" s="214" t="s">
        <v>20</v>
      </c>
      <c r="O328" s="214" t="s">
        <v>15</v>
      </c>
      <c r="P328" s="214" t="s">
        <v>20</v>
      </c>
      <c r="Q328" s="214" t="s">
        <v>20</v>
      </c>
      <c r="R328" s="214" t="s">
        <v>20</v>
      </c>
      <c r="S328" s="214" t="s">
        <v>20</v>
      </c>
      <c r="T328" s="214" t="s">
        <v>20</v>
      </c>
      <c r="U328" s="214" t="s">
        <v>20</v>
      </c>
      <c r="V328" s="214" t="s">
        <v>20</v>
      </c>
      <c r="W328" s="214" t="s">
        <v>20</v>
      </c>
      <c r="X328" s="214" t="s">
        <v>20</v>
      </c>
      <c r="Y328" s="214" t="s">
        <v>15</v>
      </c>
      <c r="Z328" s="234"/>
      <c r="AA328" s="214" t="s">
        <v>719</v>
      </c>
      <c r="AB328" s="214" t="s">
        <v>122</v>
      </c>
      <c r="AC328" s="214" t="s">
        <v>20</v>
      </c>
      <c r="AD328" s="320" t="s">
        <v>725</v>
      </c>
      <c r="AE328" s="320" t="s">
        <v>485</v>
      </c>
      <c r="AF328" s="162" t="str">
        <f t="shared" si="20"/>
        <v/>
      </c>
      <c r="AG328" s="162" t="str">
        <f t="shared" si="21"/>
        <v/>
      </c>
      <c r="AH328" s="164">
        <f t="shared" si="22"/>
        <v>0.17</v>
      </c>
      <c r="AI328" s="164">
        <f t="shared" si="23"/>
        <v>0.21000000000000002</v>
      </c>
      <c r="AJ328" s="368"/>
      <c r="AK328" s="368"/>
      <c r="AL328" s="368"/>
      <c r="AM328" s="368"/>
      <c r="AN328" s="368"/>
      <c r="AO328" s="368"/>
      <c r="AP328" s="368"/>
      <c r="AQ328" s="368"/>
      <c r="AR328" s="368"/>
      <c r="AS328" s="195"/>
      <c r="AT328" s="195"/>
      <c r="AU328" s="377"/>
      <c r="AV328" s="382"/>
      <c r="AW328" s="426">
        <v>0.17</v>
      </c>
      <c r="AX328" s="359">
        <v>0.04</v>
      </c>
      <c r="AY328" s="426"/>
      <c r="AZ328" s="426"/>
      <c r="BA328" s="426"/>
      <c r="BB328" s="426"/>
      <c r="BC328" s="359">
        <v>0.30499999999999999</v>
      </c>
      <c r="BD328" s="426"/>
      <c r="BE328" s="426"/>
      <c r="BF328" s="469">
        <v>0.17</v>
      </c>
      <c r="BG328" s="469">
        <v>0.52</v>
      </c>
      <c r="BH328" s="341"/>
      <c r="BI328" s="446" t="s">
        <v>47</v>
      </c>
      <c r="BJ328" s="505"/>
    </row>
    <row r="329" spans="1:62" ht="15.75" customHeight="1" thickBot="1" x14ac:dyDescent="0.25">
      <c r="A329" s="176">
        <v>328</v>
      </c>
      <c r="B329" s="175">
        <v>1</v>
      </c>
      <c r="C329" s="166" t="s">
        <v>1110</v>
      </c>
      <c r="D329" s="166" t="s">
        <v>2198</v>
      </c>
      <c r="E329" s="166" t="s">
        <v>13</v>
      </c>
      <c r="F329" s="166" t="s">
        <v>726</v>
      </c>
      <c r="G329" s="166" t="s">
        <v>15</v>
      </c>
      <c r="H329" s="166" t="s">
        <v>42</v>
      </c>
      <c r="I329" s="181">
        <v>2011</v>
      </c>
      <c r="J329" s="181" t="s">
        <v>724</v>
      </c>
      <c r="K329" s="181"/>
      <c r="L329" s="181" t="s">
        <v>83</v>
      </c>
      <c r="M329" s="556" t="s">
        <v>4155</v>
      </c>
      <c r="N329" s="214" t="s">
        <v>20</v>
      </c>
      <c r="O329" s="214" t="s">
        <v>15</v>
      </c>
      <c r="P329" s="214" t="s">
        <v>20</v>
      </c>
      <c r="Q329" s="214" t="s">
        <v>20</v>
      </c>
      <c r="R329" s="214" t="s">
        <v>20</v>
      </c>
      <c r="S329" s="214" t="s">
        <v>20</v>
      </c>
      <c r="T329" s="214" t="s">
        <v>20</v>
      </c>
      <c r="U329" s="214" t="s">
        <v>20</v>
      </c>
      <c r="V329" s="214" t="s">
        <v>20</v>
      </c>
      <c r="W329" s="214" t="s">
        <v>20</v>
      </c>
      <c r="X329" s="214" t="s">
        <v>20</v>
      </c>
      <c r="Y329" s="214" t="s">
        <v>15</v>
      </c>
      <c r="Z329" s="234"/>
      <c r="AA329" s="214" t="s">
        <v>719</v>
      </c>
      <c r="AB329" s="214" t="s">
        <v>20</v>
      </c>
      <c r="AC329" s="214" t="s">
        <v>20</v>
      </c>
      <c r="AD329" s="320" t="s">
        <v>727</v>
      </c>
      <c r="AE329" s="320" t="s">
        <v>485</v>
      </c>
      <c r="AF329" s="162" t="str">
        <f t="shared" si="20"/>
        <v/>
      </c>
      <c r="AG329" s="162" t="str">
        <f t="shared" si="21"/>
        <v/>
      </c>
      <c r="AH329" s="164">
        <f t="shared" si="22"/>
        <v>0.25</v>
      </c>
      <c r="AI329" s="164">
        <f t="shared" si="23"/>
        <v>0.92999999999999994</v>
      </c>
      <c r="AJ329" s="370"/>
      <c r="AK329" s="370"/>
      <c r="AL329" s="370"/>
      <c r="AM329" s="370"/>
      <c r="AN329" s="370"/>
      <c r="AO329" s="370"/>
      <c r="AP329" s="370"/>
      <c r="AQ329" s="370"/>
      <c r="AR329" s="370"/>
      <c r="AS329" s="195"/>
      <c r="AT329" s="195"/>
      <c r="AU329" s="377"/>
      <c r="AV329" s="382"/>
      <c r="AW329" s="426">
        <v>0.25</v>
      </c>
      <c r="AX329" s="427">
        <v>0.04</v>
      </c>
      <c r="AY329" s="427">
        <v>0.64</v>
      </c>
      <c r="AZ329" s="427"/>
      <c r="BA329" s="427"/>
      <c r="BB329" s="427"/>
      <c r="BC329" s="427">
        <f>2.05-AY329-AX329-AW329</f>
        <v>1.1199999999999997</v>
      </c>
      <c r="BD329" s="427"/>
      <c r="BE329" s="427"/>
      <c r="BF329" s="469">
        <v>0.25</v>
      </c>
      <c r="BG329" s="469">
        <v>2.06</v>
      </c>
      <c r="BH329" s="341"/>
      <c r="BI329" s="446" t="s">
        <v>47</v>
      </c>
      <c r="BJ329" s="505"/>
    </row>
    <row r="330" spans="1:62" ht="15.75" customHeight="1" thickBot="1" x14ac:dyDescent="0.25">
      <c r="A330" s="174">
        <v>329</v>
      </c>
      <c r="B330" s="175">
        <v>1</v>
      </c>
      <c r="C330" s="166" t="s">
        <v>259</v>
      </c>
      <c r="D330" s="166" t="s">
        <v>2351</v>
      </c>
      <c r="E330" s="166" t="s">
        <v>13</v>
      </c>
      <c r="F330" s="166" t="s">
        <v>728</v>
      </c>
      <c r="G330" s="166" t="s">
        <v>15</v>
      </c>
      <c r="H330" s="166" t="s">
        <v>377</v>
      </c>
      <c r="I330" s="181">
        <v>2015</v>
      </c>
      <c r="J330" s="181" t="s">
        <v>729</v>
      </c>
      <c r="K330" s="181" t="s">
        <v>730</v>
      </c>
      <c r="L330" s="181" t="s">
        <v>19</v>
      </c>
      <c r="M330" s="556" t="s">
        <v>4156</v>
      </c>
      <c r="N330" s="214" t="s">
        <v>20</v>
      </c>
      <c r="O330" s="214" t="s">
        <v>15</v>
      </c>
      <c r="P330" s="214" t="s">
        <v>15</v>
      </c>
      <c r="Q330" s="214" t="s">
        <v>15</v>
      </c>
      <c r="R330" s="214" t="s">
        <v>15</v>
      </c>
      <c r="S330" s="214" t="s">
        <v>15</v>
      </c>
      <c r="T330" s="214" t="s">
        <v>15</v>
      </c>
      <c r="U330" s="214" t="s">
        <v>15</v>
      </c>
      <c r="V330" s="214" t="s">
        <v>15</v>
      </c>
      <c r="W330" s="214" t="s">
        <v>15</v>
      </c>
      <c r="X330" s="214" t="s">
        <v>15</v>
      </c>
      <c r="Y330" s="214" t="s">
        <v>15</v>
      </c>
      <c r="Z330" s="234"/>
      <c r="AA330" s="214" t="s">
        <v>731</v>
      </c>
      <c r="AB330" s="214" t="s">
        <v>15</v>
      </c>
      <c r="AC330" s="214" t="s">
        <v>15</v>
      </c>
      <c r="AD330" s="320" t="s">
        <v>732</v>
      </c>
      <c r="AE330" s="320"/>
      <c r="AF330" s="162" t="str">
        <f t="shared" si="20"/>
        <v/>
      </c>
      <c r="AG330" s="162" t="str">
        <f t="shared" si="21"/>
        <v/>
      </c>
      <c r="AH330" s="164">
        <f t="shared" si="22"/>
        <v>0.44800000000000001</v>
      </c>
      <c r="AI330" s="164" t="str">
        <f t="shared" si="23"/>
        <v/>
      </c>
      <c r="AJ330" s="370"/>
      <c r="AK330" s="370"/>
      <c r="AL330" s="370"/>
      <c r="AM330" s="370"/>
      <c r="AN330" s="370"/>
      <c r="AO330" s="370"/>
      <c r="AP330" s="370"/>
      <c r="AQ330" s="370"/>
      <c r="AR330" s="370"/>
      <c r="AS330" s="195"/>
      <c r="AT330" s="195"/>
      <c r="AU330" s="377"/>
      <c r="AV330" s="382"/>
      <c r="AW330" s="426"/>
      <c r="AX330" s="427"/>
      <c r="AY330" s="427"/>
      <c r="AZ330" s="427"/>
      <c r="BA330" s="427"/>
      <c r="BB330" s="427"/>
      <c r="BC330" s="427"/>
      <c r="BD330" s="427"/>
      <c r="BE330" s="427"/>
      <c r="BF330" s="468">
        <v>0.44800000000000001</v>
      </c>
      <c r="BG330" s="469"/>
      <c r="BH330" s="341"/>
      <c r="BI330" s="446" t="s">
        <v>733</v>
      </c>
      <c r="BJ330" s="505"/>
    </row>
    <row r="331" spans="1:62" ht="15.75" customHeight="1" thickBot="1" x14ac:dyDescent="0.25">
      <c r="A331" s="176">
        <v>330</v>
      </c>
      <c r="B331" s="175">
        <v>1</v>
      </c>
      <c r="C331" s="166" t="s">
        <v>259</v>
      </c>
      <c r="D331" s="166" t="s">
        <v>2351</v>
      </c>
      <c r="E331" s="166" t="s">
        <v>13</v>
      </c>
      <c r="F331" s="166" t="s">
        <v>734</v>
      </c>
      <c r="G331" s="166" t="s">
        <v>15</v>
      </c>
      <c r="H331" s="166" t="s">
        <v>377</v>
      </c>
      <c r="I331" s="181">
        <v>2015</v>
      </c>
      <c r="J331" s="181" t="s">
        <v>729</v>
      </c>
      <c r="K331" s="181" t="s">
        <v>730</v>
      </c>
      <c r="L331" s="181" t="s">
        <v>19</v>
      </c>
      <c r="M331" s="556" t="s">
        <v>4156</v>
      </c>
      <c r="N331" s="214" t="s">
        <v>20</v>
      </c>
      <c r="O331" s="214" t="s">
        <v>15</v>
      </c>
      <c r="P331" s="214" t="s">
        <v>15</v>
      </c>
      <c r="Q331" s="214" t="s">
        <v>15</v>
      </c>
      <c r="R331" s="214" t="s">
        <v>15</v>
      </c>
      <c r="S331" s="214" t="s">
        <v>15</v>
      </c>
      <c r="T331" s="214" t="s">
        <v>15</v>
      </c>
      <c r="U331" s="214" t="s">
        <v>15</v>
      </c>
      <c r="V331" s="214" t="s">
        <v>15</v>
      </c>
      <c r="W331" s="214" t="s">
        <v>15</v>
      </c>
      <c r="X331" s="214" t="s">
        <v>15</v>
      </c>
      <c r="Y331" s="214" t="s">
        <v>15</v>
      </c>
      <c r="Z331" s="234"/>
      <c r="AA331" s="214" t="s">
        <v>731</v>
      </c>
      <c r="AB331" s="214" t="s">
        <v>15</v>
      </c>
      <c r="AC331" s="214" t="s">
        <v>15</v>
      </c>
      <c r="AD331" s="320" t="s">
        <v>732</v>
      </c>
      <c r="AE331" s="320"/>
      <c r="AF331" s="162" t="str">
        <f t="shared" si="20"/>
        <v/>
      </c>
      <c r="AG331" s="162" t="str">
        <f t="shared" si="21"/>
        <v/>
      </c>
      <c r="AH331" s="164">
        <f t="shared" si="22"/>
        <v>0.48099999999999998</v>
      </c>
      <c r="AI331" s="164" t="str">
        <f t="shared" si="23"/>
        <v/>
      </c>
      <c r="AJ331" s="370"/>
      <c r="AK331" s="370"/>
      <c r="AL331" s="370"/>
      <c r="AM331" s="370"/>
      <c r="AN331" s="370"/>
      <c r="AO331" s="370"/>
      <c r="AP331" s="370"/>
      <c r="AQ331" s="370"/>
      <c r="AR331" s="370"/>
      <c r="AS331" s="195"/>
      <c r="AT331" s="195"/>
      <c r="AU331" s="377"/>
      <c r="AV331" s="382"/>
      <c r="AW331" s="426"/>
      <c r="AX331" s="427"/>
      <c r="AY331" s="427"/>
      <c r="AZ331" s="427"/>
      <c r="BA331" s="427"/>
      <c r="BB331" s="427"/>
      <c r="BC331" s="427"/>
      <c r="BD331" s="427"/>
      <c r="BE331" s="427"/>
      <c r="BF331" s="468">
        <v>0.48099999999999998</v>
      </c>
      <c r="BG331" s="469"/>
      <c r="BH331" s="341"/>
      <c r="BI331" s="446" t="s">
        <v>733</v>
      </c>
      <c r="BJ331" s="505"/>
    </row>
    <row r="332" spans="1:62" ht="15.75" customHeight="1" thickBot="1" x14ac:dyDescent="0.25">
      <c r="A332" s="174">
        <v>331</v>
      </c>
      <c r="B332" s="175">
        <v>1</v>
      </c>
      <c r="C332" s="166" t="s">
        <v>259</v>
      </c>
      <c r="D332" s="166" t="s">
        <v>2351</v>
      </c>
      <c r="E332" s="166" t="s">
        <v>13</v>
      </c>
      <c r="F332" s="166" t="s">
        <v>735</v>
      </c>
      <c r="G332" s="166" t="s">
        <v>15</v>
      </c>
      <c r="H332" s="166" t="s">
        <v>377</v>
      </c>
      <c r="I332" s="181">
        <v>2015</v>
      </c>
      <c r="J332" s="181" t="s">
        <v>729</v>
      </c>
      <c r="K332" s="181" t="s">
        <v>730</v>
      </c>
      <c r="L332" s="181" t="s">
        <v>19</v>
      </c>
      <c r="M332" s="556" t="s">
        <v>4156</v>
      </c>
      <c r="N332" s="214" t="s">
        <v>20</v>
      </c>
      <c r="O332" s="214" t="s">
        <v>15</v>
      </c>
      <c r="P332" s="214" t="s">
        <v>15</v>
      </c>
      <c r="Q332" s="214" t="s">
        <v>15</v>
      </c>
      <c r="R332" s="214" t="s">
        <v>15</v>
      </c>
      <c r="S332" s="214" t="s">
        <v>15</v>
      </c>
      <c r="T332" s="214" t="s">
        <v>15</v>
      </c>
      <c r="U332" s="214" t="s">
        <v>15</v>
      </c>
      <c r="V332" s="214" t="s">
        <v>15</v>
      </c>
      <c r="W332" s="214" t="s">
        <v>15</v>
      </c>
      <c r="X332" s="214" t="s">
        <v>15</v>
      </c>
      <c r="Y332" s="214" t="s">
        <v>15</v>
      </c>
      <c r="Z332" s="234"/>
      <c r="AA332" s="214" t="s">
        <v>731</v>
      </c>
      <c r="AB332" s="214" t="s">
        <v>15</v>
      </c>
      <c r="AC332" s="214" t="s">
        <v>15</v>
      </c>
      <c r="AD332" s="320" t="s">
        <v>732</v>
      </c>
      <c r="AE332" s="320"/>
      <c r="AF332" s="162" t="str">
        <f t="shared" si="20"/>
        <v/>
      </c>
      <c r="AG332" s="162" t="str">
        <f t="shared" si="21"/>
        <v/>
      </c>
      <c r="AH332" s="164">
        <f t="shared" si="22"/>
        <v>0.41099999999999998</v>
      </c>
      <c r="AI332" s="164" t="str">
        <f t="shared" si="23"/>
        <v/>
      </c>
      <c r="AJ332" s="370"/>
      <c r="AK332" s="370"/>
      <c r="AL332" s="370"/>
      <c r="AM332" s="370"/>
      <c r="AN332" s="370"/>
      <c r="AO332" s="370"/>
      <c r="AP332" s="370"/>
      <c r="AQ332" s="370"/>
      <c r="AR332" s="370"/>
      <c r="AS332" s="195"/>
      <c r="AT332" s="195"/>
      <c r="AU332" s="377"/>
      <c r="AV332" s="382"/>
      <c r="AW332" s="426"/>
      <c r="AX332" s="427"/>
      <c r="AY332" s="427"/>
      <c r="AZ332" s="427"/>
      <c r="BA332" s="427"/>
      <c r="BB332" s="427"/>
      <c r="BC332" s="427"/>
      <c r="BD332" s="427"/>
      <c r="BE332" s="427"/>
      <c r="BF332" s="468">
        <v>0.41099999999999998</v>
      </c>
      <c r="BG332" s="469"/>
      <c r="BH332" s="341"/>
      <c r="BI332" s="446" t="s">
        <v>733</v>
      </c>
      <c r="BJ332" s="505"/>
    </row>
    <row r="333" spans="1:62" ht="15.75" customHeight="1" thickBot="1" x14ac:dyDescent="0.25">
      <c r="A333" s="176">
        <v>332</v>
      </c>
      <c r="B333" s="175">
        <v>1</v>
      </c>
      <c r="C333" s="166" t="s">
        <v>162</v>
      </c>
      <c r="D333" s="166" t="s">
        <v>736</v>
      </c>
      <c r="E333" s="166" t="s">
        <v>13</v>
      </c>
      <c r="F333" s="166" t="s">
        <v>736</v>
      </c>
      <c r="G333" s="166" t="s">
        <v>15</v>
      </c>
      <c r="H333" s="166" t="s">
        <v>73</v>
      </c>
      <c r="I333" s="181">
        <v>2015</v>
      </c>
      <c r="J333" s="181" t="s">
        <v>737</v>
      </c>
      <c r="K333" s="181" t="s">
        <v>738</v>
      </c>
      <c r="L333" s="181" t="s">
        <v>19</v>
      </c>
      <c r="M333" s="556" t="s">
        <v>4157</v>
      </c>
      <c r="N333" s="214" t="s">
        <v>20</v>
      </c>
      <c r="O333" s="214" t="s">
        <v>15</v>
      </c>
      <c r="P333" s="214" t="s">
        <v>15</v>
      </c>
      <c r="Q333" s="214" t="s">
        <v>15</v>
      </c>
      <c r="R333" s="214" t="s">
        <v>20</v>
      </c>
      <c r="S333" s="214" t="s">
        <v>15</v>
      </c>
      <c r="T333" s="214" t="s">
        <v>15</v>
      </c>
      <c r="U333" s="214" t="s">
        <v>20</v>
      </c>
      <c r="V333" s="214" t="s">
        <v>15</v>
      </c>
      <c r="W333" s="214" t="s">
        <v>15</v>
      </c>
      <c r="X333" s="214" t="s">
        <v>15</v>
      </c>
      <c r="Y333" s="214" t="s">
        <v>15</v>
      </c>
      <c r="Z333" s="234"/>
      <c r="AA333" s="214" t="s">
        <v>739</v>
      </c>
      <c r="AB333" s="214" t="s">
        <v>20</v>
      </c>
      <c r="AC333" s="214" t="s">
        <v>20</v>
      </c>
      <c r="AD333" s="320" t="s">
        <v>740</v>
      </c>
      <c r="AE333" s="320"/>
      <c r="AF333" s="162" t="str">
        <f t="shared" si="20"/>
        <v/>
      </c>
      <c r="AG333" s="162" t="str">
        <f t="shared" si="21"/>
        <v/>
      </c>
      <c r="AH333" s="164">
        <f t="shared" si="22"/>
        <v>4.42</v>
      </c>
      <c r="AI333" s="164" t="str">
        <f t="shared" si="23"/>
        <v/>
      </c>
      <c r="AJ333" s="370"/>
      <c r="AK333" s="370"/>
      <c r="AL333" s="370"/>
      <c r="AM333" s="370"/>
      <c r="AN333" s="370"/>
      <c r="AO333" s="370"/>
      <c r="AP333" s="370"/>
      <c r="AQ333" s="370"/>
      <c r="AR333" s="370"/>
      <c r="AS333" s="195"/>
      <c r="AT333" s="195"/>
      <c r="AU333" s="377"/>
      <c r="AV333" s="382"/>
      <c r="AW333" s="426"/>
      <c r="AX333" s="427"/>
      <c r="AY333" s="427"/>
      <c r="AZ333" s="427"/>
      <c r="BA333" s="427"/>
      <c r="BB333" s="427"/>
      <c r="BC333" s="427"/>
      <c r="BD333" s="427"/>
      <c r="BE333" s="427"/>
      <c r="BF333" s="468">
        <v>4.42</v>
      </c>
      <c r="BG333" s="469"/>
      <c r="BH333" s="341"/>
      <c r="BI333" s="446" t="s">
        <v>741</v>
      </c>
      <c r="BJ333" s="505"/>
    </row>
    <row r="334" spans="1:62" ht="15.75" customHeight="1" thickBot="1" x14ac:dyDescent="0.25">
      <c r="A334" s="174">
        <v>333</v>
      </c>
      <c r="B334" s="175">
        <v>1</v>
      </c>
      <c r="C334" s="166" t="s">
        <v>236</v>
      </c>
      <c r="D334" s="166" t="s">
        <v>2230</v>
      </c>
      <c r="E334" s="166" t="s">
        <v>13</v>
      </c>
      <c r="F334" s="166" t="s">
        <v>742</v>
      </c>
      <c r="G334" s="166" t="s">
        <v>20</v>
      </c>
      <c r="H334" s="166" t="s">
        <v>743</v>
      </c>
      <c r="I334" s="181">
        <v>2014</v>
      </c>
      <c r="J334" s="181" t="s">
        <v>744</v>
      </c>
      <c r="K334" s="181" t="s">
        <v>745</v>
      </c>
      <c r="L334" s="181" t="s">
        <v>19</v>
      </c>
      <c r="M334" s="556" t="s">
        <v>4158</v>
      </c>
      <c r="N334" s="214" t="s">
        <v>20</v>
      </c>
      <c r="O334" s="214" t="s">
        <v>20</v>
      </c>
      <c r="P334" s="214" t="s">
        <v>20</v>
      </c>
      <c r="Q334" s="214" t="s">
        <v>20</v>
      </c>
      <c r="R334" s="214" t="s">
        <v>20</v>
      </c>
      <c r="S334" s="214" t="s">
        <v>20</v>
      </c>
      <c r="T334" s="214" t="s">
        <v>20</v>
      </c>
      <c r="U334" s="214" t="s">
        <v>15</v>
      </c>
      <c r="V334" s="214" t="s">
        <v>15</v>
      </c>
      <c r="W334" s="214" t="s">
        <v>15</v>
      </c>
      <c r="X334" s="214" t="s">
        <v>15</v>
      </c>
      <c r="Y334" s="214" t="s">
        <v>15</v>
      </c>
      <c r="Z334" s="234"/>
      <c r="AA334" s="214" t="s">
        <v>746</v>
      </c>
      <c r="AB334" s="214" t="s">
        <v>15</v>
      </c>
      <c r="AC334" s="214" t="s">
        <v>15</v>
      </c>
      <c r="AD334" s="320" t="s">
        <v>747</v>
      </c>
      <c r="AE334" s="320"/>
      <c r="AF334" s="162" t="str">
        <f t="shared" si="20"/>
        <v/>
      </c>
      <c r="AG334" s="162" t="str">
        <f t="shared" si="21"/>
        <v/>
      </c>
      <c r="AH334" s="164" t="str">
        <f t="shared" si="22"/>
        <v/>
      </c>
      <c r="AI334" s="164" t="str">
        <f t="shared" si="23"/>
        <v/>
      </c>
      <c r="AJ334" s="370"/>
      <c r="AK334" s="370"/>
      <c r="AL334" s="370"/>
      <c r="AM334" s="370"/>
      <c r="AN334" s="370"/>
      <c r="AO334" s="370"/>
      <c r="AP334" s="370"/>
      <c r="AQ334" s="370"/>
      <c r="AR334" s="370"/>
      <c r="AS334" s="195"/>
      <c r="AT334" s="195"/>
      <c r="AU334" s="377"/>
      <c r="AV334" s="382"/>
      <c r="AW334" s="426"/>
      <c r="AX334" s="427"/>
      <c r="AY334" s="427"/>
      <c r="AZ334" s="427"/>
      <c r="BA334" s="427"/>
      <c r="BB334" s="427"/>
      <c r="BC334" s="427"/>
      <c r="BD334" s="427"/>
      <c r="BE334" s="427"/>
      <c r="BF334" s="469"/>
      <c r="BG334" s="468">
        <v>7.3</v>
      </c>
      <c r="BH334" s="341"/>
      <c r="BI334" s="446" t="s">
        <v>748</v>
      </c>
      <c r="BJ334" s="505"/>
    </row>
    <row r="335" spans="1:62" ht="15.75" customHeight="1" thickBot="1" x14ac:dyDescent="0.25">
      <c r="A335" s="176">
        <v>334</v>
      </c>
      <c r="B335" s="175">
        <v>1</v>
      </c>
      <c r="C335" s="166" t="s">
        <v>236</v>
      </c>
      <c r="D335" s="166" t="s">
        <v>2230</v>
      </c>
      <c r="E335" s="166" t="s">
        <v>13</v>
      </c>
      <c r="F335" s="166" t="s">
        <v>749</v>
      </c>
      <c r="G335" s="166" t="s">
        <v>20</v>
      </c>
      <c r="H335" s="166" t="s">
        <v>108</v>
      </c>
      <c r="I335" s="181">
        <v>2014</v>
      </c>
      <c r="J335" s="181" t="s">
        <v>744</v>
      </c>
      <c r="K335" s="181" t="s">
        <v>745</v>
      </c>
      <c r="L335" s="181" t="s">
        <v>19</v>
      </c>
      <c r="M335" s="556" t="s">
        <v>4158</v>
      </c>
      <c r="N335" s="214" t="s">
        <v>20</v>
      </c>
      <c r="O335" s="214" t="s">
        <v>20</v>
      </c>
      <c r="P335" s="214" t="s">
        <v>20</v>
      </c>
      <c r="Q335" s="214" t="s">
        <v>20</v>
      </c>
      <c r="R335" s="214" t="s">
        <v>20</v>
      </c>
      <c r="S335" s="214" t="s">
        <v>20</v>
      </c>
      <c r="T335" s="214" t="s">
        <v>20</v>
      </c>
      <c r="U335" s="214" t="s">
        <v>15</v>
      </c>
      <c r="V335" s="214" t="s">
        <v>15</v>
      </c>
      <c r="W335" s="214" t="s">
        <v>15</v>
      </c>
      <c r="X335" s="214" t="s">
        <v>15</v>
      </c>
      <c r="Y335" s="214" t="s">
        <v>15</v>
      </c>
      <c r="Z335" s="234"/>
      <c r="AA335" s="214" t="s">
        <v>746</v>
      </c>
      <c r="AB335" s="214" t="s">
        <v>15</v>
      </c>
      <c r="AC335" s="214" t="s">
        <v>15</v>
      </c>
      <c r="AD335" s="320" t="s">
        <v>747</v>
      </c>
      <c r="AE335" s="320"/>
      <c r="AF335" s="162" t="str">
        <f t="shared" si="20"/>
        <v/>
      </c>
      <c r="AG335" s="162" t="str">
        <f t="shared" si="21"/>
        <v/>
      </c>
      <c r="AH335" s="164" t="str">
        <f t="shared" si="22"/>
        <v/>
      </c>
      <c r="AI335" s="164" t="str">
        <f t="shared" si="23"/>
        <v/>
      </c>
      <c r="AJ335" s="370"/>
      <c r="AK335" s="370"/>
      <c r="AL335" s="370"/>
      <c r="AM335" s="370"/>
      <c r="AN335" s="370"/>
      <c r="AO335" s="370"/>
      <c r="AP335" s="370"/>
      <c r="AQ335" s="370"/>
      <c r="AR335" s="370"/>
      <c r="AS335" s="195"/>
      <c r="AT335" s="195"/>
      <c r="AU335" s="377"/>
      <c r="AV335" s="382"/>
      <c r="AW335" s="426"/>
      <c r="AX335" s="427"/>
      <c r="AY335" s="427"/>
      <c r="AZ335" s="427"/>
      <c r="BA335" s="427"/>
      <c r="BB335" s="427"/>
      <c r="BC335" s="427"/>
      <c r="BD335" s="427"/>
      <c r="BE335" s="427"/>
      <c r="BF335" s="469"/>
      <c r="BG335" s="468">
        <v>7.4</v>
      </c>
      <c r="BH335" s="341"/>
      <c r="BI335" s="446" t="s">
        <v>748</v>
      </c>
      <c r="BJ335" s="505"/>
    </row>
    <row r="336" spans="1:62" ht="15.75" customHeight="1" thickBot="1" x14ac:dyDescent="0.25">
      <c r="A336" s="174">
        <v>335</v>
      </c>
      <c r="B336" s="175">
        <v>1</v>
      </c>
      <c r="C336" s="166" t="s">
        <v>236</v>
      </c>
      <c r="D336" s="166" t="s">
        <v>2230</v>
      </c>
      <c r="E336" s="166" t="s">
        <v>13</v>
      </c>
      <c r="F336" s="166" t="s">
        <v>750</v>
      </c>
      <c r="G336" s="166" t="s">
        <v>20</v>
      </c>
      <c r="H336" s="166" t="s">
        <v>108</v>
      </c>
      <c r="I336" s="181">
        <v>2014</v>
      </c>
      <c r="J336" s="181" t="s">
        <v>744</v>
      </c>
      <c r="K336" s="181" t="s">
        <v>745</v>
      </c>
      <c r="L336" s="181" t="s">
        <v>19</v>
      </c>
      <c r="M336" s="556" t="s">
        <v>4158</v>
      </c>
      <c r="N336" s="214" t="s">
        <v>20</v>
      </c>
      <c r="O336" s="214" t="s">
        <v>20</v>
      </c>
      <c r="P336" s="214" t="s">
        <v>20</v>
      </c>
      <c r="Q336" s="214" t="s">
        <v>20</v>
      </c>
      <c r="R336" s="214" t="s">
        <v>20</v>
      </c>
      <c r="S336" s="214" t="s">
        <v>20</v>
      </c>
      <c r="T336" s="214" t="s">
        <v>20</v>
      </c>
      <c r="U336" s="214" t="s">
        <v>15</v>
      </c>
      <c r="V336" s="214" t="s">
        <v>15</v>
      </c>
      <c r="W336" s="214" t="s">
        <v>15</v>
      </c>
      <c r="X336" s="214" t="s">
        <v>15</v>
      </c>
      <c r="Y336" s="214" t="s">
        <v>15</v>
      </c>
      <c r="Z336" s="234"/>
      <c r="AA336" s="214" t="s">
        <v>746</v>
      </c>
      <c r="AB336" s="214" t="s">
        <v>15</v>
      </c>
      <c r="AC336" s="214" t="s">
        <v>15</v>
      </c>
      <c r="AD336" s="320" t="s">
        <v>747</v>
      </c>
      <c r="AE336" s="320"/>
      <c r="AF336" s="162" t="str">
        <f t="shared" si="20"/>
        <v/>
      </c>
      <c r="AG336" s="162" t="str">
        <f t="shared" si="21"/>
        <v/>
      </c>
      <c r="AH336" s="164" t="str">
        <f t="shared" si="22"/>
        <v/>
      </c>
      <c r="AI336" s="164" t="str">
        <f t="shared" si="23"/>
        <v/>
      </c>
      <c r="AJ336" s="370"/>
      <c r="AK336" s="370"/>
      <c r="AL336" s="370"/>
      <c r="AM336" s="370"/>
      <c r="AN336" s="370"/>
      <c r="AO336" s="370"/>
      <c r="AP336" s="370"/>
      <c r="AQ336" s="370"/>
      <c r="AR336" s="370"/>
      <c r="AS336" s="195"/>
      <c r="AT336" s="195"/>
      <c r="AU336" s="377"/>
      <c r="AV336" s="382"/>
      <c r="AW336" s="426"/>
      <c r="AX336" s="427"/>
      <c r="AY336" s="427"/>
      <c r="AZ336" s="427"/>
      <c r="BA336" s="427"/>
      <c r="BB336" s="427"/>
      <c r="BC336" s="427"/>
      <c r="BD336" s="427"/>
      <c r="BE336" s="427"/>
      <c r="BF336" s="469"/>
      <c r="BG336" s="468">
        <v>7.7</v>
      </c>
      <c r="BH336" s="341"/>
      <c r="BI336" s="446" t="s">
        <v>748</v>
      </c>
      <c r="BJ336" s="505"/>
    </row>
    <row r="337" spans="1:62" ht="15.75" customHeight="1" thickBot="1" x14ac:dyDescent="0.25">
      <c r="A337" s="176">
        <v>336</v>
      </c>
      <c r="B337" s="175">
        <v>1</v>
      </c>
      <c r="C337" s="166" t="s">
        <v>236</v>
      </c>
      <c r="D337" s="166" t="s">
        <v>843</v>
      </c>
      <c r="E337" s="166" t="s">
        <v>13</v>
      </c>
      <c r="F337" s="166" t="s">
        <v>752</v>
      </c>
      <c r="G337" s="166" t="s">
        <v>20</v>
      </c>
      <c r="H337" s="166" t="s">
        <v>73</v>
      </c>
      <c r="I337" s="181">
        <v>2014</v>
      </c>
      <c r="J337" s="181" t="s">
        <v>753</v>
      </c>
      <c r="K337" s="181" t="s">
        <v>754</v>
      </c>
      <c r="L337" s="181" t="s">
        <v>19</v>
      </c>
      <c r="M337" s="556" t="s">
        <v>4159</v>
      </c>
      <c r="N337" s="214" t="s">
        <v>20</v>
      </c>
      <c r="O337" s="214" t="s">
        <v>15</v>
      </c>
      <c r="P337" s="214" t="s">
        <v>15</v>
      </c>
      <c r="Q337" s="214" t="s">
        <v>15</v>
      </c>
      <c r="R337" s="214" t="s">
        <v>15</v>
      </c>
      <c r="S337" s="214" t="s">
        <v>15</v>
      </c>
      <c r="T337" s="214" t="s">
        <v>15</v>
      </c>
      <c r="U337" s="214" t="s">
        <v>15</v>
      </c>
      <c r="V337" s="214" t="s">
        <v>15</v>
      </c>
      <c r="W337" s="214" t="s">
        <v>15</v>
      </c>
      <c r="X337" s="214" t="s">
        <v>15</v>
      </c>
      <c r="Y337" s="214" t="s">
        <v>20</v>
      </c>
      <c r="Z337" s="234"/>
      <c r="AA337" s="214" t="s">
        <v>636</v>
      </c>
      <c r="AB337" s="214" t="s">
        <v>15</v>
      </c>
      <c r="AC337" s="214" t="s">
        <v>20</v>
      </c>
      <c r="AD337" s="320" t="s">
        <v>755</v>
      </c>
      <c r="AE337" s="320"/>
      <c r="AF337" s="162" t="str">
        <f t="shared" si="20"/>
        <v/>
      </c>
      <c r="AG337" s="162" t="str">
        <f t="shared" si="21"/>
        <v/>
      </c>
      <c r="AH337" s="164">
        <f t="shared" si="22"/>
        <v>0.14699999999999999</v>
      </c>
      <c r="AI337" s="164" t="str">
        <f t="shared" si="23"/>
        <v/>
      </c>
      <c r="AJ337" s="369"/>
      <c r="AK337" s="369"/>
      <c r="AL337" s="369"/>
      <c r="AM337" s="369"/>
      <c r="AN337" s="369"/>
      <c r="AO337" s="369"/>
      <c r="AP337" s="369"/>
      <c r="AQ337" s="369"/>
      <c r="AR337" s="369"/>
      <c r="AS337" s="195"/>
      <c r="AT337" s="195"/>
      <c r="AU337" s="377"/>
      <c r="AV337" s="382"/>
      <c r="AW337" s="426">
        <v>0.14699999999999999</v>
      </c>
      <c r="AX337" s="359"/>
      <c r="AY337" s="359"/>
      <c r="AZ337" s="359"/>
      <c r="BA337" s="359"/>
      <c r="BB337" s="359"/>
      <c r="BC337" s="359"/>
      <c r="BD337" s="359"/>
      <c r="BE337" s="359">
        <v>6.0000000000000001E-3</v>
      </c>
      <c r="BF337" s="474">
        <v>0.14699999999999999</v>
      </c>
      <c r="BG337" s="469"/>
      <c r="BH337" s="341"/>
      <c r="BI337" s="446" t="s">
        <v>47</v>
      </c>
      <c r="BJ337" s="506" t="s">
        <v>3097</v>
      </c>
    </row>
    <row r="338" spans="1:62" ht="15.75" customHeight="1" thickBot="1" x14ac:dyDescent="0.25">
      <c r="A338" s="174">
        <v>337</v>
      </c>
      <c r="B338" s="175">
        <v>1</v>
      </c>
      <c r="C338" s="166" t="s">
        <v>236</v>
      </c>
      <c r="D338" s="166" t="s">
        <v>756</v>
      </c>
      <c r="E338" s="166" t="s">
        <v>13</v>
      </c>
      <c r="F338" s="166" t="s">
        <v>757</v>
      </c>
      <c r="G338" s="166" t="s">
        <v>20</v>
      </c>
      <c r="H338" s="166" t="s">
        <v>73</v>
      </c>
      <c r="I338" s="181">
        <v>2014</v>
      </c>
      <c r="J338" s="181" t="s">
        <v>753</v>
      </c>
      <c r="K338" s="181" t="s">
        <v>754</v>
      </c>
      <c r="L338" s="181" t="s">
        <v>19</v>
      </c>
      <c r="M338" s="556" t="s">
        <v>4159</v>
      </c>
      <c r="N338" s="214" t="s">
        <v>20</v>
      </c>
      <c r="O338" s="214" t="s">
        <v>15</v>
      </c>
      <c r="P338" s="214" t="s">
        <v>15</v>
      </c>
      <c r="Q338" s="214" t="s">
        <v>15</v>
      </c>
      <c r="R338" s="214" t="s">
        <v>15</v>
      </c>
      <c r="S338" s="214" t="s">
        <v>15</v>
      </c>
      <c r="T338" s="214" t="s">
        <v>15</v>
      </c>
      <c r="U338" s="214" t="s">
        <v>15</v>
      </c>
      <c r="V338" s="214" t="s">
        <v>15</v>
      </c>
      <c r="W338" s="214" t="s">
        <v>15</v>
      </c>
      <c r="X338" s="214" t="s">
        <v>15</v>
      </c>
      <c r="Y338" s="214" t="s">
        <v>20</v>
      </c>
      <c r="Z338" s="234"/>
      <c r="AA338" s="214" t="s">
        <v>636</v>
      </c>
      <c r="AB338" s="214" t="s">
        <v>15</v>
      </c>
      <c r="AC338" s="214" t="s">
        <v>20</v>
      </c>
      <c r="AD338" s="320" t="s">
        <v>755</v>
      </c>
      <c r="AE338" s="320"/>
      <c r="AF338" s="162" t="str">
        <f t="shared" si="20"/>
        <v/>
      </c>
      <c r="AG338" s="162" t="str">
        <f t="shared" si="21"/>
        <v/>
      </c>
      <c r="AH338" s="164">
        <f t="shared" si="22"/>
        <v>0.11799999999999999</v>
      </c>
      <c r="AI338" s="164" t="str">
        <f t="shared" si="23"/>
        <v/>
      </c>
      <c r="AJ338" s="369"/>
      <c r="AK338" s="369"/>
      <c r="AL338" s="369"/>
      <c r="AM338" s="369"/>
      <c r="AN338" s="369"/>
      <c r="AO338" s="369"/>
      <c r="AP338" s="369"/>
      <c r="AQ338" s="369"/>
      <c r="AR338" s="369"/>
      <c r="AS338" s="195"/>
      <c r="AT338" s="195"/>
      <c r="AU338" s="377"/>
      <c r="AV338" s="382"/>
      <c r="AW338" s="426">
        <v>0.11799999999999999</v>
      </c>
      <c r="AX338" s="359"/>
      <c r="AY338" s="359"/>
      <c r="AZ338" s="359"/>
      <c r="BA338" s="359"/>
      <c r="BB338" s="359"/>
      <c r="BC338" s="359"/>
      <c r="BD338" s="359"/>
      <c r="BE338" s="359">
        <v>8.9999999999999993E-3</v>
      </c>
      <c r="BF338" s="474">
        <v>0.11799999999999999</v>
      </c>
      <c r="BG338" s="469"/>
      <c r="BH338" s="341"/>
      <c r="BI338" s="446" t="s">
        <v>47</v>
      </c>
      <c r="BJ338" s="506" t="s">
        <v>3097</v>
      </c>
    </row>
    <row r="339" spans="1:62" ht="15.75" customHeight="1" thickBot="1" x14ac:dyDescent="0.25">
      <c r="A339" s="176">
        <v>338</v>
      </c>
      <c r="B339" s="175">
        <v>1</v>
      </c>
      <c r="C339" s="166" t="s">
        <v>236</v>
      </c>
      <c r="D339" s="166" t="s">
        <v>758</v>
      </c>
      <c r="E339" s="166" t="s">
        <v>13</v>
      </c>
      <c r="F339" s="166" t="s">
        <v>759</v>
      </c>
      <c r="G339" s="166" t="s">
        <v>20</v>
      </c>
      <c r="H339" s="166" t="s">
        <v>73</v>
      </c>
      <c r="I339" s="181">
        <v>2014</v>
      </c>
      <c r="J339" s="181" t="s">
        <v>753</v>
      </c>
      <c r="K339" s="181" t="s">
        <v>754</v>
      </c>
      <c r="L339" s="181" t="s">
        <v>19</v>
      </c>
      <c r="M339" s="556" t="s">
        <v>4159</v>
      </c>
      <c r="N339" s="214" t="s">
        <v>20</v>
      </c>
      <c r="O339" s="214" t="s">
        <v>15</v>
      </c>
      <c r="P339" s="214" t="s">
        <v>15</v>
      </c>
      <c r="Q339" s="214" t="s">
        <v>15</v>
      </c>
      <c r="R339" s="214" t="s">
        <v>15</v>
      </c>
      <c r="S339" s="214" t="s">
        <v>15</v>
      </c>
      <c r="T339" s="214" t="s">
        <v>15</v>
      </c>
      <c r="U339" s="214" t="s">
        <v>15</v>
      </c>
      <c r="V339" s="214" t="s">
        <v>15</v>
      </c>
      <c r="W339" s="214" t="s">
        <v>15</v>
      </c>
      <c r="X339" s="214" t="s">
        <v>15</v>
      </c>
      <c r="Y339" s="214" t="s">
        <v>20</v>
      </c>
      <c r="Z339" s="234"/>
      <c r="AA339" s="214" t="s">
        <v>636</v>
      </c>
      <c r="AB339" s="214" t="s">
        <v>15</v>
      </c>
      <c r="AC339" s="214" t="s">
        <v>20</v>
      </c>
      <c r="AD339" s="320" t="s">
        <v>755</v>
      </c>
      <c r="AE339" s="320"/>
      <c r="AF339" s="162" t="str">
        <f t="shared" si="20"/>
        <v/>
      </c>
      <c r="AG339" s="162" t="str">
        <f t="shared" si="21"/>
        <v/>
      </c>
      <c r="AH339" s="164">
        <f t="shared" si="22"/>
        <v>0.30099999999999999</v>
      </c>
      <c r="AI339" s="164" t="str">
        <f t="shared" si="23"/>
        <v/>
      </c>
      <c r="AJ339" s="369"/>
      <c r="AK339" s="369"/>
      <c r="AL339" s="369"/>
      <c r="AM339" s="369"/>
      <c r="AN339" s="369"/>
      <c r="AO339" s="369"/>
      <c r="AP339" s="369"/>
      <c r="AQ339" s="369"/>
      <c r="AR339" s="369"/>
      <c r="AS339" s="195"/>
      <c r="AT339" s="195"/>
      <c r="AU339" s="377"/>
      <c r="AV339" s="382"/>
      <c r="AW339" s="426">
        <v>0.30099999999999999</v>
      </c>
      <c r="AX339" s="359"/>
      <c r="AY339" s="359"/>
      <c r="AZ339" s="359"/>
      <c r="BA339" s="359"/>
      <c r="BB339" s="359"/>
      <c r="BC339" s="359"/>
      <c r="BD339" s="359"/>
      <c r="BE339" s="359">
        <v>1.4999999999999999E-2</v>
      </c>
      <c r="BF339" s="474">
        <v>0.30099999999999999</v>
      </c>
      <c r="BG339" s="469"/>
      <c r="BH339" s="341"/>
      <c r="BI339" s="446" t="s">
        <v>47</v>
      </c>
      <c r="BJ339" s="506" t="s">
        <v>3097</v>
      </c>
    </row>
    <row r="340" spans="1:62" ht="15.75" customHeight="1" thickBot="1" x14ac:dyDescent="0.25">
      <c r="A340" s="174">
        <v>339</v>
      </c>
      <c r="B340" s="175">
        <v>1</v>
      </c>
      <c r="C340" s="166" t="s">
        <v>760</v>
      </c>
      <c r="D340" s="166" t="s">
        <v>761</v>
      </c>
      <c r="E340" s="166" t="s">
        <v>13</v>
      </c>
      <c r="F340" s="166" t="s">
        <v>762</v>
      </c>
      <c r="G340" s="166" t="s">
        <v>20</v>
      </c>
      <c r="H340" s="166" t="s">
        <v>73</v>
      </c>
      <c r="I340" s="181">
        <v>2014</v>
      </c>
      <c r="J340" s="181" t="s">
        <v>753</v>
      </c>
      <c r="K340" s="181" t="s">
        <v>754</v>
      </c>
      <c r="L340" s="181" t="s">
        <v>19</v>
      </c>
      <c r="M340" s="556" t="s">
        <v>4159</v>
      </c>
      <c r="N340" s="214" t="s">
        <v>20</v>
      </c>
      <c r="O340" s="214" t="s">
        <v>15</v>
      </c>
      <c r="P340" s="214" t="s">
        <v>15</v>
      </c>
      <c r="Q340" s="214" t="s">
        <v>15</v>
      </c>
      <c r="R340" s="214" t="s">
        <v>15</v>
      </c>
      <c r="S340" s="214" t="s">
        <v>15</v>
      </c>
      <c r="T340" s="214" t="s">
        <v>15</v>
      </c>
      <c r="U340" s="214" t="s">
        <v>15</v>
      </c>
      <c r="V340" s="214" t="s">
        <v>15</v>
      </c>
      <c r="W340" s="214" t="s">
        <v>15</v>
      </c>
      <c r="X340" s="214" t="s">
        <v>15</v>
      </c>
      <c r="Y340" s="214" t="s">
        <v>20</v>
      </c>
      <c r="Z340" s="234"/>
      <c r="AA340" s="214" t="s">
        <v>636</v>
      </c>
      <c r="AB340" s="214" t="s">
        <v>15</v>
      </c>
      <c r="AC340" s="214" t="s">
        <v>20</v>
      </c>
      <c r="AD340" s="320" t="s">
        <v>755</v>
      </c>
      <c r="AE340" s="320"/>
      <c r="AF340" s="162" t="str">
        <f t="shared" si="20"/>
        <v/>
      </c>
      <c r="AG340" s="162" t="str">
        <f t="shared" si="21"/>
        <v/>
      </c>
      <c r="AH340" s="164">
        <f t="shared" si="22"/>
        <v>0.97199999999999998</v>
      </c>
      <c r="AI340" s="164" t="str">
        <f t="shared" si="23"/>
        <v/>
      </c>
      <c r="AJ340" s="369"/>
      <c r="AK340" s="369"/>
      <c r="AL340" s="369"/>
      <c r="AM340" s="369"/>
      <c r="AN340" s="369"/>
      <c r="AO340" s="369"/>
      <c r="AP340" s="369"/>
      <c r="AQ340" s="369"/>
      <c r="AR340" s="369"/>
      <c r="AS340" s="195"/>
      <c r="AT340" s="195"/>
      <c r="AU340" s="377"/>
      <c r="AV340" s="382"/>
      <c r="AW340" s="426">
        <v>0.97199999999999998</v>
      </c>
      <c r="AX340" s="359"/>
      <c r="AY340" s="359"/>
      <c r="AZ340" s="359"/>
      <c r="BA340" s="359"/>
      <c r="BB340" s="359"/>
      <c r="BC340" s="359"/>
      <c r="BD340" s="359"/>
      <c r="BE340" s="359">
        <v>0.109</v>
      </c>
      <c r="BF340" s="474">
        <v>0.97199999999999998</v>
      </c>
      <c r="BG340" s="469"/>
      <c r="BH340" s="341"/>
      <c r="BI340" s="446" t="s">
        <v>47</v>
      </c>
      <c r="BJ340" s="506" t="s">
        <v>3097</v>
      </c>
    </row>
    <row r="341" spans="1:62" ht="15.75" customHeight="1" thickBot="1" x14ac:dyDescent="0.25">
      <c r="A341" s="176">
        <v>340</v>
      </c>
      <c r="B341" s="175">
        <v>1</v>
      </c>
      <c r="C341" s="166" t="s">
        <v>236</v>
      </c>
      <c r="D341" s="166" t="s">
        <v>597</v>
      </c>
      <c r="E341" s="166" t="s">
        <v>13</v>
      </c>
      <c r="F341" s="166" t="s">
        <v>763</v>
      </c>
      <c r="G341" s="166" t="s">
        <v>20</v>
      </c>
      <c r="H341" s="166" t="s">
        <v>73</v>
      </c>
      <c r="I341" s="181">
        <v>2014</v>
      </c>
      <c r="J341" s="181" t="s">
        <v>753</v>
      </c>
      <c r="K341" s="181" t="s">
        <v>754</v>
      </c>
      <c r="L341" s="181" t="s">
        <v>19</v>
      </c>
      <c r="M341" s="556" t="s">
        <v>4159</v>
      </c>
      <c r="N341" s="214" t="s">
        <v>20</v>
      </c>
      <c r="O341" s="214" t="s">
        <v>15</v>
      </c>
      <c r="P341" s="214" t="s">
        <v>15</v>
      </c>
      <c r="Q341" s="214" t="s">
        <v>15</v>
      </c>
      <c r="R341" s="214" t="s">
        <v>15</v>
      </c>
      <c r="S341" s="214" t="s">
        <v>15</v>
      </c>
      <c r="T341" s="214" t="s">
        <v>15</v>
      </c>
      <c r="U341" s="214" t="s">
        <v>15</v>
      </c>
      <c r="V341" s="214" t="s">
        <v>15</v>
      </c>
      <c r="W341" s="214" t="s">
        <v>15</v>
      </c>
      <c r="X341" s="214" t="s">
        <v>15</v>
      </c>
      <c r="Y341" s="214" t="s">
        <v>20</v>
      </c>
      <c r="Z341" s="234"/>
      <c r="AA341" s="214" t="s">
        <v>636</v>
      </c>
      <c r="AB341" s="214" t="s">
        <v>15</v>
      </c>
      <c r="AC341" s="214" t="s">
        <v>20</v>
      </c>
      <c r="AD341" s="320" t="s">
        <v>755</v>
      </c>
      <c r="AE341" s="320"/>
      <c r="AF341" s="162" t="str">
        <f t="shared" si="20"/>
        <v/>
      </c>
      <c r="AG341" s="162" t="str">
        <f t="shared" si="21"/>
        <v/>
      </c>
      <c r="AH341" s="164">
        <f t="shared" si="22"/>
        <v>0.158</v>
      </c>
      <c r="AI341" s="164" t="str">
        <f t="shared" si="23"/>
        <v/>
      </c>
      <c r="AJ341" s="369"/>
      <c r="AK341" s="369"/>
      <c r="AL341" s="369"/>
      <c r="AM341" s="369"/>
      <c r="AN341" s="369"/>
      <c r="AO341" s="369"/>
      <c r="AP341" s="369"/>
      <c r="AQ341" s="369"/>
      <c r="AR341" s="369"/>
      <c r="AS341" s="195"/>
      <c r="AT341" s="195"/>
      <c r="AU341" s="377"/>
      <c r="AV341" s="382"/>
      <c r="AW341" s="426">
        <v>0.158</v>
      </c>
      <c r="AX341" s="359"/>
      <c r="AY341" s="359"/>
      <c r="AZ341" s="359"/>
      <c r="BA341" s="359"/>
      <c r="BB341" s="359"/>
      <c r="BC341" s="359"/>
      <c r="BD341" s="359"/>
      <c r="BE341" s="359">
        <v>6.0000000000000001E-3</v>
      </c>
      <c r="BF341" s="474">
        <v>0.158</v>
      </c>
      <c r="BG341" s="469"/>
      <c r="BH341" s="341"/>
      <c r="BI341" s="446" t="s">
        <v>47</v>
      </c>
      <c r="BJ341" s="506" t="s">
        <v>3097</v>
      </c>
    </row>
    <row r="342" spans="1:62" ht="15.75" customHeight="1" thickBot="1" x14ac:dyDescent="0.25">
      <c r="A342" s="174">
        <v>341</v>
      </c>
      <c r="B342" s="175">
        <v>1</v>
      </c>
      <c r="C342" s="166" t="s">
        <v>236</v>
      </c>
      <c r="D342" s="166" t="s">
        <v>2098</v>
      </c>
      <c r="E342" s="166" t="s">
        <v>13</v>
      </c>
      <c r="F342" s="166" t="s">
        <v>764</v>
      </c>
      <c r="G342" s="166" t="s">
        <v>20</v>
      </c>
      <c r="H342" s="166" t="s">
        <v>73</v>
      </c>
      <c r="I342" s="181">
        <v>2014</v>
      </c>
      <c r="J342" s="181" t="s">
        <v>753</v>
      </c>
      <c r="K342" s="181" t="s">
        <v>754</v>
      </c>
      <c r="L342" s="181" t="s">
        <v>19</v>
      </c>
      <c r="M342" s="556" t="s">
        <v>4159</v>
      </c>
      <c r="N342" s="214" t="s">
        <v>20</v>
      </c>
      <c r="O342" s="214" t="s">
        <v>15</v>
      </c>
      <c r="P342" s="214" t="s">
        <v>15</v>
      </c>
      <c r="Q342" s="214" t="s">
        <v>15</v>
      </c>
      <c r="R342" s="214" t="s">
        <v>15</v>
      </c>
      <c r="S342" s="214" t="s">
        <v>15</v>
      </c>
      <c r="T342" s="214" t="s">
        <v>15</v>
      </c>
      <c r="U342" s="214" t="s">
        <v>15</v>
      </c>
      <c r="V342" s="214" t="s">
        <v>15</v>
      </c>
      <c r="W342" s="214" t="s">
        <v>15</v>
      </c>
      <c r="X342" s="214" t="s">
        <v>15</v>
      </c>
      <c r="Y342" s="214" t="s">
        <v>20</v>
      </c>
      <c r="Z342" s="234"/>
      <c r="AA342" s="214" t="s">
        <v>636</v>
      </c>
      <c r="AB342" s="214" t="s">
        <v>15</v>
      </c>
      <c r="AC342" s="214" t="s">
        <v>20</v>
      </c>
      <c r="AD342" s="320" t="s">
        <v>755</v>
      </c>
      <c r="AE342" s="320"/>
      <c r="AF342" s="162" t="str">
        <f t="shared" si="20"/>
        <v/>
      </c>
      <c r="AG342" s="162" t="str">
        <f t="shared" si="21"/>
        <v/>
      </c>
      <c r="AH342" s="164">
        <f t="shared" si="22"/>
        <v>0.32400000000000001</v>
      </c>
      <c r="AI342" s="164" t="str">
        <f t="shared" si="23"/>
        <v/>
      </c>
      <c r="AJ342" s="369"/>
      <c r="AK342" s="369"/>
      <c r="AL342" s="369"/>
      <c r="AM342" s="369"/>
      <c r="AN342" s="369"/>
      <c r="AO342" s="369"/>
      <c r="AP342" s="369"/>
      <c r="AQ342" s="369"/>
      <c r="AR342" s="369"/>
      <c r="AS342" s="195"/>
      <c r="AT342" s="195"/>
      <c r="AU342" s="377"/>
      <c r="AV342" s="382"/>
      <c r="AW342" s="426">
        <v>0.32400000000000001</v>
      </c>
      <c r="AX342" s="359"/>
      <c r="AY342" s="359"/>
      <c r="AZ342" s="359"/>
      <c r="BA342" s="359"/>
      <c r="BB342" s="359"/>
      <c r="BC342" s="359"/>
      <c r="BD342" s="359"/>
      <c r="BE342" s="359">
        <v>0.01</v>
      </c>
      <c r="BF342" s="474">
        <v>0.32400000000000001</v>
      </c>
      <c r="BG342" s="469"/>
      <c r="BH342" s="341"/>
      <c r="BI342" s="446" t="s">
        <v>47</v>
      </c>
      <c r="BJ342" s="506" t="s">
        <v>3097</v>
      </c>
    </row>
    <row r="343" spans="1:62" ht="15.75" customHeight="1" thickBot="1" x14ac:dyDescent="0.25">
      <c r="A343" s="176">
        <v>342</v>
      </c>
      <c r="B343" s="175">
        <v>1</v>
      </c>
      <c r="C343" s="166" t="s">
        <v>236</v>
      </c>
      <c r="D343" s="166" t="s">
        <v>843</v>
      </c>
      <c r="E343" s="166" t="s">
        <v>13</v>
      </c>
      <c r="F343" s="166" t="s">
        <v>765</v>
      </c>
      <c r="G343" s="166" t="s">
        <v>20</v>
      </c>
      <c r="H343" s="166" t="s">
        <v>73</v>
      </c>
      <c r="I343" s="181">
        <v>2014</v>
      </c>
      <c r="J343" s="181" t="s">
        <v>753</v>
      </c>
      <c r="K343" s="181" t="s">
        <v>754</v>
      </c>
      <c r="L343" s="181" t="s">
        <v>19</v>
      </c>
      <c r="M343" s="556" t="s">
        <v>4159</v>
      </c>
      <c r="N343" s="214" t="s">
        <v>20</v>
      </c>
      <c r="O343" s="214" t="s">
        <v>15</v>
      </c>
      <c r="P343" s="214" t="s">
        <v>15</v>
      </c>
      <c r="Q343" s="214" t="s">
        <v>15</v>
      </c>
      <c r="R343" s="214" t="s">
        <v>15</v>
      </c>
      <c r="S343" s="214" t="s">
        <v>15</v>
      </c>
      <c r="T343" s="214" t="s">
        <v>15</v>
      </c>
      <c r="U343" s="214" t="s">
        <v>15</v>
      </c>
      <c r="V343" s="214" t="s">
        <v>15</v>
      </c>
      <c r="W343" s="214" t="s">
        <v>15</v>
      </c>
      <c r="X343" s="214" t="s">
        <v>15</v>
      </c>
      <c r="Y343" s="214" t="s">
        <v>20</v>
      </c>
      <c r="Z343" s="234"/>
      <c r="AA343" s="214" t="s">
        <v>636</v>
      </c>
      <c r="AB343" s="214" t="s">
        <v>15</v>
      </c>
      <c r="AC343" s="214" t="s">
        <v>20</v>
      </c>
      <c r="AD343" s="320" t="s">
        <v>755</v>
      </c>
      <c r="AE343" s="320"/>
      <c r="AF343" s="162" t="str">
        <f t="shared" si="20"/>
        <v/>
      </c>
      <c r="AG343" s="162" t="str">
        <f t="shared" si="21"/>
        <v/>
      </c>
      <c r="AH343" s="164">
        <f t="shared" si="22"/>
        <v>0.83</v>
      </c>
      <c r="AI343" s="164" t="str">
        <f t="shared" si="23"/>
        <v/>
      </c>
      <c r="AJ343" s="369"/>
      <c r="AK343" s="369"/>
      <c r="AL343" s="369"/>
      <c r="AM343" s="369"/>
      <c r="AN343" s="369"/>
      <c r="AO343" s="369"/>
      <c r="AP343" s="369"/>
      <c r="AQ343" s="369"/>
      <c r="AR343" s="369"/>
      <c r="AS343" s="195"/>
      <c r="AT343" s="195"/>
      <c r="AU343" s="377"/>
      <c r="AV343" s="382"/>
      <c r="AW343" s="426">
        <v>0.83</v>
      </c>
      <c r="AX343" s="359"/>
      <c r="AY343" s="359"/>
      <c r="AZ343" s="359"/>
      <c r="BA343" s="359"/>
      <c r="BB343" s="359"/>
      <c r="BC343" s="359"/>
      <c r="BD343" s="359"/>
      <c r="BE343" s="359">
        <v>1.2999999999999999E-2</v>
      </c>
      <c r="BF343" s="474">
        <v>0.83</v>
      </c>
      <c r="BG343" s="469"/>
      <c r="BH343" s="341"/>
      <c r="BI343" s="446" t="s">
        <v>47</v>
      </c>
      <c r="BJ343" s="506" t="s">
        <v>3097</v>
      </c>
    </row>
    <row r="344" spans="1:62" ht="15.75" customHeight="1" thickBot="1" x14ac:dyDescent="0.25">
      <c r="A344" s="174">
        <v>343</v>
      </c>
      <c r="B344" s="175">
        <v>1</v>
      </c>
      <c r="C344" s="166" t="s">
        <v>236</v>
      </c>
      <c r="D344" s="166" t="s">
        <v>756</v>
      </c>
      <c r="E344" s="166" t="s">
        <v>13</v>
      </c>
      <c r="F344" s="166" t="s">
        <v>766</v>
      </c>
      <c r="G344" s="166" t="s">
        <v>20</v>
      </c>
      <c r="H344" s="166" t="s">
        <v>73</v>
      </c>
      <c r="I344" s="181">
        <v>2014</v>
      </c>
      <c r="J344" s="181" t="s">
        <v>753</v>
      </c>
      <c r="K344" s="181" t="s">
        <v>754</v>
      </c>
      <c r="L344" s="181" t="s">
        <v>19</v>
      </c>
      <c r="M344" s="556" t="s">
        <v>4159</v>
      </c>
      <c r="N344" s="214" t="s">
        <v>20</v>
      </c>
      <c r="O344" s="214" t="s">
        <v>15</v>
      </c>
      <c r="P344" s="214" t="s">
        <v>15</v>
      </c>
      <c r="Q344" s="214" t="s">
        <v>15</v>
      </c>
      <c r="R344" s="214" t="s">
        <v>15</v>
      </c>
      <c r="S344" s="214" t="s">
        <v>15</v>
      </c>
      <c r="T344" s="214" t="s">
        <v>15</v>
      </c>
      <c r="U344" s="214" t="s">
        <v>15</v>
      </c>
      <c r="V344" s="214" t="s">
        <v>15</v>
      </c>
      <c r="W344" s="214" t="s">
        <v>15</v>
      </c>
      <c r="X344" s="214" t="s">
        <v>15</v>
      </c>
      <c r="Y344" s="214" t="s">
        <v>20</v>
      </c>
      <c r="Z344" s="234"/>
      <c r="AA344" s="214" t="s">
        <v>636</v>
      </c>
      <c r="AB344" s="214" t="s">
        <v>15</v>
      </c>
      <c r="AC344" s="214" t="s">
        <v>20</v>
      </c>
      <c r="AD344" s="320" t="s">
        <v>755</v>
      </c>
      <c r="AE344" s="320"/>
      <c r="AF344" s="162" t="str">
        <f t="shared" si="20"/>
        <v/>
      </c>
      <c r="AG344" s="162" t="str">
        <f t="shared" si="21"/>
        <v/>
      </c>
      <c r="AH344" s="164">
        <f t="shared" si="22"/>
        <v>0.94</v>
      </c>
      <c r="AI344" s="164" t="str">
        <f t="shared" si="23"/>
        <v/>
      </c>
      <c r="AJ344" s="369"/>
      <c r="AK344" s="369"/>
      <c r="AL344" s="369"/>
      <c r="AM344" s="369"/>
      <c r="AN344" s="369"/>
      <c r="AO344" s="369"/>
      <c r="AP344" s="369"/>
      <c r="AQ344" s="369"/>
      <c r="AR344" s="369"/>
      <c r="AS344" s="195"/>
      <c r="AT344" s="195"/>
      <c r="AU344" s="377"/>
      <c r="AV344" s="382"/>
      <c r="AW344" s="426">
        <v>0.94</v>
      </c>
      <c r="AX344" s="359"/>
      <c r="AY344" s="359"/>
      <c r="AZ344" s="359"/>
      <c r="BA344" s="359"/>
      <c r="BB344" s="359"/>
      <c r="BC344" s="359"/>
      <c r="BD344" s="359"/>
      <c r="BE344" s="359">
        <v>1.7000000000000001E-2</v>
      </c>
      <c r="BF344" s="474">
        <v>0.94</v>
      </c>
      <c r="BG344" s="469"/>
      <c r="BH344" s="341"/>
      <c r="BI344" s="446" t="s">
        <v>47</v>
      </c>
      <c r="BJ344" s="506" t="s">
        <v>3097</v>
      </c>
    </row>
    <row r="345" spans="1:62" ht="15.75" customHeight="1" thickBot="1" x14ac:dyDescent="0.25">
      <c r="A345" s="176">
        <v>344</v>
      </c>
      <c r="B345" s="175">
        <v>1</v>
      </c>
      <c r="C345" s="166" t="s">
        <v>236</v>
      </c>
      <c r="D345" s="166" t="s">
        <v>758</v>
      </c>
      <c r="E345" s="166" t="s">
        <v>13</v>
      </c>
      <c r="F345" s="166" t="s">
        <v>767</v>
      </c>
      <c r="G345" s="166" t="s">
        <v>20</v>
      </c>
      <c r="H345" s="166" t="s">
        <v>73</v>
      </c>
      <c r="I345" s="181">
        <v>2014</v>
      </c>
      <c r="J345" s="181" t="s">
        <v>753</v>
      </c>
      <c r="K345" s="181" t="s">
        <v>754</v>
      </c>
      <c r="L345" s="181" t="s">
        <v>19</v>
      </c>
      <c r="M345" s="556" t="s">
        <v>4159</v>
      </c>
      <c r="N345" s="214" t="s">
        <v>20</v>
      </c>
      <c r="O345" s="214" t="s">
        <v>15</v>
      </c>
      <c r="P345" s="214" t="s">
        <v>15</v>
      </c>
      <c r="Q345" s="214" t="s">
        <v>15</v>
      </c>
      <c r="R345" s="214" t="s">
        <v>15</v>
      </c>
      <c r="S345" s="214" t="s">
        <v>15</v>
      </c>
      <c r="T345" s="214" t="s">
        <v>15</v>
      </c>
      <c r="U345" s="214" t="s">
        <v>15</v>
      </c>
      <c r="V345" s="214" t="s">
        <v>15</v>
      </c>
      <c r="W345" s="214" t="s">
        <v>15</v>
      </c>
      <c r="X345" s="214" t="s">
        <v>15</v>
      </c>
      <c r="Y345" s="214" t="s">
        <v>20</v>
      </c>
      <c r="Z345" s="234"/>
      <c r="AA345" s="214" t="s">
        <v>636</v>
      </c>
      <c r="AB345" s="214" t="s">
        <v>15</v>
      </c>
      <c r="AC345" s="214" t="s">
        <v>20</v>
      </c>
      <c r="AD345" s="320" t="s">
        <v>755</v>
      </c>
      <c r="AE345" s="320"/>
      <c r="AF345" s="162" t="str">
        <f t="shared" si="20"/>
        <v/>
      </c>
      <c r="AG345" s="162" t="str">
        <f t="shared" si="21"/>
        <v/>
      </c>
      <c r="AH345" s="164">
        <f t="shared" si="22"/>
        <v>0.113</v>
      </c>
      <c r="AI345" s="164" t="str">
        <f t="shared" si="23"/>
        <v/>
      </c>
      <c r="AJ345" s="369"/>
      <c r="AK345" s="369"/>
      <c r="AL345" s="369"/>
      <c r="AM345" s="369"/>
      <c r="AN345" s="369"/>
      <c r="AO345" s="369"/>
      <c r="AP345" s="369"/>
      <c r="AQ345" s="369"/>
      <c r="AR345" s="369"/>
      <c r="AS345" s="195"/>
      <c r="AT345" s="195"/>
      <c r="AU345" s="377"/>
      <c r="AV345" s="382"/>
      <c r="AW345" s="426">
        <v>0.113</v>
      </c>
      <c r="AX345" s="359"/>
      <c r="AY345" s="359"/>
      <c r="AZ345" s="359"/>
      <c r="BA345" s="359"/>
      <c r="BB345" s="359"/>
      <c r="BC345" s="359"/>
      <c r="BD345" s="359"/>
      <c r="BE345" s="359">
        <v>1.4999999999999999E-2</v>
      </c>
      <c r="BF345" s="474">
        <v>0.113</v>
      </c>
      <c r="BG345" s="469"/>
      <c r="BH345" s="341"/>
      <c r="BI345" s="446" t="s">
        <v>47</v>
      </c>
      <c r="BJ345" s="506" t="s">
        <v>3097</v>
      </c>
    </row>
    <row r="346" spans="1:62" ht="15.75" customHeight="1" thickBot="1" x14ac:dyDescent="0.25">
      <c r="A346" s="174">
        <v>345</v>
      </c>
      <c r="B346" s="175">
        <v>1</v>
      </c>
      <c r="C346" s="166" t="s">
        <v>760</v>
      </c>
      <c r="D346" s="166" t="s">
        <v>761</v>
      </c>
      <c r="E346" s="166" t="s">
        <v>13</v>
      </c>
      <c r="F346" s="166" t="s">
        <v>768</v>
      </c>
      <c r="G346" s="166" t="s">
        <v>20</v>
      </c>
      <c r="H346" s="166" t="s">
        <v>73</v>
      </c>
      <c r="I346" s="181">
        <v>2014</v>
      </c>
      <c r="J346" s="181" t="s">
        <v>753</v>
      </c>
      <c r="K346" s="181" t="s">
        <v>754</v>
      </c>
      <c r="L346" s="181" t="s">
        <v>19</v>
      </c>
      <c r="M346" s="556" t="s">
        <v>4159</v>
      </c>
      <c r="N346" s="214" t="s">
        <v>20</v>
      </c>
      <c r="O346" s="214" t="s">
        <v>15</v>
      </c>
      <c r="P346" s="214" t="s">
        <v>15</v>
      </c>
      <c r="Q346" s="214" t="s">
        <v>15</v>
      </c>
      <c r="R346" s="214" t="s">
        <v>15</v>
      </c>
      <c r="S346" s="214" t="s">
        <v>15</v>
      </c>
      <c r="T346" s="214" t="s">
        <v>15</v>
      </c>
      <c r="U346" s="214" t="s">
        <v>15</v>
      </c>
      <c r="V346" s="214" t="s">
        <v>15</v>
      </c>
      <c r="W346" s="214" t="s">
        <v>15</v>
      </c>
      <c r="X346" s="214" t="s">
        <v>15</v>
      </c>
      <c r="Y346" s="214" t="s">
        <v>20</v>
      </c>
      <c r="Z346" s="234"/>
      <c r="AA346" s="214" t="s">
        <v>636</v>
      </c>
      <c r="AB346" s="214" t="s">
        <v>15</v>
      </c>
      <c r="AC346" s="214" t="s">
        <v>20</v>
      </c>
      <c r="AD346" s="320" t="s">
        <v>755</v>
      </c>
      <c r="AE346" s="320"/>
      <c r="AF346" s="162" t="str">
        <f t="shared" si="20"/>
        <v/>
      </c>
      <c r="AG346" s="162" t="str">
        <f t="shared" si="21"/>
        <v/>
      </c>
      <c r="AH346" s="164">
        <f t="shared" si="22"/>
        <v>0.95499999999999996</v>
      </c>
      <c r="AI346" s="164" t="str">
        <f t="shared" si="23"/>
        <v/>
      </c>
      <c r="AJ346" s="369"/>
      <c r="AK346" s="369"/>
      <c r="AL346" s="369"/>
      <c r="AM346" s="369"/>
      <c r="AN346" s="369"/>
      <c r="AO346" s="369"/>
      <c r="AP346" s="369"/>
      <c r="AQ346" s="369"/>
      <c r="AR346" s="369"/>
      <c r="AS346" s="195"/>
      <c r="AT346" s="195"/>
      <c r="AU346" s="377"/>
      <c r="AV346" s="382"/>
      <c r="AW346" s="426">
        <v>0.95499999999999996</v>
      </c>
      <c r="AX346" s="359"/>
      <c r="AY346" s="359"/>
      <c r="AZ346" s="359"/>
      <c r="BA346" s="359"/>
      <c r="BB346" s="359"/>
      <c r="BC346" s="359"/>
      <c r="BD346" s="359"/>
      <c r="BE346" s="359">
        <v>0.121</v>
      </c>
      <c r="BF346" s="474">
        <v>0.95499999999999996</v>
      </c>
      <c r="BG346" s="469"/>
      <c r="BH346" s="341"/>
      <c r="BI346" s="446" t="s">
        <v>47</v>
      </c>
      <c r="BJ346" s="506" t="s">
        <v>3097</v>
      </c>
    </row>
    <row r="347" spans="1:62" ht="15.75" customHeight="1" thickBot="1" x14ac:dyDescent="0.25">
      <c r="A347" s="176">
        <v>346</v>
      </c>
      <c r="B347" s="175">
        <v>1</v>
      </c>
      <c r="C347" s="166" t="s">
        <v>236</v>
      </c>
      <c r="D347" s="166" t="s">
        <v>597</v>
      </c>
      <c r="E347" s="166" t="s">
        <v>13</v>
      </c>
      <c r="F347" s="166" t="s">
        <v>769</v>
      </c>
      <c r="G347" s="166" t="s">
        <v>20</v>
      </c>
      <c r="H347" s="166" t="s">
        <v>73</v>
      </c>
      <c r="I347" s="181">
        <v>2014</v>
      </c>
      <c r="J347" s="181" t="s">
        <v>753</v>
      </c>
      <c r="K347" s="181" t="s">
        <v>754</v>
      </c>
      <c r="L347" s="181" t="s">
        <v>19</v>
      </c>
      <c r="M347" s="556" t="s">
        <v>4159</v>
      </c>
      <c r="N347" s="214" t="s">
        <v>20</v>
      </c>
      <c r="O347" s="214" t="s">
        <v>15</v>
      </c>
      <c r="P347" s="214" t="s">
        <v>15</v>
      </c>
      <c r="Q347" s="214" t="s">
        <v>15</v>
      </c>
      <c r="R347" s="214" t="s">
        <v>15</v>
      </c>
      <c r="S347" s="214" t="s">
        <v>15</v>
      </c>
      <c r="T347" s="214" t="s">
        <v>15</v>
      </c>
      <c r="U347" s="214" t="s">
        <v>15</v>
      </c>
      <c r="V347" s="214" t="s">
        <v>15</v>
      </c>
      <c r="W347" s="214" t="s">
        <v>15</v>
      </c>
      <c r="X347" s="214" t="s">
        <v>15</v>
      </c>
      <c r="Y347" s="214" t="s">
        <v>20</v>
      </c>
      <c r="Z347" s="234"/>
      <c r="AA347" s="214" t="s">
        <v>636</v>
      </c>
      <c r="AB347" s="214" t="s">
        <v>15</v>
      </c>
      <c r="AC347" s="214" t="s">
        <v>20</v>
      </c>
      <c r="AD347" s="320" t="s">
        <v>755</v>
      </c>
      <c r="AE347" s="320"/>
      <c r="AF347" s="162" t="str">
        <f t="shared" si="20"/>
        <v/>
      </c>
      <c r="AG347" s="162" t="str">
        <f t="shared" si="21"/>
        <v/>
      </c>
      <c r="AH347" s="164">
        <f t="shared" si="22"/>
        <v>0.106</v>
      </c>
      <c r="AI347" s="164" t="str">
        <f t="shared" si="23"/>
        <v/>
      </c>
      <c r="AJ347" s="369"/>
      <c r="AK347" s="369"/>
      <c r="AL347" s="369"/>
      <c r="AM347" s="369"/>
      <c r="AN347" s="369"/>
      <c r="AO347" s="369"/>
      <c r="AP347" s="369"/>
      <c r="AQ347" s="369"/>
      <c r="AR347" s="369"/>
      <c r="AS347" s="195"/>
      <c r="AT347" s="195"/>
      <c r="AU347" s="377"/>
      <c r="AV347" s="382"/>
      <c r="AW347" s="426">
        <v>0.106</v>
      </c>
      <c r="AX347" s="359"/>
      <c r="AY347" s="359"/>
      <c r="AZ347" s="359"/>
      <c r="BA347" s="359"/>
      <c r="BB347" s="359"/>
      <c r="BC347" s="359"/>
      <c r="BD347" s="359"/>
      <c r="BE347" s="359">
        <v>8.0000000000000002E-3</v>
      </c>
      <c r="BF347" s="474">
        <v>0.106</v>
      </c>
      <c r="BG347" s="469"/>
      <c r="BH347" s="341"/>
      <c r="BI347" s="446" t="s">
        <v>47</v>
      </c>
      <c r="BJ347" s="506" t="s">
        <v>3097</v>
      </c>
    </row>
    <row r="348" spans="1:62" ht="15.75" customHeight="1" thickBot="1" x14ac:dyDescent="0.25">
      <c r="A348" s="174">
        <v>347</v>
      </c>
      <c r="B348" s="175">
        <v>1</v>
      </c>
      <c r="C348" s="166" t="s">
        <v>236</v>
      </c>
      <c r="D348" s="166" t="s">
        <v>3295</v>
      </c>
      <c r="E348" s="166" t="s">
        <v>13</v>
      </c>
      <c r="F348" s="166" t="s">
        <v>770</v>
      </c>
      <c r="G348" s="166" t="s">
        <v>20</v>
      </c>
      <c r="H348" s="166" t="s">
        <v>73</v>
      </c>
      <c r="I348" s="181">
        <v>2014</v>
      </c>
      <c r="J348" s="181" t="s">
        <v>753</v>
      </c>
      <c r="K348" s="181" t="s">
        <v>754</v>
      </c>
      <c r="L348" s="181" t="s">
        <v>19</v>
      </c>
      <c r="M348" s="556" t="s">
        <v>4159</v>
      </c>
      <c r="N348" s="214" t="s">
        <v>20</v>
      </c>
      <c r="O348" s="214" t="s">
        <v>15</v>
      </c>
      <c r="P348" s="214" t="s">
        <v>15</v>
      </c>
      <c r="Q348" s="214" t="s">
        <v>15</v>
      </c>
      <c r="R348" s="214" t="s">
        <v>15</v>
      </c>
      <c r="S348" s="214" t="s">
        <v>15</v>
      </c>
      <c r="T348" s="214" t="s">
        <v>15</v>
      </c>
      <c r="U348" s="214" t="s">
        <v>15</v>
      </c>
      <c r="V348" s="214" t="s">
        <v>15</v>
      </c>
      <c r="W348" s="214" t="s">
        <v>15</v>
      </c>
      <c r="X348" s="214" t="s">
        <v>15</v>
      </c>
      <c r="Y348" s="214" t="s">
        <v>20</v>
      </c>
      <c r="Z348" s="234"/>
      <c r="AA348" s="214" t="s">
        <v>636</v>
      </c>
      <c r="AB348" s="214" t="s">
        <v>15</v>
      </c>
      <c r="AC348" s="214" t="s">
        <v>20</v>
      </c>
      <c r="AD348" s="320" t="s">
        <v>755</v>
      </c>
      <c r="AE348" s="320"/>
      <c r="AF348" s="162" t="str">
        <f t="shared" si="20"/>
        <v/>
      </c>
      <c r="AG348" s="162" t="str">
        <f t="shared" si="21"/>
        <v/>
      </c>
      <c r="AH348" s="164">
        <f t="shared" si="22"/>
        <v>-0.01</v>
      </c>
      <c r="AI348" s="164" t="str">
        <f t="shared" si="23"/>
        <v/>
      </c>
      <c r="AJ348" s="369"/>
      <c r="AK348" s="369"/>
      <c r="AL348" s="369"/>
      <c r="AM348" s="369"/>
      <c r="AN348" s="369"/>
      <c r="AO348" s="369"/>
      <c r="AP348" s="369"/>
      <c r="AQ348" s="369"/>
      <c r="AR348" s="369"/>
      <c r="AS348" s="195"/>
      <c r="AT348" s="195"/>
      <c r="AU348" s="377"/>
      <c r="AW348" s="426">
        <v>-0.01</v>
      </c>
      <c r="AX348" s="359"/>
      <c r="AY348" s="359"/>
      <c r="AZ348" s="359"/>
      <c r="BA348" s="359"/>
      <c r="BB348" s="359"/>
      <c r="BC348" s="359"/>
      <c r="BD348" s="359"/>
      <c r="BE348" s="359">
        <v>8.9999999999999993E-3</v>
      </c>
      <c r="BF348" s="474">
        <v>-0.01</v>
      </c>
      <c r="BG348" s="469"/>
      <c r="BH348" s="341"/>
      <c r="BI348" s="446" t="s">
        <v>47</v>
      </c>
      <c r="BJ348" s="506" t="s">
        <v>3097</v>
      </c>
    </row>
    <row r="349" spans="1:62" ht="15.75" customHeight="1" thickBot="1" x14ac:dyDescent="0.25">
      <c r="A349" s="176">
        <v>348</v>
      </c>
      <c r="B349" s="175">
        <v>1</v>
      </c>
      <c r="C349" s="166" t="s">
        <v>162</v>
      </c>
      <c r="D349" s="166" t="s">
        <v>771</v>
      </c>
      <c r="E349" s="166" t="s">
        <v>13</v>
      </c>
      <c r="F349" s="166" t="s">
        <v>772</v>
      </c>
      <c r="G349" s="166" t="s">
        <v>122</v>
      </c>
      <c r="H349" s="166" t="s">
        <v>108</v>
      </c>
      <c r="I349" s="181">
        <v>2008</v>
      </c>
      <c r="J349" s="181" t="s">
        <v>773</v>
      </c>
      <c r="K349" s="181" t="s">
        <v>774</v>
      </c>
      <c r="L349" s="181" t="s">
        <v>83</v>
      </c>
      <c r="M349" s="556" t="s">
        <v>4160</v>
      </c>
      <c r="N349" s="214" t="s">
        <v>20</v>
      </c>
      <c r="O349" s="214" t="s">
        <v>20</v>
      </c>
      <c r="P349" s="214" t="s">
        <v>20</v>
      </c>
      <c r="Q349" s="214" t="s">
        <v>20</v>
      </c>
      <c r="R349" s="214" t="s">
        <v>20</v>
      </c>
      <c r="S349" s="214" t="s">
        <v>20</v>
      </c>
      <c r="T349" s="214" t="s">
        <v>20</v>
      </c>
      <c r="U349" s="214" t="s">
        <v>20</v>
      </c>
      <c r="V349" s="214" t="s">
        <v>20</v>
      </c>
      <c r="W349" s="214" t="s">
        <v>20</v>
      </c>
      <c r="X349" s="214" t="s">
        <v>15</v>
      </c>
      <c r="Y349" s="214" t="s">
        <v>20</v>
      </c>
      <c r="Z349" s="234"/>
      <c r="AA349" s="214" t="s">
        <v>775</v>
      </c>
      <c r="AB349" s="214" t="s">
        <v>20</v>
      </c>
      <c r="AC349" s="214" t="s">
        <v>20</v>
      </c>
      <c r="AD349" s="320" t="s">
        <v>776</v>
      </c>
      <c r="AE349" s="320"/>
      <c r="AF349" s="162">
        <f t="shared" si="20"/>
        <v>4.05</v>
      </c>
      <c r="AG349" s="162">
        <f t="shared" si="21"/>
        <v>4.8499999999999996</v>
      </c>
      <c r="AH349" s="164">
        <f t="shared" si="22"/>
        <v>0.4</v>
      </c>
      <c r="AI349" s="164">
        <f t="shared" si="23"/>
        <v>0.42000000000000004</v>
      </c>
      <c r="AJ349" s="370">
        <v>4.05</v>
      </c>
      <c r="AK349" s="370"/>
      <c r="AL349" s="370">
        <v>0.8</v>
      </c>
      <c r="AM349" s="370"/>
      <c r="AN349" s="370">
        <v>2</v>
      </c>
      <c r="AO349" s="370"/>
      <c r="AP349" s="370">
        <v>24.05</v>
      </c>
      <c r="AQ349" s="370">
        <v>0.8</v>
      </c>
      <c r="AR349" s="370"/>
      <c r="AS349" s="195">
        <f t="shared" ref="AS349:AS361" si="24">AJ349</f>
        <v>4.05</v>
      </c>
      <c r="AT349" s="195">
        <v>31.6</v>
      </c>
      <c r="AU349" s="377"/>
      <c r="AW349" s="427">
        <v>0.4</v>
      </c>
      <c r="AX349" s="427"/>
      <c r="AY349" s="427">
        <v>0.02</v>
      </c>
      <c r="AZ349" s="427"/>
      <c r="BA349" s="427">
        <v>0.15</v>
      </c>
      <c r="BB349" s="427"/>
      <c r="BC349" s="427">
        <v>1.3</v>
      </c>
      <c r="BD349" s="427">
        <v>0.2</v>
      </c>
      <c r="BE349" s="427"/>
      <c r="BF349" s="469">
        <f>AW349</f>
        <v>0.4</v>
      </c>
      <c r="BG349" s="469">
        <f t="shared" ref="BG349:BG361" si="25">SUM(AW349:BE349)</f>
        <v>2.0700000000000003</v>
      </c>
      <c r="BH349" s="341"/>
      <c r="BI349" s="446" t="s">
        <v>777</v>
      </c>
      <c r="BJ349" s="505"/>
    </row>
    <row r="350" spans="1:62" ht="15.75" customHeight="1" thickBot="1" x14ac:dyDescent="0.25">
      <c r="A350" s="174">
        <v>349</v>
      </c>
      <c r="B350" s="175">
        <v>1</v>
      </c>
      <c r="C350" s="166" t="s">
        <v>162</v>
      </c>
      <c r="D350" s="166" t="s">
        <v>771</v>
      </c>
      <c r="E350" s="166" t="s">
        <v>778</v>
      </c>
      <c r="F350" s="166" t="s">
        <v>772</v>
      </c>
      <c r="G350" s="166" t="s">
        <v>122</v>
      </c>
      <c r="H350" s="166" t="s">
        <v>108</v>
      </c>
      <c r="I350" s="181">
        <v>2008</v>
      </c>
      <c r="J350" s="181" t="s">
        <v>773</v>
      </c>
      <c r="K350" s="181" t="s">
        <v>774</v>
      </c>
      <c r="L350" s="181" t="s">
        <v>83</v>
      </c>
      <c r="M350" s="556" t="s">
        <v>4160</v>
      </c>
      <c r="N350" s="214" t="s">
        <v>20</v>
      </c>
      <c r="O350" s="214" t="s">
        <v>20</v>
      </c>
      <c r="P350" s="214" t="s">
        <v>20</v>
      </c>
      <c r="Q350" s="214" t="s">
        <v>20</v>
      </c>
      <c r="R350" s="214" t="s">
        <v>20</v>
      </c>
      <c r="S350" s="214" t="s">
        <v>20</v>
      </c>
      <c r="T350" s="214" t="s">
        <v>20</v>
      </c>
      <c r="U350" s="214" t="s">
        <v>20</v>
      </c>
      <c r="V350" s="214" t="s">
        <v>20</v>
      </c>
      <c r="W350" s="214" t="s">
        <v>20</v>
      </c>
      <c r="X350" s="214" t="s">
        <v>15</v>
      </c>
      <c r="Y350" s="214" t="s">
        <v>20</v>
      </c>
      <c r="Z350" s="214" t="s">
        <v>779</v>
      </c>
      <c r="AA350" s="214" t="s">
        <v>775</v>
      </c>
      <c r="AB350" s="214" t="s">
        <v>20</v>
      </c>
      <c r="AC350" s="214" t="s">
        <v>20</v>
      </c>
      <c r="AD350" s="320" t="s">
        <v>776</v>
      </c>
      <c r="AE350" s="320"/>
      <c r="AF350" s="162">
        <f t="shared" si="20"/>
        <v>3.45</v>
      </c>
      <c r="AG350" s="162">
        <f t="shared" si="21"/>
        <v>5.5500000000000007</v>
      </c>
      <c r="AH350" s="164">
        <f t="shared" si="22"/>
        <v>0.2</v>
      </c>
      <c r="AI350" s="164">
        <f t="shared" si="23"/>
        <v>0.35</v>
      </c>
      <c r="AJ350" s="370">
        <v>3.45</v>
      </c>
      <c r="AK350" s="370"/>
      <c r="AL350" s="370">
        <v>2.1</v>
      </c>
      <c r="AM350" s="370"/>
      <c r="AN350" s="370">
        <v>15.1</v>
      </c>
      <c r="AO350" s="370"/>
      <c r="AP350" s="370">
        <v>25.45</v>
      </c>
      <c r="AQ350" s="370">
        <v>0.9</v>
      </c>
      <c r="AR350" s="370"/>
      <c r="AS350" s="195">
        <f t="shared" si="24"/>
        <v>3.45</v>
      </c>
      <c r="AT350" s="195">
        <v>46.9</v>
      </c>
      <c r="AU350" s="377"/>
      <c r="AW350" s="427">
        <v>0.2</v>
      </c>
      <c r="AX350" s="427"/>
      <c r="AY350" s="427">
        <v>0.15</v>
      </c>
      <c r="AZ350" s="427"/>
      <c r="BA350" s="427">
        <v>0.75</v>
      </c>
      <c r="BB350" s="427"/>
      <c r="BC350" s="427">
        <v>1.3</v>
      </c>
      <c r="BD350" s="427">
        <v>0.2</v>
      </c>
      <c r="BE350" s="427"/>
      <c r="BF350" s="469">
        <v>0.2</v>
      </c>
      <c r="BG350" s="469">
        <f t="shared" si="25"/>
        <v>2.6000000000000005</v>
      </c>
      <c r="BH350" s="341"/>
      <c r="BI350" s="446" t="s">
        <v>777</v>
      </c>
      <c r="BJ350" s="505"/>
    </row>
    <row r="351" spans="1:62" ht="15.75" customHeight="1" thickBot="1" x14ac:dyDescent="0.25">
      <c r="A351" s="176">
        <v>350</v>
      </c>
      <c r="B351" s="175">
        <v>1</v>
      </c>
      <c r="C351" s="166" t="s">
        <v>162</v>
      </c>
      <c r="D351" s="166" t="s">
        <v>771</v>
      </c>
      <c r="E351" s="166" t="s">
        <v>13</v>
      </c>
      <c r="F351" s="166" t="s">
        <v>780</v>
      </c>
      <c r="G351" s="166" t="s">
        <v>122</v>
      </c>
      <c r="H351" s="166" t="s">
        <v>73</v>
      </c>
      <c r="I351" s="181">
        <v>2008</v>
      </c>
      <c r="J351" s="181" t="s">
        <v>773</v>
      </c>
      <c r="K351" s="181" t="s">
        <v>774</v>
      </c>
      <c r="L351" s="181" t="s">
        <v>83</v>
      </c>
      <c r="M351" s="556" t="s">
        <v>4160</v>
      </c>
      <c r="N351" s="214" t="s">
        <v>20</v>
      </c>
      <c r="O351" s="214" t="s">
        <v>20</v>
      </c>
      <c r="P351" s="214" t="s">
        <v>20</v>
      </c>
      <c r="Q351" s="214" t="s">
        <v>20</v>
      </c>
      <c r="R351" s="214" t="s">
        <v>20</v>
      </c>
      <c r="S351" s="214" t="s">
        <v>20</v>
      </c>
      <c r="T351" s="214" t="s">
        <v>20</v>
      </c>
      <c r="U351" s="214" t="s">
        <v>20</v>
      </c>
      <c r="V351" s="214" t="s">
        <v>20</v>
      </c>
      <c r="W351" s="214" t="s">
        <v>20</v>
      </c>
      <c r="X351" s="214" t="s">
        <v>15</v>
      </c>
      <c r="Y351" s="214" t="s">
        <v>20</v>
      </c>
      <c r="Z351" s="214" t="s">
        <v>779</v>
      </c>
      <c r="AA351" s="214" t="s">
        <v>775</v>
      </c>
      <c r="AB351" s="214" t="s">
        <v>20</v>
      </c>
      <c r="AC351" s="214" t="s">
        <v>20</v>
      </c>
      <c r="AD351" s="320" t="s">
        <v>776</v>
      </c>
      <c r="AE351" s="320"/>
      <c r="AF351" s="162">
        <f t="shared" si="20"/>
        <v>7.15</v>
      </c>
      <c r="AG351" s="162">
        <f t="shared" si="21"/>
        <v>9.3000000000000007</v>
      </c>
      <c r="AH351" s="164">
        <f t="shared" si="22"/>
        <v>0.2</v>
      </c>
      <c r="AI351" s="164">
        <f t="shared" si="23"/>
        <v>0.37</v>
      </c>
      <c r="AJ351" s="370">
        <v>7.15</v>
      </c>
      <c r="AK351" s="370"/>
      <c r="AL351" s="370">
        <v>2.15</v>
      </c>
      <c r="AM351" s="370"/>
      <c r="AN351" s="370">
        <v>4.7</v>
      </c>
      <c r="AO351" s="370"/>
      <c r="AP351" s="370">
        <v>24.1</v>
      </c>
      <c r="AQ351" s="370">
        <v>1.05</v>
      </c>
      <c r="AR351" s="370"/>
      <c r="AS351" s="195">
        <f t="shared" si="24"/>
        <v>7.15</v>
      </c>
      <c r="AT351" s="195">
        <v>39.107140000000001</v>
      </c>
      <c r="AU351" s="377"/>
      <c r="AW351" s="427">
        <v>0.2</v>
      </c>
      <c r="AX351" s="427"/>
      <c r="AY351" s="427">
        <v>0.17</v>
      </c>
      <c r="AZ351" s="427"/>
      <c r="BA351" s="427">
        <v>0.37</v>
      </c>
      <c r="BB351" s="427"/>
      <c r="BC351" s="427">
        <v>1.4</v>
      </c>
      <c r="BD351" s="427">
        <v>0.2</v>
      </c>
      <c r="BE351" s="427"/>
      <c r="BF351" s="469">
        <f t="shared" ref="BF351:BF361" si="26">AW351</f>
        <v>0.2</v>
      </c>
      <c r="BG351" s="469">
        <f t="shared" si="25"/>
        <v>2.34</v>
      </c>
      <c r="BH351" s="341"/>
      <c r="BI351" s="446" t="s">
        <v>777</v>
      </c>
      <c r="BJ351" s="505"/>
    </row>
    <row r="352" spans="1:62" ht="15.75" customHeight="1" thickBot="1" x14ac:dyDescent="0.25">
      <c r="A352" s="174">
        <v>351</v>
      </c>
      <c r="B352" s="175">
        <v>1</v>
      </c>
      <c r="C352" s="166" t="s">
        <v>162</v>
      </c>
      <c r="D352" s="159" t="s">
        <v>2057</v>
      </c>
      <c r="E352" s="166" t="s">
        <v>13</v>
      </c>
      <c r="F352" s="166" t="s">
        <v>781</v>
      </c>
      <c r="G352" s="166" t="s">
        <v>122</v>
      </c>
      <c r="H352" s="166" t="s">
        <v>108</v>
      </c>
      <c r="I352" s="181">
        <v>2008</v>
      </c>
      <c r="J352" s="181" t="s">
        <v>773</v>
      </c>
      <c r="K352" s="181" t="s">
        <v>774</v>
      </c>
      <c r="L352" s="181" t="s">
        <v>83</v>
      </c>
      <c r="M352" s="556" t="s">
        <v>4160</v>
      </c>
      <c r="N352" s="214" t="s">
        <v>20</v>
      </c>
      <c r="O352" s="214" t="s">
        <v>20</v>
      </c>
      <c r="P352" s="214" t="s">
        <v>20</v>
      </c>
      <c r="Q352" s="214" t="s">
        <v>20</v>
      </c>
      <c r="R352" s="214" t="s">
        <v>20</v>
      </c>
      <c r="S352" s="214" t="s">
        <v>20</v>
      </c>
      <c r="T352" s="214" t="s">
        <v>20</v>
      </c>
      <c r="U352" s="214" t="s">
        <v>20</v>
      </c>
      <c r="V352" s="214" t="s">
        <v>20</v>
      </c>
      <c r="W352" s="214" t="s">
        <v>15</v>
      </c>
      <c r="X352" s="214" t="s">
        <v>15</v>
      </c>
      <c r="Y352" s="214" t="s">
        <v>20</v>
      </c>
      <c r="Z352" s="214" t="s">
        <v>779</v>
      </c>
      <c r="AA352" s="214" t="s">
        <v>775</v>
      </c>
      <c r="AB352" s="214" t="s">
        <v>20</v>
      </c>
      <c r="AC352" s="214" t="s">
        <v>20</v>
      </c>
      <c r="AD352" s="320" t="s">
        <v>782</v>
      </c>
      <c r="AE352" s="320"/>
      <c r="AF352" s="162">
        <f t="shared" si="20"/>
        <v>3.7</v>
      </c>
      <c r="AG352" s="162">
        <f t="shared" si="21"/>
        <v>4.45</v>
      </c>
      <c r="AH352" s="164">
        <f t="shared" si="22"/>
        <v>0.28899999999999998</v>
      </c>
      <c r="AI352" s="164">
        <f t="shared" si="23"/>
        <v>0.34499999999999997</v>
      </c>
      <c r="AJ352" s="369">
        <v>3.7</v>
      </c>
      <c r="AK352" s="368"/>
      <c r="AL352" s="369">
        <v>0.75</v>
      </c>
      <c r="AM352" s="368"/>
      <c r="AN352" s="369">
        <v>1.85</v>
      </c>
      <c r="AO352" s="368"/>
      <c r="AP352" s="369">
        <v>0.1</v>
      </c>
      <c r="AQ352" s="369">
        <v>0.05</v>
      </c>
      <c r="AR352" s="368"/>
      <c r="AS352" s="195">
        <f t="shared" si="24"/>
        <v>3.7</v>
      </c>
      <c r="AT352" s="195">
        <v>6.52</v>
      </c>
      <c r="AU352" s="377"/>
      <c r="AW352" s="359">
        <v>0.28899999999999998</v>
      </c>
      <c r="AX352" s="426"/>
      <c r="AY352" s="359">
        <v>5.6000000000000001E-2</v>
      </c>
      <c r="AZ352" s="426"/>
      <c r="BA352" s="359">
        <v>0.108</v>
      </c>
      <c r="BB352" s="359"/>
      <c r="BC352" s="359">
        <v>9.6699999999999994E-2</v>
      </c>
      <c r="BD352" s="359">
        <v>8.5000000000000006E-2</v>
      </c>
      <c r="BE352" s="426"/>
      <c r="BF352" s="469">
        <f t="shared" si="26"/>
        <v>0.28899999999999998</v>
      </c>
      <c r="BG352" s="469">
        <f t="shared" si="25"/>
        <v>0.63469999999999993</v>
      </c>
      <c r="BH352" s="341"/>
      <c r="BI352" s="446" t="s">
        <v>777</v>
      </c>
      <c r="BJ352" s="505"/>
    </row>
    <row r="353" spans="1:62" ht="15.75" customHeight="1" thickBot="1" x14ac:dyDescent="0.25">
      <c r="A353" s="176">
        <v>352</v>
      </c>
      <c r="B353" s="175">
        <v>1</v>
      </c>
      <c r="C353" s="166" t="s">
        <v>162</v>
      </c>
      <c r="D353" s="166" t="s">
        <v>3754</v>
      </c>
      <c r="E353" s="166" t="s">
        <v>13</v>
      </c>
      <c r="F353" s="166" t="s">
        <v>783</v>
      </c>
      <c r="G353" s="166" t="s">
        <v>122</v>
      </c>
      <c r="H353" s="166" t="s">
        <v>108</v>
      </c>
      <c r="I353" s="181">
        <v>2008</v>
      </c>
      <c r="J353" s="181" t="s">
        <v>773</v>
      </c>
      <c r="K353" s="181" t="s">
        <v>774</v>
      </c>
      <c r="L353" s="181" t="s">
        <v>83</v>
      </c>
      <c r="M353" s="556" t="s">
        <v>4160</v>
      </c>
      <c r="N353" s="214" t="s">
        <v>20</v>
      </c>
      <c r="O353" s="214" t="s">
        <v>20</v>
      </c>
      <c r="P353" s="214" t="s">
        <v>20</v>
      </c>
      <c r="Q353" s="214" t="s">
        <v>20</v>
      </c>
      <c r="R353" s="214" t="s">
        <v>20</v>
      </c>
      <c r="S353" s="214" t="s">
        <v>20</v>
      </c>
      <c r="T353" s="214" t="s">
        <v>20</v>
      </c>
      <c r="U353" s="214" t="s">
        <v>20</v>
      </c>
      <c r="V353" s="214" t="s">
        <v>20</v>
      </c>
      <c r="W353" s="214" t="s">
        <v>15</v>
      </c>
      <c r="X353" s="214" t="s">
        <v>15</v>
      </c>
      <c r="Y353" s="214" t="s">
        <v>20</v>
      </c>
      <c r="Z353" s="214" t="s">
        <v>779</v>
      </c>
      <c r="AA353" s="214" t="s">
        <v>775</v>
      </c>
      <c r="AB353" s="214" t="s">
        <v>20</v>
      </c>
      <c r="AC353" s="214" t="s">
        <v>20</v>
      </c>
      <c r="AD353" s="320" t="s">
        <v>784</v>
      </c>
      <c r="AE353" s="320"/>
      <c r="AF353" s="162">
        <f t="shared" si="20"/>
        <v>64.099999999999994</v>
      </c>
      <c r="AG353" s="162">
        <f t="shared" si="21"/>
        <v>65.75</v>
      </c>
      <c r="AH353" s="164">
        <f t="shared" si="22"/>
        <v>2.9725000000000001</v>
      </c>
      <c r="AI353" s="164">
        <f t="shared" si="23"/>
        <v>2.9975000000000001</v>
      </c>
      <c r="AJ353" s="370">
        <v>64.099999999999994</v>
      </c>
      <c r="AK353" s="370"/>
      <c r="AL353" s="370">
        <v>1.65</v>
      </c>
      <c r="AM353" s="370"/>
      <c r="AN353" s="370">
        <v>2.25</v>
      </c>
      <c r="AO353" s="370"/>
      <c r="AP353" s="370">
        <v>0.05</v>
      </c>
      <c r="AQ353" s="370">
        <v>2.5000000000000001E-2</v>
      </c>
      <c r="AR353" s="370"/>
      <c r="AS353" s="195">
        <f t="shared" si="24"/>
        <v>64.099999999999994</v>
      </c>
      <c r="AT353" s="195">
        <v>68</v>
      </c>
      <c r="AU353" s="377"/>
      <c r="AW353" s="427">
        <v>2.9725000000000001</v>
      </c>
      <c r="AX353" s="427"/>
      <c r="AY353" s="427">
        <v>2.5000000000000001E-2</v>
      </c>
      <c r="AZ353" s="427"/>
      <c r="BA353" s="427">
        <v>0.29799999999999999</v>
      </c>
      <c r="BB353" s="427"/>
      <c r="BC353" s="427">
        <v>8.1000000000000003E-2</v>
      </c>
      <c r="BD353" s="427">
        <v>8.5000000000000006E-2</v>
      </c>
      <c r="BE353" s="427"/>
      <c r="BF353" s="469">
        <f t="shared" si="26"/>
        <v>2.9725000000000001</v>
      </c>
      <c r="BG353" s="469">
        <f t="shared" si="25"/>
        <v>3.4615</v>
      </c>
      <c r="BH353" s="341"/>
      <c r="BI353" s="446" t="s">
        <v>777</v>
      </c>
      <c r="BJ353" s="505"/>
    </row>
    <row r="354" spans="1:62" ht="15.75" customHeight="1" thickBot="1" x14ac:dyDescent="0.25">
      <c r="A354" s="174">
        <v>353</v>
      </c>
      <c r="B354" s="175">
        <v>1</v>
      </c>
      <c r="C354" s="166" t="s">
        <v>162</v>
      </c>
      <c r="D354" s="159" t="s">
        <v>2057</v>
      </c>
      <c r="E354" s="166" t="s">
        <v>13</v>
      </c>
      <c r="F354" s="166" t="s">
        <v>786</v>
      </c>
      <c r="G354" s="166" t="s">
        <v>122</v>
      </c>
      <c r="H354" s="166" t="s">
        <v>73</v>
      </c>
      <c r="I354" s="181">
        <v>2008</v>
      </c>
      <c r="J354" s="181" t="s">
        <v>773</v>
      </c>
      <c r="K354" s="181" t="s">
        <v>774</v>
      </c>
      <c r="L354" s="181" t="s">
        <v>83</v>
      </c>
      <c r="M354" s="556" t="s">
        <v>4160</v>
      </c>
      <c r="N354" s="214" t="s">
        <v>20</v>
      </c>
      <c r="O354" s="214" t="s">
        <v>20</v>
      </c>
      <c r="P354" s="214" t="s">
        <v>20</v>
      </c>
      <c r="Q354" s="214" t="s">
        <v>20</v>
      </c>
      <c r="R354" s="214" t="s">
        <v>20</v>
      </c>
      <c r="S354" s="214" t="s">
        <v>20</v>
      </c>
      <c r="T354" s="214" t="s">
        <v>20</v>
      </c>
      <c r="U354" s="214" t="s">
        <v>20</v>
      </c>
      <c r="V354" s="214" t="s">
        <v>20</v>
      </c>
      <c r="W354" s="214" t="s">
        <v>15</v>
      </c>
      <c r="X354" s="214" t="s">
        <v>15</v>
      </c>
      <c r="Y354" s="214" t="s">
        <v>20</v>
      </c>
      <c r="Z354" s="214" t="s">
        <v>779</v>
      </c>
      <c r="AA354" s="214" t="s">
        <v>775</v>
      </c>
      <c r="AB354" s="214" t="s">
        <v>20</v>
      </c>
      <c r="AC354" s="214" t="s">
        <v>20</v>
      </c>
      <c r="AD354" s="320" t="s">
        <v>784</v>
      </c>
      <c r="AE354" s="320"/>
      <c r="AF354" s="162">
        <f t="shared" si="20"/>
        <v>4.5999999999999996</v>
      </c>
      <c r="AG354" s="162">
        <f t="shared" si="21"/>
        <v>4.8999999999999995</v>
      </c>
      <c r="AH354" s="164">
        <f t="shared" si="22"/>
        <v>0.214</v>
      </c>
      <c r="AI354" s="164">
        <f t="shared" si="23"/>
        <v>0.2205</v>
      </c>
      <c r="AJ354" s="369">
        <v>4.5999999999999996</v>
      </c>
      <c r="AK354" s="368"/>
      <c r="AL354" s="369">
        <v>0.3</v>
      </c>
      <c r="AM354" s="368"/>
      <c r="AN354" s="369">
        <v>5.45</v>
      </c>
      <c r="AO354" s="368"/>
      <c r="AP354" s="369">
        <v>0.05</v>
      </c>
      <c r="AQ354" s="369">
        <v>2.5000000000000001E-2</v>
      </c>
      <c r="AR354" s="368"/>
      <c r="AS354" s="195">
        <f t="shared" si="24"/>
        <v>4.5999999999999996</v>
      </c>
      <c r="AT354" s="195">
        <v>10.36145</v>
      </c>
      <c r="AU354" s="377"/>
      <c r="AW354" s="359">
        <v>0.214</v>
      </c>
      <c r="AX354" s="426"/>
      <c r="AY354" s="359">
        <v>6.4999999999999997E-3</v>
      </c>
      <c r="AZ354" s="426"/>
      <c r="BA354" s="359">
        <v>0.52</v>
      </c>
      <c r="BB354" s="359"/>
      <c r="BC354" s="359">
        <v>0.104</v>
      </c>
      <c r="BD354" s="359">
        <v>8.5000000000000006E-2</v>
      </c>
      <c r="BE354" s="426"/>
      <c r="BF354" s="469">
        <f t="shared" si="26"/>
        <v>0.214</v>
      </c>
      <c r="BG354" s="469">
        <f t="shared" si="25"/>
        <v>0.92949999999999999</v>
      </c>
      <c r="BH354" s="341"/>
      <c r="BI354" s="446" t="s">
        <v>777</v>
      </c>
      <c r="BJ354" s="505"/>
    </row>
    <row r="355" spans="1:62" ht="15.75" customHeight="1" thickBot="1" x14ac:dyDescent="0.25">
      <c r="A355" s="176">
        <v>354</v>
      </c>
      <c r="B355" s="175">
        <v>1</v>
      </c>
      <c r="C355" s="166" t="s">
        <v>162</v>
      </c>
      <c r="D355" s="159" t="s">
        <v>4062</v>
      </c>
      <c r="E355" s="166" t="s">
        <v>13</v>
      </c>
      <c r="F355" s="166" t="s">
        <v>787</v>
      </c>
      <c r="G355" s="166" t="s">
        <v>122</v>
      </c>
      <c r="H355" s="166" t="s">
        <v>788</v>
      </c>
      <c r="I355" s="181">
        <v>2008</v>
      </c>
      <c r="J355" s="181" t="s">
        <v>773</v>
      </c>
      <c r="K355" s="181" t="s">
        <v>774</v>
      </c>
      <c r="L355" s="181" t="s">
        <v>83</v>
      </c>
      <c r="M355" s="556" t="s">
        <v>4160</v>
      </c>
      <c r="N355" s="214" t="s">
        <v>20</v>
      </c>
      <c r="O355" s="214" t="s">
        <v>20</v>
      </c>
      <c r="P355" s="214" t="s">
        <v>20</v>
      </c>
      <c r="Q355" s="214" t="s">
        <v>20</v>
      </c>
      <c r="R355" s="214" t="s">
        <v>20</v>
      </c>
      <c r="S355" s="214" t="s">
        <v>20</v>
      </c>
      <c r="T355" s="214" t="s">
        <v>20</v>
      </c>
      <c r="U355" s="214" t="s">
        <v>20</v>
      </c>
      <c r="V355" s="214" t="s">
        <v>20</v>
      </c>
      <c r="W355" s="214" t="s">
        <v>15</v>
      </c>
      <c r="X355" s="214" t="s">
        <v>15</v>
      </c>
      <c r="Y355" s="214" t="s">
        <v>20</v>
      </c>
      <c r="Z355" s="214" t="s">
        <v>779</v>
      </c>
      <c r="AA355" s="214" t="s">
        <v>775</v>
      </c>
      <c r="AB355" s="214" t="s">
        <v>20</v>
      </c>
      <c r="AC355" s="214" t="s">
        <v>20</v>
      </c>
      <c r="AD355" s="320" t="s">
        <v>784</v>
      </c>
      <c r="AE355" s="320"/>
      <c r="AF355" s="162">
        <f t="shared" si="20"/>
        <v>0.5</v>
      </c>
      <c r="AG355" s="162" t="str">
        <f t="shared" si="21"/>
        <v/>
      </c>
      <c r="AH355" s="164">
        <f t="shared" si="22"/>
        <v>0.05</v>
      </c>
      <c r="AI355" s="164" t="str">
        <f t="shared" si="23"/>
        <v/>
      </c>
      <c r="AJ355" s="370">
        <v>0.5</v>
      </c>
      <c r="AK355" s="370"/>
      <c r="AL355" s="370">
        <v>0</v>
      </c>
      <c r="AM355" s="370"/>
      <c r="AN355" s="370">
        <v>147.44</v>
      </c>
      <c r="AO355" s="370"/>
      <c r="AP355" s="370">
        <v>0.05</v>
      </c>
      <c r="AQ355" s="369">
        <v>2.5000000000000001E-2</v>
      </c>
      <c r="AR355" s="370"/>
      <c r="AS355" s="195">
        <f t="shared" si="24"/>
        <v>0.5</v>
      </c>
      <c r="AT355" s="195">
        <f>SUM(AJ355:AQ355)</f>
        <v>148.01500000000001</v>
      </c>
      <c r="AU355" s="377"/>
      <c r="AW355" s="427">
        <v>0.05</v>
      </c>
      <c r="AX355" s="427"/>
      <c r="AY355" s="427">
        <v>0</v>
      </c>
      <c r="AZ355" s="427"/>
      <c r="BA355" s="427">
        <v>9.9</v>
      </c>
      <c r="BB355" s="427"/>
      <c r="BC355" s="427">
        <v>7.3999999999999996E-2</v>
      </c>
      <c r="BD355" s="427">
        <v>8.5000000000000006E-2</v>
      </c>
      <c r="BE355" s="427"/>
      <c r="BF355" s="469">
        <f t="shared" si="26"/>
        <v>0.05</v>
      </c>
      <c r="BG355" s="469">
        <f t="shared" si="25"/>
        <v>10.109000000000002</v>
      </c>
      <c r="BH355" s="341"/>
      <c r="BI355" s="446" t="s">
        <v>777</v>
      </c>
      <c r="BJ355" s="505"/>
    </row>
    <row r="356" spans="1:62" ht="15.75" customHeight="1" thickBot="1" x14ac:dyDescent="0.25">
      <c r="A356" s="174">
        <v>355</v>
      </c>
      <c r="B356" s="175">
        <v>1</v>
      </c>
      <c r="C356" s="166" t="s">
        <v>162</v>
      </c>
      <c r="D356" s="159" t="s">
        <v>1805</v>
      </c>
      <c r="E356" s="166" t="s">
        <v>13</v>
      </c>
      <c r="F356" s="166" t="s">
        <v>789</v>
      </c>
      <c r="G356" s="166" t="s">
        <v>122</v>
      </c>
      <c r="H356" s="166" t="s">
        <v>108</v>
      </c>
      <c r="I356" s="181">
        <v>2008</v>
      </c>
      <c r="J356" s="181" t="s">
        <v>773</v>
      </c>
      <c r="K356" s="181" t="s">
        <v>774</v>
      </c>
      <c r="L356" s="181" t="s">
        <v>83</v>
      </c>
      <c r="M356" s="556" t="s">
        <v>4160</v>
      </c>
      <c r="N356" s="214" t="s">
        <v>20</v>
      </c>
      <c r="O356" s="214" t="s">
        <v>20</v>
      </c>
      <c r="P356" s="214" t="s">
        <v>20</v>
      </c>
      <c r="Q356" s="214" t="s">
        <v>20</v>
      </c>
      <c r="R356" s="214" t="s">
        <v>20</v>
      </c>
      <c r="S356" s="214" t="s">
        <v>20</v>
      </c>
      <c r="T356" s="214" t="s">
        <v>20</v>
      </c>
      <c r="U356" s="214" t="s">
        <v>20</v>
      </c>
      <c r="V356" s="214" t="s">
        <v>20</v>
      </c>
      <c r="W356" s="214" t="s">
        <v>20</v>
      </c>
      <c r="X356" s="214" t="s">
        <v>15</v>
      </c>
      <c r="Y356" s="214" t="s">
        <v>20</v>
      </c>
      <c r="Z356" s="214" t="s">
        <v>779</v>
      </c>
      <c r="AA356" s="214" t="s">
        <v>775</v>
      </c>
      <c r="AB356" s="214" t="s">
        <v>20</v>
      </c>
      <c r="AC356" s="214" t="s">
        <v>20</v>
      </c>
      <c r="AD356" s="320" t="s">
        <v>790</v>
      </c>
      <c r="AE356" s="320"/>
      <c r="AF356" s="162">
        <f t="shared" si="20"/>
        <v>6.1</v>
      </c>
      <c r="AG356" s="162">
        <f t="shared" si="21"/>
        <v>7.1</v>
      </c>
      <c r="AH356" s="164">
        <f t="shared" si="22"/>
        <v>0.52</v>
      </c>
      <c r="AI356" s="164">
        <f t="shared" si="23"/>
        <v>0.54</v>
      </c>
      <c r="AJ356" s="369">
        <v>6.1</v>
      </c>
      <c r="AK356" s="368"/>
      <c r="AL356" s="369">
        <v>1</v>
      </c>
      <c r="AM356" s="368"/>
      <c r="AN356" s="369">
        <v>0.95</v>
      </c>
      <c r="AO356" s="368"/>
      <c r="AP356" s="369">
        <v>11.8</v>
      </c>
      <c r="AQ356" s="369">
        <v>1.05</v>
      </c>
      <c r="AR356" s="368"/>
      <c r="AS356" s="195">
        <f t="shared" si="24"/>
        <v>6.1</v>
      </c>
      <c r="AT356" s="195">
        <v>20.828399999999998</v>
      </c>
      <c r="AU356" s="377"/>
      <c r="AW356" s="359">
        <v>0.52</v>
      </c>
      <c r="AX356" s="426"/>
      <c r="AY356" s="359">
        <v>0.02</v>
      </c>
      <c r="AZ356" s="426"/>
      <c r="BA356" s="359">
        <v>0.12</v>
      </c>
      <c r="BB356" s="426"/>
      <c r="BC356" s="359">
        <v>0.7</v>
      </c>
      <c r="BD356" s="359">
        <v>0.27</v>
      </c>
      <c r="BE356" s="426"/>
      <c r="BF356" s="469">
        <f t="shared" si="26"/>
        <v>0.52</v>
      </c>
      <c r="BG356" s="469">
        <f t="shared" si="25"/>
        <v>1.63</v>
      </c>
      <c r="BH356" s="341"/>
      <c r="BI356" s="446" t="s">
        <v>777</v>
      </c>
      <c r="BJ356" s="505"/>
    </row>
    <row r="357" spans="1:62" ht="15.75" customHeight="1" thickBot="1" x14ac:dyDescent="0.25">
      <c r="A357" s="176">
        <v>356</v>
      </c>
      <c r="B357" s="175">
        <v>1</v>
      </c>
      <c r="C357" s="166" t="s">
        <v>162</v>
      </c>
      <c r="D357" s="159" t="s">
        <v>1805</v>
      </c>
      <c r="E357" s="166" t="s">
        <v>778</v>
      </c>
      <c r="F357" s="166" t="s">
        <v>789</v>
      </c>
      <c r="G357" s="166" t="s">
        <v>122</v>
      </c>
      <c r="H357" s="166" t="s">
        <v>108</v>
      </c>
      <c r="I357" s="181">
        <v>2008</v>
      </c>
      <c r="J357" s="181" t="s">
        <v>773</v>
      </c>
      <c r="K357" s="181" t="s">
        <v>774</v>
      </c>
      <c r="L357" s="181" t="s">
        <v>83</v>
      </c>
      <c r="M357" s="556" t="s">
        <v>4160</v>
      </c>
      <c r="N357" s="214" t="s">
        <v>20</v>
      </c>
      <c r="O357" s="214" t="s">
        <v>20</v>
      </c>
      <c r="P357" s="214" t="s">
        <v>20</v>
      </c>
      <c r="Q357" s="214" t="s">
        <v>20</v>
      </c>
      <c r="R357" s="214" t="s">
        <v>20</v>
      </c>
      <c r="S357" s="214" t="s">
        <v>20</v>
      </c>
      <c r="T357" s="214" t="s">
        <v>20</v>
      </c>
      <c r="U357" s="214" t="s">
        <v>20</v>
      </c>
      <c r="V357" s="214" t="s">
        <v>20</v>
      </c>
      <c r="W357" s="214" t="s">
        <v>20</v>
      </c>
      <c r="X357" s="214" t="s">
        <v>15</v>
      </c>
      <c r="Y357" s="214" t="s">
        <v>20</v>
      </c>
      <c r="Z357" s="214" t="s">
        <v>779</v>
      </c>
      <c r="AA357" s="214" t="s">
        <v>775</v>
      </c>
      <c r="AB357" s="214" t="s">
        <v>20</v>
      </c>
      <c r="AC357" s="214" t="s">
        <v>20</v>
      </c>
      <c r="AD357" s="320" t="s">
        <v>790</v>
      </c>
      <c r="AE357" s="320"/>
      <c r="AF357" s="162">
        <f t="shared" si="20"/>
        <v>4.05</v>
      </c>
      <c r="AG357" s="162">
        <f t="shared" si="21"/>
        <v>6.85</v>
      </c>
      <c r="AH357" s="164">
        <f t="shared" si="22"/>
        <v>0.31</v>
      </c>
      <c r="AI357" s="164">
        <f t="shared" si="23"/>
        <v>0.45999999999999996</v>
      </c>
      <c r="AJ357" s="369">
        <v>4.05</v>
      </c>
      <c r="AK357" s="368"/>
      <c r="AL357" s="369">
        <v>2.8</v>
      </c>
      <c r="AM357" s="368"/>
      <c r="AN357" s="369">
        <v>7.5</v>
      </c>
      <c r="AO357" s="368"/>
      <c r="AP357" s="369">
        <v>13.1</v>
      </c>
      <c r="AQ357" s="369">
        <v>1.05</v>
      </c>
      <c r="AR357" s="368"/>
      <c r="AS357" s="195">
        <f t="shared" si="24"/>
        <v>4.05</v>
      </c>
      <c r="AT357" s="195">
        <v>28.402370000000001</v>
      </c>
      <c r="AU357" s="377"/>
      <c r="AW357" s="359">
        <v>0.31</v>
      </c>
      <c r="AX357" s="426"/>
      <c r="AY357" s="359">
        <v>0.15</v>
      </c>
      <c r="AZ357" s="426"/>
      <c r="BA357" s="359">
        <v>0.41</v>
      </c>
      <c r="BB357" s="426"/>
      <c r="BC357" s="359">
        <v>0.7</v>
      </c>
      <c r="BD357" s="359">
        <v>0.27</v>
      </c>
      <c r="BE357" s="426"/>
      <c r="BF357" s="469">
        <f t="shared" si="26"/>
        <v>0.31</v>
      </c>
      <c r="BG357" s="469">
        <f t="shared" si="25"/>
        <v>1.8399999999999999</v>
      </c>
      <c r="BH357" s="341"/>
      <c r="BI357" s="446" t="s">
        <v>777</v>
      </c>
      <c r="BJ357" s="505"/>
    </row>
    <row r="358" spans="1:62" ht="15.75" customHeight="1" thickBot="1" x14ac:dyDescent="0.25">
      <c r="A358" s="174">
        <v>357</v>
      </c>
      <c r="B358" s="175">
        <v>1</v>
      </c>
      <c r="C358" s="166" t="s">
        <v>162</v>
      </c>
      <c r="D358" s="166" t="s">
        <v>4058</v>
      </c>
      <c r="E358" s="166" t="s">
        <v>13</v>
      </c>
      <c r="F358" s="166" t="s">
        <v>791</v>
      </c>
      <c r="G358" s="166" t="s">
        <v>122</v>
      </c>
      <c r="H358" s="166" t="s">
        <v>788</v>
      </c>
      <c r="I358" s="181">
        <v>2008</v>
      </c>
      <c r="J358" s="181" t="s">
        <v>773</v>
      </c>
      <c r="K358" s="181" t="s">
        <v>774</v>
      </c>
      <c r="L358" s="181" t="s">
        <v>83</v>
      </c>
      <c r="M358" s="556" t="s">
        <v>4160</v>
      </c>
      <c r="N358" s="214" t="s">
        <v>20</v>
      </c>
      <c r="O358" s="214" t="s">
        <v>20</v>
      </c>
      <c r="P358" s="214" t="s">
        <v>20</v>
      </c>
      <c r="Q358" s="214" t="s">
        <v>20</v>
      </c>
      <c r="R358" s="214" t="s">
        <v>20</v>
      </c>
      <c r="S358" s="214" t="s">
        <v>20</v>
      </c>
      <c r="T358" s="214" t="s">
        <v>20</v>
      </c>
      <c r="U358" s="214" t="s">
        <v>20</v>
      </c>
      <c r="V358" s="214" t="s">
        <v>20</v>
      </c>
      <c r="W358" s="214" t="s">
        <v>20</v>
      </c>
      <c r="X358" s="214" t="s">
        <v>15</v>
      </c>
      <c r="Y358" s="214" t="s">
        <v>20</v>
      </c>
      <c r="Z358" s="214" t="s">
        <v>779</v>
      </c>
      <c r="AA358" s="214" t="s">
        <v>775</v>
      </c>
      <c r="AB358" s="214" t="s">
        <v>20</v>
      </c>
      <c r="AC358" s="214" t="s">
        <v>20</v>
      </c>
      <c r="AD358" s="320" t="s">
        <v>790</v>
      </c>
      <c r="AE358" s="320"/>
      <c r="AF358" s="162">
        <f t="shared" si="20"/>
        <v>0.5</v>
      </c>
      <c r="AG358" s="162" t="str">
        <f t="shared" si="21"/>
        <v/>
      </c>
      <c r="AH358" s="164">
        <f t="shared" si="22"/>
        <v>0.12</v>
      </c>
      <c r="AI358" s="164" t="str">
        <f t="shared" si="23"/>
        <v/>
      </c>
      <c r="AJ358" s="369">
        <v>0.5</v>
      </c>
      <c r="AK358" s="368"/>
      <c r="AL358" s="369">
        <v>0</v>
      </c>
      <c r="AM358" s="368"/>
      <c r="AN358" s="369">
        <v>145</v>
      </c>
      <c r="AO358" s="368"/>
      <c r="AP358" s="369">
        <v>11</v>
      </c>
      <c r="AQ358" s="369">
        <v>1.1000000000000001</v>
      </c>
      <c r="AR358" s="368"/>
      <c r="AS358" s="195">
        <f t="shared" si="24"/>
        <v>0.5</v>
      </c>
      <c r="AT358" s="195">
        <v>157.15979999999999</v>
      </c>
      <c r="AU358" s="377"/>
      <c r="AW358" s="359">
        <v>0.12</v>
      </c>
      <c r="AX358" s="426"/>
      <c r="AY358" s="359">
        <v>0</v>
      </c>
      <c r="AZ358" s="426"/>
      <c r="BA358" s="359">
        <v>9.81</v>
      </c>
      <c r="BB358" s="426"/>
      <c r="BC358" s="359">
        <v>0.7</v>
      </c>
      <c r="BD358" s="359">
        <v>0.27</v>
      </c>
      <c r="BE358" s="426"/>
      <c r="BF358" s="469">
        <f t="shared" si="26"/>
        <v>0.12</v>
      </c>
      <c r="BG358" s="469">
        <f t="shared" si="25"/>
        <v>10.899999999999999</v>
      </c>
      <c r="BH358" s="341"/>
      <c r="BI358" s="446" t="s">
        <v>777</v>
      </c>
      <c r="BJ358" s="505"/>
    </row>
    <row r="359" spans="1:62" ht="15.75" customHeight="1" thickBot="1" x14ac:dyDescent="0.25">
      <c r="A359" s="176">
        <v>358</v>
      </c>
      <c r="B359" s="175">
        <v>1</v>
      </c>
      <c r="C359" s="166" t="s">
        <v>162</v>
      </c>
      <c r="D359" s="166" t="s">
        <v>4058</v>
      </c>
      <c r="E359" s="166" t="s">
        <v>13</v>
      </c>
      <c r="F359" s="166" t="s">
        <v>792</v>
      </c>
      <c r="G359" s="166" t="s">
        <v>122</v>
      </c>
      <c r="H359" s="166" t="s">
        <v>793</v>
      </c>
      <c r="I359" s="181">
        <v>2008</v>
      </c>
      <c r="J359" s="181" t="s">
        <v>773</v>
      </c>
      <c r="K359" s="181" t="s">
        <v>774</v>
      </c>
      <c r="L359" s="181" t="s">
        <v>83</v>
      </c>
      <c r="M359" s="556" t="s">
        <v>4160</v>
      </c>
      <c r="N359" s="214" t="s">
        <v>20</v>
      </c>
      <c r="O359" s="214" t="s">
        <v>20</v>
      </c>
      <c r="P359" s="214" t="s">
        <v>20</v>
      </c>
      <c r="Q359" s="214" t="s">
        <v>20</v>
      </c>
      <c r="R359" s="214" t="s">
        <v>20</v>
      </c>
      <c r="S359" s="214" t="s">
        <v>20</v>
      </c>
      <c r="T359" s="214" t="s">
        <v>20</v>
      </c>
      <c r="U359" s="214" t="s">
        <v>20</v>
      </c>
      <c r="V359" s="214" t="s">
        <v>20</v>
      </c>
      <c r="W359" s="214" t="s">
        <v>20</v>
      </c>
      <c r="X359" s="214" t="s">
        <v>15</v>
      </c>
      <c r="Y359" s="214" t="s">
        <v>20</v>
      </c>
      <c r="Z359" s="214" t="s">
        <v>779</v>
      </c>
      <c r="AA359" s="214" t="s">
        <v>775</v>
      </c>
      <c r="AB359" s="214" t="s">
        <v>20</v>
      </c>
      <c r="AC359" s="214" t="s">
        <v>20</v>
      </c>
      <c r="AD359" s="320" t="s">
        <v>790</v>
      </c>
      <c r="AE359" s="320"/>
      <c r="AF359" s="162">
        <f t="shared" si="20"/>
        <v>1.1000000000000001</v>
      </c>
      <c r="AG359" s="162" t="str">
        <f t="shared" si="21"/>
        <v/>
      </c>
      <c r="AH359" s="164">
        <f t="shared" si="22"/>
        <v>0.06</v>
      </c>
      <c r="AI359" s="164" t="str">
        <f t="shared" si="23"/>
        <v/>
      </c>
      <c r="AJ359" s="369">
        <v>1.1000000000000001</v>
      </c>
      <c r="AK359" s="368"/>
      <c r="AL359" s="369">
        <v>0</v>
      </c>
      <c r="AM359" s="368"/>
      <c r="AN359" s="369">
        <v>144.9</v>
      </c>
      <c r="AO359" s="368"/>
      <c r="AP359" s="369">
        <v>11</v>
      </c>
      <c r="AQ359" s="369">
        <v>1.1000000000000001</v>
      </c>
      <c r="AR359" s="368"/>
      <c r="AS359" s="195">
        <f t="shared" si="24"/>
        <v>1.1000000000000001</v>
      </c>
      <c r="AT359" s="195">
        <v>158.10650000000001</v>
      </c>
      <c r="AU359" s="377"/>
      <c r="AW359" s="359">
        <v>0.06</v>
      </c>
      <c r="AX359" s="426"/>
      <c r="AY359" s="359">
        <v>0</v>
      </c>
      <c r="AZ359" s="426"/>
      <c r="BA359" s="359">
        <v>9.6999999999999993</v>
      </c>
      <c r="BB359" s="426"/>
      <c r="BC359" s="359">
        <v>0.7</v>
      </c>
      <c r="BD359" s="359">
        <v>0.27</v>
      </c>
      <c r="BE359" s="426"/>
      <c r="BF359" s="469">
        <f t="shared" si="26"/>
        <v>0.06</v>
      </c>
      <c r="BG359" s="469">
        <f t="shared" si="25"/>
        <v>10.729999999999999</v>
      </c>
      <c r="BH359" s="341"/>
      <c r="BI359" s="446" t="s">
        <v>777</v>
      </c>
      <c r="BJ359" s="506"/>
    </row>
    <row r="360" spans="1:62" ht="15.75" customHeight="1" thickBot="1" x14ac:dyDescent="0.25">
      <c r="A360" s="174">
        <v>359</v>
      </c>
      <c r="B360" s="175">
        <v>1</v>
      </c>
      <c r="C360" s="166" t="s">
        <v>236</v>
      </c>
      <c r="D360" s="166" t="s">
        <v>2230</v>
      </c>
      <c r="E360" s="166" t="s">
        <v>13</v>
      </c>
      <c r="F360" s="166" t="s">
        <v>2230</v>
      </c>
      <c r="G360" s="166" t="s">
        <v>15</v>
      </c>
      <c r="H360" s="166" t="s">
        <v>87</v>
      </c>
      <c r="I360" s="181">
        <v>2013</v>
      </c>
      <c r="J360" s="181" t="s">
        <v>794</v>
      </c>
      <c r="K360" s="181" t="s">
        <v>795</v>
      </c>
      <c r="L360" s="181" t="s">
        <v>19</v>
      </c>
      <c r="M360" s="556" t="s">
        <v>4161</v>
      </c>
      <c r="N360" s="214" t="s">
        <v>20</v>
      </c>
      <c r="O360" s="214" t="s">
        <v>15</v>
      </c>
      <c r="P360" s="214" t="s">
        <v>20</v>
      </c>
      <c r="Q360" s="214" t="s">
        <v>20</v>
      </c>
      <c r="R360" s="214" t="s">
        <v>20</v>
      </c>
      <c r="S360" s="214" t="s">
        <v>20</v>
      </c>
      <c r="T360" s="214" t="s">
        <v>20</v>
      </c>
      <c r="U360" s="214" t="s">
        <v>15</v>
      </c>
      <c r="V360" s="214" t="s">
        <v>15</v>
      </c>
      <c r="W360" s="214" t="s">
        <v>15</v>
      </c>
      <c r="X360" s="214" t="s">
        <v>15</v>
      </c>
      <c r="Y360" s="214" t="s">
        <v>15</v>
      </c>
      <c r="Z360" s="214" t="s">
        <v>796</v>
      </c>
      <c r="AA360" s="214" t="s">
        <v>797</v>
      </c>
      <c r="AB360" s="214" t="s">
        <v>15</v>
      </c>
      <c r="AC360" s="214" t="s">
        <v>122</v>
      </c>
      <c r="AD360" s="320" t="s">
        <v>798</v>
      </c>
      <c r="AE360" s="320" t="s">
        <v>799</v>
      </c>
      <c r="AF360" s="162">
        <f t="shared" si="20"/>
        <v>6.3972093023255825</v>
      </c>
      <c r="AG360" s="162" t="str">
        <f t="shared" si="21"/>
        <v/>
      </c>
      <c r="AH360" s="164">
        <f t="shared" si="22"/>
        <v>0.26295652173913026</v>
      </c>
      <c r="AI360" s="164" t="str">
        <f t="shared" si="23"/>
        <v/>
      </c>
      <c r="AJ360" s="368">
        <f>9.84186046511628*0.65</f>
        <v>6.3972093023255825</v>
      </c>
      <c r="AK360" s="368"/>
      <c r="AL360" s="368"/>
      <c r="AM360" s="368">
        <f>9.84186046511628*0.3</f>
        <v>2.9525581395348839</v>
      </c>
      <c r="AN360" s="368">
        <f>9.84186046511628*0.025</f>
        <v>0.24604651162790703</v>
      </c>
      <c r="AO360" s="368">
        <f>9.84186046511628*0.025</f>
        <v>0.24604651162790703</v>
      </c>
      <c r="AP360" s="368"/>
      <c r="AQ360" s="368"/>
      <c r="AR360" s="368"/>
      <c r="AS360" s="195">
        <f t="shared" si="24"/>
        <v>6.3972093023255825</v>
      </c>
      <c r="AT360" s="195">
        <v>9.8418604651162802</v>
      </c>
      <c r="AU360" s="377"/>
      <c r="AW360" s="426">
        <f>0.469565217391304*0.56</f>
        <v>0.26295652173913026</v>
      </c>
      <c r="AX360" s="426"/>
      <c r="AY360" s="426"/>
      <c r="AZ360" s="426">
        <f>0.469565217391304*0.32</f>
        <v>0.15026086956521728</v>
      </c>
      <c r="BA360" s="426">
        <f>0.469565217391304*0.02</f>
        <v>9.3913043478260801E-3</v>
      </c>
      <c r="BB360" s="426">
        <f>0.469565217391304*0.03</f>
        <v>1.408695652173912E-2</v>
      </c>
      <c r="BC360" s="426"/>
      <c r="BD360" s="426">
        <f>0.469565217391304*0.03</f>
        <v>1.408695652173912E-2</v>
      </c>
      <c r="BE360" s="426"/>
      <c r="BF360" s="469">
        <f t="shared" si="26"/>
        <v>0.26295652173913026</v>
      </c>
      <c r="BG360" s="469">
        <f t="shared" si="25"/>
        <v>0.4507826086956519</v>
      </c>
      <c r="BH360" s="341"/>
      <c r="BI360" s="446" t="s">
        <v>800</v>
      </c>
      <c r="BJ360" s="505"/>
    </row>
    <row r="361" spans="1:62" ht="15.75" customHeight="1" thickBot="1" x14ac:dyDescent="0.25">
      <c r="A361" s="176">
        <v>360</v>
      </c>
      <c r="B361" s="175">
        <v>1</v>
      </c>
      <c r="C361" s="166" t="s">
        <v>236</v>
      </c>
      <c r="D361" s="166" t="s">
        <v>1837</v>
      </c>
      <c r="E361" s="166" t="s">
        <v>13</v>
      </c>
      <c r="F361" s="166" t="s">
        <v>1837</v>
      </c>
      <c r="G361" s="166" t="s">
        <v>15</v>
      </c>
      <c r="H361" s="166" t="s">
        <v>87</v>
      </c>
      <c r="I361" s="181">
        <v>2013</v>
      </c>
      <c r="J361" s="181" t="s">
        <v>794</v>
      </c>
      <c r="K361" s="181" t="s">
        <v>795</v>
      </c>
      <c r="L361" s="181" t="s">
        <v>19</v>
      </c>
      <c r="M361" s="556" t="s">
        <v>4161</v>
      </c>
      <c r="N361" s="214" t="s">
        <v>20</v>
      </c>
      <c r="O361" s="214" t="s">
        <v>15</v>
      </c>
      <c r="P361" s="214" t="s">
        <v>20</v>
      </c>
      <c r="Q361" s="214" t="s">
        <v>20</v>
      </c>
      <c r="R361" s="214" t="s">
        <v>20</v>
      </c>
      <c r="S361" s="214" t="s">
        <v>20</v>
      </c>
      <c r="T361" s="214" t="s">
        <v>20</v>
      </c>
      <c r="U361" s="214" t="s">
        <v>15</v>
      </c>
      <c r="V361" s="214" t="s">
        <v>15</v>
      </c>
      <c r="W361" s="214" t="s">
        <v>15</v>
      </c>
      <c r="X361" s="214" t="s">
        <v>15</v>
      </c>
      <c r="Y361" s="214" t="s">
        <v>15</v>
      </c>
      <c r="Z361" s="214" t="s">
        <v>796</v>
      </c>
      <c r="AA361" s="214" t="s">
        <v>797</v>
      </c>
      <c r="AB361" s="214" t="s">
        <v>15</v>
      </c>
      <c r="AC361" s="214" t="s">
        <v>122</v>
      </c>
      <c r="AD361" s="320" t="s">
        <v>798</v>
      </c>
      <c r="AE361" s="320" t="s">
        <v>799</v>
      </c>
      <c r="AF361" s="162">
        <f t="shared" si="20"/>
        <v>3.4533333333333345</v>
      </c>
      <c r="AG361" s="162" t="str">
        <f t="shared" si="21"/>
        <v/>
      </c>
      <c r="AH361" s="164">
        <f t="shared" si="22"/>
        <v>0.16947368421052647</v>
      </c>
      <c r="AI361" s="164" t="str">
        <f t="shared" si="23"/>
        <v/>
      </c>
      <c r="AJ361" s="368">
        <f>9.86666666666667*0.35</f>
        <v>3.4533333333333345</v>
      </c>
      <c r="AK361" s="368"/>
      <c r="AL361" s="368"/>
      <c r="AM361" s="368">
        <f>9.86666666666667*0.5</f>
        <v>4.9333333333333353</v>
      </c>
      <c r="AN361" s="368">
        <f>9.86666666666667*0.03</f>
        <v>0.2960000000000001</v>
      </c>
      <c r="AO361" s="368">
        <f>9.86666666666667*0.12</f>
        <v>1.1840000000000004</v>
      </c>
      <c r="AP361" s="368"/>
      <c r="AQ361" s="368"/>
      <c r="AR361" s="368"/>
      <c r="AS361" s="195">
        <f t="shared" si="24"/>
        <v>3.4533333333333345</v>
      </c>
      <c r="AT361" s="195">
        <v>9.8666666666666671</v>
      </c>
      <c r="AU361" s="377"/>
      <c r="AV361" s="382"/>
      <c r="AW361" s="426">
        <f>0.48421052631579*0.35</f>
        <v>0.16947368421052647</v>
      </c>
      <c r="AX361" s="426"/>
      <c r="AY361" s="426"/>
      <c r="AZ361" s="426">
        <f>0.48421052631579*0.4</f>
        <v>0.19368421052631601</v>
      </c>
      <c r="BA361" s="426">
        <f>0.48421052631579*0.03</f>
        <v>1.45263157894737E-2</v>
      </c>
      <c r="BB361" s="426">
        <f>0.48421052631579*0.17</f>
        <v>8.23157894736843E-2</v>
      </c>
      <c r="BC361" s="426"/>
      <c r="BD361" s="426">
        <f>0.48421052631579*0.05</f>
        <v>2.4210526315789502E-2</v>
      </c>
      <c r="BE361" s="426"/>
      <c r="BF361" s="469">
        <f t="shared" si="26"/>
        <v>0.16947368421052647</v>
      </c>
      <c r="BG361" s="469">
        <f t="shared" si="25"/>
        <v>0.48421052631578998</v>
      </c>
      <c r="BH361" s="341"/>
      <c r="BI361" s="446" t="s">
        <v>800</v>
      </c>
      <c r="BJ361" s="505"/>
    </row>
    <row r="362" spans="1:62" ht="15.75" customHeight="1" thickBot="1" x14ac:dyDescent="0.25">
      <c r="A362" s="174">
        <v>361</v>
      </c>
      <c r="B362" s="175">
        <v>1</v>
      </c>
      <c r="C362" s="166" t="s">
        <v>236</v>
      </c>
      <c r="D362" s="166" t="s">
        <v>1837</v>
      </c>
      <c r="E362" s="166" t="s">
        <v>13</v>
      </c>
      <c r="F362" s="166" t="s">
        <v>801</v>
      </c>
      <c r="G362" s="166" t="s">
        <v>20</v>
      </c>
      <c r="H362" s="166" t="s">
        <v>16</v>
      </c>
      <c r="I362" s="181">
        <v>2012</v>
      </c>
      <c r="J362" s="181" t="s">
        <v>802</v>
      </c>
      <c r="K362" s="181" t="s">
        <v>803</v>
      </c>
      <c r="L362" s="181" t="s">
        <v>19</v>
      </c>
      <c r="M362" s="556" t="s">
        <v>4162</v>
      </c>
      <c r="N362" s="214" t="s">
        <v>20</v>
      </c>
      <c r="O362" s="214" t="s">
        <v>15</v>
      </c>
      <c r="P362" s="214" t="s">
        <v>15</v>
      </c>
      <c r="Q362" s="214" t="s">
        <v>15</v>
      </c>
      <c r="R362" s="214" t="s">
        <v>15</v>
      </c>
      <c r="S362" s="214" t="s">
        <v>15</v>
      </c>
      <c r="T362" s="214" t="s">
        <v>15</v>
      </c>
      <c r="U362" s="214" t="s">
        <v>15</v>
      </c>
      <c r="V362" s="214" t="s">
        <v>15</v>
      </c>
      <c r="W362" s="214" t="s">
        <v>15</v>
      </c>
      <c r="X362" s="214" t="s">
        <v>15</v>
      </c>
      <c r="Y362" s="214" t="s">
        <v>15</v>
      </c>
      <c r="Z362" s="234"/>
      <c r="AA362" s="214" t="s">
        <v>804</v>
      </c>
      <c r="AB362" s="214" t="s">
        <v>15</v>
      </c>
      <c r="AC362" s="214" t="s">
        <v>15</v>
      </c>
      <c r="AD362" s="320" t="s">
        <v>755</v>
      </c>
      <c r="AE362" s="320"/>
      <c r="AF362" s="162" t="str">
        <f t="shared" si="20"/>
        <v/>
      </c>
      <c r="AG362" s="162" t="str">
        <f t="shared" si="21"/>
        <v/>
      </c>
      <c r="AH362" s="164">
        <f t="shared" si="22"/>
        <v>0.82899999999999996</v>
      </c>
      <c r="AI362" s="164" t="str">
        <f t="shared" si="23"/>
        <v/>
      </c>
      <c r="AJ362" s="368"/>
      <c r="AK362" s="368"/>
      <c r="AL362" s="368"/>
      <c r="AM362" s="368"/>
      <c r="AN362" s="368"/>
      <c r="AO362" s="368"/>
      <c r="AP362" s="368"/>
      <c r="AQ362" s="368"/>
      <c r="AR362" s="368"/>
      <c r="AS362" s="195"/>
      <c r="AT362" s="195"/>
      <c r="AU362" s="377"/>
      <c r="AV362" s="382"/>
      <c r="AW362" s="426"/>
      <c r="AX362" s="426"/>
      <c r="AY362" s="426"/>
      <c r="AZ362" s="426"/>
      <c r="BA362" s="426"/>
      <c r="BB362" s="426"/>
      <c r="BC362" s="426"/>
      <c r="BD362" s="426"/>
      <c r="BE362" s="426"/>
      <c r="BF362" s="468">
        <v>0.82899999999999996</v>
      </c>
      <c r="BG362" s="469"/>
      <c r="BH362" s="341"/>
      <c r="BI362" s="447"/>
      <c r="BJ362" s="505"/>
    </row>
    <row r="363" spans="1:62" ht="15.75" customHeight="1" thickBot="1" x14ac:dyDescent="0.25">
      <c r="A363" s="176">
        <v>362</v>
      </c>
      <c r="B363" s="175">
        <v>1</v>
      </c>
      <c r="C363" s="166" t="s">
        <v>236</v>
      </c>
      <c r="D363" s="166" t="s">
        <v>1837</v>
      </c>
      <c r="E363" s="166" t="s">
        <v>13</v>
      </c>
      <c r="F363" s="166" t="s">
        <v>805</v>
      </c>
      <c r="G363" s="166" t="s">
        <v>20</v>
      </c>
      <c r="H363" s="166" t="s">
        <v>16</v>
      </c>
      <c r="I363" s="181">
        <v>2012</v>
      </c>
      <c r="J363" s="181" t="s">
        <v>802</v>
      </c>
      <c r="K363" s="181" t="s">
        <v>803</v>
      </c>
      <c r="L363" s="181" t="s">
        <v>19</v>
      </c>
      <c r="M363" s="556" t="s">
        <v>4162</v>
      </c>
      <c r="N363" s="214" t="s">
        <v>20</v>
      </c>
      <c r="O363" s="214" t="s">
        <v>20</v>
      </c>
      <c r="P363" s="214" t="s">
        <v>15</v>
      </c>
      <c r="Q363" s="214" t="s">
        <v>15</v>
      </c>
      <c r="R363" s="214" t="s">
        <v>15</v>
      </c>
      <c r="S363" s="214" t="s">
        <v>15</v>
      </c>
      <c r="T363" s="214" t="s">
        <v>15</v>
      </c>
      <c r="U363" s="214" t="s">
        <v>15</v>
      </c>
      <c r="V363" s="214" t="s">
        <v>15</v>
      </c>
      <c r="W363" s="214" t="s">
        <v>15</v>
      </c>
      <c r="X363" s="214" t="s">
        <v>15</v>
      </c>
      <c r="Y363" s="214" t="s">
        <v>15</v>
      </c>
      <c r="Z363" s="234"/>
      <c r="AA363" s="214" t="s">
        <v>806</v>
      </c>
      <c r="AB363" s="214" t="s">
        <v>15</v>
      </c>
      <c r="AC363" s="214" t="s">
        <v>15</v>
      </c>
      <c r="AD363" s="320" t="s">
        <v>755</v>
      </c>
      <c r="AE363" s="320"/>
      <c r="AF363" s="162" t="str">
        <f t="shared" si="20"/>
        <v/>
      </c>
      <c r="AG363" s="162" t="str">
        <f t="shared" si="21"/>
        <v/>
      </c>
      <c r="AH363" s="164">
        <f t="shared" si="22"/>
        <v>0.72299999999999998</v>
      </c>
      <c r="AI363" s="164" t="str">
        <f t="shared" si="23"/>
        <v/>
      </c>
      <c r="AJ363" s="368"/>
      <c r="AK363" s="368"/>
      <c r="AL363" s="368"/>
      <c r="AM363" s="368"/>
      <c r="AN363" s="368"/>
      <c r="AO363" s="368"/>
      <c r="AP363" s="368"/>
      <c r="AQ363" s="368"/>
      <c r="AR363" s="368"/>
      <c r="AS363" s="195"/>
      <c r="AT363" s="195"/>
      <c r="AU363" s="377"/>
      <c r="AV363" s="382"/>
      <c r="AW363" s="426"/>
      <c r="AX363" s="426"/>
      <c r="AY363" s="426"/>
      <c r="AZ363" s="426"/>
      <c r="BA363" s="426"/>
      <c r="BB363" s="426"/>
      <c r="BC363" s="426"/>
      <c r="BD363" s="426"/>
      <c r="BE363" s="426"/>
      <c r="BF363" s="468">
        <v>0.72299999999999998</v>
      </c>
      <c r="BG363" s="469"/>
      <c r="BH363" s="341"/>
      <c r="BI363" s="447"/>
      <c r="BJ363" s="505"/>
    </row>
    <row r="364" spans="1:62" ht="15.75" customHeight="1" thickBot="1" x14ac:dyDescent="0.25">
      <c r="A364" s="174">
        <v>363</v>
      </c>
      <c r="B364" s="175">
        <v>1</v>
      </c>
      <c r="C364" s="166" t="s">
        <v>236</v>
      </c>
      <c r="D364" s="159" t="s">
        <v>1739</v>
      </c>
      <c r="E364" s="166" t="s">
        <v>13</v>
      </c>
      <c r="F364" s="166" t="s">
        <v>807</v>
      </c>
      <c r="G364" s="166" t="s">
        <v>20</v>
      </c>
      <c r="H364" s="166" t="s">
        <v>16</v>
      </c>
      <c r="I364" s="181">
        <v>2012</v>
      </c>
      <c r="J364" s="181" t="s">
        <v>802</v>
      </c>
      <c r="K364" s="181" t="s">
        <v>803</v>
      </c>
      <c r="L364" s="181" t="s">
        <v>19</v>
      </c>
      <c r="M364" s="556" t="s">
        <v>4162</v>
      </c>
      <c r="N364" s="214" t="s">
        <v>20</v>
      </c>
      <c r="O364" s="214" t="s">
        <v>15</v>
      </c>
      <c r="P364" s="214" t="s">
        <v>15</v>
      </c>
      <c r="Q364" s="214" t="s">
        <v>15</v>
      </c>
      <c r="R364" s="214" t="s">
        <v>15</v>
      </c>
      <c r="S364" s="214" t="s">
        <v>15</v>
      </c>
      <c r="T364" s="214" t="s">
        <v>15</v>
      </c>
      <c r="U364" s="214" t="s">
        <v>15</v>
      </c>
      <c r="V364" s="214" t="s">
        <v>15</v>
      </c>
      <c r="W364" s="214" t="s">
        <v>15</v>
      </c>
      <c r="X364" s="214" t="s">
        <v>15</v>
      </c>
      <c r="Y364" s="214" t="s">
        <v>15</v>
      </c>
      <c r="Z364" s="234"/>
      <c r="AA364" s="214" t="s">
        <v>804</v>
      </c>
      <c r="AB364" s="214" t="s">
        <v>15</v>
      </c>
      <c r="AC364" s="214" t="s">
        <v>15</v>
      </c>
      <c r="AD364" s="320" t="s">
        <v>755</v>
      </c>
      <c r="AE364" s="320"/>
      <c r="AF364" s="162" t="str">
        <f t="shared" si="20"/>
        <v/>
      </c>
      <c r="AG364" s="162" t="str">
        <f t="shared" si="21"/>
        <v/>
      </c>
      <c r="AH364" s="164">
        <f t="shared" si="22"/>
        <v>0.188</v>
      </c>
      <c r="AI364" s="164" t="str">
        <f t="shared" si="23"/>
        <v/>
      </c>
      <c r="AJ364" s="368"/>
      <c r="AK364" s="368"/>
      <c r="AL364" s="368"/>
      <c r="AM364" s="368"/>
      <c r="AN364" s="368"/>
      <c r="AO364" s="368"/>
      <c r="AP364" s="368"/>
      <c r="AQ364" s="368"/>
      <c r="AR364" s="368"/>
      <c r="AS364" s="195"/>
      <c r="AT364" s="195"/>
      <c r="AU364" s="377"/>
      <c r="AV364" s="382"/>
      <c r="AW364" s="426"/>
      <c r="AX364" s="426"/>
      <c r="AY364" s="426"/>
      <c r="AZ364" s="426"/>
      <c r="BA364" s="426"/>
      <c r="BB364" s="426"/>
      <c r="BC364" s="426"/>
      <c r="BD364" s="426"/>
      <c r="BE364" s="426"/>
      <c r="BF364" s="468">
        <v>0.188</v>
      </c>
      <c r="BG364" s="469"/>
      <c r="BH364" s="341"/>
      <c r="BI364" s="447"/>
      <c r="BJ364" s="505"/>
    </row>
    <row r="365" spans="1:62" ht="15.75" customHeight="1" thickBot="1" x14ac:dyDescent="0.25">
      <c r="A365" s="176">
        <v>364</v>
      </c>
      <c r="B365" s="175">
        <v>1</v>
      </c>
      <c r="C365" s="166" t="s">
        <v>236</v>
      </c>
      <c r="D365" s="159" t="s">
        <v>1739</v>
      </c>
      <c r="E365" s="166" t="s">
        <v>13</v>
      </c>
      <c r="F365" s="166" t="s">
        <v>808</v>
      </c>
      <c r="G365" s="166" t="s">
        <v>20</v>
      </c>
      <c r="H365" s="166" t="s">
        <v>16</v>
      </c>
      <c r="I365" s="181">
        <v>2012</v>
      </c>
      <c r="J365" s="181" t="s">
        <v>802</v>
      </c>
      <c r="K365" s="181" t="s">
        <v>803</v>
      </c>
      <c r="L365" s="181" t="s">
        <v>19</v>
      </c>
      <c r="M365" s="556" t="s">
        <v>4162</v>
      </c>
      <c r="N365" s="214" t="s">
        <v>20</v>
      </c>
      <c r="O365" s="214" t="s">
        <v>20</v>
      </c>
      <c r="P365" s="214" t="s">
        <v>15</v>
      </c>
      <c r="Q365" s="214" t="s">
        <v>15</v>
      </c>
      <c r="R365" s="214" t="s">
        <v>15</v>
      </c>
      <c r="S365" s="214" t="s">
        <v>15</v>
      </c>
      <c r="T365" s="214" t="s">
        <v>15</v>
      </c>
      <c r="U365" s="214" t="s">
        <v>15</v>
      </c>
      <c r="V365" s="214" t="s">
        <v>15</v>
      </c>
      <c r="W365" s="214" t="s">
        <v>15</v>
      </c>
      <c r="X365" s="214" t="s">
        <v>15</v>
      </c>
      <c r="Y365" s="214" t="s">
        <v>15</v>
      </c>
      <c r="Z365" s="234"/>
      <c r="AA365" s="214" t="s">
        <v>806</v>
      </c>
      <c r="AB365" s="214" t="s">
        <v>15</v>
      </c>
      <c r="AC365" s="214" t="s">
        <v>15</v>
      </c>
      <c r="AD365" s="320" t="s">
        <v>755</v>
      </c>
      <c r="AE365" s="320"/>
      <c r="AF365" s="162" t="str">
        <f t="shared" si="20"/>
        <v/>
      </c>
      <c r="AG365" s="162" t="str">
        <f t="shared" si="21"/>
        <v/>
      </c>
      <c r="AH365" s="164">
        <f t="shared" si="22"/>
        <v>0.26700000000000002</v>
      </c>
      <c r="AI365" s="164" t="str">
        <f t="shared" si="23"/>
        <v/>
      </c>
      <c r="AJ365" s="368"/>
      <c r="AK365" s="368"/>
      <c r="AL365" s="368"/>
      <c r="AM365" s="368"/>
      <c r="AN365" s="368"/>
      <c r="AO365" s="368"/>
      <c r="AP365" s="368"/>
      <c r="AQ365" s="368"/>
      <c r="AR365" s="368"/>
      <c r="AS365" s="195"/>
      <c r="AT365" s="195"/>
      <c r="AU365" s="377"/>
      <c r="AV365" s="382"/>
      <c r="AW365" s="426"/>
      <c r="AX365" s="426"/>
      <c r="AY365" s="426"/>
      <c r="AZ365" s="426"/>
      <c r="BA365" s="426"/>
      <c r="BB365" s="426"/>
      <c r="BC365" s="426"/>
      <c r="BD365" s="426"/>
      <c r="BE365" s="426"/>
      <c r="BF365" s="468">
        <v>0.26700000000000002</v>
      </c>
      <c r="BG365" s="469"/>
      <c r="BH365" s="341"/>
      <c r="BI365" s="447"/>
      <c r="BJ365" s="505"/>
    </row>
    <row r="366" spans="1:62" ht="15.75" customHeight="1" thickBot="1" x14ac:dyDescent="0.25">
      <c r="A366" s="174">
        <v>365</v>
      </c>
      <c r="B366" s="175">
        <v>1</v>
      </c>
      <c r="C366" s="166" t="s">
        <v>236</v>
      </c>
      <c r="D366" s="159" t="s">
        <v>1739</v>
      </c>
      <c r="E366" s="166" t="s">
        <v>13</v>
      </c>
      <c r="F366" s="166" t="s">
        <v>809</v>
      </c>
      <c r="G366" s="166" t="s">
        <v>20</v>
      </c>
      <c r="H366" s="166" t="s">
        <v>16</v>
      </c>
      <c r="I366" s="181">
        <v>2012</v>
      </c>
      <c r="J366" s="181" t="s">
        <v>802</v>
      </c>
      <c r="K366" s="181" t="s">
        <v>803</v>
      </c>
      <c r="L366" s="181" t="s">
        <v>19</v>
      </c>
      <c r="M366" s="556" t="s">
        <v>4162</v>
      </c>
      <c r="N366" s="214" t="s">
        <v>20</v>
      </c>
      <c r="O366" s="214" t="s">
        <v>15</v>
      </c>
      <c r="P366" s="214" t="s">
        <v>15</v>
      </c>
      <c r="Q366" s="214" t="s">
        <v>15</v>
      </c>
      <c r="R366" s="214" t="s">
        <v>15</v>
      </c>
      <c r="S366" s="214" t="s">
        <v>15</v>
      </c>
      <c r="T366" s="214" t="s">
        <v>15</v>
      </c>
      <c r="U366" s="214" t="s">
        <v>15</v>
      </c>
      <c r="V366" s="214" t="s">
        <v>15</v>
      </c>
      <c r="W366" s="214" t="s">
        <v>15</v>
      </c>
      <c r="X366" s="214" t="s">
        <v>15</v>
      </c>
      <c r="Y366" s="214" t="s">
        <v>15</v>
      </c>
      <c r="Z366" s="234"/>
      <c r="AA366" s="214" t="s">
        <v>804</v>
      </c>
      <c r="AB366" s="214" t="s">
        <v>15</v>
      </c>
      <c r="AC366" s="214" t="s">
        <v>15</v>
      </c>
      <c r="AD366" s="320" t="s">
        <v>755</v>
      </c>
      <c r="AE366" s="320"/>
      <c r="AF366" s="162" t="str">
        <f t="shared" si="20"/>
        <v/>
      </c>
      <c r="AG366" s="162" t="str">
        <f t="shared" si="21"/>
        <v/>
      </c>
      <c r="AH366" s="164">
        <f t="shared" si="22"/>
        <v>0.108</v>
      </c>
      <c r="AI366" s="164" t="str">
        <f t="shared" si="23"/>
        <v/>
      </c>
      <c r="AJ366" s="368"/>
      <c r="AK366" s="368"/>
      <c r="AL366" s="368"/>
      <c r="AM366" s="368"/>
      <c r="AN366" s="368"/>
      <c r="AO366" s="368"/>
      <c r="AP366" s="368"/>
      <c r="AQ366" s="368"/>
      <c r="AR366" s="368"/>
      <c r="AS366" s="195"/>
      <c r="AT366" s="195"/>
      <c r="AU366" s="377"/>
      <c r="AV366" s="382"/>
      <c r="AW366" s="426"/>
      <c r="AX366" s="426"/>
      <c r="AY366" s="426"/>
      <c r="AZ366" s="426"/>
      <c r="BA366" s="426"/>
      <c r="BB366" s="426"/>
      <c r="BC366" s="426"/>
      <c r="BD366" s="426"/>
      <c r="BE366" s="426"/>
      <c r="BF366" s="468">
        <v>0.108</v>
      </c>
      <c r="BG366" s="469"/>
      <c r="BH366" s="341"/>
      <c r="BI366" s="447"/>
      <c r="BJ366" s="505"/>
    </row>
    <row r="367" spans="1:62" ht="15.75" customHeight="1" thickBot="1" x14ac:dyDescent="0.25">
      <c r="A367" s="176">
        <v>366</v>
      </c>
      <c r="B367" s="175">
        <v>1</v>
      </c>
      <c r="C367" s="166" t="s">
        <v>236</v>
      </c>
      <c r="D367" s="159" t="s">
        <v>1739</v>
      </c>
      <c r="E367" s="166" t="s">
        <v>13</v>
      </c>
      <c r="F367" s="166" t="s">
        <v>810</v>
      </c>
      <c r="G367" s="166" t="s">
        <v>20</v>
      </c>
      <c r="H367" s="166" t="s">
        <v>16</v>
      </c>
      <c r="I367" s="181">
        <v>2012</v>
      </c>
      <c r="J367" s="181" t="s">
        <v>802</v>
      </c>
      <c r="K367" s="181" t="s">
        <v>803</v>
      </c>
      <c r="L367" s="181" t="s">
        <v>19</v>
      </c>
      <c r="M367" s="556" t="s">
        <v>4162</v>
      </c>
      <c r="N367" s="214" t="s">
        <v>20</v>
      </c>
      <c r="O367" s="214" t="s">
        <v>15</v>
      </c>
      <c r="P367" s="214" t="s">
        <v>15</v>
      </c>
      <c r="Q367" s="214" t="s">
        <v>15</v>
      </c>
      <c r="R367" s="214" t="s">
        <v>15</v>
      </c>
      <c r="S367" s="214" t="s">
        <v>15</v>
      </c>
      <c r="T367" s="214" t="s">
        <v>15</v>
      </c>
      <c r="U367" s="214" t="s">
        <v>15</v>
      </c>
      <c r="V367" s="214" t="s">
        <v>15</v>
      </c>
      <c r="W367" s="214" t="s">
        <v>15</v>
      </c>
      <c r="X367" s="214" t="s">
        <v>15</v>
      </c>
      <c r="Y367" s="214" t="s">
        <v>15</v>
      </c>
      <c r="Z367" s="234"/>
      <c r="AA367" s="214" t="s">
        <v>806</v>
      </c>
      <c r="AB367" s="214" t="s">
        <v>15</v>
      </c>
      <c r="AC367" s="214" t="s">
        <v>15</v>
      </c>
      <c r="AD367" s="320" t="s">
        <v>755</v>
      </c>
      <c r="AE367" s="320"/>
      <c r="AF367" s="162" t="str">
        <f t="shared" si="20"/>
        <v/>
      </c>
      <c r="AG367" s="162" t="str">
        <f t="shared" si="21"/>
        <v/>
      </c>
      <c r="AH367" s="164">
        <f t="shared" si="22"/>
        <v>0.17599999999999999</v>
      </c>
      <c r="AI367" s="164" t="str">
        <f t="shared" si="23"/>
        <v/>
      </c>
      <c r="AJ367" s="368"/>
      <c r="AK367" s="368"/>
      <c r="AL367" s="368"/>
      <c r="AM367" s="368"/>
      <c r="AN367" s="368"/>
      <c r="AO367" s="368"/>
      <c r="AP367" s="368"/>
      <c r="AQ367" s="368"/>
      <c r="AR367" s="368"/>
      <c r="AS367" s="195"/>
      <c r="AT367" s="195"/>
      <c r="AU367" s="377"/>
      <c r="AV367" s="382"/>
      <c r="AW367" s="426"/>
      <c r="AX367" s="426"/>
      <c r="AY367" s="426"/>
      <c r="AZ367" s="426"/>
      <c r="BA367" s="426"/>
      <c r="BB367" s="426"/>
      <c r="BC367" s="426"/>
      <c r="BD367" s="426"/>
      <c r="BE367" s="426"/>
      <c r="BF367" s="468">
        <v>0.17599999999999999</v>
      </c>
      <c r="BG367" s="469"/>
      <c r="BH367" s="341"/>
      <c r="BI367" s="447"/>
      <c r="BJ367" s="505"/>
    </row>
    <row r="368" spans="1:62" ht="15.75" customHeight="1" thickBot="1" x14ac:dyDescent="0.25">
      <c r="A368" s="174">
        <v>367</v>
      </c>
      <c r="B368" s="175">
        <v>1</v>
      </c>
      <c r="C368" s="166" t="s">
        <v>236</v>
      </c>
      <c r="D368" s="166" t="s">
        <v>597</v>
      </c>
      <c r="E368" s="166" t="s">
        <v>13</v>
      </c>
      <c r="F368" s="166" t="s">
        <v>811</v>
      </c>
      <c r="G368" s="166" t="s">
        <v>20</v>
      </c>
      <c r="H368" s="166" t="s">
        <v>16</v>
      </c>
      <c r="I368" s="181">
        <v>2012</v>
      </c>
      <c r="J368" s="181" t="s">
        <v>802</v>
      </c>
      <c r="K368" s="181" t="s">
        <v>803</v>
      </c>
      <c r="L368" s="181" t="s">
        <v>19</v>
      </c>
      <c r="M368" s="556" t="s">
        <v>4162</v>
      </c>
      <c r="N368" s="214" t="s">
        <v>20</v>
      </c>
      <c r="O368" s="214" t="s">
        <v>20</v>
      </c>
      <c r="P368" s="214" t="s">
        <v>15</v>
      </c>
      <c r="Q368" s="214" t="s">
        <v>15</v>
      </c>
      <c r="R368" s="214" t="s">
        <v>15</v>
      </c>
      <c r="S368" s="214" t="s">
        <v>15</v>
      </c>
      <c r="T368" s="214" t="s">
        <v>15</v>
      </c>
      <c r="U368" s="214" t="s">
        <v>15</v>
      </c>
      <c r="V368" s="214" t="s">
        <v>15</v>
      </c>
      <c r="W368" s="214" t="s">
        <v>15</v>
      </c>
      <c r="X368" s="214" t="s">
        <v>15</v>
      </c>
      <c r="Y368" s="214" t="s">
        <v>15</v>
      </c>
      <c r="Z368" s="234"/>
      <c r="AA368" s="214" t="s">
        <v>804</v>
      </c>
      <c r="AB368" s="214" t="s">
        <v>15</v>
      </c>
      <c r="AC368" s="214" t="s">
        <v>15</v>
      </c>
      <c r="AD368" s="320" t="s">
        <v>755</v>
      </c>
      <c r="AE368" s="320"/>
      <c r="AF368" s="162" t="str">
        <f t="shared" si="20"/>
        <v/>
      </c>
      <c r="AG368" s="162" t="str">
        <f t="shared" si="21"/>
        <v/>
      </c>
      <c r="AH368" s="164">
        <f t="shared" si="22"/>
        <v>0.27200000000000002</v>
      </c>
      <c r="AI368" s="164" t="str">
        <f t="shared" si="23"/>
        <v/>
      </c>
      <c r="AJ368" s="368"/>
      <c r="AK368" s="368"/>
      <c r="AL368" s="368"/>
      <c r="AM368" s="368"/>
      <c r="AN368" s="368"/>
      <c r="AO368" s="368"/>
      <c r="AP368" s="368"/>
      <c r="AQ368" s="368"/>
      <c r="AR368" s="368"/>
      <c r="AS368" s="195"/>
      <c r="AT368" s="195"/>
      <c r="AU368" s="377"/>
      <c r="AV368" s="382"/>
      <c r="AW368" s="426"/>
      <c r="AX368" s="426"/>
      <c r="AY368" s="426"/>
      <c r="AZ368" s="426"/>
      <c r="BA368" s="426"/>
      <c r="BB368" s="426"/>
      <c r="BC368" s="426"/>
      <c r="BD368" s="426"/>
      <c r="BE368" s="426"/>
      <c r="BF368" s="468">
        <v>0.27200000000000002</v>
      </c>
      <c r="BG368" s="469"/>
      <c r="BH368" s="341"/>
      <c r="BI368" s="447"/>
      <c r="BJ368" s="505"/>
    </row>
    <row r="369" spans="1:62" ht="15.75" customHeight="1" thickBot="1" x14ac:dyDescent="0.25">
      <c r="A369" s="176">
        <v>368</v>
      </c>
      <c r="B369" s="175">
        <v>1</v>
      </c>
      <c r="C369" s="166" t="s">
        <v>236</v>
      </c>
      <c r="D369" s="166" t="s">
        <v>597</v>
      </c>
      <c r="E369" s="166" t="s">
        <v>13</v>
      </c>
      <c r="F369" s="166" t="s">
        <v>812</v>
      </c>
      <c r="G369" s="166" t="s">
        <v>20</v>
      </c>
      <c r="H369" s="166" t="s">
        <v>16</v>
      </c>
      <c r="I369" s="181">
        <v>2012</v>
      </c>
      <c r="J369" s="181" t="s">
        <v>802</v>
      </c>
      <c r="K369" s="181" t="s">
        <v>803</v>
      </c>
      <c r="L369" s="181" t="s">
        <v>19</v>
      </c>
      <c r="M369" s="556" t="s">
        <v>4162</v>
      </c>
      <c r="N369" s="214" t="s">
        <v>20</v>
      </c>
      <c r="O369" s="214" t="s">
        <v>15</v>
      </c>
      <c r="P369" s="214" t="s">
        <v>15</v>
      </c>
      <c r="Q369" s="214" t="s">
        <v>15</v>
      </c>
      <c r="R369" s="214" t="s">
        <v>15</v>
      </c>
      <c r="S369" s="214" t="s">
        <v>15</v>
      </c>
      <c r="T369" s="214" t="s">
        <v>15</v>
      </c>
      <c r="U369" s="214" t="s">
        <v>15</v>
      </c>
      <c r="V369" s="214" t="s">
        <v>15</v>
      </c>
      <c r="W369" s="214" t="s">
        <v>15</v>
      </c>
      <c r="X369" s="214" t="s">
        <v>15</v>
      </c>
      <c r="Y369" s="214" t="s">
        <v>15</v>
      </c>
      <c r="Z369" s="234"/>
      <c r="AA369" s="214" t="s">
        <v>806</v>
      </c>
      <c r="AB369" s="214" t="s">
        <v>15</v>
      </c>
      <c r="AC369" s="214" t="s">
        <v>15</v>
      </c>
      <c r="AD369" s="320" t="s">
        <v>755</v>
      </c>
      <c r="AE369" s="320"/>
      <c r="AF369" s="162" t="str">
        <f t="shared" si="20"/>
        <v/>
      </c>
      <c r="AG369" s="162" t="str">
        <f t="shared" si="21"/>
        <v/>
      </c>
      <c r="AH369" s="164">
        <f t="shared" si="22"/>
        <v>0.24399999999999999</v>
      </c>
      <c r="AI369" s="164" t="str">
        <f t="shared" si="23"/>
        <v/>
      </c>
      <c r="AJ369" s="368"/>
      <c r="AK369" s="368"/>
      <c r="AL369" s="368"/>
      <c r="AM369" s="368"/>
      <c r="AN369" s="368"/>
      <c r="AO369" s="368"/>
      <c r="AP369" s="368"/>
      <c r="AQ369" s="368"/>
      <c r="AR369" s="368"/>
      <c r="AS369" s="195"/>
      <c r="AT369" s="195"/>
      <c r="AU369" s="377"/>
      <c r="AV369" s="382"/>
      <c r="AW369" s="426"/>
      <c r="AX369" s="426"/>
      <c r="AY369" s="426"/>
      <c r="AZ369" s="426"/>
      <c r="BA369" s="426"/>
      <c r="BB369" s="426"/>
      <c r="BC369" s="426"/>
      <c r="BD369" s="426"/>
      <c r="BE369" s="426"/>
      <c r="BF369" s="468">
        <v>0.24399999999999999</v>
      </c>
      <c r="BG369" s="469"/>
      <c r="BH369" s="341"/>
      <c r="BI369" s="447"/>
      <c r="BJ369" s="505"/>
    </row>
    <row r="370" spans="1:62" ht="15.75" customHeight="1" thickBot="1" x14ac:dyDescent="0.25">
      <c r="A370" s="174">
        <v>369</v>
      </c>
      <c r="B370" s="175">
        <v>1</v>
      </c>
      <c r="C370" s="166" t="s">
        <v>236</v>
      </c>
      <c r="D370" s="166" t="s">
        <v>597</v>
      </c>
      <c r="E370" s="166" t="s">
        <v>13</v>
      </c>
      <c r="F370" s="168" t="s">
        <v>2358</v>
      </c>
      <c r="G370" s="166" t="s">
        <v>20</v>
      </c>
      <c r="H370" s="166" t="s">
        <v>16</v>
      </c>
      <c r="I370" s="181">
        <v>2012</v>
      </c>
      <c r="J370" s="181" t="s">
        <v>802</v>
      </c>
      <c r="K370" s="181" t="s">
        <v>803</v>
      </c>
      <c r="L370" s="181" t="s">
        <v>19</v>
      </c>
      <c r="M370" s="556" t="s">
        <v>4162</v>
      </c>
      <c r="N370" s="214" t="s">
        <v>20</v>
      </c>
      <c r="O370" s="214" t="s">
        <v>20</v>
      </c>
      <c r="P370" s="214" t="s">
        <v>15</v>
      </c>
      <c r="Q370" s="214" t="s">
        <v>15</v>
      </c>
      <c r="R370" s="214" t="s">
        <v>15</v>
      </c>
      <c r="S370" s="214" t="s">
        <v>15</v>
      </c>
      <c r="T370" s="214" t="s">
        <v>15</v>
      </c>
      <c r="U370" s="214" t="s">
        <v>15</v>
      </c>
      <c r="V370" s="214" t="s">
        <v>15</v>
      </c>
      <c r="W370" s="214" t="s">
        <v>15</v>
      </c>
      <c r="X370" s="214" t="s">
        <v>15</v>
      </c>
      <c r="Y370" s="214" t="s">
        <v>15</v>
      </c>
      <c r="Z370" s="234"/>
      <c r="AA370" s="214" t="s">
        <v>804</v>
      </c>
      <c r="AB370" s="214" t="s">
        <v>15</v>
      </c>
      <c r="AC370" s="214" t="s">
        <v>15</v>
      </c>
      <c r="AD370" s="320" t="s">
        <v>755</v>
      </c>
      <c r="AE370" s="320"/>
      <c r="AF370" s="162" t="str">
        <f t="shared" si="20"/>
        <v/>
      </c>
      <c r="AG370" s="162" t="str">
        <f t="shared" si="21"/>
        <v/>
      </c>
      <c r="AH370" s="164">
        <f t="shared" si="22"/>
        <v>0.20499999999999999</v>
      </c>
      <c r="AI370" s="164" t="str">
        <f t="shared" si="23"/>
        <v/>
      </c>
      <c r="AJ370" s="368"/>
      <c r="AK370" s="368"/>
      <c r="AL370" s="368"/>
      <c r="AM370" s="368"/>
      <c r="AN370" s="368"/>
      <c r="AO370" s="368"/>
      <c r="AP370" s="368"/>
      <c r="AQ370" s="368"/>
      <c r="AR370" s="368"/>
      <c r="AS370" s="195"/>
      <c r="AT370" s="195"/>
      <c r="AU370" s="377"/>
      <c r="AV370" s="382"/>
      <c r="AW370" s="426"/>
      <c r="AX370" s="426"/>
      <c r="AY370" s="426"/>
      <c r="AZ370" s="426"/>
      <c r="BA370" s="426"/>
      <c r="BB370" s="426"/>
      <c r="BC370" s="426"/>
      <c r="BD370" s="426"/>
      <c r="BE370" s="426"/>
      <c r="BF370" s="468">
        <v>0.20499999999999999</v>
      </c>
      <c r="BG370" s="469"/>
      <c r="BH370" s="341"/>
      <c r="BI370" s="447"/>
      <c r="BJ370" s="505"/>
    </row>
    <row r="371" spans="1:62" ht="15.75" customHeight="1" thickBot="1" x14ac:dyDescent="0.25">
      <c r="A371" s="176">
        <v>370</v>
      </c>
      <c r="B371" s="175">
        <v>1</v>
      </c>
      <c r="C371" s="166" t="s">
        <v>236</v>
      </c>
      <c r="D371" s="166" t="s">
        <v>597</v>
      </c>
      <c r="E371" s="166" t="s">
        <v>13</v>
      </c>
      <c r="F371" s="166" t="s">
        <v>813</v>
      </c>
      <c r="G371" s="166" t="s">
        <v>20</v>
      </c>
      <c r="H371" s="166" t="s">
        <v>16</v>
      </c>
      <c r="I371" s="181">
        <v>2012</v>
      </c>
      <c r="J371" s="181" t="s">
        <v>802</v>
      </c>
      <c r="K371" s="181" t="s">
        <v>803</v>
      </c>
      <c r="L371" s="181" t="s">
        <v>19</v>
      </c>
      <c r="M371" s="556" t="s">
        <v>4162</v>
      </c>
      <c r="N371" s="214" t="s">
        <v>20</v>
      </c>
      <c r="O371" s="214" t="s">
        <v>15</v>
      </c>
      <c r="P371" s="214" t="s">
        <v>15</v>
      </c>
      <c r="Q371" s="214" t="s">
        <v>15</v>
      </c>
      <c r="R371" s="214" t="s">
        <v>15</v>
      </c>
      <c r="S371" s="214" t="s">
        <v>15</v>
      </c>
      <c r="T371" s="214" t="s">
        <v>15</v>
      </c>
      <c r="U371" s="214" t="s">
        <v>15</v>
      </c>
      <c r="V371" s="214" t="s">
        <v>15</v>
      </c>
      <c r="W371" s="214" t="s">
        <v>15</v>
      </c>
      <c r="X371" s="214" t="s">
        <v>15</v>
      </c>
      <c r="Y371" s="214" t="s">
        <v>15</v>
      </c>
      <c r="Z371" s="234"/>
      <c r="AA371" s="214" t="s">
        <v>806</v>
      </c>
      <c r="AB371" s="214" t="s">
        <v>15</v>
      </c>
      <c r="AC371" s="214" t="s">
        <v>15</v>
      </c>
      <c r="AD371" s="320" t="s">
        <v>755</v>
      </c>
      <c r="AE371" s="320"/>
      <c r="AF371" s="162" t="str">
        <f t="shared" si="20"/>
        <v/>
      </c>
      <c r="AG371" s="162" t="str">
        <f t="shared" si="21"/>
        <v/>
      </c>
      <c r="AH371" s="164">
        <f t="shared" si="22"/>
        <v>0.17899999999999999</v>
      </c>
      <c r="AI371" s="164" t="str">
        <f t="shared" si="23"/>
        <v/>
      </c>
      <c r="AJ371" s="368"/>
      <c r="AK371" s="368"/>
      <c r="AL371" s="368"/>
      <c r="AM371" s="368"/>
      <c r="AN371" s="368"/>
      <c r="AO371" s="368"/>
      <c r="AP371" s="368"/>
      <c r="AQ371" s="368"/>
      <c r="AR371" s="368"/>
      <c r="AS371" s="195"/>
      <c r="AT371" s="195"/>
      <c r="AU371" s="377"/>
      <c r="AV371" s="382"/>
      <c r="AW371" s="426"/>
      <c r="AX371" s="426"/>
      <c r="AY371" s="426"/>
      <c r="AZ371" s="426"/>
      <c r="BA371" s="426"/>
      <c r="BB371" s="426"/>
      <c r="BC371" s="426"/>
      <c r="BD371" s="426"/>
      <c r="BE371" s="426"/>
      <c r="BF371" s="468">
        <v>0.17899999999999999</v>
      </c>
      <c r="BG371" s="469"/>
      <c r="BH371" s="341"/>
      <c r="BI371" s="447"/>
      <c r="BJ371" s="505"/>
    </row>
    <row r="372" spans="1:62" ht="15.75" customHeight="1" thickBot="1" x14ac:dyDescent="0.25">
      <c r="A372" s="174">
        <v>371</v>
      </c>
      <c r="B372" s="175">
        <v>1</v>
      </c>
      <c r="C372" s="166" t="s">
        <v>236</v>
      </c>
      <c r="D372" s="166" t="s">
        <v>3062</v>
      </c>
      <c r="E372" s="166" t="s">
        <v>13</v>
      </c>
      <c r="F372" s="166" t="s">
        <v>814</v>
      </c>
      <c r="G372" s="166" t="s">
        <v>20</v>
      </c>
      <c r="H372" s="166" t="s">
        <v>16</v>
      </c>
      <c r="I372" s="181">
        <v>2012</v>
      </c>
      <c r="J372" s="181" t="s">
        <v>802</v>
      </c>
      <c r="K372" s="181" t="s">
        <v>803</v>
      </c>
      <c r="L372" s="181" t="s">
        <v>19</v>
      </c>
      <c r="M372" s="556" t="s">
        <v>4162</v>
      </c>
      <c r="N372" s="214" t="s">
        <v>20</v>
      </c>
      <c r="O372" s="214" t="s">
        <v>15</v>
      </c>
      <c r="P372" s="214" t="s">
        <v>15</v>
      </c>
      <c r="Q372" s="214" t="s">
        <v>15</v>
      </c>
      <c r="R372" s="214" t="s">
        <v>15</v>
      </c>
      <c r="S372" s="214" t="s">
        <v>15</v>
      </c>
      <c r="T372" s="214" t="s">
        <v>15</v>
      </c>
      <c r="U372" s="214" t="s">
        <v>15</v>
      </c>
      <c r="V372" s="214" t="s">
        <v>15</v>
      </c>
      <c r="W372" s="214" t="s">
        <v>15</v>
      </c>
      <c r="X372" s="214" t="s">
        <v>15</v>
      </c>
      <c r="Y372" s="214" t="s">
        <v>15</v>
      </c>
      <c r="Z372" s="234"/>
      <c r="AA372" s="214" t="s">
        <v>804</v>
      </c>
      <c r="AB372" s="214" t="s">
        <v>15</v>
      </c>
      <c r="AC372" s="214" t="s">
        <v>15</v>
      </c>
      <c r="AD372" s="320" t="s">
        <v>755</v>
      </c>
      <c r="AE372" s="320"/>
      <c r="AF372" s="162" t="str">
        <f t="shared" si="20"/>
        <v/>
      </c>
      <c r="AG372" s="162" t="str">
        <f t="shared" si="21"/>
        <v/>
      </c>
      <c r="AH372" s="164">
        <f t="shared" si="22"/>
        <v>0.66700000000000004</v>
      </c>
      <c r="AI372" s="164" t="str">
        <f t="shared" si="23"/>
        <v/>
      </c>
      <c r="AJ372" s="368"/>
      <c r="AK372" s="368"/>
      <c r="AL372" s="368"/>
      <c r="AM372" s="368"/>
      <c r="AN372" s="368"/>
      <c r="AO372" s="368"/>
      <c r="AP372" s="368"/>
      <c r="AQ372" s="368"/>
      <c r="AR372" s="368"/>
      <c r="AS372" s="195"/>
      <c r="AT372" s="195"/>
      <c r="AU372" s="377"/>
      <c r="AV372" s="382"/>
      <c r="AW372" s="426"/>
      <c r="AX372" s="426"/>
      <c r="AY372" s="426"/>
      <c r="AZ372" s="426"/>
      <c r="BA372" s="426"/>
      <c r="BB372" s="426"/>
      <c r="BC372" s="426"/>
      <c r="BD372" s="426"/>
      <c r="BE372" s="426"/>
      <c r="BF372" s="468">
        <v>0.66700000000000004</v>
      </c>
      <c r="BG372" s="469"/>
      <c r="BH372" s="341"/>
      <c r="BI372" s="447"/>
      <c r="BJ372" s="505"/>
    </row>
    <row r="373" spans="1:62" ht="15.75" customHeight="1" thickBot="1" x14ac:dyDescent="0.25">
      <c r="A373" s="176">
        <v>372</v>
      </c>
      <c r="B373" s="175">
        <v>1</v>
      </c>
      <c r="C373" s="166" t="s">
        <v>236</v>
      </c>
      <c r="D373" s="166" t="s">
        <v>3062</v>
      </c>
      <c r="E373" s="166" t="s">
        <v>13</v>
      </c>
      <c r="F373" s="166" t="s">
        <v>815</v>
      </c>
      <c r="G373" s="166" t="s">
        <v>20</v>
      </c>
      <c r="H373" s="166" t="s">
        <v>16</v>
      </c>
      <c r="I373" s="181">
        <v>2012</v>
      </c>
      <c r="J373" s="181" t="s">
        <v>802</v>
      </c>
      <c r="K373" s="181" t="s">
        <v>803</v>
      </c>
      <c r="L373" s="181" t="s">
        <v>19</v>
      </c>
      <c r="M373" s="556" t="s">
        <v>4162</v>
      </c>
      <c r="N373" s="214" t="s">
        <v>20</v>
      </c>
      <c r="O373" s="214" t="s">
        <v>20</v>
      </c>
      <c r="P373" s="214" t="s">
        <v>15</v>
      </c>
      <c r="Q373" s="214" t="s">
        <v>15</v>
      </c>
      <c r="R373" s="214" t="s">
        <v>15</v>
      </c>
      <c r="S373" s="214" t="s">
        <v>15</v>
      </c>
      <c r="T373" s="214" t="s">
        <v>15</v>
      </c>
      <c r="U373" s="214" t="s">
        <v>15</v>
      </c>
      <c r="V373" s="214" t="s">
        <v>15</v>
      </c>
      <c r="W373" s="214" t="s">
        <v>15</v>
      </c>
      <c r="X373" s="214" t="s">
        <v>15</v>
      </c>
      <c r="Y373" s="214" t="s">
        <v>15</v>
      </c>
      <c r="Z373" s="234"/>
      <c r="AA373" s="214" t="s">
        <v>806</v>
      </c>
      <c r="AB373" s="214" t="s">
        <v>15</v>
      </c>
      <c r="AC373" s="214" t="s">
        <v>15</v>
      </c>
      <c r="AD373" s="320" t="s">
        <v>755</v>
      </c>
      <c r="AE373" s="320"/>
      <c r="AF373" s="162" t="str">
        <f t="shared" si="20"/>
        <v/>
      </c>
      <c r="AG373" s="162" t="str">
        <f t="shared" si="21"/>
        <v/>
      </c>
      <c r="AH373" s="164">
        <f t="shared" si="22"/>
        <v>0.7</v>
      </c>
      <c r="AI373" s="164" t="str">
        <f t="shared" si="23"/>
        <v/>
      </c>
      <c r="AJ373" s="368"/>
      <c r="AK373" s="368"/>
      <c r="AL373" s="368"/>
      <c r="AM373" s="368"/>
      <c r="AN373" s="368"/>
      <c r="AO373" s="368"/>
      <c r="AP373" s="368"/>
      <c r="AQ373" s="368"/>
      <c r="AR373" s="368"/>
      <c r="AS373" s="195"/>
      <c r="AT373" s="195"/>
      <c r="AU373" s="377"/>
      <c r="AV373" s="382"/>
      <c r="AW373" s="426"/>
      <c r="AX373" s="426"/>
      <c r="AY373" s="426"/>
      <c r="AZ373" s="426"/>
      <c r="BA373" s="426"/>
      <c r="BB373" s="426"/>
      <c r="BC373" s="426"/>
      <c r="BD373" s="426"/>
      <c r="BE373" s="426"/>
      <c r="BF373" s="468">
        <v>0.7</v>
      </c>
      <c r="BG373" s="469"/>
      <c r="BH373" s="341"/>
      <c r="BI373" s="447"/>
      <c r="BJ373" s="505"/>
    </row>
    <row r="374" spans="1:62" ht="15.75" customHeight="1" thickBot="1" x14ac:dyDescent="0.25">
      <c r="A374" s="174">
        <v>373</v>
      </c>
      <c r="B374" s="175">
        <v>1</v>
      </c>
      <c r="C374" s="166" t="s">
        <v>236</v>
      </c>
      <c r="D374" s="167" t="s">
        <v>2282</v>
      </c>
      <c r="E374" s="166" t="s">
        <v>13</v>
      </c>
      <c r="F374" s="166" t="s">
        <v>816</v>
      </c>
      <c r="G374" s="166" t="s">
        <v>20</v>
      </c>
      <c r="H374" s="166" t="s">
        <v>16</v>
      </c>
      <c r="I374" s="181">
        <v>2012</v>
      </c>
      <c r="J374" s="181" t="s">
        <v>802</v>
      </c>
      <c r="K374" s="181" t="s">
        <v>803</v>
      </c>
      <c r="L374" s="181" t="s">
        <v>19</v>
      </c>
      <c r="M374" s="556" t="s">
        <v>4162</v>
      </c>
      <c r="N374" s="214" t="s">
        <v>20</v>
      </c>
      <c r="O374" s="214" t="s">
        <v>15</v>
      </c>
      <c r="P374" s="214" t="s">
        <v>15</v>
      </c>
      <c r="Q374" s="214" t="s">
        <v>15</v>
      </c>
      <c r="R374" s="214" t="s">
        <v>15</v>
      </c>
      <c r="S374" s="214" t="s">
        <v>15</v>
      </c>
      <c r="T374" s="214" t="s">
        <v>15</v>
      </c>
      <c r="U374" s="214" t="s">
        <v>15</v>
      </c>
      <c r="V374" s="214" t="s">
        <v>15</v>
      </c>
      <c r="W374" s="214" t="s">
        <v>15</v>
      </c>
      <c r="X374" s="214" t="s">
        <v>15</v>
      </c>
      <c r="Y374" s="214" t="s">
        <v>15</v>
      </c>
      <c r="Z374" s="234"/>
      <c r="AA374" s="214" t="s">
        <v>804</v>
      </c>
      <c r="AB374" s="214" t="s">
        <v>15</v>
      </c>
      <c r="AC374" s="214" t="s">
        <v>15</v>
      </c>
      <c r="AD374" s="320" t="s">
        <v>755</v>
      </c>
      <c r="AE374" s="320"/>
      <c r="AF374" s="162" t="str">
        <f t="shared" si="20"/>
        <v/>
      </c>
      <c r="AG374" s="162" t="str">
        <f t="shared" si="21"/>
        <v/>
      </c>
      <c r="AH374" s="164">
        <f t="shared" si="22"/>
        <v>0.33700000000000002</v>
      </c>
      <c r="AI374" s="164" t="str">
        <f t="shared" si="23"/>
        <v/>
      </c>
      <c r="AJ374" s="368"/>
      <c r="AK374" s="368"/>
      <c r="AL374" s="368"/>
      <c r="AM374" s="368"/>
      <c r="AN374" s="368"/>
      <c r="AO374" s="368"/>
      <c r="AP374" s="368"/>
      <c r="AQ374" s="368"/>
      <c r="AR374" s="368"/>
      <c r="AS374" s="195"/>
      <c r="AT374" s="195"/>
      <c r="AU374" s="377"/>
      <c r="AV374" s="382"/>
      <c r="AW374" s="426"/>
      <c r="AX374" s="426"/>
      <c r="AY374" s="426"/>
      <c r="AZ374" s="426"/>
      <c r="BA374" s="426"/>
      <c r="BB374" s="426"/>
      <c r="BC374" s="426"/>
      <c r="BD374" s="426"/>
      <c r="BE374" s="426"/>
      <c r="BF374" s="468">
        <v>0.33700000000000002</v>
      </c>
      <c r="BG374" s="469"/>
      <c r="BH374" s="341"/>
      <c r="BI374" s="447"/>
      <c r="BJ374" s="505"/>
    </row>
    <row r="375" spans="1:62" ht="15.75" customHeight="1" thickBot="1" x14ac:dyDescent="0.25">
      <c r="A375" s="176">
        <v>374</v>
      </c>
      <c r="B375" s="175">
        <v>1</v>
      </c>
      <c r="C375" s="166" t="s">
        <v>236</v>
      </c>
      <c r="D375" s="167" t="s">
        <v>2282</v>
      </c>
      <c r="E375" s="166" t="s">
        <v>13</v>
      </c>
      <c r="F375" s="166" t="s">
        <v>50</v>
      </c>
      <c r="G375" s="166" t="s">
        <v>20</v>
      </c>
      <c r="H375" s="166" t="s">
        <v>16</v>
      </c>
      <c r="I375" s="181">
        <v>2012</v>
      </c>
      <c r="J375" s="181" t="s">
        <v>802</v>
      </c>
      <c r="K375" s="181" t="s">
        <v>803</v>
      </c>
      <c r="L375" s="181" t="s">
        <v>19</v>
      </c>
      <c r="M375" s="556" t="s">
        <v>4162</v>
      </c>
      <c r="N375" s="214" t="s">
        <v>20</v>
      </c>
      <c r="O375" s="214" t="s">
        <v>20</v>
      </c>
      <c r="P375" s="214" t="s">
        <v>15</v>
      </c>
      <c r="Q375" s="214" t="s">
        <v>15</v>
      </c>
      <c r="R375" s="214" t="s">
        <v>15</v>
      </c>
      <c r="S375" s="214" t="s">
        <v>15</v>
      </c>
      <c r="T375" s="214" t="s">
        <v>15</v>
      </c>
      <c r="U375" s="214" t="s">
        <v>15</v>
      </c>
      <c r="V375" s="214" t="s">
        <v>15</v>
      </c>
      <c r="W375" s="214" t="s">
        <v>15</v>
      </c>
      <c r="X375" s="214" t="s">
        <v>15</v>
      </c>
      <c r="Y375" s="214" t="s">
        <v>15</v>
      </c>
      <c r="Z375" s="234"/>
      <c r="AA375" s="214" t="s">
        <v>806</v>
      </c>
      <c r="AB375" s="214" t="s">
        <v>15</v>
      </c>
      <c r="AC375" s="214" t="s">
        <v>15</v>
      </c>
      <c r="AD375" s="320" t="s">
        <v>755</v>
      </c>
      <c r="AE375" s="320"/>
      <c r="AF375" s="162" t="str">
        <f t="shared" si="20"/>
        <v/>
      </c>
      <c r="AG375" s="162" t="str">
        <f t="shared" si="21"/>
        <v/>
      </c>
      <c r="AH375" s="164">
        <f t="shared" si="22"/>
        <v>0.23400000000000001</v>
      </c>
      <c r="AI375" s="164" t="str">
        <f t="shared" si="23"/>
        <v/>
      </c>
      <c r="AJ375" s="368"/>
      <c r="AK375" s="368"/>
      <c r="AL375" s="368"/>
      <c r="AM375" s="368"/>
      <c r="AN375" s="368"/>
      <c r="AO375" s="368"/>
      <c r="AP375" s="368"/>
      <c r="AQ375" s="368"/>
      <c r="AR375" s="368"/>
      <c r="AS375" s="195"/>
      <c r="AT375" s="195"/>
      <c r="AU375" s="377"/>
      <c r="AV375" s="382"/>
      <c r="AW375" s="426"/>
      <c r="AX375" s="426"/>
      <c r="AY375" s="426"/>
      <c r="AZ375" s="426"/>
      <c r="BA375" s="426"/>
      <c r="BB375" s="426"/>
      <c r="BC375" s="426"/>
      <c r="BD375" s="426"/>
      <c r="BE375" s="426"/>
      <c r="BF375" s="468">
        <v>0.23400000000000001</v>
      </c>
      <c r="BG375" s="469"/>
      <c r="BH375" s="341"/>
      <c r="BI375" s="447"/>
      <c r="BJ375" s="505"/>
    </row>
    <row r="376" spans="1:62" ht="15.75" customHeight="1" thickBot="1" x14ac:dyDescent="0.25">
      <c r="A376" s="174">
        <v>375</v>
      </c>
      <c r="B376" s="175">
        <v>1</v>
      </c>
      <c r="C376" s="166" t="s">
        <v>760</v>
      </c>
      <c r="D376" s="166" t="s">
        <v>1728</v>
      </c>
      <c r="E376" s="166" t="s">
        <v>13</v>
      </c>
      <c r="F376" s="166" t="s">
        <v>816</v>
      </c>
      <c r="G376" s="166" t="s">
        <v>20</v>
      </c>
      <c r="H376" s="166" t="s">
        <v>16</v>
      </c>
      <c r="I376" s="181">
        <v>2012</v>
      </c>
      <c r="J376" s="181" t="s">
        <v>802</v>
      </c>
      <c r="K376" s="181" t="s">
        <v>803</v>
      </c>
      <c r="L376" s="181" t="s">
        <v>19</v>
      </c>
      <c r="M376" s="556" t="s">
        <v>4162</v>
      </c>
      <c r="N376" s="214" t="s">
        <v>20</v>
      </c>
      <c r="O376" s="214" t="s">
        <v>15</v>
      </c>
      <c r="P376" s="214" t="s">
        <v>15</v>
      </c>
      <c r="Q376" s="214" t="s">
        <v>15</v>
      </c>
      <c r="R376" s="214" t="s">
        <v>15</v>
      </c>
      <c r="S376" s="214" t="s">
        <v>15</v>
      </c>
      <c r="T376" s="214" t="s">
        <v>15</v>
      </c>
      <c r="U376" s="214" t="s">
        <v>15</v>
      </c>
      <c r="V376" s="214" t="s">
        <v>15</v>
      </c>
      <c r="W376" s="214" t="s">
        <v>15</v>
      </c>
      <c r="X376" s="214" t="s">
        <v>15</v>
      </c>
      <c r="Y376" s="214" t="s">
        <v>15</v>
      </c>
      <c r="Z376" s="234"/>
      <c r="AA376" s="214" t="s">
        <v>804</v>
      </c>
      <c r="AB376" s="214" t="s">
        <v>15</v>
      </c>
      <c r="AC376" s="214" t="s">
        <v>15</v>
      </c>
      <c r="AD376" s="320" t="s">
        <v>755</v>
      </c>
      <c r="AE376" s="320"/>
      <c r="AF376" s="162" t="str">
        <f t="shared" si="20"/>
        <v/>
      </c>
      <c r="AG376" s="162" t="str">
        <f t="shared" si="21"/>
        <v/>
      </c>
      <c r="AH376" s="164">
        <f t="shared" si="22"/>
        <v>2.4790000000000001</v>
      </c>
      <c r="AI376" s="164" t="str">
        <f t="shared" si="23"/>
        <v/>
      </c>
      <c r="AJ376" s="368"/>
      <c r="AK376" s="368"/>
      <c r="AL376" s="368"/>
      <c r="AM376" s="368"/>
      <c r="AN376" s="368"/>
      <c r="AO376" s="368"/>
      <c r="AP376" s="368"/>
      <c r="AQ376" s="368"/>
      <c r="AR376" s="368"/>
      <c r="AS376" s="195"/>
      <c r="AT376" s="195"/>
      <c r="AU376" s="377"/>
      <c r="AV376" s="382"/>
      <c r="AW376" s="426"/>
      <c r="AX376" s="426"/>
      <c r="AY376" s="426"/>
      <c r="AZ376" s="426"/>
      <c r="BA376" s="426"/>
      <c r="BB376" s="426"/>
      <c r="BC376" s="426"/>
      <c r="BD376" s="426"/>
      <c r="BE376" s="426"/>
      <c r="BF376" s="468">
        <v>2.4790000000000001</v>
      </c>
      <c r="BG376" s="469"/>
      <c r="BH376" s="341"/>
      <c r="BI376" s="447"/>
      <c r="BJ376" s="505"/>
    </row>
    <row r="377" spans="1:62" ht="15.75" customHeight="1" thickBot="1" x14ac:dyDescent="0.25">
      <c r="A377" s="176">
        <v>376</v>
      </c>
      <c r="B377" s="175">
        <v>1</v>
      </c>
      <c r="C377" s="166" t="s">
        <v>760</v>
      </c>
      <c r="D377" s="166" t="s">
        <v>1728</v>
      </c>
      <c r="E377" s="166" t="s">
        <v>13</v>
      </c>
      <c r="F377" s="166" t="s">
        <v>50</v>
      </c>
      <c r="G377" s="166" t="s">
        <v>20</v>
      </c>
      <c r="H377" s="166" t="s">
        <v>16</v>
      </c>
      <c r="I377" s="181">
        <v>2012</v>
      </c>
      <c r="J377" s="181" t="s">
        <v>802</v>
      </c>
      <c r="K377" s="181" t="s">
        <v>803</v>
      </c>
      <c r="L377" s="181" t="s">
        <v>19</v>
      </c>
      <c r="M377" s="556" t="s">
        <v>4162</v>
      </c>
      <c r="N377" s="214" t="s">
        <v>20</v>
      </c>
      <c r="O377" s="214" t="s">
        <v>20</v>
      </c>
      <c r="P377" s="214" t="s">
        <v>15</v>
      </c>
      <c r="Q377" s="214" t="s">
        <v>15</v>
      </c>
      <c r="R377" s="214" t="s">
        <v>15</v>
      </c>
      <c r="S377" s="214" t="s">
        <v>15</v>
      </c>
      <c r="T377" s="214" t="s">
        <v>15</v>
      </c>
      <c r="U377" s="214" t="s">
        <v>15</v>
      </c>
      <c r="V377" s="214" t="s">
        <v>15</v>
      </c>
      <c r="W377" s="214" t="s">
        <v>15</v>
      </c>
      <c r="X377" s="214" t="s">
        <v>15</v>
      </c>
      <c r="Y377" s="214" t="s">
        <v>15</v>
      </c>
      <c r="Z377" s="234"/>
      <c r="AA377" s="214" t="s">
        <v>806</v>
      </c>
      <c r="AB377" s="214" t="s">
        <v>15</v>
      </c>
      <c r="AC377" s="214" t="s">
        <v>15</v>
      </c>
      <c r="AD377" s="320" t="s">
        <v>755</v>
      </c>
      <c r="AE377" s="320"/>
      <c r="AF377" s="162" t="str">
        <f t="shared" si="20"/>
        <v/>
      </c>
      <c r="AG377" s="162" t="str">
        <f t="shared" si="21"/>
        <v/>
      </c>
      <c r="AH377" s="164">
        <f t="shared" si="22"/>
        <v>3.7709999999999999</v>
      </c>
      <c r="AI377" s="164" t="str">
        <f t="shared" si="23"/>
        <v/>
      </c>
      <c r="AJ377" s="368"/>
      <c r="AK377" s="368"/>
      <c r="AL377" s="368"/>
      <c r="AM377" s="368"/>
      <c r="AN377" s="368"/>
      <c r="AO377" s="368"/>
      <c r="AP377" s="368"/>
      <c r="AQ377" s="368"/>
      <c r="AR377" s="368"/>
      <c r="AS377" s="195"/>
      <c r="AT377" s="195"/>
      <c r="AU377" s="377"/>
      <c r="AV377" s="382"/>
      <c r="AW377" s="426"/>
      <c r="AX377" s="426"/>
      <c r="AY377" s="426"/>
      <c r="AZ377" s="426"/>
      <c r="BA377" s="426"/>
      <c r="BB377" s="426"/>
      <c r="BC377" s="426"/>
      <c r="BD377" s="426"/>
      <c r="BE377" s="426"/>
      <c r="BF377" s="468">
        <v>3.7709999999999999</v>
      </c>
      <c r="BG377" s="469"/>
      <c r="BH377" s="341"/>
      <c r="BI377" s="447"/>
      <c r="BJ377" s="505"/>
    </row>
    <row r="378" spans="1:62" ht="15.75" customHeight="1" thickBot="1" x14ac:dyDescent="0.25">
      <c r="A378" s="174">
        <v>377</v>
      </c>
      <c r="B378" s="175">
        <v>1</v>
      </c>
      <c r="C378" s="166" t="s">
        <v>760</v>
      </c>
      <c r="D378" s="166" t="s">
        <v>2335</v>
      </c>
      <c r="E378" s="166" t="s">
        <v>13</v>
      </c>
      <c r="F378" s="166" t="s">
        <v>819</v>
      </c>
      <c r="G378" s="166" t="s">
        <v>20</v>
      </c>
      <c r="H378" s="166" t="s">
        <v>16</v>
      </c>
      <c r="I378" s="181">
        <v>2012</v>
      </c>
      <c r="J378" s="181" t="s">
        <v>802</v>
      </c>
      <c r="K378" s="181" t="s">
        <v>803</v>
      </c>
      <c r="L378" s="181" t="s">
        <v>19</v>
      </c>
      <c r="M378" s="556" t="s">
        <v>4162</v>
      </c>
      <c r="N378" s="214" t="s">
        <v>20</v>
      </c>
      <c r="O378" s="214" t="s">
        <v>15</v>
      </c>
      <c r="P378" s="214" t="s">
        <v>15</v>
      </c>
      <c r="Q378" s="214" t="s">
        <v>15</v>
      </c>
      <c r="R378" s="214" t="s">
        <v>15</v>
      </c>
      <c r="S378" s="214" t="s">
        <v>15</v>
      </c>
      <c r="T378" s="214" t="s">
        <v>15</v>
      </c>
      <c r="U378" s="214" t="s">
        <v>15</v>
      </c>
      <c r="V378" s="214" t="s">
        <v>15</v>
      </c>
      <c r="W378" s="214" t="s">
        <v>15</v>
      </c>
      <c r="X378" s="214" t="s">
        <v>15</v>
      </c>
      <c r="Y378" s="214" t="s">
        <v>15</v>
      </c>
      <c r="Z378" s="234"/>
      <c r="AA378" s="214" t="s">
        <v>804</v>
      </c>
      <c r="AB378" s="214" t="s">
        <v>15</v>
      </c>
      <c r="AC378" s="214" t="s">
        <v>15</v>
      </c>
      <c r="AD378" s="320" t="s">
        <v>755</v>
      </c>
      <c r="AE378" s="320"/>
      <c r="AF378" s="162" t="str">
        <f t="shared" si="20"/>
        <v/>
      </c>
      <c r="AG378" s="162" t="str">
        <f t="shared" si="21"/>
        <v/>
      </c>
      <c r="AH378" s="164">
        <f t="shared" si="22"/>
        <v>0.499</v>
      </c>
      <c r="AI378" s="164" t="str">
        <f t="shared" si="23"/>
        <v/>
      </c>
      <c r="AJ378" s="368"/>
      <c r="AK378" s="368"/>
      <c r="AL378" s="368"/>
      <c r="AM378" s="368"/>
      <c r="AN378" s="368"/>
      <c r="AO378" s="368"/>
      <c r="AP378" s="368"/>
      <c r="AQ378" s="368"/>
      <c r="AR378" s="368"/>
      <c r="AS378" s="195"/>
      <c r="AT378" s="195"/>
      <c r="AU378" s="377"/>
      <c r="AV378" s="382"/>
      <c r="AW378" s="426"/>
      <c r="AX378" s="426"/>
      <c r="AY378" s="426"/>
      <c r="AZ378" s="426"/>
      <c r="BA378" s="426"/>
      <c r="BB378" s="426"/>
      <c r="BC378" s="426"/>
      <c r="BD378" s="426"/>
      <c r="BE378" s="426"/>
      <c r="BF378" s="468">
        <v>0.499</v>
      </c>
      <c r="BG378" s="469"/>
      <c r="BH378" s="341"/>
      <c r="BI378" s="447"/>
      <c r="BJ378" s="505"/>
    </row>
    <row r="379" spans="1:62" ht="15.75" customHeight="1" thickBot="1" x14ac:dyDescent="0.25">
      <c r="A379" s="176">
        <v>378</v>
      </c>
      <c r="B379" s="175">
        <v>1</v>
      </c>
      <c r="C379" s="166" t="s">
        <v>760</v>
      </c>
      <c r="D379" s="166" t="s">
        <v>2335</v>
      </c>
      <c r="E379" s="166" t="s">
        <v>13</v>
      </c>
      <c r="F379" s="166" t="s">
        <v>820</v>
      </c>
      <c r="G379" s="166" t="s">
        <v>20</v>
      </c>
      <c r="H379" s="166" t="s">
        <v>16</v>
      </c>
      <c r="I379" s="181">
        <v>2012</v>
      </c>
      <c r="J379" s="181" t="s">
        <v>802</v>
      </c>
      <c r="K379" s="181" t="s">
        <v>803</v>
      </c>
      <c r="L379" s="181" t="s">
        <v>19</v>
      </c>
      <c r="M379" s="556" t="s">
        <v>4162</v>
      </c>
      <c r="N379" s="214" t="s">
        <v>20</v>
      </c>
      <c r="O379" s="214" t="s">
        <v>20</v>
      </c>
      <c r="P379" s="214" t="s">
        <v>15</v>
      </c>
      <c r="Q379" s="214" t="s">
        <v>15</v>
      </c>
      <c r="R379" s="214" t="s">
        <v>15</v>
      </c>
      <c r="S379" s="214" t="s">
        <v>15</v>
      </c>
      <c r="T379" s="214" t="s">
        <v>15</v>
      </c>
      <c r="U379" s="214" t="s">
        <v>15</v>
      </c>
      <c r="V379" s="214" t="s">
        <v>15</v>
      </c>
      <c r="W379" s="214" t="s">
        <v>15</v>
      </c>
      <c r="X379" s="214" t="s">
        <v>15</v>
      </c>
      <c r="Y379" s="214" t="s">
        <v>15</v>
      </c>
      <c r="Z379" s="234"/>
      <c r="AA379" s="214" t="s">
        <v>806</v>
      </c>
      <c r="AB379" s="214" t="s">
        <v>15</v>
      </c>
      <c r="AC379" s="214" t="s">
        <v>15</v>
      </c>
      <c r="AD379" s="320" t="s">
        <v>755</v>
      </c>
      <c r="AE379" s="320"/>
      <c r="AF379" s="162" t="str">
        <f t="shared" si="20"/>
        <v/>
      </c>
      <c r="AG379" s="162" t="str">
        <f t="shared" si="21"/>
        <v/>
      </c>
      <c r="AH379" s="164">
        <f t="shared" si="22"/>
        <v>2.9420000000000002</v>
      </c>
      <c r="AI379" s="164" t="str">
        <f t="shared" si="23"/>
        <v/>
      </c>
      <c r="AJ379" s="368"/>
      <c r="AK379" s="368"/>
      <c r="AL379" s="368"/>
      <c r="AM379" s="368"/>
      <c r="AN379" s="368"/>
      <c r="AO379" s="368"/>
      <c r="AP379" s="368"/>
      <c r="AQ379" s="368"/>
      <c r="AR379" s="368"/>
      <c r="AS379" s="195"/>
      <c r="AT379" s="195"/>
      <c r="AU379" s="377"/>
      <c r="AV379" s="382"/>
      <c r="AW379" s="426"/>
      <c r="AX379" s="426"/>
      <c r="AY379" s="426"/>
      <c r="AZ379" s="426"/>
      <c r="BA379" s="426"/>
      <c r="BB379" s="426"/>
      <c r="BC379" s="426"/>
      <c r="BD379" s="426"/>
      <c r="BE379" s="426"/>
      <c r="BF379" s="468">
        <v>2.9420000000000002</v>
      </c>
      <c r="BG379" s="469"/>
      <c r="BH379" s="341"/>
      <c r="BI379" s="447"/>
      <c r="BJ379" s="505"/>
    </row>
    <row r="380" spans="1:62" ht="15.75" customHeight="1" thickBot="1" x14ac:dyDescent="0.25">
      <c r="A380" s="174">
        <v>379</v>
      </c>
      <c r="B380" s="175">
        <v>1</v>
      </c>
      <c r="C380" s="166" t="s">
        <v>162</v>
      </c>
      <c r="D380" s="166" t="s">
        <v>771</v>
      </c>
      <c r="E380" s="166" t="s">
        <v>13</v>
      </c>
      <c r="F380" s="166" t="s">
        <v>816</v>
      </c>
      <c r="G380" s="166" t="s">
        <v>20</v>
      </c>
      <c r="H380" s="166" t="s">
        <v>16</v>
      </c>
      <c r="I380" s="181">
        <v>2012</v>
      </c>
      <c r="J380" s="181" t="s">
        <v>802</v>
      </c>
      <c r="K380" s="181" t="s">
        <v>803</v>
      </c>
      <c r="L380" s="181" t="s">
        <v>19</v>
      </c>
      <c r="M380" s="556" t="s">
        <v>4162</v>
      </c>
      <c r="N380" s="214" t="s">
        <v>20</v>
      </c>
      <c r="O380" s="214" t="s">
        <v>15</v>
      </c>
      <c r="P380" s="214" t="s">
        <v>15</v>
      </c>
      <c r="Q380" s="214" t="s">
        <v>15</v>
      </c>
      <c r="R380" s="214" t="s">
        <v>15</v>
      </c>
      <c r="S380" s="214" t="s">
        <v>15</v>
      </c>
      <c r="T380" s="214" t="s">
        <v>15</v>
      </c>
      <c r="U380" s="214" t="s">
        <v>15</v>
      </c>
      <c r="V380" s="214" t="s">
        <v>15</v>
      </c>
      <c r="W380" s="214" t="s">
        <v>15</v>
      </c>
      <c r="X380" s="214" t="s">
        <v>15</v>
      </c>
      <c r="Y380" s="214" t="s">
        <v>15</v>
      </c>
      <c r="Z380" s="234"/>
      <c r="AA380" s="214" t="s">
        <v>804</v>
      </c>
      <c r="AB380" s="214" t="s">
        <v>15</v>
      </c>
      <c r="AC380" s="214" t="s">
        <v>15</v>
      </c>
      <c r="AD380" s="320" t="s">
        <v>755</v>
      </c>
      <c r="AE380" s="320"/>
      <c r="AF380" s="162" t="str">
        <f t="shared" si="20"/>
        <v/>
      </c>
      <c r="AG380" s="162" t="str">
        <f t="shared" si="21"/>
        <v/>
      </c>
      <c r="AH380" s="164">
        <f t="shared" si="22"/>
        <v>0.35299999999999998</v>
      </c>
      <c r="AI380" s="164" t="str">
        <f t="shared" si="23"/>
        <v/>
      </c>
      <c r="AJ380" s="368"/>
      <c r="AK380" s="368"/>
      <c r="AL380" s="368"/>
      <c r="AM380" s="368"/>
      <c r="AN380" s="368"/>
      <c r="AO380" s="368"/>
      <c r="AP380" s="368"/>
      <c r="AQ380" s="368"/>
      <c r="AR380" s="368"/>
      <c r="AS380" s="195"/>
      <c r="AT380" s="195"/>
      <c r="AU380" s="377"/>
      <c r="AV380" s="382"/>
      <c r="AW380" s="426"/>
      <c r="AX380" s="426"/>
      <c r="AY380" s="426"/>
      <c r="AZ380" s="426"/>
      <c r="BA380" s="426"/>
      <c r="BB380" s="426"/>
      <c r="BC380" s="426"/>
      <c r="BD380" s="426"/>
      <c r="BE380" s="426"/>
      <c r="BF380" s="468">
        <v>0.35299999999999998</v>
      </c>
      <c r="BG380" s="469"/>
      <c r="BH380" s="341"/>
      <c r="BI380" s="447"/>
      <c r="BJ380" s="505"/>
    </row>
    <row r="381" spans="1:62" ht="15.75" customHeight="1" thickBot="1" x14ac:dyDescent="0.25">
      <c r="A381" s="176">
        <v>380</v>
      </c>
      <c r="B381" s="175">
        <v>1</v>
      </c>
      <c r="C381" s="166" t="s">
        <v>162</v>
      </c>
      <c r="D381" s="166" t="s">
        <v>771</v>
      </c>
      <c r="E381" s="166" t="s">
        <v>13</v>
      </c>
      <c r="F381" s="166" t="s">
        <v>50</v>
      </c>
      <c r="G381" s="166" t="s">
        <v>20</v>
      </c>
      <c r="H381" s="166" t="s">
        <v>16</v>
      </c>
      <c r="I381" s="181">
        <v>2012</v>
      </c>
      <c r="J381" s="181" t="s">
        <v>802</v>
      </c>
      <c r="K381" s="181" t="s">
        <v>803</v>
      </c>
      <c r="L381" s="181" t="s">
        <v>19</v>
      </c>
      <c r="M381" s="556" t="s">
        <v>4162</v>
      </c>
      <c r="N381" s="214" t="s">
        <v>20</v>
      </c>
      <c r="O381" s="214" t="s">
        <v>20</v>
      </c>
      <c r="P381" s="214" t="s">
        <v>15</v>
      </c>
      <c r="Q381" s="214" t="s">
        <v>15</v>
      </c>
      <c r="R381" s="214" t="s">
        <v>15</v>
      </c>
      <c r="S381" s="214" t="s">
        <v>15</v>
      </c>
      <c r="T381" s="214" t="s">
        <v>15</v>
      </c>
      <c r="U381" s="214" t="s">
        <v>15</v>
      </c>
      <c r="V381" s="214" t="s">
        <v>15</v>
      </c>
      <c r="W381" s="214" t="s">
        <v>15</v>
      </c>
      <c r="X381" s="214" t="s">
        <v>15</v>
      </c>
      <c r="Y381" s="214" t="s">
        <v>15</v>
      </c>
      <c r="Z381" s="234"/>
      <c r="AA381" s="214" t="s">
        <v>806</v>
      </c>
      <c r="AB381" s="214" t="s">
        <v>15</v>
      </c>
      <c r="AC381" s="214" t="s">
        <v>15</v>
      </c>
      <c r="AD381" s="320" t="s">
        <v>755</v>
      </c>
      <c r="AE381" s="320"/>
      <c r="AF381" s="162" t="str">
        <f t="shared" si="20"/>
        <v/>
      </c>
      <c r="AG381" s="162" t="str">
        <f t="shared" si="21"/>
        <v/>
      </c>
      <c r="AH381" s="164">
        <f t="shared" si="22"/>
        <v>0.40899999999999997</v>
      </c>
      <c r="AI381" s="164" t="str">
        <f t="shared" si="23"/>
        <v/>
      </c>
      <c r="AJ381" s="368"/>
      <c r="AK381" s="368"/>
      <c r="AL381" s="368"/>
      <c r="AM381" s="368"/>
      <c r="AN381" s="368"/>
      <c r="AO381" s="368"/>
      <c r="AP381" s="368"/>
      <c r="AQ381" s="368"/>
      <c r="AR381" s="368"/>
      <c r="AS381" s="195"/>
      <c r="AT381" s="195"/>
      <c r="AU381" s="377"/>
      <c r="AV381" s="382"/>
      <c r="AW381" s="426"/>
      <c r="AX381" s="426"/>
      <c r="AY381" s="426"/>
      <c r="AZ381" s="426"/>
      <c r="BA381" s="426"/>
      <c r="BB381" s="426"/>
      <c r="BC381" s="426"/>
      <c r="BD381" s="426"/>
      <c r="BE381" s="426"/>
      <c r="BF381" s="468">
        <v>0.40899999999999997</v>
      </c>
      <c r="BG381" s="469"/>
      <c r="BH381" s="341"/>
      <c r="BI381" s="447"/>
      <c r="BJ381" s="505"/>
    </row>
    <row r="382" spans="1:62" ht="15.75" customHeight="1" thickBot="1" x14ac:dyDescent="0.25">
      <c r="A382" s="174">
        <v>381</v>
      </c>
      <c r="B382" s="175">
        <v>1</v>
      </c>
      <c r="C382" s="166" t="s">
        <v>162</v>
      </c>
      <c r="D382" s="159" t="s">
        <v>2057</v>
      </c>
      <c r="E382" s="166" t="s">
        <v>13</v>
      </c>
      <c r="F382" s="166" t="s">
        <v>821</v>
      </c>
      <c r="G382" s="166" t="s">
        <v>20</v>
      </c>
      <c r="H382" s="166" t="s">
        <v>16</v>
      </c>
      <c r="I382" s="181">
        <v>2012</v>
      </c>
      <c r="J382" s="181" t="s">
        <v>802</v>
      </c>
      <c r="K382" s="181" t="s">
        <v>803</v>
      </c>
      <c r="L382" s="181" t="s">
        <v>19</v>
      </c>
      <c r="M382" s="556" t="s">
        <v>4162</v>
      </c>
      <c r="N382" s="214" t="s">
        <v>20</v>
      </c>
      <c r="O382" s="214" t="s">
        <v>15</v>
      </c>
      <c r="P382" s="214" t="s">
        <v>15</v>
      </c>
      <c r="Q382" s="214" t="s">
        <v>15</v>
      </c>
      <c r="R382" s="214" t="s">
        <v>15</v>
      </c>
      <c r="S382" s="214" t="s">
        <v>15</v>
      </c>
      <c r="T382" s="214" t="s">
        <v>15</v>
      </c>
      <c r="U382" s="214" t="s">
        <v>15</v>
      </c>
      <c r="V382" s="214" t="s">
        <v>15</v>
      </c>
      <c r="W382" s="214" t="s">
        <v>15</v>
      </c>
      <c r="X382" s="214" t="s">
        <v>15</v>
      </c>
      <c r="Y382" s="214" t="s">
        <v>15</v>
      </c>
      <c r="Z382" s="234"/>
      <c r="AA382" s="214" t="s">
        <v>804</v>
      </c>
      <c r="AB382" s="214" t="s">
        <v>15</v>
      </c>
      <c r="AC382" s="214" t="s">
        <v>15</v>
      </c>
      <c r="AD382" s="320" t="s">
        <v>755</v>
      </c>
      <c r="AE382" s="320"/>
      <c r="AF382" s="162" t="str">
        <f t="shared" si="20"/>
        <v/>
      </c>
      <c r="AG382" s="162" t="str">
        <f t="shared" si="21"/>
        <v/>
      </c>
      <c r="AH382" s="164">
        <f t="shared" si="22"/>
        <v>0.192</v>
      </c>
      <c r="AI382" s="164" t="str">
        <f t="shared" si="23"/>
        <v/>
      </c>
      <c r="AJ382" s="368"/>
      <c r="AK382" s="368"/>
      <c r="AL382" s="368"/>
      <c r="AM382" s="368"/>
      <c r="AN382" s="368"/>
      <c r="AO382" s="368"/>
      <c r="AP382" s="368"/>
      <c r="AQ382" s="368"/>
      <c r="AR382" s="368"/>
      <c r="AS382" s="195"/>
      <c r="AT382" s="195"/>
      <c r="AU382" s="377"/>
      <c r="AV382" s="382"/>
      <c r="AW382" s="426"/>
      <c r="AX382" s="426"/>
      <c r="AY382" s="426"/>
      <c r="AZ382" s="426"/>
      <c r="BA382" s="426"/>
      <c r="BB382" s="426"/>
      <c r="BC382" s="426"/>
      <c r="BD382" s="426"/>
      <c r="BE382" s="426"/>
      <c r="BF382" s="468">
        <v>0.192</v>
      </c>
      <c r="BG382" s="469"/>
      <c r="BH382" s="341"/>
      <c r="BI382" s="447"/>
      <c r="BJ382" s="505"/>
    </row>
    <row r="383" spans="1:62" ht="15.75" customHeight="1" thickBot="1" x14ac:dyDescent="0.25">
      <c r="A383" s="176">
        <v>382</v>
      </c>
      <c r="B383" s="175">
        <v>1</v>
      </c>
      <c r="C383" s="166" t="s">
        <v>162</v>
      </c>
      <c r="D383" s="159" t="s">
        <v>2057</v>
      </c>
      <c r="E383" s="166" t="s">
        <v>13</v>
      </c>
      <c r="F383" s="166" t="s">
        <v>822</v>
      </c>
      <c r="G383" s="166" t="s">
        <v>20</v>
      </c>
      <c r="H383" s="166" t="s">
        <v>16</v>
      </c>
      <c r="I383" s="181">
        <v>2012</v>
      </c>
      <c r="J383" s="181" t="s">
        <v>802</v>
      </c>
      <c r="K383" s="181" t="s">
        <v>803</v>
      </c>
      <c r="L383" s="181" t="s">
        <v>19</v>
      </c>
      <c r="M383" s="556" t="s">
        <v>4162</v>
      </c>
      <c r="N383" s="214" t="s">
        <v>20</v>
      </c>
      <c r="O383" s="214" t="s">
        <v>20</v>
      </c>
      <c r="P383" s="214" t="s">
        <v>15</v>
      </c>
      <c r="Q383" s="214" t="s">
        <v>15</v>
      </c>
      <c r="R383" s="214" t="s">
        <v>15</v>
      </c>
      <c r="S383" s="214" t="s">
        <v>15</v>
      </c>
      <c r="T383" s="214" t="s">
        <v>15</v>
      </c>
      <c r="U383" s="214" t="s">
        <v>15</v>
      </c>
      <c r="V383" s="214" t="s">
        <v>15</v>
      </c>
      <c r="W383" s="214" t="s">
        <v>15</v>
      </c>
      <c r="X383" s="214" t="s">
        <v>15</v>
      </c>
      <c r="Y383" s="214" t="s">
        <v>15</v>
      </c>
      <c r="Z383" s="234"/>
      <c r="AA383" s="214" t="s">
        <v>806</v>
      </c>
      <c r="AB383" s="214" t="s">
        <v>15</v>
      </c>
      <c r="AC383" s="214" t="s">
        <v>15</v>
      </c>
      <c r="AD383" s="320" t="s">
        <v>755</v>
      </c>
      <c r="AE383" s="320"/>
      <c r="AF383" s="162" t="str">
        <f t="shared" si="20"/>
        <v/>
      </c>
      <c r="AG383" s="162" t="str">
        <f t="shared" si="21"/>
        <v/>
      </c>
      <c r="AH383" s="164">
        <f t="shared" si="22"/>
        <v>0.26800000000000002</v>
      </c>
      <c r="AI383" s="164" t="str">
        <f t="shared" si="23"/>
        <v/>
      </c>
      <c r="AJ383" s="368"/>
      <c r="AK383" s="368"/>
      <c r="AL383" s="368"/>
      <c r="AM383" s="368"/>
      <c r="AN383" s="368"/>
      <c r="AO383" s="368"/>
      <c r="AP383" s="368"/>
      <c r="AQ383" s="368"/>
      <c r="AR383" s="368"/>
      <c r="AS383" s="195"/>
      <c r="AT383" s="195"/>
      <c r="AU383" s="377"/>
      <c r="AV383" s="382"/>
      <c r="AW383" s="426"/>
      <c r="AX383" s="426"/>
      <c r="AY383" s="426"/>
      <c r="AZ383" s="426"/>
      <c r="BA383" s="426"/>
      <c r="BB383" s="426"/>
      <c r="BC383" s="426"/>
      <c r="BD383" s="426"/>
      <c r="BE383" s="426"/>
      <c r="BF383" s="468">
        <v>0.26800000000000002</v>
      </c>
      <c r="BG383" s="469"/>
      <c r="BH383" s="341"/>
      <c r="BI383" s="447"/>
      <c r="BJ383" s="505"/>
    </row>
    <row r="384" spans="1:62" ht="15.75" customHeight="1" thickBot="1" x14ac:dyDescent="0.25">
      <c r="A384" s="174">
        <v>383</v>
      </c>
      <c r="B384" s="175">
        <v>1</v>
      </c>
      <c r="C384" s="166" t="s">
        <v>236</v>
      </c>
      <c r="D384" s="166" t="s">
        <v>480</v>
      </c>
      <c r="E384" s="166" t="s">
        <v>13</v>
      </c>
      <c r="F384" s="166" t="s">
        <v>480</v>
      </c>
      <c r="G384" s="166" t="s">
        <v>15</v>
      </c>
      <c r="H384" s="166" t="s">
        <v>471</v>
      </c>
      <c r="I384" s="181">
        <v>2012</v>
      </c>
      <c r="J384" s="181" t="s">
        <v>823</v>
      </c>
      <c r="K384" s="181" t="s">
        <v>824</v>
      </c>
      <c r="L384" s="181" t="s">
        <v>19</v>
      </c>
      <c r="M384" s="556" t="s">
        <v>4163</v>
      </c>
      <c r="N384" s="214" t="s">
        <v>20</v>
      </c>
      <c r="O384" s="214" t="s">
        <v>20</v>
      </c>
      <c r="P384" s="214" t="s">
        <v>20</v>
      </c>
      <c r="Q384" s="214" t="s">
        <v>20</v>
      </c>
      <c r="R384" s="214" t="s">
        <v>20</v>
      </c>
      <c r="S384" s="214" t="s">
        <v>20</v>
      </c>
      <c r="T384" s="214" t="s">
        <v>20</v>
      </c>
      <c r="U384" s="214" t="s">
        <v>15</v>
      </c>
      <c r="V384" s="214" t="s">
        <v>15</v>
      </c>
      <c r="W384" s="214" t="s">
        <v>15</v>
      </c>
      <c r="X384" s="214" t="s">
        <v>15</v>
      </c>
      <c r="Y384" s="214" t="s">
        <v>15</v>
      </c>
      <c r="Z384" s="234"/>
      <c r="AA384" s="214" t="s">
        <v>483</v>
      </c>
      <c r="AB384" s="214" t="s">
        <v>15</v>
      </c>
      <c r="AC384" s="214" t="s">
        <v>20</v>
      </c>
      <c r="AD384" s="320" t="s">
        <v>825</v>
      </c>
      <c r="AE384" s="320" t="s">
        <v>826</v>
      </c>
      <c r="AF384" s="162">
        <f t="shared" si="20"/>
        <v>2.8666666666666667</v>
      </c>
      <c r="AG384" s="162" t="str">
        <f t="shared" si="21"/>
        <v/>
      </c>
      <c r="AH384" s="164">
        <f t="shared" si="22"/>
        <v>0.32727272727272722</v>
      </c>
      <c r="AI384" s="164" t="str">
        <f t="shared" si="23"/>
        <v/>
      </c>
      <c r="AJ384" s="368">
        <v>2.8666666666666667</v>
      </c>
      <c r="AK384" s="368"/>
      <c r="AL384" s="368"/>
      <c r="AM384" s="369">
        <v>1.9393939392999999</v>
      </c>
      <c r="AN384" s="369">
        <v>1.2121212100000001</v>
      </c>
      <c r="AO384" s="368"/>
      <c r="AP384" s="368"/>
      <c r="AQ384" s="368"/>
      <c r="AR384" s="368"/>
      <c r="AS384" s="195">
        <v>2.8666666666666667</v>
      </c>
      <c r="AT384" s="195">
        <v>6.0606060606060606</v>
      </c>
      <c r="AU384" s="377"/>
      <c r="AW384" s="426">
        <v>0.32727272727272722</v>
      </c>
      <c r="AX384" s="426"/>
      <c r="AY384" s="359"/>
      <c r="AZ384" s="359">
        <v>0.13636363000000001</v>
      </c>
      <c r="BA384" s="359">
        <v>8.1818181000000004E-2</v>
      </c>
      <c r="BB384" s="426"/>
      <c r="BC384" s="426"/>
      <c r="BD384" s="426"/>
      <c r="BE384" s="426"/>
      <c r="BF384" s="469">
        <v>0.32727272727272722</v>
      </c>
      <c r="BG384" s="469">
        <v>0.54545454545454541</v>
      </c>
      <c r="BH384" s="451">
        <v>0.43</v>
      </c>
      <c r="BI384" s="447"/>
      <c r="BJ384" s="505"/>
    </row>
    <row r="385" spans="1:62" ht="15.75" customHeight="1" thickBot="1" x14ac:dyDescent="0.25">
      <c r="A385" s="176">
        <v>384</v>
      </c>
      <c r="B385" s="175">
        <v>1</v>
      </c>
      <c r="C385" s="166" t="s">
        <v>162</v>
      </c>
      <c r="D385" s="166" t="s">
        <v>4061</v>
      </c>
      <c r="E385" s="166" t="s">
        <v>13</v>
      </c>
      <c r="F385" s="166" t="s">
        <v>828</v>
      </c>
      <c r="G385" s="166" t="s">
        <v>15</v>
      </c>
      <c r="H385" s="166" t="s">
        <v>708</v>
      </c>
      <c r="I385" s="181">
        <v>2012</v>
      </c>
      <c r="J385" s="181" t="s">
        <v>829</v>
      </c>
      <c r="K385" s="181" t="s">
        <v>830</v>
      </c>
      <c r="L385" s="181" t="s">
        <v>19</v>
      </c>
      <c r="M385" s="556" t="s">
        <v>4164</v>
      </c>
      <c r="N385" s="214" t="s">
        <v>20</v>
      </c>
      <c r="O385" s="214" t="s">
        <v>15</v>
      </c>
      <c r="P385" s="214" t="s">
        <v>20</v>
      </c>
      <c r="Q385" s="214" t="s">
        <v>20</v>
      </c>
      <c r="R385" s="214" t="s">
        <v>20</v>
      </c>
      <c r="S385" s="214" t="s">
        <v>20</v>
      </c>
      <c r="T385" s="214" t="s">
        <v>15</v>
      </c>
      <c r="U385" s="214" t="s">
        <v>15</v>
      </c>
      <c r="V385" s="214" t="s">
        <v>15</v>
      </c>
      <c r="W385" s="214" t="s">
        <v>15</v>
      </c>
      <c r="X385" s="214" t="s">
        <v>15</v>
      </c>
      <c r="Y385" s="214" t="s">
        <v>15</v>
      </c>
      <c r="Z385" s="234"/>
      <c r="AA385" s="214" t="s">
        <v>831</v>
      </c>
      <c r="AB385" s="214" t="s">
        <v>15</v>
      </c>
      <c r="AC385" s="214" t="s">
        <v>15</v>
      </c>
      <c r="AD385" s="320" t="s">
        <v>832</v>
      </c>
      <c r="AE385" s="320"/>
      <c r="AF385" s="162" t="str">
        <f t="shared" si="20"/>
        <v/>
      </c>
      <c r="AG385" s="162" t="str">
        <f t="shared" si="21"/>
        <v/>
      </c>
      <c r="AH385" s="164" t="str">
        <f t="shared" si="22"/>
        <v/>
      </c>
      <c r="AI385" s="164" t="str">
        <f t="shared" si="23"/>
        <v/>
      </c>
      <c r="AJ385" s="368"/>
      <c r="AK385" s="368"/>
      <c r="AL385" s="368"/>
      <c r="AM385" s="369"/>
      <c r="AN385" s="369"/>
      <c r="AO385" s="368"/>
      <c r="AP385" s="368"/>
      <c r="AQ385" s="368"/>
      <c r="AR385" s="368"/>
      <c r="AS385" s="195"/>
      <c r="AT385" s="195"/>
      <c r="AU385" s="377"/>
      <c r="AV385" s="382"/>
      <c r="AW385" s="426"/>
      <c r="AX385" s="426"/>
      <c r="AY385" s="359"/>
      <c r="AZ385" s="359"/>
      <c r="BA385" s="359"/>
      <c r="BB385" s="426"/>
      <c r="BC385" s="426"/>
      <c r="BD385" s="426"/>
      <c r="BE385" s="426"/>
      <c r="BF385" s="469"/>
      <c r="BG385" s="468">
        <v>8.8699999999999992</v>
      </c>
      <c r="BH385" s="335" t="s">
        <v>833</v>
      </c>
      <c r="BI385" s="446" t="s">
        <v>834</v>
      </c>
      <c r="BJ385" s="505"/>
    </row>
    <row r="386" spans="1:62" ht="15.75" customHeight="1" thickBot="1" x14ac:dyDescent="0.25">
      <c r="A386" s="174">
        <v>385</v>
      </c>
      <c r="B386" s="175">
        <v>1</v>
      </c>
      <c r="C386" s="166" t="s">
        <v>162</v>
      </c>
      <c r="D386" s="159" t="s">
        <v>2057</v>
      </c>
      <c r="E386" s="166" t="s">
        <v>13</v>
      </c>
      <c r="F386" s="166" t="s">
        <v>785</v>
      </c>
      <c r="G386" s="166" t="s">
        <v>15</v>
      </c>
      <c r="H386" s="166" t="s">
        <v>708</v>
      </c>
      <c r="I386" s="181">
        <v>2012</v>
      </c>
      <c r="J386" s="181" t="s">
        <v>829</v>
      </c>
      <c r="K386" s="181" t="s">
        <v>830</v>
      </c>
      <c r="L386" s="181" t="s">
        <v>19</v>
      </c>
      <c r="M386" s="556" t="s">
        <v>4164</v>
      </c>
      <c r="N386" s="214" t="s">
        <v>20</v>
      </c>
      <c r="O386" s="214" t="s">
        <v>15</v>
      </c>
      <c r="P386" s="214" t="s">
        <v>20</v>
      </c>
      <c r="Q386" s="214" t="s">
        <v>20</v>
      </c>
      <c r="R386" s="214" t="s">
        <v>20</v>
      </c>
      <c r="S386" s="214" t="s">
        <v>20</v>
      </c>
      <c r="T386" s="214" t="s">
        <v>15</v>
      </c>
      <c r="U386" s="214" t="s">
        <v>15</v>
      </c>
      <c r="V386" s="214" t="s">
        <v>15</v>
      </c>
      <c r="W386" s="214" t="s">
        <v>15</v>
      </c>
      <c r="X386" s="214" t="s">
        <v>15</v>
      </c>
      <c r="Y386" s="214" t="s">
        <v>15</v>
      </c>
      <c r="Z386" s="234"/>
      <c r="AA386" s="214" t="s">
        <v>831</v>
      </c>
      <c r="AB386" s="214" t="s">
        <v>15</v>
      </c>
      <c r="AC386" s="214" t="s">
        <v>15</v>
      </c>
      <c r="AD386" s="320" t="s">
        <v>832</v>
      </c>
      <c r="AE386" s="320"/>
      <c r="AF386" s="162" t="str">
        <f t="shared" ref="AF386:AF449" si="27">IF(AS386&lt;&gt;0,AS386,"")</f>
        <v/>
      </c>
      <c r="AG386" s="162" t="str">
        <f t="shared" ref="AG386:AG449" si="28">IF(AND(SUM(AJ386:AL386)&lt;&gt;0,SUM(AJ386:AL386)&lt;&gt;AJ386),SUM(AJ386:AL386),"")</f>
        <v/>
      </c>
      <c r="AH386" s="164" t="str">
        <f t="shared" ref="AH386:AH449" si="29">IF(BF386&lt;&gt;0,BF386,"")</f>
        <v/>
      </c>
      <c r="AI386" s="164" t="str">
        <f t="shared" ref="AI386:AI449" si="30">IF(AND(SUM(AW386:AY386)&lt;&gt;0,SUM(AW386:AY386)&lt;&gt;AW386),SUM(AW386:AY386),"")</f>
        <v/>
      </c>
      <c r="AJ386" s="368"/>
      <c r="AK386" s="368"/>
      <c r="AL386" s="368"/>
      <c r="AM386" s="369"/>
      <c r="AN386" s="369"/>
      <c r="AO386" s="368"/>
      <c r="AP386" s="368"/>
      <c r="AQ386" s="368"/>
      <c r="AR386" s="368"/>
      <c r="AS386" s="195"/>
      <c r="AT386" s="195"/>
      <c r="AU386" s="377"/>
      <c r="AV386" s="382"/>
      <c r="AW386" s="426"/>
      <c r="AX386" s="426"/>
      <c r="AY386" s="359"/>
      <c r="AZ386" s="359"/>
      <c r="BA386" s="359"/>
      <c r="BB386" s="426"/>
      <c r="BC386" s="426"/>
      <c r="BD386" s="426"/>
      <c r="BE386" s="426"/>
      <c r="BF386" s="469"/>
      <c r="BG386" s="468">
        <v>3.24</v>
      </c>
      <c r="BH386" s="335" t="s">
        <v>835</v>
      </c>
      <c r="BI386" s="446" t="s">
        <v>834</v>
      </c>
      <c r="BJ386" s="505"/>
    </row>
    <row r="387" spans="1:62" ht="15.75" customHeight="1" thickBot="1" x14ac:dyDescent="0.25">
      <c r="A387" s="176">
        <v>386</v>
      </c>
      <c r="B387" s="175">
        <v>1</v>
      </c>
      <c r="C387" s="166" t="s">
        <v>236</v>
      </c>
      <c r="D387" s="167" t="s">
        <v>1769</v>
      </c>
      <c r="E387" s="166" t="s">
        <v>13</v>
      </c>
      <c r="F387" s="166" t="s">
        <v>836</v>
      </c>
      <c r="G387" s="166" t="s">
        <v>15</v>
      </c>
      <c r="H387" s="166" t="s">
        <v>708</v>
      </c>
      <c r="I387" s="181">
        <v>2012</v>
      </c>
      <c r="J387" s="181" t="s">
        <v>829</v>
      </c>
      <c r="K387" s="181" t="s">
        <v>830</v>
      </c>
      <c r="L387" s="181" t="s">
        <v>19</v>
      </c>
      <c r="M387" s="556" t="s">
        <v>4164</v>
      </c>
      <c r="N387" s="214" t="s">
        <v>20</v>
      </c>
      <c r="O387" s="214" t="s">
        <v>15</v>
      </c>
      <c r="P387" s="214" t="s">
        <v>20</v>
      </c>
      <c r="Q387" s="214" t="s">
        <v>20</v>
      </c>
      <c r="R387" s="214" t="s">
        <v>20</v>
      </c>
      <c r="S387" s="214" t="s">
        <v>20</v>
      </c>
      <c r="T387" s="214" t="s">
        <v>15</v>
      </c>
      <c r="U387" s="214" t="s">
        <v>15</v>
      </c>
      <c r="V387" s="214" t="s">
        <v>15</v>
      </c>
      <c r="W387" s="214" t="s">
        <v>15</v>
      </c>
      <c r="X387" s="214" t="s">
        <v>15</v>
      </c>
      <c r="Y387" s="214" t="s">
        <v>15</v>
      </c>
      <c r="Z387" s="234"/>
      <c r="AA387" s="214" t="s">
        <v>831</v>
      </c>
      <c r="AB387" s="214" t="s">
        <v>15</v>
      </c>
      <c r="AC387" s="214" t="s">
        <v>15</v>
      </c>
      <c r="AD387" s="320" t="s">
        <v>837</v>
      </c>
      <c r="AE387" s="320"/>
      <c r="AF387" s="162" t="str">
        <f t="shared" si="27"/>
        <v/>
      </c>
      <c r="AG387" s="162" t="str">
        <f t="shared" si="28"/>
        <v/>
      </c>
      <c r="AH387" s="164" t="str">
        <f t="shared" si="29"/>
        <v/>
      </c>
      <c r="AI387" s="164" t="str">
        <f t="shared" si="30"/>
        <v/>
      </c>
      <c r="AJ387" s="368"/>
      <c r="AK387" s="368"/>
      <c r="AL387" s="368"/>
      <c r="AM387" s="369"/>
      <c r="AN387" s="369"/>
      <c r="AO387" s="368"/>
      <c r="AP387" s="368"/>
      <c r="AQ387" s="368"/>
      <c r="AR387" s="368"/>
      <c r="AS387" s="195"/>
      <c r="AT387" s="195"/>
      <c r="AU387" s="377"/>
      <c r="AV387" s="382"/>
      <c r="AW387" s="426"/>
      <c r="AX387" s="426"/>
      <c r="AY387" s="359"/>
      <c r="AZ387" s="359"/>
      <c r="BA387" s="359"/>
      <c r="BB387" s="426"/>
      <c r="BC387" s="426"/>
      <c r="BD387" s="426"/>
      <c r="BE387" s="426"/>
      <c r="BF387" s="469"/>
      <c r="BG387" s="468">
        <v>0.45</v>
      </c>
      <c r="BH387" s="335" t="s">
        <v>838</v>
      </c>
      <c r="BI387" s="446" t="s">
        <v>834</v>
      </c>
      <c r="BJ387" s="505"/>
    </row>
    <row r="388" spans="1:62" ht="15.75" customHeight="1" thickBot="1" x14ac:dyDescent="0.25">
      <c r="A388" s="174">
        <v>387</v>
      </c>
      <c r="B388" s="175">
        <v>1</v>
      </c>
      <c r="C388" s="166" t="s">
        <v>162</v>
      </c>
      <c r="D388" s="166" t="s">
        <v>2311</v>
      </c>
      <c r="E388" s="166" t="s">
        <v>13</v>
      </c>
      <c r="F388" s="166" t="s">
        <v>839</v>
      </c>
      <c r="G388" s="166" t="s">
        <v>15</v>
      </c>
      <c r="H388" s="166" t="s">
        <v>708</v>
      </c>
      <c r="I388" s="181">
        <v>2012</v>
      </c>
      <c r="J388" s="181" t="s">
        <v>829</v>
      </c>
      <c r="K388" s="181" t="s">
        <v>830</v>
      </c>
      <c r="L388" s="181" t="s">
        <v>19</v>
      </c>
      <c r="M388" s="556" t="s">
        <v>4164</v>
      </c>
      <c r="N388" s="214" t="s">
        <v>20</v>
      </c>
      <c r="O388" s="214" t="s">
        <v>15</v>
      </c>
      <c r="P388" s="214" t="s">
        <v>20</v>
      </c>
      <c r="Q388" s="214" t="s">
        <v>20</v>
      </c>
      <c r="R388" s="214" t="s">
        <v>20</v>
      </c>
      <c r="S388" s="214" t="s">
        <v>20</v>
      </c>
      <c r="T388" s="214" t="s">
        <v>15</v>
      </c>
      <c r="U388" s="214" t="s">
        <v>15</v>
      </c>
      <c r="V388" s="214" t="s">
        <v>15</v>
      </c>
      <c r="W388" s="214" t="s">
        <v>15</v>
      </c>
      <c r="X388" s="214" t="s">
        <v>15</v>
      </c>
      <c r="Y388" s="214" t="s">
        <v>15</v>
      </c>
      <c r="Z388" s="234"/>
      <c r="AA388" s="214" t="s">
        <v>831</v>
      </c>
      <c r="AB388" s="214" t="s">
        <v>15</v>
      </c>
      <c r="AC388" s="214" t="s">
        <v>15</v>
      </c>
      <c r="AD388" s="320" t="s">
        <v>837</v>
      </c>
      <c r="AE388" s="320"/>
      <c r="AF388" s="162" t="str">
        <f t="shared" si="27"/>
        <v/>
      </c>
      <c r="AG388" s="162" t="str">
        <f t="shared" si="28"/>
        <v/>
      </c>
      <c r="AH388" s="164" t="str">
        <f t="shared" si="29"/>
        <v/>
      </c>
      <c r="AI388" s="164" t="str">
        <f t="shared" si="30"/>
        <v/>
      </c>
      <c r="AJ388" s="368"/>
      <c r="AK388" s="368"/>
      <c r="AL388" s="368"/>
      <c r="AM388" s="369"/>
      <c r="AN388" s="369"/>
      <c r="AO388" s="368"/>
      <c r="AP388" s="368"/>
      <c r="AQ388" s="368"/>
      <c r="AR388" s="368"/>
      <c r="AS388" s="195"/>
      <c r="AT388" s="195"/>
      <c r="AU388" s="377"/>
      <c r="AV388" s="382"/>
      <c r="AW388" s="426"/>
      <c r="AX388" s="426"/>
      <c r="AY388" s="359"/>
      <c r="AZ388" s="359"/>
      <c r="BA388" s="359"/>
      <c r="BB388" s="426"/>
      <c r="BC388" s="426"/>
      <c r="BD388" s="426"/>
      <c r="BE388" s="426"/>
      <c r="BF388" s="469"/>
      <c r="BG388" s="468">
        <v>0.69</v>
      </c>
      <c r="BH388" s="335" t="s">
        <v>840</v>
      </c>
      <c r="BI388" s="446" t="s">
        <v>834</v>
      </c>
      <c r="BJ388" s="505"/>
    </row>
    <row r="389" spans="1:62" ht="15.75" customHeight="1" thickBot="1" x14ac:dyDescent="0.25">
      <c r="A389" s="176">
        <v>388</v>
      </c>
      <c r="B389" s="175">
        <v>1</v>
      </c>
      <c r="C389" s="166" t="s">
        <v>236</v>
      </c>
      <c r="D389" s="166" t="s">
        <v>2145</v>
      </c>
      <c r="E389" s="166" t="s">
        <v>13</v>
      </c>
      <c r="F389" s="166" t="s">
        <v>841</v>
      </c>
      <c r="G389" s="166" t="s">
        <v>15</v>
      </c>
      <c r="H389" s="166" t="s">
        <v>708</v>
      </c>
      <c r="I389" s="181">
        <v>2012</v>
      </c>
      <c r="J389" s="181" t="s">
        <v>829</v>
      </c>
      <c r="K389" s="181" t="s">
        <v>830</v>
      </c>
      <c r="L389" s="181" t="s">
        <v>19</v>
      </c>
      <c r="M389" s="556" t="s">
        <v>4164</v>
      </c>
      <c r="N389" s="214" t="s">
        <v>20</v>
      </c>
      <c r="O389" s="214" t="s">
        <v>15</v>
      </c>
      <c r="P389" s="214" t="s">
        <v>20</v>
      </c>
      <c r="Q389" s="214" t="s">
        <v>20</v>
      </c>
      <c r="R389" s="214" t="s">
        <v>20</v>
      </c>
      <c r="S389" s="214" t="s">
        <v>20</v>
      </c>
      <c r="T389" s="214" t="s">
        <v>15</v>
      </c>
      <c r="U389" s="214" t="s">
        <v>15</v>
      </c>
      <c r="V389" s="214" t="s">
        <v>15</v>
      </c>
      <c r="W389" s="214" t="s">
        <v>15</v>
      </c>
      <c r="X389" s="214" t="s">
        <v>15</v>
      </c>
      <c r="Y389" s="214" t="s">
        <v>15</v>
      </c>
      <c r="Z389" s="234"/>
      <c r="AA389" s="214" t="s">
        <v>831</v>
      </c>
      <c r="AB389" s="214" t="s">
        <v>15</v>
      </c>
      <c r="AC389" s="214" t="s">
        <v>15</v>
      </c>
      <c r="AD389" s="320" t="s">
        <v>837</v>
      </c>
      <c r="AE389" s="320"/>
      <c r="AF389" s="162" t="str">
        <f t="shared" si="27"/>
        <v/>
      </c>
      <c r="AG389" s="162" t="str">
        <f t="shared" si="28"/>
        <v/>
      </c>
      <c r="AH389" s="164" t="str">
        <f t="shared" si="29"/>
        <v/>
      </c>
      <c r="AI389" s="164" t="str">
        <f t="shared" si="30"/>
        <v/>
      </c>
      <c r="AJ389" s="368"/>
      <c r="AK389" s="368"/>
      <c r="AL389" s="368"/>
      <c r="AM389" s="369"/>
      <c r="AN389" s="369"/>
      <c r="AO389" s="368"/>
      <c r="AP389" s="368"/>
      <c r="AQ389" s="368"/>
      <c r="AR389" s="368"/>
      <c r="AS389" s="195"/>
      <c r="AT389" s="195"/>
      <c r="AU389" s="377"/>
      <c r="AV389" s="382"/>
      <c r="AW389" s="426"/>
      <c r="AX389" s="426"/>
      <c r="AY389" s="359"/>
      <c r="AZ389" s="359"/>
      <c r="BA389" s="359"/>
      <c r="BB389" s="426"/>
      <c r="BC389" s="426"/>
      <c r="BD389" s="426"/>
      <c r="BE389" s="426"/>
      <c r="BF389" s="469"/>
      <c r="BG389" s="468">
        <v>0.28999999999999998</v>
      </c>
      <c r="BH389" s="335" t="s">
        <v>842</v>
      </c>
      <c r="BI389" s="446" t="s">
        <v>834</v>
      </c>
      <c r="BJ389" s="505"/>
    </row>
    <row r="390" spans="1:62" ht="15.75" customHeight="1" thickBot="1" x14ac:dyDescent="0.25">
      <c r="A390" s="174">
        <v>389</v>
      </c>
      <c r="B390" s="175">
        <v>1</v>
      </c>
      <c r="C390" s="166" t="s">
        <v>236</v>
      </c>
      <c r="D390" s="166" t="s">
        <v>843</v>
      </c>
      <c r="E390" s="166" t="s">
        <v>13</v>
      </c>
      <c r="F390" s="166" t="s">
        <v>751</v>
      </c>
      <c r="G390" s="166" t="s">
        <v>15</v>
      </c>
      <c r="H390" s="166" t="s">
        <v>708</v>
      </c>
      <c r="I390" s="181">
        <v>2012</v>
      </c>
      <c r="J390" s="181" t="s">
        <v>829</v>
      </c>
      <c r="K390" s="181" t="s">
        <v>830</v>
      </c>
      <c r="L390" s="181" t="s">
        <v>19</v>
      </c>
      <c r="M390" s="556" t="s">
        <v>4164</v>
      </c>
      <c r="N390" s="214" t="s">
        <v>20</v>
      </c>
      <c r="O390" s="214" t="s">
        <v>15</v>
      </c>
      <c r="P390" s="214" t="s">
        <v>20</v>
      </c>
      <c r="Q390" s="214" t="s">
        <v>20</v>
      </c>
      <c r="R390" s="214" t="s">
        <v>20</v>
      </c>
      <c r="S390" s="214" t="s">
        <v>20</v>
      </c>
      <c r="T390" s="214" t="s">
        <v>15</v>
      </c>
      <c r="U390" s="214" t="s">
        <v>15</v>
      </c>
      <c r="V390" s="214" t="s">
        <v>15</v>
      </c>
      <c r="W390" s="214" t="s">
        <v>15</v>
      </c>
      <c r="X390" s="214" t="s">
        <v>15</v>
      </c>
      <c r="Y390" s="214" t="s">
        <v>15</v>
      </c>
      <c r="Z390" s="234"/>
      <c r="AA390" s="214" t="s">
        <v>831</v>
      </c>
      <c r="AB390" s="214" t="s">
        <v>15</v>
      </c>
      <c r="AC390" s="214" t="s">
        <v>15</v>
      </c>
      <c r="AD390" s="320" t="s">
        <v>837</v>
      </c>
      <c r="AE390" s="320"/>
      <c r="AF390" s="162" t="str">
        <f t="shared" si="27"/>
        <v/>
      </c>
      <c r="AG390" s="162" t="str">
        <f t="shared" si="28"/>
        <v/>
      </c>
      <c r="AH390" s="164" t="str">
        <f t="shared" si="29"/>
        <v/>
      </c>
      <c r="AI390" s="164" t="str">
        <f t="shared" si="30"/>
        <v/>
      </c>
      <c r="AJ390" s="368"/>
      <c r="AK390" s="368"/>
      <c r="AL390" s="368"/>
      <c r="AM390" s="369"/>
      <c r="AN390" s="369"/>
      <c r="AO390" s="368"/>
      <c r="AP390" s="368"/>
      <c r="AQ390" s="368"/>
      <c r="AR390" s="368"/>
      <c r="AS390" s="195"/>
      <c r="AT390" s="195"/>
      <c r="AU390" s="377"/>
      <c r="AV390" s="382"/>
      <c r="AW390" s="426"/>
      <c r="AX390" s="426"/>
      <c r="AY390" s="359"/>
      <c r="AZ390" s="359"/>
      <c r="BA390" s="359"/>
      <c r="BB390" s="426"/>
      <c r="BC390" s="426"/>
      <c r="BD390" s="426"/>
      <c r="BE390" s="426"/>
      <c r="BF390" s="469"/>
      <c r="BG390" s="468">
        <v>0.31</v>
      </c>
      <c r="BH390" s="335" t="s">
        <v>844</v>
      </c>
      <c r="BI390" s="446" t="s">
        <v>834</v>
      </c>
      <c r="BJ390" s="505"/>
    </row>
    <row r="391" spans="1:62" ht="15.75" customHeight="1" thickBot="1" x14ac:dyDescent="0.25">
      <c r="A391" s="176">
        <v>390</v>
      </c>
      <c r="B391" s="175">
        <v>1</v>
      </c>
      <c r="C391" s="166" t="s">
        <v>162</v>
      </c>
      <c r="D391" s="166" t="s">
        <v>845</v>
      </c>
      <c r="E391" s="166" t="s">
        <v>13</v>
      </c>
      <c r="F391" s="166" t="s">
        <v>846</v>
      </c>
      <c r="G391" s="166" t="s">
        <v>15</v>
      </c>
      <c r="H391" s="166" t="s">
        <v>708</v>
      </c>
      <c r="I391" s="181">
        <v>2012</v>
      </c>
      <c r="J391" s="181" t="s">
        <v>829</v>
      </c>
      <c r="K391" s="181" t="s">
        <v>830</v>
      </c>
      <c r="L391" s="181" t="s">
        <v>19</v>
      </c>
      <c r="M391" s="556" t="s">
        <v>4164</v>
      </c>
      <c r="N391" s="214" t="s">
        <v>20</v>
      </c>
      <c r="O391" s="214" t="s">
        <v>15</v>
      </c>
      <c r="P391" s="214" t="s">
        <v>20</v>
      </c>
      <c r="Q391" s="214" t="s">
        <v>20</v>
      </c>
      <c r="R391" s="214" t="s">
        <v>20</v>
      </c>
      <c r="S391" s="214" t="s">
        <v>20</v>
      </c>
      <c r="T391" s="214" t="s">
        <v>15</v>
      </c>
      <c r="U391" s="214" t="s">
        <v>15</v>
      </c>
      <c r="V391" s="214" t="s">
        <v>15</v>
      </c>
      <c r="W391" s="214" t="s">
        <v>15</v>
      </c>
      <c r="X391" s="214" t="s">
        <v>15</v>
      </c>
      <c r="Y391" s="214" t="s">
        <v>15</v>
      </c>
      <c r="Z391" s="234"/>
      <c r="AA391" s="214" t="s">
        <v>831</v>
      </c>
      <c r="AB391" s="214" t="s">
        <v>15</v>
      </c>
      <c r="AC391" s="214" t="s">
        <v>15</v>
      </c>
      <c r="AD391" s="320" t="s">
        <v>837</v>
      </c>
      <c r="AE391" s="320"/>
      <c r="AF391" s="162" t="str">
        <f t="shared" si="27"/>
        <v/>
      </c>
      <c r="AG391" s="162" t="str">
        <f t="shared" si="28"/>
        <v/>
      </c>
      <c r="AH391" s="164">
        <f t="shared" si="29"/>
        <v>1.25</v>
      </c>
      <c r="AI391" s="164" t="str">
        <f t="shared" si="30"/>
        <v/>
      </c>
      <c r="AJ391" s="368"/>
      <c r="AK391" s="368"/>
      <c r="AL391" s="368"/>
      <c r="AM391" s="369"/>
      <c r="AN391" s="369"/>
      <c r="AO391" s="368"/>
      <c r="AP391" s="368"/>
      <c r="AQ391" s="368"/>
      <c r="AR391" s="368"/>
      <c r="AS391" s="195"/>
      <c r="AT391" s="195"/>
      <c r="AU391" s="377"/>
      <c r="AV391" s="382"/>
      <c r="AW391" s="426"/>
      <c r="AX391" s="426"/>
      <c r="AY391" s="359"/>
      <c r="AZ391" s="359"/>
      <c r="BA391" s="359"/>
      <c r="BB391" s="426"/>
      <c r="BC391" s="426"/>
      <c r="BD391" s="426"/>
      <c r="BE391" s="426"/>
      <c r="BF391" s="468">
        <v>1.25</v>
      </c>
      <c r="BG391" s="491"/>
      <c r="BH391" s="335" t="s">
        <v>847</v>
      </c>
      <c r="BI391" s="446" t="s">
        <v>834</v>
      </c>
      <c r="BJ391" s="505"/>
    </row>
    <row r="392" spans="1:62" ht="15.75" customHeight="1" thickBot="1" x14ac:dyDescent="0.25">
      <c r="A392" s="174">
        <v>391</v>
      </c>
      <c r="B392" s="175">
        <v>1</v>
      </c>
      <c r="C392" s="166" t="s">
        <v>236</v>
      </c>
      <c r="D392" s="159" t="s">
        <v>1739</v>
      </c>
      <c r="E392" s="166" t="s">
        <v>13</v>
      </c>
      <c r="F392" s="166" t="s">
        <v>848</v>
      </c>
      <c r="G392" s="166" t="s">
        <v>15</v>
      </c>
      <c r="H392" s="166" t="s">
        <v>708</v>
      </c>
      <c r="I392" s="181">
        <v>2012</v>
      </c>
      <c r="J392" s="181" t="s">
        <v>829</v>
      </c>
      <c r="K392" s="181" t="s">
        <v>830</v>
      </c>
      <c r="L392" s="181" t="s">
        <v>19</v>
      </c>
      <c r="M392" s="556" t="s">
        <v>4164</v>
      </c>
      <c r="N392" s="214" t="s">
        <v>20</v>
      </c>
      <c r="O392" s="214" t="s">
        <v>15</v>
      </c>
      <c r="P392" s="214" t="s">
        <v>20</v>
      </c>
      <c r="Q392" s="214" t="s">
        <v>20</v>
      </c>
      <c r="R392" s="214" t="s">
        <v>20</v>
      </c>
      <c r="S392" s="214" t="s">
        <v>20</v>
      </c>
      <c r="T392" s="214" t="s">
        <v>15</v>
      </c>
      <c r="U392" s="214" t="s">
        <v>15</v>
      </c>
      <c r="V392" s="214" t="s">
        <v>15</v>
      </c>
      <c r="W392" s="214" t="s">
        <v>15</v>
      </c>
      <c r="X392" s="214" t="s">
        <v>15</v>
      </c>
      <c r="Y392" s="214" t="s">
        <v>15</v>
      </c>
      <c r="Z392" s="234"/>
      <c r="AA392" s="214" t="s">
        <v>831</v>
      </c>
      <c r="AB392" s="214" t="s">
        <v>15</v>
      </c>
      <c r="AC392" s="214" t="s">
        <v>15</v>
      </c>
      <c r="AD392" s="320" t="s">
        <v>837</v>
      </c>
      <c r="AE392" s="320"/>
      <c r="AF392" s="162" t="str">
        <f t="shared" si="27"/>
        <v/>
      </c>
      <c r="AG392" s="162" t="str">
        <f t="shared" si="28"/>
        <v/>
      </c>
      <c r="AH392" s="164" t="str">
        <f t="shared" si="29"/>
        <v/>
      </c>
      <c r="AI392" s="164" t="str">
        <f t="shared" si="30"/>
        <v/>
      </c>
      <c r="AJ392" s="368"/>
      <c r="AK392" s="368"/>
      <c r="AL392" s="368"/>
      <c r="AM392" s="369"/>
      <c r="AN392" s="369"/>
      <c r="AO392" s="368"/>
      <c r="AP392" s="368"/>
      <c r="AQ392" s="368"/>
      <c r="AR392" s="368"/>
      <c r="AS392" s="195"/>
      <c r="AT392" s="195"/>
      <c r="AU392" s="377"/>
      <c r="AV392" s="382"/>
      <c r="AW392" s="426"/>
      <c r="AX392" s="426"/>
      <c r="AY392" s="359"/>
      <c r="AZ392" s="359"/>
      <c r="BA392" s="359"/>
      <c r="BB392" s="426"/>
      <c r="BC392" s="426"/>
      <c r="BD392" s="426"/>
      <c r="BE392" s="426"/>
      <c r="BF392" s="469"/>
      <c r="BG392" s="468">
        <v>0.27</v>
      </c>
      <c r="BH392" s="335" t="s">
        <v>849</v>
      </c>
      <c r="BI392" s="446" t="s">
        <v>834</v>
      </c>
      <c r="BJ392" s="505"/>
    </row>
    <row r="393" spans="1:62" ht="15.75" customHeight="1" thickBot="1" x14ac:dyDescent="0.25">
      <c r="A393" s="176">
        <v>392</v>
      </c>
      <c r="B393" s="175">
        <v>1</v>
      </c>
      <c r="C393" s="166" t="s">
        <v>162</v>
      </c>
      <c r="D393" s="166" t="s">
        <v>2311</v>
      </c>
      <c r="E393" s="166" t="s">
        <v>13</v>
      </c>
      <c r="F393" s="166" t="s">
        <v>850</v>
      </c>
      <c r="G393" s="166" t="s">
        <v>15</v>
      </c>
      <c r="H393" s="166" t="s">
        <v>708</v>
      </c>
      <c r="I393" s="181">
        <v>2012</v>
      </c>
      <c r="J393" s="181" t="s">
        <v>829</v>
      </c>
      <c r="K393" s="181" t="s">
        <v>830</v>
      </c>
      <c r="L393" s="181" t="s">
        <v>19</v>
      </c>
      <c r="M393" s="556" t="s">
        <v>4164</v>
      </c>
      <c r="N393" s="214" t="s">
        <v>20</v>
      </c>
      <c r="O393" s="214" t="s">
        <v>15</v>
      </c>
      <c r="P393" s="214" t="s">
        <v>20</v>
      </c>
      <c r="Q393" s="214" t="s">
        <v>20</v>
      </c>
      <c r="R393" s="214" t="s">
        <v>20</v>
      </c>
      <c r="S393" s="214" t="s">
        <v>20</v>
      </c>
      <c r="T393" s="214" t="s">
        <v>15</v>
      </c>
      <c r="U393" s="214" t="s">
        <v>15</v>
      </c>
      <c r="V393" s="214" t="s">
        <v>15</v>
      </c>
      <c r="W393" s="214" t="s">
        <v>15</v>
      </c>
      <c r="X393" s="214" t="s">
        <v>15</v>
      </c>
      <c r="Y393" s="214" t="s">
        <v>15</v>
      </c>
      <c r="Z393" s="234"/>
      <c r="AA393" s="214" t="s">
        <v>831</v>
      </c>
      <c r="AB393" s="214" t="s">
        <v>15</v>
      </c>
      <c r="AC393" s="214" t="s">
        <v>15</v>
      </c>
      <c r="AD393" s="320" t="s">
        <v>837</v>
      </c>
      <c r="AE393" s="320"/>
      <c r="AF393" s="162" t="str">
        <f t="shared" si="27"/>
        <v/>
      </c>
      <c r="AG393" s="162" t="str">
        <f t="shared" si="28"/>
        <v/>
      </c>
      <c r="AH393" s="164" t="str">
        <f t="shared" si="29"/>
        <v/>
      </c>
      <c r="AI393" s="164" t="str">
        <f t="shared" si="30"/>
        <v/>
      </c>
      <c r="AJ393" s="368"/>
      <c r="AK393" s="368"/>
      <c r="AL393" s="368"/>
      <c r="AM393" s="369"/>
      <c r="AN393" s="369"/>
      <c r="AO393" s="368"/>
      <c r="AP393" s="368"/>
      <c r="AQ393" s="368"/>
      <c r="AR393" s="368"/>
      <c r="AS393" s="195"/>
      <c r="AT393" s="195"/>
      <c r="AU393" s="377"/>
      <c r="AV393" s="382"/>
      <c r="AW393" s="426"/>
      <c r="AX393" s="426"/>
      <c r="AY393" s="359"/>
      <c r="AZ393" s="359"/>
      <c r="BA393" s="359"/>
      <c r="BB393" s="426"/>
      <c r="BC393" s="426"/>
      <c r="BD393" s="426"/>
      <c r="BE393" s="426"/>
      <c r="BF393" s="469"/>
      <c r="BG393" s="468">
        <v>0.67</v>
      </c>
      <c r="BH393" s="335" t="s">
        <v>851</v>
      </c>
      <c r="BI393" s="446" t="s">
        <v>834</v>
      </c>
      <c r="BJ393" s="505"/>
    </row>
    <row r="394" spans="1:62" ht="15.75" customHeight="1" thickBot="1" x14ac:dyDescent="0.25">
      <c r="A394" s="174">
        <v>393</v>
      </c>
      <c r="B394" s="175">
        <v>1</v>
      </c>
      <c r="C394" s="166" t="s">
        <v>236</v>
      </c>
      <c r="D394" s="166" t="s">
        <v>2011</v>
      </c>
      <c r="E394" s="166" t="s">
        <v>13</v>
      </c>
      <c r="F394" s="166" t="s">
        <v>853</v>
      </c>
      <c r="G394" s="166" t="s">
        <v>15</v>
      </c>
      <c r="H394" s="166" t="s">
        <v>708</v>
      </c>
      <c r="I394" s="181">
        <v>2012</v>
      </c>
      <c r="J394" s="181" t="s">
        <v>829</v>
      </c>
      <c r="K394" s="181" t="s">
        <v>830</v>
      </c>
      <c r="L394" s="181" t="s">
        <v>19</v>
      </c>
      <c r="M394" s="556" t="s">
        <v>4164</v>
      </c>
      <c r="N394" s="214" t="s">
        <v>20</v>
      </c>
      <c r="O394" s="214" t="s">
        <v>15</v>
      </c>
      <c r="P394" s="214" t="s">
        <v>20</v>
      </c>
      <c r="Q394" s="214" t="s">
        <v>20</v>
      </c>
      <c r="R394" s="214" t="s">
        <v>20</v>
      </c>
      <c r="S394" s="214" t="s">
        <v>20</v>
      </c>
      <c r="T394" s="214" t="s">
        <v>15</v>
      </c>
      <c r="U394" s="214" t="s">
        <v>15</v>
      </c>
      <c r="V394" s="214" t="s">
        <v>15</v>
      </c>
      <c r="W394" s="214" t="s">
        <v>15</v>
      </c>
      <c r="X394" s="214" t="s">
        <v>15</v>
      </c>
      <c r="Y394" s="214" t="s">
        <v>15</v>
      </c>
      <c r="Z394" s="234"/>
      <c r="AA394" s="214" t="s">
        <v>831</v>
      </c>
      <c r="AB394" s="214" t="s">
        <v>15</v>
      </c>
      <c r="AC394" s="214" t="s">
        <v>15</v>
      </c>
      <c r="AD394" s="320" t="s">
        <v>837</v>
      </c>
      <c r="AE394" s="320"/>
      <c r="AF394" s="162" t="str">
        <f t="shared" si="27"/>
        <v/>
      </c>
      <c r="AG394" s="162" t="str">
        <f t="shared" si="28"/>
        <v/>
      </c>
      <c r="AH394" s="164" t="str">
        <f t="shared" si="29"/>
        <v/>
      </c>
      <c r="AI394" s="164" t="str">
        <f t="shared" si="30"/>
        <v/>
      </c>
      <c r="AJ394" s="368"/>
      <c r="AK394" s="368"/>
      <c r="AL394" s="368"/>
      <c r="AM394" s="369"/>
      <c r="AN394" s="369"/>
      <c r="AO394" s="368"/>
      <c r="AP394" s="368"/>
      <c r="AQ394" s="368"/>
      <c r="AR394" s="368"/>
      <c r="AS394" s="195"/>
      <c r="AT394" s="195"/>
      <c r="AU394" s="377"/>
      <c r="AV394" s="382"/>
      <c r="AW394" s="426"/>
      <c r="AX394" s="426"/>
      <c r="AY394" s="359"/>
      <c r="AZ394" s="359"/>
      <c r="BA394" s="359"/>
      <c r="BB394" s="426"/>
      <c r="BC394" s="426"/>
      <c r="BD394" s="426"/>
      <c r="BE394" s="426"/>
      <c r="BF394" s="469"/>
      <c r="BG394" s="468">
        <v>0.28999999999999998</v>
      </c>
      <c r="BH394" s="335" t="s">
        <v>854</v>
      </c>
      <c r="BI394" s="446" t="s">
        <v>834</v>
      </c>
      <c r="BJ394" s="505"/>
    </row>
    <row r="395" spans="1:62" ht="15.75" customHeight="1" thickBot="1" x14ac:dyDescent="0.25">
      <c r="A395" s="176">
        <v>394</v>
      </c>
      <c r="B395" s="175">
        <v>1</v>
      </c>
      <c r="C395" s="166" t="s">
        <v>162</v>
      </c>
      <c r="D395" s="167" t="s">
        <v>2152</v>
      </c>
      <c r="E395" s="166" t="s">
        <v>13</v>
      </c>
      <c r="F395" s="166" t="s">
        <v>855</v>
      </c>
      <c r="G395" s="166" t="s">
        <v>15</v>
      </c>
      <c r="H395" s="166" t="s">
        <v>708</v>
      </c>
      <c r="I395" s="181">
        <v>2012</v>
      </c>
      <c r="J395" s="181" t="s">
        <v>829</v>
      </c>
      <c r="K395" s="181" t="s">
        <v>830</v>
      </c>
      <c r="L395" s="181" t="s">
        <v>19</v>
      </c>
      <c r="M395" s="556" t="s">
        <v>4164</v>
      </c>
      <c r="N395" s="214" t="s">
        <v>20</v>
      </c>
      <c r="O395" s="214" t="s">
        <v>15</v>
      </c>
      <c r="P395" s="214" t="s">
        <v>20</v>
      </c>
      <c r="Q395" s="214" t="s">
        <v>20</v>
      </c>
      <c r="R395" s="214" t="s">
        <v>20</v>
      </c>
      <c r="S395" s="214" t="s">
        <v>20</v>
      </c>
      <c r="T395" s="214" t="s">
        <v>15</v>
      </c>
      <c r="U395" s="214" t="s">
        <v>15</v>
      </c>
      <c r="V395" s="214" t="s">
        <v>15</v>
      </c>
      <c r="W395" s="214" t="s">
        <v>15</v>
      </c>
      <c r="X395" s="214" t="s">
        <v>15</v>
      </c>
      <c r="Y395" s="214" t="s">
        <v>15</v>
      </c>
      <c r="Z395" s="234"/>
      <c r="AA395" s="214" t="s">
        <v>831</v>
      </c>
      <c r="AB395" s="214" t="s">
        <v>15</v>
      </c>
      <c r="AC395" s="214" t="s">
        <v>15</v>
      </c>
      <c r="AD395" s="320" t="s">
        <v>837</v>
      </c>
      <c r="AE395" s="320"/>
      <c r="AF395" s="162" t="str">
        <f t="shared" si="27"/>
        <v/>
      </c>
      <c r="AG395" s="162" t="str">
        <f t="shared" si="28"/>
        <v/>
      </c>
      <c r="AH395" s="164" t="str">
        <f t="shared" si="29"/>
        <v/>
      </c>
      <c r="AI395" s="164" t="str">
        <f t="shared" si="30"/>
        <v/>
      </c>
      <c r="AJ395" s="368"/>
      <c r="AK395" s="368"/>
      <c r="AL395" s="368"/>
      <c r="AM395" s="369"/>
      <c r="AN395" s="369"/>
      <c r="AO395" s="368"/>
      <c r="AP395" s="368"/>
      <c r="AQ395" s="368"/>
      <c r="AR395" s="368"/>
      <c r="AS395" s="195"/>
      <c r="AT395" s="195"/>
      <c r="AU395" s="377"/>
      <c r="AV395" s="382"/>
      <c r="AW395" s="426"/>
      <c r="AX395" s="426"/>
      <c r="AY395" s="359"/>
      <c r="AZ395" s="359"/>
      <c r="BA395" s="359"/>
      <c r="BB395" s="426"/>
      <c r="BC395" s="426"/>
      <c r="BD395" s="426"/>
      <c r="BE395" s="426"/>
      <c r="BF395" s="469"/>
      <c r="BG395" s="468">
        <v>0.88</v>
      </c>
      <c r="BH395" s="335" t="s">
        <v>856</v>
      </c>
      <c r="BI395" s="446" t="s">
        <v>834</v>
      </c>
      <c r="BJ395" s="505"/>
    </row>
    <row r="396" spans="1:62" ht="15.75" customHeight="1" thickBot="1" x14ac:dyDescent="0.25">
      <c r="A396" s="174">
        <v>395</v>
      </c>
      <c r="B396" s="175">
        <v>1</v>
      </c>
      <c r="C396" s="166" t="s">
        <v>162</v>
      </c>
      <c r="D396" s="159" t="s">
        <v>2206</v>
      </c>
      <c r="E396" s="166" t="s">
        <v>13</v>
      </c>
      <c r="F396" s="166" t="s">
        <v>857</v>
      </c>
      <c r="G396" s="166" t="s">
        <v>15</v>
      </c>
      <c r="H396" s="166" t="s">
        <v>708</v>
      </c>
      <c r="I396" s="181">
        <v>2012</v>
      </c>
      <c r="J396" s="181" t="s">
        <v>829</v>
      </c>
      <c r="K396" s="181" t="s">
        <v>830</v>
      </c>
      <c r="L396" s="181" t="s">
        <v>19</v>
      </c>
      <c r="M396" s="556" t="s">
        <v>4164</v>
      </c>
      <c r="N396" s="214" t="s">
        <v>20</v>
      </c>
      <c r="O396" s="214" t="s">
        <v>15</v>
      </c>
      <c r="P396" s="214" t="s">
        <v>20</v>
      </c>
      <c r="Q396" s="214" t="s">
        <v>20</v>
      </c>
      <c r="R396" s="214" t="s">
        <v>20</v>
      </c>
      <c r="S396" s="214" t="s">
        <v>20</v>
      </c>
      <c r="T396" s="214" t="s">
        <v>15</v>
      </c>
      <c r="U396" s="214" t="s">
        <v>15</v>
      </c>
      <c r="V396" s="214" t="s">
        <v>15</v>
      </c>
      <c r="W396" s="214" t="s">
        <v>15</v>
      </c>
      <c r="X396" s="214" t="s">
        <v>15</v>
      </c>
      <c r="Y396" s="214" t="s">
        <v>15</v>
      </c>
      <c r="Z396" s="234"/>
      <c r="AA396" s="214" t="s">
        <v>831</v>
      </c>
      <c r="AB396" s="214" t="s">
        <v>15</v>
      </c>
      <c r="AC396" s="214" t="s">
        <v>15</v>
      </c>
      <c r="AD396" s="320" t="s">
        <v>837</v>
      </c>
      <c r="AE396" s="320"/>
      <c r="AF396" s="162" t="str">
        <f t="shared" si="27"/>
        <v/>
      </c>
      <c r="AG396" s="162" t="str">
        <f t="shared" si="28"/>
        <v/>
      </c>
      <c r="AH396" s="164" t="str">
        <f t="shared" si="29"/>
        <v/>
      </c>
      <c r="AI396" s="164" t="str">
        <f t="shared" si="30"/>
        <v/>
      </c>
      <c r="AJ396" s="368"/>
      <c r="AK396" s="368"/>
      <c r="AL396" s="368"/>
      <c r="AM396" s="369"/>
      <c r="AN396" s="369"/>
      <c r="AO396" s="368"/>
      <c r="AP396" s="368"/>
      <c r="AQ396" s="368"/>
      <c r="AR396" s="368"/>
      <c r="AS396" s="195"/>
      <c r="AT396" s="195"/>
      <c r="AU396" s="377"/>
      <c r="AV396" s="382"/>
      <c r="AW396" s="426"/>
      <c r="AX396" s="426"/>
      <c r="AY396" s="359"/>
      <c r="AZ396" s="359"/>
      <c r="BA396" s="359"/>
      <c r="BB396" s="426"/>
      <c r="BC396" s="426"/>
      <c r="BD396" s="426"/>
      <c r="BE396" s="426"/>
      <c r="BF396" s="469"/>
      <c r="BG396" s="468">
        <v>0.16</v>
      </c>
      <c r="BH396" s="335" t="s">
        <v>858</v>
      </c>
      <c r="BI396" s="446" t="s">
        <v>834</v>
      </c>
      <c r="BJ396" s="505"/>
    </row>
    <row r="397" spans="1:62" ht="15.75" customHeight="1" thickBot="1" x14ac:dyDescent="0.25">
      <c r="A397" s="176">
        <v>396</v>
      </c>
      <c r="B397" s="175">
        <v>1</v>
      </c>
      <c r="C397" s="166" t="s">
        <v>236</v>
      </c>
      <c r="D397" s="166" t="s">
        <v>859</v>
      </c>
      <c r="E397" s="166" t="s">
        <v>13</v>
      </c>
      <c r="F397" s="166" t="s">
        <v>860</v>
      </c>
      <c r="G397" s="166" t="s">
        <v>15</v>
      </c>
      <c r="H397" s="166" t="s">
        <v>708</v>
      </c>
      <c r="I397" s="181">
        <v>2012</v>
      </c>
      <c r="J397" s="181" t="s">
        <v>829</v>
      </c>
      <c r="K397" s="181" t="s">
        <v>830</v>
      </c>
      <c r="L397" s="181" t="s">
        <v>19</v>
      </c>
      <c r="M397" s="556" t="s">
        <v>4164</v>
      </c>
      <c r="N397" s="214" t="s">
        <v>20</v>
      </c>
      <c r="O397" s="214" t="s">
        <v>15</v>
      </c>
      <c r="P397" s="214" t="s">
        <v>20</v>
      </c>
      <c r="Q397" s="214" t="s">
        <v>20</v>
      </c>
      <c r="R397" s="214" t="s">
        <v>20</v>
      </c>
      <c r="S397" s="214" t="s">
        <v>20</v>
      </c>
      <c r="T397" s="214" t="s">
        <v>15</v>
      </c>
      <c r="U397" s="214" t="s">
        <v>15</v>
      </c>
      <c r="V397" s="214" t="s">
        <v>15</v>
      </c>
      <c r="W397" s="214" t="s">
        <v>15</v>
      </c>
      <c r="X397" s="214" t="s">
        <v>15</v>
      </c>
      <c r="Y397" s="214" t="s">
        <v>15</v>
      </c>
      <c r="Z397" s="234"/>
      <c r="AA397" s="214" t="s">
        <v>831</v>
      </c>
      <c r="AB397" s="214" t="s">
        <v>15</v>
      </c>
      <c r="AC397" s="214" t="s">
        <v>15</v>
      </c>
      <c r="AD397" s="320" t="s">
        <v>837</v>
      </c>
      <c r="AE397" s="320"/>
      <c r="AF397" s="162" t="str">
        <f t="shared" si="27"/>
        <v/>
      </c>
      <c r="AG397" s="162" t="str">
        <f t="shared" si="28"/>
        <v/>
      </c>
      <c r="AH397" s="164" t="str">
        <f t="shared" si="29"/>
        <v/>
      </c>
      <c r="AI397" s="164" t="str">
        <f t="shared" si="30"/>
        <v/>
      </c>
      <c r="AJ397" s="368"/>
      <c r="AK397" s="368"/>
      <c r="AL397" s="368"/>
      <c r="AM397" s="369"/>
      <c r="AN397" s="369"/>
      <c r="AO397" s="368"/>
      <c r="AP397" s="368"/>
      <c r="AQ397" s="368"/>
      <c r="AR397" s="368"/>
      <c r="AS397" s="195"/>
      <c r="AT397" s="195"/>
      <c r="AU397" s="377"/>
      <c r="AV397" s="382"/>
      <c r="AW397" s="426"/>
      <c r="AX397" s="426"/>
      <c r="AY397" s="359"/>
      <c r="AZ397" s="359"/>
      <c r="BA397" s="359"/>
      <c r="BB397" s="426"/>
      <c r="BC397" s="426"/>
      <c r="BD397" s="426"/>
      <c r="BE397" s="426"/>
      <c r="BF397" s="469"/>
      <c r="BG397" s="468">
        <v>1.27</v>
      </c>
      <c r="BH397" s="335" t="s">
        <v>861</v>
      </c>
      <c r="BI397" s="446" t="s">
        <v>834</v>
      </c>
      <c r="BJ397" s="505"/>
    </row>
    <row r="398" spans="1:62" ht="15.75" customHeight="1" thickBot="1" x14ac:dyDescent="0.25">
      <c r="A398" s="174">
        <v>397</v>
      </c>
      <c r="B398" s="175">
        <v>1</v>
      </c>
      <c r="C398" s="166" t="s">
        <v>236</v>
      </c>
      <c r="D398" s="167" t="s">
        <v>2034</v>
      </c>
      <c r="E398" s="166" t="s">
        <v>13</v>
      </c>
      <c r="F398" s="166" t="s">
        <v>862</v>
      </c>
      <c r="G398" s="166" t="s">
        <v>15</v>
      </c>
      <c r="H398" s="166" t="s">
        <v>708</v>
      </c>
      <c r="I398" s="181">
        <v>2012</v>
      </c>
      <c r="J398" s="181" t="s">
        <v>829</v>
      </c>
      <c r="K398" s="181" t="s">
        <v>830</v>
      </c>
      <c r="L398" s="181" t="s">
        <v>19</v>
      </c>
      <c r="M398" s="556" t="s">
        <v>4164</v>
      </c>
      <c r="N398" s="214" t="s">
        <v>20</v>
      </c>
      <c r="O398" s="214" t="s">
        <v>15</v>
      </c>
      <c r="P398" s="214" t="s">
        <v>20</v>
      </c>
      <c r="Q398" s="214" t="s">
        <v>20</v>
      </c>
      <c r="R398" s="214" t="s">
        <v>20</v>
      </c>
      <c r="S398" s="214" t="s">
        <v>20</v>
      </c>
      <c r="T398" s="214" t="s">
        <v>15</v>
      </c>
      <c r="U398" s="214" t="s">
        <v>15</v>
      </c>
      <c r="V398" s="214" t="s">
        <v>15</v>
      </c>
      <c r="W398" s="214" t="s">
        <v>15</v>
      </c>
      <c r="X398" s="214" t="s">
        <v>15</v>
      </c>
      <c r="Y398" s="214" t="s">
        <v>15</v>
      </c>
      <c r="Z398" s="234"/>
      <c r="AA398" s="214" t="s">
        <v>831</v>
      </c>
      <c r="AB398" s="214" t="s">
        <v>15</v>
      </c>
      <c r="AC398" s="214" t="s">
        <v>15</v>
      </c>
      <c r="AD398" s="320" t="s">
        <v>837</v>
      </c>
      <c r="AE398" s="320"/>
      <c r="AF398" s="162" t="str">
        <f t="shared" si="27"/>
        <v/>
      </c>
      <c r="AG398" s="162" t="str">
        <f t="shared" si="28"/>
        <v/>
      </c>
      <c r="AH398" s="164" t="str">
        <f t="shared" si="29"/>
        <v/>
      </c>
      <c r="AI398" s="164" t="str">
        <f t="shared" si="30"/>
        <v/>
      </c>
      <c r="AJ398" s="368"/>
      <c r="AK398" s="368"/>
      <c r="AL398" s="368"/>
      <c r="AM398" s="369"/>
      <c r="AN398" s="369"/>
      <c r="AO398" s="368"/>
      <c r="AP398" s="368"/>
      <c r="AQ398" s="368"/>
      <c r="AR398" s="368"/>
      <c r="AS398" s="195"/>
      <c r="AT398" s="195"/>
      <c r="AU398" s="377"/>
      <c r="AV398" s="382"/>
      <c r="AW398" s="426"/>
      <c r="AX398" s="426"/>
      <c r="AY398" s="359"/>
      <c r="AZ398" s="359"/>
      <c r="BA398" s="359"/>
      <c r="BB398" s="426"/>
      <c r="BC398" s="426"/>
      <c r="BD398" s="426"/>
      <c r="BE398" s="426"/>
      <c r="BF398" s="469"/>
      <c r="BG398" s="468">
        <v>0.27</v>
      </c>
      <c r="BH398" s="335" t="s">
        <v>863</v>
      </c>
      <c r="BI398" s="446" t="s">
        <v>834</v>
      </c>
      <c r="BJ398" s="505"/>
    </row>
    <row r="399" spans="1:62" ht="15.75" customHeight="1" thickBot="1" x14ac:dyDescent="0.25">
      <c r="A399" s="176">
        <v>398</v>
      </c>
      <c r="B399" s="175">
        <v>1</v>
      </c>
      <c r="C399" s="166" t="s">
        <v>236</v>
      </c>
      <c r="D399" s="160" t="s">
        <v>2042</v>
      </c>
      <c r="E399" s="166" t="s">
        <v>13</v>
      </c>
      <c r="F399" s="166" t="s">
        <v>864</v>
      </c>
      <c r="G399" s="166" t="s">
        <v>15</v>
      </c>
      <c r="H399" s="166" t="s">
        <v>708</v>
      </c>
      <c r="I399" s="181">
        <v>2012</v>
      </c>
      <c r="J399" s="181" t="s">
        <v>829</v>
      </c>
      <c r="K399" s="181" t="s">
        <v>830</v>
      </c>
      <c r="L399" s="181" t="s">
        <v>19</v>
      </c>
      <c r="M399" s="556" t="s">
        <v>4164</v>
      </c>
      <c r="N399" s="214" t="s">
        <v>20</v>
      </c>
      <c r="O399" s="214" t="s">
        <v>15</v>
      </c>
      <c r="P399" s="214" t="s">
        <v>20</v>
      </c>
      <c r="Q399" s="214" t="s">
        <v>20</v>
      </c>
      <c r="R399" s="214" t="s">
        <v>20</v>
      </c>
      <c r="S399" s="214" t="s">
        <v>20</v>
      </c>
      <c r="T399" s="214" t="s">
        <v>15</v>
      </c>
      <c r="U399" s="214" t="s">
        <v>15</v>
      </c>
      <c r="V399" s="214" t="s">
        <v>15</v>
      </c>
      <c r="W399" s="214" t="s">
        <v>15</v>
      </c>
      <c r="X399" s="214" t="s">
        <v>15</v>
      </c>
      <c r="Y399" s="214" t="s">
        <v>15</v>
      </c>
      <c r="Z399" s="234"/>
      <c r="AA399" s="214" t="s">
        <v>831</v>
      </c>
      <c r="AB399" s="214" t="s">
        <v>15</v>
      </c>
      <c r="AC399" s="214" t="s">
        <v>15</v>
      </c>
      <c r="AD399" s="320" t="s">
        <v>837</v>
      </c>
      <c r="AE399" s="320"/>
      <c r="AF399" s="162" t="str">
        <f t="shared" si="27"/>
        <v/>
      </c>
      <c r="AG399" s="162" t="str">
        <f t="shared" si="28"/>
        <v/>
      </c>
      <c r="AH399" s="164" t="str">
        <f t="shared" si="29"/>
        <v/>
      </c>
      <c r="AI399" s="164" t="str">
        <f t="shared" si="30"/>
        <v/>
      </c>
      <c r="AJ399" s="368"/>
      <c r="AK399" s="368"/>
      <c r="AL399" s="368"/>
      <c r="AM399" s="369"/>
      <c r="AN399" s="369"/>
      <c r="AO399" s="368"/>
      <c r="AP399" s="368"/>
      <c r="AQ399" s="368"/>
      <c r="AR399" s="368"/>
      <c r="AS399" s="195"/>
      <c r="AT399" s="195"/>
      <c r="AU399" s="377"/>
      <c r="AV399" s="382"/>
      <c r="AW399" s="426"/>
      <c r="AX399" s="426"/>
      <c r="AY399" s="359"/>
      <c r="AZ399" s="359"/>
      <c r="BA399" s="359"/>
      <c r="BB399" s="426"/>
      <c r="BC399" s="426"/>
      <c r="BD399" s="426"/>
      <c r="BE399" s="426"/>
      <c r="BF399" s="469"/>
      <c r="BG399" s="468">
        <v>0.6</v>
      </c>
      <c r="BH399" s="335" t="s">
        <v>865</v>
      </c>
      <c r="BI399" s="446" t="s">
        <v>834</v>
      </c>
      <c r="BJ399" s="505"/>
    </row>
    <row r="400" spans="1:62" ht="15.75" customHeight="1" thickBot="1" x14ac:dyDescent="0.25">
      <c r="A400" s="174">
        <v>399</v>
      </c>
      <c r="B400" s="175">
        <v>1</v>
      </c>
      <c r="C400" s="166" t="s">
        <v>236</v>
      </c>
      <c r="D400" s="167" t="s">
        <v>2282</v>
      </c>
      <c r="E400" s="166" t="s">
        <v>13</v>
      </c>
      <c r="F400" s="166" t="s">
        <v>866</v>
      </c>
      <c r="G400" s="166" t="s">
        <v>15</v>
      </c>
      <c r="H400" s="166" t="s">
        <v>708</v>
      </c>
      <c r="I400" s="181">
        <v>2012</v>
      </c>
      <c r="J400" s="181" t="s">
        <v>829</v>
      </c>
      <c r="K400" s="181" t="s">
        <v>830</v>
      </c>
      <c r="L400" s="181" t="s">
        <v>19</v>
      </c>
      <c r="M400" s="556" t="s">
        <v>4164</v>
      </c>
      <c r="N400" s="214" t="s">
        <v>20</v>
      </c>
      <c r="O400" s="214" t="s">
        <v>15</v>
      </c>
      <c r="P400" s="214" t="s">
        <v>20</v>
      </c>
      <c r="Q400" s="214" t="s">
        <v>20</v>
      </c>
      <c r="R400" s="214" t="s">
        <v>20</v>
      </c>
      <c r="S400" s="214" t="s">
        <v>20</v>
      </c>
      <c r="T400" s="214" t="s">
        <v>15</v>
      </c>
      <c r="U400" s="214" t="s">
        <v>15</v>
      </c>
      <c r="V400" s="214" t="s">
        <v>15</v>
      </c>
      <c r="W400" s="214" t="s">
        <v>15</v>
      </c>
      <c r="X400" s="214" t="s">
        <v>15</v>
      </c>
      <c r="Y400" s="214" t="s">
        <v>15</v>
      </c>
      <c r="Z400" s="234"/>
      <c r="AA400" s="214" t="s">
        <v>831</v>
      </c>
      <c r="AB400" s="214" t="s">
        <v>15</v>
      </c>
      <c r="AC400" s="214" t="s">
        <v>15</v>
      </c>
      <c r="AD400" s="320" t="s">
        <v>837</v>
      </c>
      <c r="AE400" s="320"/>
      <c r="AF400" s="162" t="str">
        <f t="shared" si="27"/>
        <v/>
      </c>
      <c r="AG400" s="162" t="str">
        <f t="shared" si="28"/>
        <v/>
      </c>
      <c r="AH400" s="164" t="str">
        <f t="shared" si="29"/>
        <v/>
      </c>
      <c r="AI400" s="164" t="str">
        <f t="shared" si="30"/>
        <v/>
      </c>
      <c r="AJ400" s="368"/>
      <c r="AK400" s="368"/>
      <c r="AL400" s="368"/>
      <c r="AM400" s="369"/>
      <c r="AN400" s="369"/>
      <c r="AO400" s="368"/>
      <c r="AP400" s="368"/>
      <c r="AQ400" s="368"/>
      <c r="AR400" s="368"/>
      <c r="AS400" s="195"/>
      <c r="AT400" s="195"/>
      <c r="AU400" s="377"/>
      <c r="AV400" s="382"/>
      <c r="AW400" s="426"/>
      <c r="AX400" s="426"/>
      <c r="AY400" s="359"/>
      <c r="AZ400" s="359"/>
      <c r="BA400" s="359"/>
      <c r="BB400" s="426"/>
      <c r="BC400" s="426"/>
      <c r="BD400" s="426"/>
      <c r="BE400" s="426"/>
      <c r="BF400" s="469"/>
      <c r="BG400" s="468">
        <v>0.28000000000000003</v>
      </c>
      <c r="BH400" s="335" t="s">
        <v>867</v>
      </c>
      <c r="BI400" s="446" t="s">
        <v>834</v>
      </c>
      <c r="BJ400" s="505"/>
    </row>
    <row r="401" spans="1:62" ht="15.75" customHeight="1" thickBot="1" x14ac:dyDescent="0.25">
      <c r="A401" s="176">
        <v>400</v>
      </c>
      <c r="B401" s="175">
        <v>1</v>
      </c>
      <c r="C401" s="166" t="s">
        <v>162</v>
      </c>
      <c r="D401" s="166" t="s">
        <v>868</v>
      </c>
      <c r="E401" s="166" t="s">
        <v>13</v>
      </c>
      <c r="F401" s="166" t="s">
        <v>869</v>
      </c>
      <c r="G401" s="166" t="s">
        <v>15</v>
      </c>
      <c r="H401" s="166" t="s">
        <v>708</v>
      </c>
      <c r="I401" s="181">
        <v>2012</v>
      </c>
      <c r="J401" s="181" t="s">
        <v>829</v>
      </c>
      <c r="K401" s="181" t="s">
        <v>830</v>
      </c>
      <c r="L401" s="181" t="s">
        <v>19</v>
      </c>
      <c r="M401" s="556" t="s">
        <v>4164</v>
      </c>
      <c r="N401" s="214" t="s">
        <v>20</v>
      </c>
      <c r="O401" s="214" t="s">
        <v>15</v>
      </c>
      <c r="P401" s="214" t="s">
        <v>20</v>
      </c>
      <c r="Q401" s="214" t="s">
        <v>20</v>
      </c>
      <c r="R401" s="214" t="s">
        <v>20</v>
      </c>
      <c r="S401" s="214" t="s">
        <v>20</v>
      </c>
      <c r="T401" s="214" t="s">
        <v>15</v>
      </c>
      <c r="U401" s="214" t="s">
        <v>15</v>
      </c>
      <c r="V401" s="214" t="s">
        <v>15</v>
      </c>
      <c r="W401" s="214" t="s">
        <v>15</v>
      </c>
      <c r="X401" s="214" t="s">
        <v>15</v>
      </c>
      <c r="Y401" s="214" t="s">
        <v>15</v>
      </c>
      <c r="Z401" s="234"/>
      <c r="AA401" s="214" t="s">
        <v>831</v>
      </c>
      <c r="AB401" s="214" t="s">
        <v>15</v>
      </c>
      <c r="AC401" s="214" t="s">
        <v>15</v>
      </c>
      <c r="AD401" s="320" t="s">
        <v>837</v>
      </c>
      <c r="AE401" s="320"/>
      <c r="AF401" s="162" t="str">
        <f t="shared" si="27"/>
        <v/>
      </c>
      <c r="AG401" s="162" t="str">
        <f t="shared" si="28"/>
        <v/>
      </c>
      <c r="AH401" s="164" t="str">
        <f t="shared" si="29"/>
        <v/>
      </c>
      <c r="AI401" s="164" t="str">
        <f t="shared" si="30"/>
        <v/>
      </c>
      <c r="AJ401" s="368"/>
      <c r="AK401" s="368"/>
      <c r="AL401" s="368"/>
      <c r="AM401" s="369"/>
      <c r="AN401" s="369"/>
      <c r="AO401" s="368"/>
      <c r="AP401" s="368"/>
      <c r="AQ401" s="368"/>
      <c r="AR401" s="368"/>
      <c r="AS401" s="195"/>
      <c r="AT401" s="195"/>
      <c r="AU401" s="377"/>
      <c r="AV401" s="382"/>
      <c r="AW401" s="426"/>
      <c r="AX401" s="426"/>
      <c r="AY401" s="359"/>
      <c r="AZ401" s="359"/>
      <c r="BA401" s="359"/>
      <c r="BB401" s="426"/>
      <c r="BC401" s="426"/>
      <c r="BD401" s="426"/>
      <c r="BE401" s="426"/>
      <c r="BF401" s="469"/>
      <c r="BG401" s="468">
        <v>0.43</v>
      </c>
      <c r="BH401" s="335" t="s">
        <v>870</v>
      </c>
      <c r="BI401" s="446" t="s">
        <v>834</v>
      </c>
      <c r="BJ401" s="505"/>
    </row>
    <row r="402" spans="1:62" ht="15.75" customHeight="1" thickBot="1" x14ac:dyDescent="0.25">
      <c r="A402" s="174">
        <v>401</v>
      </c>
      <c r="B402" s="175">
        <v>1</v>
      </c>
      <c r="C402" s="166" t="s">
        <v>162</v>
      </c>
      <c r="D402" s="167" t="s">
        <v>2447</v>
      </c>
      <c r="E402" s="166" t="s">
        <v>13</v>
      </c>
      <c r="F402" s="166" t="s">
        <v>872</v>
      </c>
      <c r="G402" s="166" t="s">
        <v>15</v>
      </c>
      <c r="H402" s="166" t="s">
        <v>708</v>
      </c>
      <c r="I402" s="181">
        <v>2012</v>
      </c>
      <c r="J402" s="181" t="s">
        <v>829</v>
      </c>
      <c r="K402" s="181" t="s">
        <v>830</v>
      </c>
      <c r="L402" s="181" t="s">
        <v>19</v>
      </c>
      <c r="M402" s="556" t="s">
        <v>4164</v>
      </c>
      <c r="N402" s="214" t="s">
        <v>20</v>
      </c>
      <c r="O402" s="214" t="s">
        <v>15</v>
      </c>
      <c r="P402" s="214" t="s">
        <v>20</v>
      </c>
      <c r="Q402" s="214" t="s">
        <v>20</v>
      </c>
      <c r="R402" s="214" t="s">
        <v>20</v>
      </c>
      <c r="S402" s="214" t="s">
        <v>20</v>
      </c>
      <c r="T402" s="214" t="s">
        <v>15</v>
      </c>
      <c r="U402" s="214" t="s">
        <v>15</v>
      </c>
      <c r="V402" s="214" t="s">
        <v>15</v>
      </c>
      <c r="W402" s="214" t="s">
        <v>15</v>
      </c>
      <c r="X402" s="214" t="s">
        <v>15</v>
      </c>
      <c r="Y402" s="214" t="s">
        <v>15</v>
      </c>
      <c r="Z402" s="234"/>
      <c r="AA402" s="214" t="s">
        <v>831</v>
      </c>
      <c r="AB402" s="214" t="s">
        <v>15</v>
      </c>
      <c r="AC402" s="214" t="s">
        <v>15</v>
      </c>
      <c r="AD402" s="320" t="s">
        <v>837</v>
      </c>
      <c r="AE402" s="320"/>
      <c r="AF402" s="162" t="str">
        <f t="shared" si="27"/>
        <v/>
      </c>
      <c r="AG402" s="162" t="str">
        <f t="shared" si="28"/>
        <v/>
      </c>
      <c r="AH402" s="164" t="str">
        <f t="shared" si="29"/>
        <v/>
      </c>
      <c r="AI402" s="164" t="str">
        <f t="shared" si="30"/>
        <v/>
      </c>
      <c r="AJ402" s="368"/>
      <c r="AK402" s="368"/>
      <c r="AL402" s="368"/>
      <c r="AM402" s="369"/>
      <c r="AN402" s="369"/>
      <c r="AO402" s="368"/>
      <c r="AP402" s="368"/>
      <c r="AQ402" s="368"/>
      <c r="AR402" s="368"/>
      <c r="AS402" s="195"/>
      <c r="AT402" s="195"/>
      <c r="AU402" s="377"/>
      <c r="AV402" s="382"/>
      <c r="AW402" s="426"/>
      <c r="AX402" s="426"/>
      <c r="AY402" s="359"/>
      <c r="AZ402" s="359"/>
      <c r="BA402" s="359"/>
      <c r="BB402" s="426"/>
      <c r="BC402" s="426"/>
      <c r="BD402" s="426"/>
      <c r="BE402" s="426"/>
      <c r="BF402" s="469"/>
      <c r="BG402" s="468">
        <v>0.43</v>
      </c>
      <c r="BH402" s="335" t="s">
        <v>870</v>
      </c>
      <c r="BI402" s="446" t="s">
        <v>834</v>
      </c>
      <c r="BJ402" s="505"/>
    </row>
    <row r="403" spans="1:62" ht="15.75" customHeight="1" thickBot="1" x14ac:dyDescent="0.25">
      <c r="A403" s="176">
        <v>402</v>
      </c>
      <c r="B403" s="175">
        <v>1</v>
      </c>
      <c r="C403" s="166" t="s">
        <v>162</v>
      </c>
      <c r="D403" s="167" t="s">
        <v>1864</v>
      </c>
      <c r="E403" s="166" t="s">
        <v>13</v>
      </c>
      <c r="F403" s="166" t="s">
        <v>874</v>
      </c>
      <c r="G403" s="166" t="s">
        <v>15</v>
      </c>
      <c r="H403" s="166" t="s">
        <v>708</v>
      </c>
      <c r="I403" s="181">
        <v>2012</v>
      </c>
      <c r="J403" s="181" t="s">
        <v>829</v>
      </c>
      <c r="K403" s="181" t="s">
        <v>830</v>
      </c>
      <c r="L403" s="181" t="s">
        <v>19</v>
      </c>
      <c r="M403" s="556" t="s">
        <v>4164</v>
      </c>
      <c r="N403" s="214" t="s">
        <v>20</v>
      </c>
      <c r="O403" s="214" t="s">
        <v>15</v>
      </c>
      <c r="P403" s="214" t="s">
        <v>20</v>
      </c>
      <c r="Q403" s="214" t="s">
        <v>20</v>
      </c>
      <c r="R403" s="214" t="s">
        <v>20</v>
      </c>
      <c r="S403" s="214" t="s">
        <v>20</v>
      </c>
      <c r="T403" s="214" t="s">
        <v>15</v>
      </c>
      <c r="U403" s="214" t="s">
        <v>15</v>
      </c>
      <c r="V403" s="214" t="s">
        <v>15</v>
      </c>
      <c r="W403" s="214" t="s">
        <v>15</v>
      </c>
      <c r="X403" s="214" t="s">
        <v>15</v>
      </c>
      <c r="Y403" s="214" t="s">
        <v>15</v>
      </c>
      <c r="Z403" s="234"/>
      <c r="AA403" s="214" t="s">
        <v>831</v>
      </c>
      <c r="AB403" s="214" t="s">
        <v>15</v>
      </c>
      <c r="AC403" s="214" t="s">
        <v>15</v>
      </c>
      <c r="AD403" s="320" t="s">
        <v>837</v>
      </c>
      <c r="AE403" s="320"/>
      <c r="AF403" s="162" t="str">
        <f t="shared" si="27"/>
        <v/>
      </c>
      <c r="AG403" s="162" t="str">
        <f t="shared" si="28"/>
        <v/>
      </c>
      <c r="AH403" s="164" t="str">
        <f t="shared" si="29"/>
        <v/>
      </c>
      <c r="AI403" s="164" t="str">
        <f t="shared" si="30"/>
        <v/>
      </c>
      <c r="AJ403" s="368"/>
      <c r="AK403" s="368"/>
      <c r="AL403" s="368"/>
      <c r="AM403" s="369"/>
      <c r="AN403" s="369"/>
      <c r="AO403" s="368"/>
      <c r="AP403" s="368"/>
      <c r="AQ403" s="368"/>
      <c r="AR403" s="368"/>
      <c r="AS403" s="195"/>
      <c r="AT403" s="195"/>
      <c r="AU403" s="377"/>
      <c r="AV403" s="382"/>
      <c r="AW403" s="426"/>
      <c r="AX403" s="426"/>
      <c r="AY403" s="359"/>
      <c r="AZ403" s="359"/>
      <c r="BA403" s="359"/>
      <c r="BB403" s="426"/>
      <c r="BC403" s="426"/>
      <c r="BD403" s="426"/>
      <c r="BE403" s="426"/>
      <c r="BF403" s="469"/>
      <c r="BG403" s="468">
        <v>0.43</v>
      </c>
      <c r="BH403" s="335" t="s">
        <v>870</v>
      </c>
      <c r="BI403" s="446" t="s">
        <v>834</v>
      </c>
      <c r="BJ403" s="505"/>
    </row>
    <row r="404" spans="1:62" ht="15.75" customHeight="1" thickBot="1" x14ac:dyDescent="0.25">
      <c r="A404" s="174">
        <v>403</v>
      </c>
      <c r="B404" s="175">
        <v>1</v>
      </c>
      <c r="C404" s="166" t="s">
        <v>162</v>
      </c>
      <c r="D404" s="166" t="s">
        <v>875</v>
      </c>
      <c r="E404" s="166" t="s">
        <v>13</v>
      </c>
      <c r="F404" s="166" t="s">
        <v>876</v>
      </c>
      <c r="G404" s="166" t="s">
        <v>15</v>
      </c>
      <c r="H404" s="166" t="s">
        <v>708</v>
      </c>
      <c r="I404" s="181">
        <v>2012</v>
      </c>
      <c r="J404" s="181" t="s">
        <v>829</v>
      </c>
      <c r="K404" s="181" t="s">
        <v>830</v>
      </c>
      <c r="L404" s="181" t="s">
        <v>19</v>
      </c>
      <c r="M404" s="556" t="s">
        <v>4164</v>
      </c>
      <c r="N404" s="214" t="s">
        <v>20</v>
      </c>
      <c r="O404" s="214" t="s">
        <v>15</v>
      </c>
      <c r="P404" s="214" t="s">
        <v>20</v>
      </c>
      <c r="Q404" s="214" t="s">
        <v>20</v>
      </c>
      <c r="R404" s="214" t="s">
        <v>20</v>
      </c>
      <c r="S404" s="214" t="s">
        <v>20</v>
      </c>
      <c r="T404" s="214" t="s">
        <v>15</v>
      </c>
      <c r="U404" s="214" t="s">
        <v>15</v>
      </c>
      <c r="V404" s="214" t="s">
        <v>15</v>
      </c>
      <c r="W404" s="214" t="s">
        <v>15</v>
      </c>
      <c r="X404" s="214" t="s">
        <v>15</v>
      </c>
      <c r="Y404" s="214" t="s">
        <v>15</v>
      </c>
      <c r="Z404" s="234"/>
      <c r="AA404" s="214" t="s">
        <v>831</v>
      </c>
      <c r="AB404" s="214" t="s">
        <v>15</v>
      </c>
      <c r="AC404" s="214" t="s">
        <v>15</v>
      </c>
      <c r="AD404" s="320" t="s">
        <v>837</v>
      </c>
      <c r="AE404" s="320"/>
      <c r="AF404" s="162" t="str">
        <f t="shared" si="27"/>
        <v/>
      </c>
      <c r="AG404" s="162" t="str">
        <f t="shared" si="28"/>
        <v/>
      </c>
      <c r="AH404" s="164" t="str">
        <f t="shared" si="29"/>
        <v/>
      </c>
      <c r="AI404" s="164" t="str">
        <f t="shared" si="30"/>
        <v/>
      </c>
      <c r="AJ404" s="368"/>
      <c r="AK404" s="368"/>
      <c r="AL404" s="368"/>
      <c r="AM404" s="369"/>
      <c r="AN404" s="369"/>
      <c r="AO404" s="368"/>
      <c r="AP404" s="368"/>
      <c r="AQ404" s="368"/>
      <c r="AR404" s="368"/>
      <c r="AS404" s="195"/>
      <c r="AT404" s="195"/>
      <c r="AU404" s="377"/>
      <c r="AV404" s="382"/>
      <c r="AW404" s="426"/>
      <c r="AX404" s="426"/>
      <c r="AY404" s="359"/>
      <c r="AZ404" s="359"/>
      <c r="BA404" s="359"/>
      <c r="BB404" s="426"/>
      <c r="BC404" s="426"/>
      <c r="BD404" s="426"/>
      <c r="BE404" s="426"/>
      <c r="BF404" s="469"/>
      <c r="BG404" s="468">
        <v>0.39</v>
      </c>
      <c r="BH404" s="335" t="s">
        <v>877</v>
      </c>
      <c r="BI404" s="446" t="s">
        <v>834</v>
      </c>
      <c r="BJ404" s="505"/>
    </row>
    <row r="405" spans="1:62" ht="15.75" customHeight="1" thickBot="1" x14ac:dyDescent="0.25">
      <c r="A405" s="176">
        <v>404</v>
      </c>
      <c r="B405" s="175">
        <v>1</v>
      </c>
      <c r="C405" s="166" t="s">
        <v>236</v>
      </c>
      <c r="D405" s="166" t="s">
        <v>878</v>
      </c>
      <c r="E405" s="166" t="s">
        <v>13</v>
      </c>
      <c r="F405" s="166" t="s">
        <v>878</v>
      </c>
      <c r="G405" s="166" t="s">
        <v>15</v>
      </c>
      <c r="H405" s="166" t="s">
        <v>708</v>
      </c>
      <c r="I405" s="181">
        <v>2012</v>
      </c>
      <c r="J405" s="181" t="s">
        <v>829</v>
      </c>
      <c r="K405" s="181" t="s">
        <v>830</v>
      </c>
      <c r="L405" s="181" t="s">
        <v>19</v>
      </c>
      <c r="M405" s="556" t="s">
        <v>4164</v>
      </c>
      <c r="N405" s="214" t="s">
        <v>20</v>
      </c>
      <c r="O405" s="214" t="s">
        <v>15</v>
      </c>
      <c r="P405" s="214" t="s">
        <v>20</v>
      </c>
      <c r="Q405" s="214" t="s">
        <v>20</v>
      </c>
      <c r="R405" s="214" t="s">
        <v>20</v>
      </c>
      <c r="S405" s="214" t="s">
        <v>20</v>
      </c>
      <c r="T405" s="214" t="s">
        <v>15</v>
      </c>
      <c r="U405" s="214" t="s">
        <v>15</v>
      </c>
      <c r="V405" s="214" t="s">
        <v>15</v>
      </c>
      <c r="W405" s="214" t="s">
        <v>15</v>
      </c>
      <c r="X405" s="214" t="s">
        <v>15</v>
      </c>
      <c r="Y405" s="214" t="s">
        <v>15</v>
      </c>
      <c r="Z405" s="234"/>
      <c r="AA405" s="214" t="s">
        <v>831</v>
      </c>
      <c r="AB405" s="214" t="s">
        <v>15</v>
      </c>
      <c r="AC405" s="214" t="s">
        <v>15</v>
      </c>
      <c r="AD405" s="320" t="s">
        <v>837</v>
      </c>
      <c r="AE405" s="320"/>
      <c r="AF405" s="162" t="str">
        <f t="shared" si="27"/>
        <v/>
      </c>
      <c r="AG405" s="162" t="str">
        <f t="shared" si="28"/>
        <v/>
      </c>
      <c r="AH405" s="164" t="str">
        <f t="shared" si="29"/>
        <v/>
      </c>
      <c r="AI405" s="164" t="str">
        <f t="shared" si="30"/>
        <v/>
      </c>
      <c r="AJ405" s="368"/>
      <c r="AK405" s="368"/>
      <c r="AL405" s="368"/>
      <c r="AM405" s="369"/>
      <c r="AN405" s="369"/>
      <c r="AO405" s="368"/>
      <c r="AP405" s="368"/>
      <c r="AQ405" s="368"/>
      <c r="AR405" s="368"/>
      <c r="AS405" s="195"/>
      <c r="AT405" s="195"/>
      <c r="AU405" s="377"/>
      <c r="AV405" s="382"/>
      <c r="AW405" s="426"/>
      <c r="AX405" s="426"/>
      <c r="AY405" s="359"/>
      <c r="AZ405" s="359"/>
      <c r="BA405" s="359"/>
      <c r="BB405" s="426"/>
      <c r="BC405" s="426"/>
      <c r="BD405" s="426"/>
      <c r="BE405" s="426"/>
      <c r="BF405" s="469"/>
      <c r="BG405" s="468">
        <v>0.34</v>
      </c>
      <c r="BH405" s="335" t="s">
        <v>879</v>
      </c>
      <c r="BI405" s="446" t="s">
        <v>834</v>
      </c>
      <c r="BJ405" s="505"/>
    </row>
    <row r="406" spans="1:62" ht="15.75" customHeight="1" thickBot="1" x14ac:dyDescent="0.25">
      <c r="A406" s="174">
        <v>405</v>
      </c>
      <c r="B406" s="175">
        <v>1</v>
      </c>
      <c r="C406" s="166" t="s">
        <v>162</v>
      </c>
      <c r="D406" s="166" t="s">
        <v>1976</v>
      </c>
      <c r="E406" s="166" t="s">
        <v>13</v>
      </c>
      <c r="F406" s="166" t="s">
        <v>880</v>
      </c>
      <c r="G406" s="166" t="s">
        <v>15</v>
      </c>
      <c r="H406" s="166" t="s">
        <v>708</v>
      </c>
      <c r="I406" s="181">
        <v>2012</v>
      </c>
      <c r="J406" s="181" t="s">
        <v>829</v>
      </c>
      <c r="K406" s="181" t="s">
        <v>830</v>
      </c>
      <c r="L406" s="181" t="s">
        <v>19</v>
      </c>
      <c r="M406" s="556" t="s">
        <v>4164</v>
      </c>
      <c r="N406" s="214" t="s">
        <v>20</v>
      </c>
      <c r="O406" s="214" t="s">
        <v>15</v>
      </c>
      <c r="P406" s="214" t="s">
        <v>20</v>
      </c>
      <c r="Q406" s="214" t="s">
        <v>20</v>
      </c>
      <c r="R406" s="214" t="s">
        <v>20</v>
      </c>
      <c r="S406" s="214" t="s">
        <v>20</v>
      </c>
      <c r="T406" s="214" t="s">
        <v>15</v>
      </c>
      <c r="U406" s="214" t="s">
        <v>15</v>
      </c>
      <c r="V406" s="214" t="s">
        <v>15</v>
      </c>
      <c r="W406" s="214" t="s">
        <v>15</v>
      </c>
      <c r="X406" s="214" t="s">
        <v>15</v>
      </c>
      <c r="Y406" s="214" t="s">
        <v>15</v>
      </c>
      <c r="Z406" s="234"/>
      <c r="AA406" s="214" t="s">
        <v>831</v>
      </c>
      <c r="AB406" s="214" t="s">
        <v>15</v>
      </c>
      <c r="AC406" s="214" t="s">
        <v>15</v>
      </c>
      <c r="AD406" s="320" t="s">
        <v>837</v>
      </c>
      <c r="AE406" s="320"/>
      <c r="AF406" s="162" t="str">
        <f t="shared" si="27"/>
        <v/>
      </c>
      <c r="AG406" s="162" t="str">
        <f t="shared" si="28"/>
        <v/>
      </c>
      <c r="AH406" s="164" t="str">
        <f t="shared" si="29"/>
        <v/>
      </c>
      <c r="AI406" s="164" t="str">
        <f t="shared" si="30"/>
        <v/>
      </c>
      <c r="AJ406" s="368"/>
      <c r="AK406" s="368"/>
      <c r="AL406" s="368"/>
      <c r="AM406" s="369"/>
      <c r="AN406" s="369"/>
      <c r="AO406" s="368"/>
      <c r="AP406" s="368"/>
      <c r="AQ406" s="368"/>
      <c r="AR406" s="368"/>
      <c r="AS406" s="195"/>
      <c r="AT406" s="195"/>
      <c r="AU406" s="377"/>
      <c r="AV406" s="382"/>
      <c r="AW406" s="426"/>
      <c r="AX406" s="426"/>
      <c r="AY406" s="359"/>
      <c r="AZ406" s="359"/>
      <c r="BA406" s="359"/>
      <c r="BB406" s="426"/>
      <c r="BC406" s="426"/>
      <c r="BD406" s="426"/>
      <c r="BE406" s="426"/>
      <c r="BF406" s="469"/>
      <c r="BG406" s="468">
        <v>0.43</v>
      </c>
      <c r="BH406" s="335" t="s">
        <v>881</v>
      </c>
      <c r="BI406" s="446" t="s">
        <v>834</v>
      </c>
      <c r="BJ406" s="505"/>
    </row>
    <row r="407" spans="1:62" ht="15.75" customHeight="1" thickBot="1" x14ac:dyDescent="0.25">
      <c r="A407" s="176">
        <v>406</v>
      </c>
      <c r="B407" s="175">
        <v>1</v>
      </c>
      <c r="C407" s="166" t="s">
        <v>162</v>
      </c>
      <c r="D407" s="166" t="s">
        <v>771</v>
      </c>
      <c r="E407" s="166" t="s">
        <v>13</v>
      </c>
      <c r="F407" s="166" t="s">
        <v>882</v>
      </c>
      <c r="G407" s="166" t="s">
        <v>15</v>
      </c>
      <c r="H407" s="166" t="s">
        <v>708</v>
      </c>
      <c r="I407" s="181">
        <v>2012</v>
      </c>
      <c r="J407" s="181" t="s">
        <v>829</v>
      </c>
      <c r="K407" s="181" t="s">
        <v>830</v>
      </c>
      <c r="L407" s="181" t="s">
        <v>19</v>
      </c>
      <c r="M407" s="556" t="s">
        <v>4164</v>
      </c>
      <c r="N407" s="214" t="s">
        <v>20</v>
      </c>
      <c r="O407" s="214" t="s">
        <v>15</v>
      </c>
      <c r="P407" s="214" t="s">
        <v>20</v>
      </c>
      <c r="Q407" s="214" t="s">
        <v>20</v>
      </c>
      <c r="R407" s="214" t="s">
        <v>20</v>
      </c>
      <c r="S407" s="214" t="s">
        <v>20</v>
      </c>
      <c r="T407" s="214" t="s">
        <v>15</v>
      </c>
      <c r="U407" s="214" t="s">
        <v>15</v>
      </c>
      <c r="V407" s="214" t="s">
        <v>15</v>
      </c>
      <c r="W407" s="214" t="s">
        <v>15</v>
      </c>
      <c r="X407" s="214" t="s">
        <v>15</v>
      </c>
      <c r="Y407" s="214" t="s">
        <v>15</v>
      </c>
      <c r="Z407" s="234"/>
      <c r="AA407" s="214" t="s">
        <v>831</v>
      </c>
      <c r="AB407" s="214" t="s">
        <v>15</v>
      </c>
      <c r="AC407" s="214" t="s">
        <v>15</v>
      </c>
      <c r="AD407" s="320" t="s">
        <v>837</v>
      </c>
      <c r="AE407" s="320"/>
      <c r="AF407" s="162" t="str">
        <f t="shared" si="27"/>
        <v/>
      </c>
      <c r="AG407" s="162" t="str">
        <f t="shared" si="28"/>
        <v/>
      </c>
      <c r="AH407" s="164" t="str">
        <f t="shared" si="29"/>
        <v/>
      </c>
      <c r="AI407" s="164" t="str">
        <f t="shared" si="30"/>
        <v/>
      </c>
      <c r="AJ407" s="368"/>
      <c r="AK407" s="368"/>
      <c r="AL407" s="368"/>
      <c r="AM407" s="369"/>
      <c r="AN407" s="369"/>
      <c r="AO407" s="368"/>
      <c r="AP407" s="368"/>
      <c r="AQ407" s="368"/>
      <c r="AR407" s="368"/>
      <c r="AS407" s="195"/>
      <c r="AT407" s="195"/>
      <c r="AU407" s="377"/>
      <c r="AV407" s="382"/>
      <c r="AW407" s="426"/>
      <c r="AX407" s="426"/>
      <c r="AY407" s="359"/>
      <c r="AZ407" s="359"/>
      <c r="BA407" s="359"/>
      <c r="BB407" s="426"/>
      <c r="BC407" s="426"/>
      <c r="BD407" s="426"/>
      <c r="BE407" s="426"/>
      <c r="BF407" s="469"/>
      <c r="BG407" s="468">
        <v>0.43</v>
      </c>
      <c r="BH407" s="335" t="s">
        <v>883</v>
      </c>
      <c r="BI407" s="446" t="s">
        <v>834</v>
      </c>
      <c r="BJ407" s="505"/>
    </row>
    <row r="408" spans="1:62" ht="15.75" customHeight="1" thickBot="1" x14ac:dyDescent="0.25">
      <c r="A408" s="174">
        <v>407</v>
      </c>
      <c r="B408" s="175">
        <v>1</v>
      </c>
      <c r="C408" s="166" t="s">
        <v>162</v>
      </c>
      <c r="D408" s="166" t="s">
        <v>884</v>
      </c>
      <c r="E408" s="166" t="s">
        <v>13</v>
      </c>
      <c r="F408" s="166" t="s">
        <v>885</v>
      </c>
      <c r="G408" s="166" t="s">
        <v>15</v>
      </c>
      <c r="H408" s="166" t="s">
        <v>708</v>
      </c>
      <c r="I408" s="181">
        <v>2012</v>
      </c>
      <c r="J408" s="181" t="s">
        <v>829</v>
      </c>
      <c r="K408" s="181" t="s">
        <v>830</v>
      </c>
      <c r="L408" s="181" t="s">
        <v>19</v>
      </c>
      <c r="M408" s="556" t="s">
        <v>4164</v>
      </c>
      <c r="N408" s="214" t="s">
        <v>20</v>
      </c>
      <c r="O408" s="214" t="s">
        <v>15</v>
      </c>
      <c r="P408" s="214" t="s">
        <v>20</v>
      </c>
      <c r="Q408" s="214" t="s">
        <v>20</v>
      </c>
      <c r="R408" s="214" t="s">
        <v>20</v>
      </c>
      <c r="S408" s="214" t="s">
        <v>20</v>
      </c>
      <c r="T408" s="214" t="s">
        <v>15</v>
      </c>
      <c r="U408" s="214" t="s">
        <v>15</v>
      </c>
      <c r="V408" s="214" t="s">
        <v>15</v>
      </c>
      <c r="W408" s="214" t="s">
        <v>15</v>
      </c>
      <c r="X408" s="214" t="s">
        <v>15</v>
      </c>
      <c r="Y408" s="214" t="s">
        <v>15</v>
      </c>
      <c r="Z408" s="234"/>
      <c r="AA408" s="214" t="s">
        <v>831</v>
      </c>
      <c r="AB408" s="214" t="s">
        <v>15</v>
      </c>
      <c r="AC408" s="214" t="s">
        <v>15</v>
      </c>
      <c r="AD408" s="320" t="s">
        <v>837</v>
      </c>
      <c r="AE408" s="320"/>
      <c r="AF408" s="162" t="str">
        <f t="shared" si="27"/>
        <v/>
      </c>
      <c r="AG408" s="162" t="str">
        <f t="shared" si="28"/>
        <v/>
      </c>
      <c r="AH408" s="164" t="str">
        <f t="shared" si="29"/>
        <v/>
      </c>
      <c r="AI408" s="164" t="str">
        <f t="shared" si="30"/>
        <v/>
      </c>
      <c r="AJ408" s="368"/>
      <c r="AK408" s="368"/>
      <c r="AL408" s="368"/>
      <c r="AM408" s="369"/>
      <c r="AN408" s="369"/>
      <c r="AO408" s="368"/>
      <c r="AP408" s="368"/>
      <c r="AQ408" s="368"/>
      <c r="AR408" s="368"/>
      <c r="AS408" s="195"/>
      <c r="AT408" s="195"/>
      <c r="AU408" s="377"/>
      <c r="AV408" s="382"/>
      <c r="AW408" s="426"/>
      <c r="AX408" s="426"/>
      <c r="AY408" s="359"/>
      <c r="AZ408" s="359"/>
      <c r="BA408" s="359"/>
      <c r="BB408" s="426"/>
      <c r="BC408" s="426"/>
      <c r="BD408" s="426"/>
      <c r="BE408" s="426"/>
      <c r="BF408" s="469"/>
      <c r="BG408" s="468">
        <v>1.3</v>
      </c>
      <c r="BH408" s="335" t="s">
        <v>886</v>
      </c>
      <c r="BI408" s="446" t="s">
        <v>834</v>
      </c>
      <c r="BJ408" s="505"/>
    </row>
    <row r="409" spans="1:62" ht="15.75" customHeight="1" thickBot="1" x14ac:dyDescent="0.25">
      <c r="A409" s="176">
        <v>408</v>
      </c>
      <c r="B409" s="175">
        <v>1</v>
      </c>
      <c r="C409" s="166" t="s">
        <v>162</v>
      </c>
      <c r="D409" s="166" t="s">
        <v>887</v>
      </c>
      <c r="E409" s="166" t="s">
        <v>13</v>
      </c>
      <c r="F409" s="166" t="s">
        <v>888</v>
      </c>
      <c r="G409" s="166" t="s">
        <v>15</v>
      </c>
      <c r="H409" s="166" t="s">
        <v>708</v>
      </c>
      <c r="I409" s="181">
        <v>2012</v>
      </c>
      <c r="J409" s="181" t="s">
        <v>829</v>
      </c>
      <c r="K409" s="181" t="s">
        <v>830</v>
      </c>
      <c r="L409" s="181" t="s">
        <v>19</v>
      </c>
      <c r="M409" s="556" t="s">
        <v>4164</v>
      </c>
      <c r="N409" s="214" t="s">
        <v>20</v>
      </c>
      <c r="O409" s="214" t="s">
        <v>15</v>
      </c>
      <c r="P409" s="214" t="s">
        <v>20</v>
      </c>
      <c r="Q409" s="214" t="s">
        <v>20</v>
      </c>
      <c r="R409" s="214" t="s">
        <v>20</v>
      </c>
      <c r="S409" s="214" t="s">
        <v>20</v>
      </c>
      <c r="T409" s="214" t="s">
        <v>15</v>
      </c>
      <c r="U409" s="214" t="s">
        <v>15</v>
      </c>
      <c r="V409" s="214" t="s">
        <v>15</v>
      </c>
      <c r="W409" s="214" t="s">
        <v>15</v>
      </c>
      <c r="X409" s="214" t="s">
        <v>15</v>
      </c>
      <c r="Y409" s="214" t="s">
        <v>15</v>
      </c>
      <c r="Z409" s="234"/>
      <c r="AA409" s="214" t="s">
        <v>831</v>
      </c>
      <c r="AB409" s="214" t="s">
        <v>15</v>
      </c>
      <c r="AC409" s="214" t="s">
        <v>15</v>
      </c>
      <c r="AD409" s="320" t="s">
        <v>837</v>
      </c>
      <c r="AE409" s="320"/>
      <c r="AF409" s="162" t="str">
        <f t="shared" si="27"/>
        <v/>
      </c>
      <c r="AG409" s="162" t="str">
        <f t="shared" si="28"/>
        <v/>
      </c>
      <c r="AH409" s="164" t="str">
        <f t="shared" si="29"/>
        <v/>
      </c>
      <c r="AI409" s="164" t="str">
        <f t="shared" si="30"/>
        <v/>
      </c>
      <c r="AJ409" s="368"/>
      <c r="AK409" s="368"/>
      <c r="AL409" s="368"/>
      <c r="AM409" s="369"/>
      <c r="AN409" s="369"/>
      <c r="AO409" s="368"/>
      <c r="AP409" s="368"/>
      <c r="AQ409" s="368"/>
      <c r="AR409" s="368"/>
      <c r="AS409" s="195"/>
      <c r="AT409" s="195"/>
      <c r="AU409" s="377"/>
      <c r="AV409" s="382"/>
      <c r="AW409" s="426"/>
      <c r="AX409" s="426"/>
      <c r="AY409" s="359"/>
      <c r="AZ409" s="359"/>
      <c r="BA409" s="359"/>
      <c r="BB409" s="426"/>
      <c r="BC409" s="426"/>
      <c r="BD409" s="426"/>
      <c r="BE409" s="426"/>
      <c r="BF409" s="469"/>
      <c r="BG409" s="468">
        <v>0.48</v>
      </c>
      <c r="BH409" s="335" t="s">
        <v>889</v>
      </c>
      <c r="BI409" s="446" t="s">
        <v>834</v>
      </c>
      <c r="BJ409" s="505"/>
    </row>
    <row r="410" spans="1:62" ht="15.75" customHeight="1" thickBot="1" x14ac:dyDescent="0.25">
      <c r="A410" s="174">
        <v>409</v>
      </c>
      <c r="B410" s="175">
        <v>1</v>
      </c>
      <c r="C410" s="166" t="s">
        <v>162</v>
      </c>
      <c r="D410" s="168" t="s">
        <v>2359</v>
      </c>
      <c r="E410" s="166" t="s">
        <v>13</v>
      </c>
      <c r="F410" s="166" t="s">
        <v>890</v>
      </c>
      <c r="G410" s="166" t="s">
        <v>15</v>
      </c>
      <c r="H410" s="166" t="s">
        <v>708</v>
      </c>
      <c r="I410" s="181">
        <v>2012</v>
      </c>
      <c r="J410" s="181" t="s">
        <v>829</v>
      </c>
      <c r="K410" s="181" t="s">
        <v>830</v>
      </c>
      <c r="L410" s="181" t="s">
        <v>19</v>
      </c>
      <c r="M410" s="556" t="s">
        <v>4164</v>
      </c>
      <c r="N410" s="214" t="s">
        <v>20</v>
      </c>
      <c r="O410" s="214" t="s">
        <v>15</v>
      </c>
      <c r="P410" s="214" t="s">
        <v>20</v>
      </c>
      <c r="Q410" s="214" t="s">
        <v>20</v>
      </c>
      <c r="R410" s="214" t="s">
        <v>20</v>
      </c>
      <c r="S410" s="214" t="s">
        <v>20</v>
      </c>
      <c r="T410" s="214" t="s">
        <v>15</v>
      </c>
      <c r="U410" s="214" t="s">
        <v>15</v>
      </c>
      <c r="V410" s="214" t="s">
        <v>15</v>
      </c>
      <c r="W410" s="214" t="s">
        <v>15</v>
      </c>
      <c r="X410" s="214" t="s">
        <v>15</v>
      </c>
      <c r="Y410" s="214" t="s">
        <v>15</v>
      </c>
      <c r="Z410" s="234"/>
      <c r="AA410" s="214" t="s">
        <v>831</v>
      </c>
      <c r="AB410" s="214" t="s">
        <v>15</v>
      </c>
      <c r="AC410" s="214" t="s">
        <v>15</v>
      </c>
      <c r="AD410" s="320" t="s">
        <v>837</v>
      </c>
      <c r="AE410" s="320"/>
      <c r="AF410" s="162" t="str">
        <f t="shared" si="27"/>
        <v/>
      </c>
      <c r="AG410" s="162" t="str">
        <f t="shared" si="28"/>
        <v/>
      </c>
      <c r="AH410" s="164" t="str">
        <f t="shared" si="29"/>
        <v/>
      </c>
      <c r="AI410" s="164" t="str">
        <f t="shared" si="30"/>
        <v/>
      </c>
      <c r="AJ410" s="368"/>
      <c r="AK410" s="368"/>
      <c r="AL410" s="368"/>
      <c r="AM410" s="369"/>
      <c r="AN410" s="369"/>
      <c r="AO410" s="368"/>
      <c r="AP410" s="368"/>
      <c r="AQ410" s="368"/>
      <c r="AR410" s="368"/>
      <c r="AS410" s="195"/>
      <c r="AT410" s="195"/>
      <c r="AU410" s="377"/>
      <c r="AV410" s="382"/>
      <c r="AW410" s="426"/>
      <c r="AX410" s="426"/>
      <c r="AY410" s="359"/>
      <c r="AZ410" s="359"/>
      <c r="BA410" s="359"/>
      <c r="BB410" s="426"/>
      <c r="BC410" s="426"/>
      <c r="BD410" s="426"/>
      <c r="BE410" s="426"/>
      <c r="BF410" s="469"/>
      <c r="BG410" s="468">
        <v>0.3</v>
      </c>
      <c r="BH410" s="335" t="s">
        <v>891</v>
      </c>
      <c r="BI410" s="446" t="s">
        <v>834</v>
      </c>
      <c r="BJ410" s="505"/>
    </row>
    <row r="411" spans="1:62" ht="15.75" customHeight="1" thickBot="1" x14ac:dyDescent="0.25">
      <c r="A411" s="176">
        <v>410</v>
      </c>
      <c r="B411" s="175">
        <v>1</v>
      </c>
      <c r="C411" s="166" t="s">
        <v>162</v>
      </c>
      <c r="D411" s="166" t="s">
        <v>892</v>
      </c>
      <c r="E411" s="166" t="s">
        <v>13</v>
      </c>
      <c r="F411" s="166" t="s">
        <v>893</v>
      </c>
      <c r="G411" s="166" t="s">
        <v>15</v>
      </c>
      <c r="H411" s="166" t="s">
        <v>708</v>
      </c>
      <c r="I411" s="181">
        <v>2012</v>
      </c>
      <c r="J411" s="181" t="s">
        <v>829</v>
      </c>
      <c r="K411" s="181" t="s">
        <v>830</v>
      </c>
      <c r="L411" s="181" t="s">
        <v>19</v>
      </c>
      <c r="M411" s="556" t="s">
        <v>4164</v>
      </c>
      <c r="N411" s="214" t="s">
        <v>20</v>
      </c>
      <c r="O411" s="214" t="s">
        <v>15</v>
      </c>
      <c r="P411" s="214" t="s">
        <v>20</v>
      </c>
      <c r="Q411" s="214" t="s">
        <v>20</v>
      </c>
      <c r="R411" s="214" t="s">
        <v>20</v>
      </c>
      <c r="S411" s="214" t="s">
        <v>20</v>
      </c>
      <c r="T411" s="214" t="s">
        <v>15</v>
      </c>
      <c r="U411" s="214" t="s">
        <v>15</v>
      </c>
      <c r="V411" s="214" t="s">
        <v>15</v>
      </c>
      <c r="W411" s="214" t="s">
        <v>15</v>
      </c>
      <c r="X411" s="214" t="s">
        <v>15</v>
      </c>
      <c r="Y411" s="214" t="s">
        <v>15</v>
      </c>
      <c r="Z411" s="234"/>
      <c r="AA411" s="214" t="s">
        <v>831</v>
      </c>
      <c r="AB411" s="214" t="s">
        <v>15</v>
      </c>
      <c r="AC411" s="214" t="s">
        <v>15</v>
      </c>
      <c r="AD411" s="320" t="s">
        <v>837</v>
      </c>
      <c r="AE411" s="320"/>
      <c r="AF411" s="162" t="str">
        <f t="shared" si="27"/>
        <v/>
      </c>
      <c r="AG411" s="162" t="str">
        <f t="shared" si="28"/>
        <v/>
      </c>
      <c r="AH411" s="164" t="str">
        <f t="shared" si="29"/>
        <v/>
      </c>
      <c r="AI411" s="164" t="str">
        <f t="shared" si="30"/>
        <v/>
      </c>
      <c r="AJ411" s="368"/>
      <c r="AK411" s="368"/>
      <c r="AL411" s="368"/>
      <c r="AM411" s="369"/>
      <c r="AN411" s="369"/>
      <c r="AO411" s="368"/>
      <c r="AP411" s="368"/>
      <c r="AQ411" s="368"/>
      <c r="AR411" s="368"/>
      <c r="AS411" s="195"/>
      <c r="AT411" s="195"/>
      <c r="AU411" s="377"/>
      <c r="AV411" s="382"/>
      <c r="AW411" s="426"/>
      <c r="AX411" s="426"/>
      <c r="AY411" s="359"/>
      <c r="AZ411" s="359"/>
      <c r="BA411" s="359"/>
      <c r="BB411" s="426"/>
      <c r="BC411" s="426"/>
      <c r="BD411" s="426"/>
      <c r="BE411" s="426"/>
      <c r="BF411" s="469"/>
      <c r="BG411" s="468">
        <v>0.13</v>
      </c>
      <c r="BH411" s="335" t="s">
        <v>894</v>
      </c>
      <c r="BI411" s="446" t="s">
        <v>834</v>
      </c>
      <c r="BJ411" s="505"/>
    </row>
    <row r="412" spans="1:62" ht="15.75" customHeight="1" thickBot="1" x14ac:dyDescent="0.25">
      <c r="A412" s="174">
        <v>411</v>
      </c>
      <c r="B412" s="175">
        <v>1</v>
      </c>
      <c r="C412" s="166" t="s">
        <v>24</v>
      </c>
      <c r="D412" s="166" t="s">
        <v>269</v>
      </c>
      <c r="E412" s="166" t="s">
        <v>13</v>
      </c>
      <c r="F412" s="166" t="s">
        <v>895</v>
      </c>
      <c r="G412" s="166" t="s">
        <v>122</v>
      </c>
      <c r="H412" s="166" t="s">
        <v>351</v>
      </c>
      <c r="I412" s="181">
        <v>2011</v>
      </c>
      <c r="J412" s="181" t="s">
        <v>896</v>
      </c>
      <c r="K412" s="181" t="s">
        <v>897</v>
      </c>
      <c r="L412" s="181" t="s">
        <v>104</v>
      </c>
      <c r="M412" s="556" t="s">
        <v>4165</v>
      </c>
      <c r="N412" s="214" t="s">
        <v>20</v>
      </c>
      <c r="O412" s="214" t="s">
        <v>15</v>
      </c>
      <c r="P412" s="214" t="s">
        <v>20</v>
      </c>
      <c r="Q412" s="214" t="s">
        <v>20</v>
      </c>
      <c r="R412" s="214" t="s">
        <v>20</v>
      </c>
      <c r="S412" s="214" t="s">
        <v>20</v>
      </c>
      <c r="T412" s="214" t="s">
        <v>20</v>
      </c>
      <c r="U412" s="214" t="s">
        <v>20</v>
      </c>
      <c r="V412" s="214" t="s">
        <v>20</v>
      </c>
      <c r="W412" s="214" t="s">
        <v>20</v>
      </c>
      <c r="X412" s="214" t="s">
        <v>15</v>
      </c>
      <c r="Y412" s="214" t="s">
        <v>15</v>
      </c>
      <c r="Z412" s="234"/>
      <c r="AA412" s="214" t="s">
        <v>898</v>
      </c>
      <c r="AB412" s="214" t="s">
        <v>122</v>
      </c>
      <c r="AC412" s="214" t="s">
        <v>122</v>
      </c>
      <c r="AD412" s="320" t="s">
        <v>899</v>
      </c>
      <c r="AE412" s="320" t="s">
        <v>900</v>
      </c>
      <c r="AF412" s="162" t="str">
        <f t="shared" si="27"/>
        <v/>
      </c>
      <c r="AG412" s="162" t="str">
        <f t="shared" si="28"/>
        <v/>
      </c>
      <c r="AH412" s="164">
        <f t="shared" si="29"/>
        <v>6.2640707964601781</v>
      </c>
      <c r="AI412" s="164">
        <f t="shared" si="30"/>
        <v>6.8240707964601786</v>
      </c>
      <c r="AJ412" s="368"/>
      <c r="AK412" s="368"/>
      <c r="AL412" s="368"/>
      <c r="AM412" s="368"/>
      <c r="AN412" s="368"/>
      <c r="AO412" s="368"/>
      <c r="AP412" s="368"/>
      <c r="AQ412" s="368"/>
      <c r="AR412" s="368"/>
      <c r="AS412" s="195"/>
      <c r="AT412" s="198"/>
      <c r="AU412" s="377"/>
      <c r="AV412" s="382"/>
      <c r="AW412" s="426">
        <f>0.632*BG412</f>
        <v>6.2640707964601781</v>
      </c>
      <c r="AX412" s="426"/>
      <c r="AY412" s="426">
        <f>0.0565*BG412</f>
        <v>0.56000000000000005</v>
      </c>
      <c r="AZ412" s="426">
        <f>0.0133*BG412</f>
        <v>0.13182300884955753</v>
      </c>
      <c r="BA412" s="426"/>
      <c r="BB412" s="426">
        <f>0.0726*BG412</f>
        <v>0.71957522123893813</v>
      </c>
      <c r="BC412" s="426">
        <f>0.227*BG412</f>
        <v>2.2499115044247793</v>
      </c>
      <c r="BD412" s="426"/>
      <c r="BE412" s="426"/>
      <c r="BF412" s="469">
        <f>AW412</f>
        <v>6.2640707964601781</v>
      </c>
      <c r="BG412" s="469">
        <v>9.9115044247787623</v>
      </c>
      <c r="BH412" s="335" t="s">
        <v>901</v>
      </c>
      <c r="BI412" s="446" t="s">
        <v>902</v>
      </c>
      <c r="BJ412" s="505"/>
    </row>
    <row r="413" spans="1:62" ht="15.75" customHeight="1" thickBot="1" x14ac:dyDescent="0.25">
      <c r="A413" s="176">
        <v>412</v>
      </c>
      <c r="B413" s="175">
        <v>1</v>
      </c>
      <c r="C413" s="166" t="s">
        <v>24</v>
      </c>
      <c r="D413" s="166" t="s">
        <v>269</v>
      </c>
      <c r="E413" s="166" t="s">
        <v>13</v>
      </c>
      <c r="F413" s="166" t="s">
        <v>903</v>
      </c>
      <c r="G413" s="166" t="s">
        <v>292</v>
      </c>
      <c r="H413" s="166" t="s">
        <v>258</v>
      </c>
      <c r="I413" s="181">
        <v>2013</v>
      </c>
      <c r="J413" s="181" t="s">
        <v>904</v>
      </c>
      <c r="K413" s="181" t="s">
        <v>905</v>
      </c>
      <c r="L413" s="181" t="s">
        <v>19</v>
      </c>
      <c r="M413" s="556" t="s">
        <v>4166</v>
      </c>
      <c r="N413" s="214" t="s">
        <v>20</v>
      </c>
      <c r="O413" s="214" t="s">
        <v>15</v>
      </c>
      <c r="P413" s="214" t="s">
        <v>20</v>
      </c>
      <c r="Q413" s="214" t="s">
        <v>20</v>
      </c>
      <c r="R413" s="214" t="s">
        <v>15</v>
      </c>
      <c r="S413" s="214" t="s">
        <v>15</v>
      </c>
      <c r="T413" s="214" t="s">
        <v>15</v>
      </c>
      <c r="U413" s="214" t="s">
        <v>15</v>
      </c>
      <c r="V413" s="214" t="s">
        <v>15</v>
      </c>
      <c r="W413" s="214" t="s">
        <v>15</v>
      </c>
      <c r="X413" s="214" t="s">
        <v>15</v>
      </c>
      <c r="Y413" s="214" t="s">
        <v>15</v>
      </c>
      <c r="Z413" s="234"/>
      <c r="AA413" s="234"/>
      <c r="AB413" s="214" t="s">
        <v>292</v>
      </c>
      <c r="AC413" s="234"/>
      <c r="AD413" s="320" t="s">
        <v>906</v>
      </c>
      <c r="AE413" s="320" t="s">
        <v>276</v>
      </c>
      <c r="AF413" s="162">
        <f t="shared" si="27"/>
        <v>23.319615912208505</v>
      </c>
      <c r="AG413" s="162">
        <f t="shared" si="28"/>
        <v>26.748970912208506</v>
      </c>
      <c r="AH413" s="164">
        <f t="shared" si="29"/>
        <v>4.1289437585733877</v>
      </c>
      <c r="AI413" s="164">
        <f t="shared" si="30"/>
        <v>4.4170097585733874</v>
      </c>
      <c r="AJ413" s="368">
        <v>23.319615912208505</v>
      </c>
      <c r="AK413" s="368"/>
      <c r="AL413" s="369">
        <v>3.4293550000000002</v>
      </c>
      <c r="AM413" s="368"/>
      <c r="AN413" s="368"/>
      <c r="AO413" s="368"/>
      <c r="AP413" s="368"/>
      <c r="AQ413" s="368"/>
      <c r="AR413" s="368"/>
      <c r="AS413" s="195">
        <v>23.319615912208505</v>
      </c>
      <c r="AT413" s="195">
        <v>26.748971193415638</v>
      </c>
      <c r="AU413" s="377"/>
      <c r="AW413" s="426">
        <v>4.1289437585733877</v>
      </c>
      <c r="AX413" s="426"/>
      <c r="AY413" s="359">
        <v>0.28806599999999999</v>
      </c>
      <c r="AZ413" s="426"/>
      <c r="BA413" s="426"/>
      <c r="BB413" s="426"/>
      <c r="BC413" s="426"/>
      <c r="BD413" s="426"/>
      <c r="BE413" s="426"/>
      <c r="BF413" s="469">
        <v>4.1289437585733877</v>
      </c>
      <c r="BG413" s="469">
        <v>4.4170096021947876</v>
      </c>
      <c r="BH413" s="341"/>
      <c r="BI413" s="446" t="s">
        <v>907</v>
      </c>
      <c r="BJ413" s="505"/>
    </row>
    <row r="414" spans="1:62" ht="15.75" customHeight="1" thickBot="1" x14ac:dyDescent="0.25">
      <c r="A414" s="174">
        <v>413</v>
      </c>
      <c r="B414" s="175">
        <v>1</v>
      </c>
      <c r="C414" s="166" t="s">
        <v>24</v>
      </c>
      <c r="D414" s="166" t="s">
        <v>269</v>
      </c>
      <c r="E414" s="166" t="s">
        <v>13</v>
      </c>
      <c r="F414" s="166" t="s">
        <v>908</v>
      </c>
      <c r="G414" s="167"/>
      <c r="H414" s="166" t="s">
        <v>909</v>
      </c>
      <c r="I414" s="181">
        <v>2016</v>
      </c>
      <c r="J414" s="181" t="s">
        <v>910</v>
      </c>
      <c r="K414" s="181" t="s">
        <v>911</v>
      </c>
      <c r="L414" s="181" t="s">
        <v>19</v>
      </c>
      <c r="M414" s="556" t="s">
        <v>4167</v>
      </c>
      <c r="N414" s="214" t="s">
        <v>20</v>
      </c>
      <c r="O414" s="234"/>
      <c r="P414" s="214" t="s">
        <v>20</v>
      </c>
      <c r="Q414" s="214" t="s">
        <v>20</v>
      </c>
      <c r="R414" s="234"/>
      <c r="S414" s="234"/>
      <c r="T414" s="234"/>
      <c r="U414" s="234"/>
      <c r="V414" s="234"/>
      <c r="W414" s="234"/>
      <c r="X414" s="234"/>
      <c r="Y414" s="234"/>
      <c r="Z414" s="234"/>
      <c r="AA414" s="234"/>
      <c r="AB414" s="234"/>
      <c r="AC414" s="234"/>
      <c r="AD414" s="320" t="s">
        <v>2853</v>
      </c>
      <c r="AE414" s="320"/>
      <c r="AF414" s="162" t="str">
        <f t="shared" si="27"/>
        <v/>
      </c>
      <c r="AG414" s="162" t="str">
        <f t="shared" si="28"/>
        <v/>
      </c>
      <c r="AH414" s="164" t="str">
        <f t="shared" si="29"/>
        <v/>
      </c>
      <c r="AI414" s="164" t="str">
        <f t="shared" si="30"/>
        <v/>
      </c>
      <c r="AJ414" s="368"/>
      <c r="AK414" s="368"/>
      <c r="AL414" s="369"/>
      <c r="AM414" s="368"/>
      <c r="AN414" s="368"/>
      <c r="AO414" s="368"/>
      <c r="AP414" s="368"/>
      <c r="AQ414" s="368"/>
      <c r="AR414" s="368"/>
      <c r="AS414" s="195"/>
      <c r="AT414" s="195"/>
      <c r="AU414" s="377"/>
      <c r="AV414" s="382"/>
      <c r="AW414" s="426"/>
      <c r="AX414" s="426"/>
      <c r="AY414" s="359"/>
      <c r="AZ414" s="426"/>
      <c r="BA414" s="426"/>
      <c r="BB414" s="426"/>
      <c r="BC414" s="426"/>
      <c r="BD414" s="426"/>
      <c r="BE414" s="426"/>
      <c r="BF414" s="469"/>
      <c r="BG414" s="468">
        <v>4.8</v>
      </c>
      <c r="BH414" s="341"/>
      <c r="BI414" s="447"/>
      <c r="BJ414" s="505"/>
    </row>
    <row r="415" spans="1:62" ht="15.75" customHeight="1" thickBot="1" x14ac:dyDescent="0.25">
      <c r="A415" s="176">
        <v>414</v>
      </c>
      <c r="B415" s="175">
        <v>1</v>
      </c>
      <c r="C415" s="166" t="s">
        <v>24</v>
      </c>
      <c r="D415" s="166" t="s">
        <v>269</v>
      </c>
      <c r="E415" s="166" t="s">
        <v>13</v>
      </c>
      <c r="F415" s="167"/>
      <c r="G415" s="167"/>
      <c r="H415" s="166" t="s">
        <v>909</v>
      </c>
      <c r="I415" s="181">
        <v>2016</v>
      </c>
      <c r="J415" s="181" t="s">
        <v>910</v>
      </c>
      <c r="K415" s="181" t="s">
        <v>911</v>
      </c>
      <c r="L415" s="181" t="s">
        <v>19</v>
      </c>
      <c r="M415" s="556" t="s">
        <v>4167</v>
      </c>
      <c r="N415" s="234"/>
      <c r="O415" s="234"/>
      <c r="P415" s="234"/>
      <c r="Q415" s="234"/>
      <c r="R415" s="234"/>
      <c r="S415" s="234"/>
      <c r="T415" s="234"/>
      <c r="U415" s="234"/>
      <c r="V415" s="234"/>
      <c r="W415" s="234"/>
      <c r="X415" s="234"/>
      <c r="Y415" s="234"/>
      <c r="Z415" s="234"/>
      <c r="AA415" s="214" t="s">
        <v>912</v>
      </c>
      <c r="AB415" s="234"/>
      <c r="AC415" s="234"/>
      <c r="AD415" s="320" t="s">
        <v>913</v>
      </c>
      <c r="AE415" s="320" t="s">
        <v>276</v>
      </c>
      <c r="AF415" s="162" t="str">
        <f t="shared" si="27"/>
        <v/>
      </c>
      <c r="AG415" s="162" t="str">
        <f t="shared" si="28"/>
        <v/>
      </c>
      <c r="AH415" s="164" t="str">
        <f t="shared" si="29"/>
        <v/>
      </c>
      <c r="AI415" s="164" t="str">
        <f t="shared" si="30"/>
        <v/>
      </c>
      <c r="AJ415" s="368"/>
      <c r="AK415" s="368"/>
      <c r="AL415" s="369"/>
      <c r="AM415" s="368"/>
      <c r="AN415" s="368"/>
      <c r="AO415" s="368"/>
      <c r="AP415" s="368"/>
      <c r="AQ415" s="368"/>
      <c r="AR415" s="368"/>
      <c r="AS415" s="195"/>
      <c r="AT415" s="195"/>
      <c r="AU415" s="377"/>
      <c r="AV415" s="382"/>
      <c r="AW415" s="426"/>
      <c r="AX415" s="426"/>
      <c r="AY415" s="359"/>
      <c r="AZ415" s="426"/>
      <c r="BA415" s="426"/>
      <c r="BB415" s="426"/>
      <c r="BC415" s="426"/>
      <c r="BD415" s="426"/>
      <c r="BE415" s="426"/>
      <c r="BF415" s="469"/>
      <c r="BG415" s="468">
        <f>2.55/0.729</f>
        <v>3.4979423868312756</v>
      </c>
      <c r="BH415" s="341"/>
      <c r="BI415" s="447"/>
      <c r="BJ415" s="505"/>
    </row>
    <row r="416" spans="1:62" ht="15.75" customHeight="1" thickBot="1" x14ac:dyDescent="0.25">
      <c r="A416" s="174">
        <v>415</v>
      </c>
      <c r="B416" s="175">
        <v>1</v>
      </c>
      <c r="C416" s="166" t="s">
        <v>24</v>
      </c>
      <c r="D416" s="166" t="s">
        <v>269</v>
      </c>
      <c r="E416" s="166" t="s">
        <v>13</v>
      </c>
      <c r="F416" s="166" t="s">
        <v>914</v>
      </c>
      <c r="G416" s="166" t="s">
        <v>122</v>
      </c>
      <c r="H416" s="166" t="s">
        <v>80</v>
      </c>
      <c r="I416" s="181">
        <v>2010</v>
      </c>
      <c r="J416" s="181" t="s">
        <v>915</v>
      </c>
      <c r="K416" s="181" t="s">
        <v>916</v>
      </c>
      <c r="L416" s="181" t="s">
        <v>19</v>
      </c>
      <c r="M416" s="556" t="s">
        <v>4168</v>
      </c>
      <c r="N416" s="214" t="s">
        <v>20</v>
      </c>
      <c r="O416" s="214" t="s">
        <v>15</v>
      </c>
      <c r="P416" s="214" t="s">
        <v>15</v>
      </c>
      <c r="Q416" s="214" t="s">
        <v>15</v>
      </c>
      <c r="R416" s="214" t="s">
        <v>15</v>
      </c>
      <c r="S416" s="214" t="s">
        <v>15</v>
      </c>
      <c r="T416" s="214" t="s">
        <v>15</v>
      </c>
      <c r="U416" s="214" t="s">
        <v>15</v>
      </c>
      <c r="V416" s="214" t="s">
        <v>15</v>
      </c>
      <c r="W416" s="214" t="s">
        <v>15</v>
      </c>
      <c r="X416" s="214" t="s">
        <v>15</v>
      </c>
      <c r="Y416" s="214" t="s">
        <v>15</v>
      </c>
      <c r="Z416" s="234"/>
      <c r="AA416" s="214" t="s">
        <v>917</v>
      </c>
      <c r="AB416" s="214" t="s">
        <v>292</v>
      </c>
      <c r="AC416" s="214" t="s">
        <v>122</v>
      </c>
      <c r="AD416" s="320" t="s">
        <v>304</v>
      </c>
      <c r="AE416" s="320" t="s">
        <v>918</v>
      </c>
      <c r="AF416" s="162" t="str">
        <f t="shared" si="27"/>
        <v/>
      </c>
      <c r="AG416" s="162" t="str">
        <f t="shared" si="28"/>
        <v/>
      </c>
      <c r="AH416" s="164">
        <f t="shared" si="29"/>
        <v>5.5324405641573637</v>
      </c>
      <c r="AI416" s="164" t="str">
        <f t="shared" si="30"/>
        <v/>
      </c>
      <c r="AJ416" s="368"/>
      <c r="AK416" s="368"/>
      <c r="AL416" s="369"/>
      <c r="AM416" s="368"/>
      <c r="AN416" s="368"/>
      <c r="AO416" s="368"/>
      <c r="AP416" s="368"/>
      <c r="AQ416" s="368"/>
      <c r="AR416" s="368"/>
      <c r="AS416" s="195"/>
      <c r="AT416" s="195"/>
      <c r="AU416" s="377"/>
      <c r="AV416" s="382"/>
      <c r="AW416" s="426"/>
      <c r="AX416" s="426"/>
      <c r="AY416" s="359"/>
      <c r="AZ416" s="426"/>
      <c r="BA416" s="426"/>
      <c r="BB416" s="426"/>
      <c r="BC416" s="426"/>
      <c r="BD416" s="426"/>
      <c r="BE416" s="426"/>
      <c r="BF416" s="468">
        <f>2.92/0.724/0.729</f>
        <v>5.5324405641573637</v>
      </c>
      <c r="BG416" s="469"/>
      <c r="BH416" s="335" t="s">
        <v>919</v>
      </c>
      <c r="BI416" s="447"/>
      <c r="BJ416" s="505"/>
    </row>
    <row r="417" spans="1:62" ht="15.75" customHeight="1" thickBot="1" x14ac:dyDescent="0.25">
      <c r="A417" s="176">
        <v>416</v>
      </c>
      <c r="B417" s="175">
        <v>1</v>
      </c>
      <c r="C417" s="166" t="s">
        <v>24</v>
      </c>
      <c r="D417" s="166" t="s">
        <v>269</v>
      </c>
      <c r="E417" s="166" t="s">
        <v>13</v>
      </c>
      <c r="F417" s="166" t="s">
        <v>920</v>
      </c>
      <c r="G417" s="166" t="s">
        <v>122</v>
      </c>
      <c r="H417" s="166" t="s">
        <v>80</v>
      </c>
      <c r="I417" s="181">
        <v>2010</v>
      </c>
      <c r="J417" s="181" t="s">
        <v>915</v>
      </c>
      <c r="K417" s="181" t="s">
        <v>916</v>
      </c>
      <c r="L417" s="181" t="s">
        <v>19</v>
      </c>
      <c r="M417" s="556" t="s">
        <v>4168</v>
      </c>
      <c r="N417" s="214" t="s">
        <v>20</v>
      </c>
      <c r="O417" s="214" t="s">
        <v>15</v>
      </c>
      <c r="P417" s="214" t="s">
        <v>15</v>
      </c>
      <c r="Q417" s="214" t="s">
        <v>15</v>
      </c>
      <c r="R417" s="214" t="s">
        <v>15</v>
      </c>
      <c r="S417" s="214" t="s">
        <v>15</v>
      </c>
      <c r="T417" s="214" t="s">
        <v>15</v>
      </c>
      <c r="U417" s="214" t="s">
        <v>15</v>
      </c>
      <c r="V417" s="214" t="s">
        <v>15</v>
      </c>
      <c r="W417" s="214" t="s">
        <v>15</v>
      </c>
      <c r="X417" s="214" t="s">
        <v>15</v>
      </c>
      <c r="Y417" s="214" t="s">
        <v>15</v>
      </c>
      <c r="Z417" s="234"/>
      <c r="AA417" s="214" t="s">
        <v>917</v>
      </c>
      <c r="AB417" s="214" t="s">
        <v>292</v>
      </c>
      <c r="AC417" s="214" t="s">
        <v>122</v>
      </c>
      <c r="AD417" s="320" t="s">
        <v>304</v>
      </c>
      <c r="AE417" s="320" t="s">
        <v>918</v>
      </c>
      <c r="AF417" s="162" t="str">
        <f t="shared" si="27"/>
        <v/>
      </c>
      <c r="AG417" s="162" t="str">
        <f t="shared" si="28"/>
        <v/>
      </c>
      <c r="AH417" s="164">
        <f t="shared" si="29"/>
        <v>6.2903091345898794</v>
      </c>
      <c r="AI417" s="164" t="str">
        <f t="shared" si="30"/>
        <v/>
      </c>
      <c r="AJ417" s="368"/>
      <c r="AK417" s="368"/>
      <c r="AL417" s="369"/>
      <c r="AM417" s="368"/>
      <c r="AN417" s="368"/>
      <c r="AO417" s="368"/>
      <c r="AP417" s="368"/>
      <c r="AQ417" s="368"/>
      <c r="AR417" s="368"/>
      <c r="AS417" s="195"/>
      <c r="AT417" s="195"/>
      <c r="AU417" s="377"/>
      <c r="AV417" s="382"/>
      <c r="AW417" s="426"/>
      <c r="AX417" s="426"/>
      <c r="AY417" s="359"/>
      <c r="AZ417" s="426"/>
      <c r="BA417" s="426"/>
      <c r="BB417" s="426"/>
      <c r="BC417" s="426"/>
      <c r="BD417" s="426"/>
      <c r="BE417" s="426"/>
      <c r="BF417" s="468">
        <f>3.32/0.724/0.729</f>
        <v>6.2903091345898794</v>
      </c>
      <c r="BG417" s="469"/>
      <c r="BH417" s="335" t="s">
        <v>919</v>
      </c>
      <c r="BI417" s="447"/>
      <c r="BJ417" s="505"/>
    </row>
    <row r="418" spans="1:62" ht="15.75" customHeight="1" thickBot="1" x14ac:dyDescent="0.25">
      <c r="A418" s="174">
        <v>417</v>
      </c>
      <c r="B418" s="175">
        <v>1</v>
      </c>
      <c r="C418" s="166" t="s">
        <v>24</v>
      </c>
      <c r="D418" s="166" t="s">
        <v>269</v>
      </c>
      <c r="E418" s="166" t="s">
        <v>13</v>
      </c>
      <c r="F418" s="166" t="s">
        <v>921</v>
      </c>
      <c r="G418" s="166" t="s">
        <v>122</v>
      </c>
      <c r="H418" s="166" t="s">
        <v>80</v>
      </c>
      <c r="I418" s="181">
        <v>2010</v>
      </c>
      <c r="J418" s="181" t="s">
        <v>915</v>
      </c>
      <c r="K418" s="181" t="s">
        <v>916</v>
      </c>
      <c r="L418" s="181" t="s">
        <v>19</v>
      </c>
      <c r="M418" s="556" t="s">
        <v>4168</v>
      </c>
      <c r="N418" s="214" t="s">
        <v>20</v>
      </c>
      <c r="O418" s="214" t="s">
        <v>15</v>
      </c>
      <c r="P418" s="214" t="s">
        <v>15</v>
      </c>
      <c r="Q418" s="214" t="s">
        <v>15</v>
      </c>
      <c r="R418" s="214" t="s">
        <v>15</v>
      </c>
      <c r="S418" s="214" t="s">
        <v>15</v>
      </c>
      <c r="T418" s="214" t="s">
        <v>15</v>
      </c>
      <c r="U418" s="214" t="s">
        <v>15</v>
      </c>
      <c r="V418" s="214" t="s">
        <v>15</v>
      </c>
      <c r="W418" s="214" t="s">
        <v>15</v>
      </c>
      <c r="X418" s="214" t="s">
        <v>15</v>
      </c>
      <c r="Y418" s="214" t="s">
        <v>15</v>
      </c>
      <c r="Z418" s="234"/>
      <c r="AA418" s="214" t="s">
        <v>917</v>
      </c>
      <c r="AB418" s="214" t="s">
        <v>292</v>
      </c>
      <c r="AC418" s="214" t="s">
        <v>122</v>
      </c>
      <c r="AD418" s="320" t="s">
        <v>304</v>
      </c>
      <c r="AE418" s="320" t="s">
        <v>918</v>
      </c>
      <c r="AF418" s="162" t="str">
        <f t="shared" si="27"/>
        <v/>
      </c>
      <c r="AG418" s="162" t="str">
        <f t="shared" si="28"/>
        <v/>
      </c>
      <c r="AH418" s="164">
        <f t="shared" si="29"/>
        <v>5.3619201358100481</v>
      </c>
      <c r="AI418" s="164" t="str">
        <f t="shared" si="30"/>
        <v/>
      </c>
      <c r="AJ418" s="368"/>
      <c r="AK418" s="368"/>
      <c r="AL418" s="369"/>
      <c r="AM418" s="368"/>
      <c r="AN418" s="368"/>
      <c r="AO418" s="368"/>
      <c r="AP418" s="368"/>
      <c r="AQ418" s="368"/>
      <c r="AR418" s="368"/>
      <c r="AS418" s="195"/>
      <c r="AT418" s="195"/>
      <c r="AU418" s="377"/>
      <c r="AV418" s="382"/>
      <c r="AW418" s="426"/>
      <c r="AX418" s="426"/>
      <c r="AY418" s="359"/>
      <c r="AZ418" s="426"/>
      <c r="BA418" s="426"/>
      <c r="BB418" s="426"/>
      <c r="BC418" s="426"/>
      <c r="BD418" s="426"/>
      <c r="BE418" s="426"/>
      <c r="BF418" s="468">
        <f>2.83/0.724/0.729</f>
        <v>5.3619201358100481</v>
      </c>
      <c r="BG418" s="469"/>
      <c r="BH418" s="335" t="s">
        <v>919</v>
      </c>
      <c r="BI418" s="447"/>
      <c r="BJ418" s="505"/>
    </row>
    <row r="419" spans="1:62" ht="15.75" customHeight="1" thickBot="1" x14ac:dyDescent="0.25">
      <c r="A419" s="176">
        <v>418</v>
      </c>
      <c r="B419" s="175">
        <v>1</v>
      </c>
      <c r="C419" s="166" t="s">
        <v>24</v>
      </c>
      <c r="D419" s="166" t="s">
        <v>269</v>
      </c>
      <c r="E419" s="166" t="s">
        <v>13</v>
      </c>
      <c r="F419" s="166" t="s">
        <v>922</v>
      </c>
      <c r="G419" s="166" t="s">
        <v>122</v>
      </c>
      <c r="H419" s="166" t="s">
        <v>923</v>
      </c>
      <c r="I419" s="181">
        <v>2010</v>
      </c>
      <c r="J419" s="181" t="s">
        <v>924</v>
      </c>
      <c r="K419" s="181" t="s">
        <v>925</v>
      </c>
      <c r="L419" s="181" t="s">
        <v>19</v>
      </c>
      <c r="M419" s="556" t="s">
        <v>4169</v>
      </c>
      <c r="N419" s="214" t="s">
        <v>20</v>
      </c>
      <c r="O419" s="214" t="s">
        <v>15</v>
      </c>
      <c r="P419" s="214" t="s">
        <v>15</v>
      </c>
      <c r="Q419" s="214" t="s">
        <v>15</v>
      </c>
      <c r="R419" s="214" t="s">
        <v>15</v>
      </c>
      <c r="S419" s="214" t="s">
        <v>15</v>
      </c>
      <c r="T419" s="214" t="s">
        <v>15</v>
      </c>
      <c r="U419" s="214" t="s">
        <v>15</v>
      </c>
      <c r="V419" s="214" t="s">
        <v>15</v>
      </c>
      <c r="W419" s="214" t="s">
        <v>15</v>
      </c>
      <c r="X419" s="214" t="s">
        <v>15</v>
      </c>
      <c r="Y419" s="214" t="s">
        <v>15</v>
      </c>
      <c r="Z419" s="234"/>
      <c r="AA419" s="214" t="s">
        <v>303</v>
      </c>
      <c r="AB419" s="214" t="s">
        <v>292</v>
      </c>
      <c r="AC419" s="214" t="s">
        <v>292</v>
      </c>
      <c r="AD419" s="320" t="s">
        <v>304</v>
      </c>
      <c r="AE419" s="320" t="s">
        <v>918</v>
      </c>
      <c r="AF419" s="162">
        <f t="shared" si="27"/>
        <v>18.378312832988502</v>
      </c>
      <c r="AG419" s="162" t="str">
        <f t="shared" si="28"/>
        <v/>
      </c>
      <c r="AH419" s="164">
        <f t="shared" si="29"/>
        <v>4.6798384224207838</v>
      </c>
      <c r="AI419" s="164" t="str">
        <f t="shared" si="30"/>
        <v/>
      </c>
      <c r="AJ419" s="368"/>
      <c r="AK419" s="368"/>
      <c r="AL419" s="369"/>
      <c r="AM419" s="368"/>
      <c r="AN419" s="368"/>
      <c r="AO419" s="368"/>
      <c r="AP419" s="368"/>
      <c r="AQ419" s="368"/>
      <c r="AR419" s="368"/>
      <c r="AS419" s="194">
        <f>9.7/0.724/0.729</f>
        <v>18.378312832988502</v>
      </c>
      <c r="AT419" s="195"/>
      <c r="AU419" s="377"/>
      <c r="AV419" s="382"/>
      <c r="AW419" s="426"/>
      <c r="AX419" s="426"/>
      <c r="AY419" s="359"/>
      <c r="AZ419" s="426"/>
      <c r="BA419" s="426"/>
      <c r="BB419" s="426"/>
      <c r="BC419" s="426"/>
      <c r="BD419" s="426"/>
      <c r="BE419" s="426"/>
      <c r="BF419" s="468">
        <f>2.47/0.724/0.729</f>
        <v>4.6798384224207838</v>
      </c>
      <c r="BG419" s="469"/>
      <c r="BH419" s="341"/>
      <c r="BI419" s="447"/>
      <c r="BJ419" s="505"/>
    </row>
    <row r="420" spans="1:62" ht="15.75" customHeight="1" thickBot="1" x14ac:dyDescent="0.25">
      <c r="A420" s="174">
        <v>419</v>
      </c>
      <c r="B420" s="175">
        <v>1</v>
      </c>
      <c r="C420" s="166" t="s">
        <v>24</v>
      </c>
      <c r="D420" s="166" t="s">
        <v>269</v>
      </c>
      <c r="E420" s="166" t="s">
        <v>13</v>
      </c>
      <c r="F420" s="166" t="s">
        <v>926</v>
      </c>
      <c r="G420" s="166" t="s">
        <v>122</v>
      </c>
      <c r="H420" s="166" t="s">
        <v>923</v>
      </c>
      <c r="I420" s="181">
        <v>2010</v>
      </c>
      <c r="J420" s="181" t="s">
        <v>924</v>
      </c>
      <c r="K420" s="181" t="s">
        <v>925</v>
      </c>
      <c r="L420" s="181" t="s">
        <v>19</v>
      </c>
      <c r="M420" s="556" t="s">
        <v>4169</v>
      </c>
      <c r="N420" s="214" t="s">
        <v>20</v>
      </c>
      <c r="O420" s="214" t="s">
        <v>15</v>
      </c>
      <c r="P420" s="214" t="s">
        <v>15</v>
      </c>
      <c r="Q420" s="214" t="s">
        <v>15</v>
      </c>
      <c r="R420" s="214" t="s">
        <v>15</v>
      </c>
      <c r="S420" s="214" t="s">
        <v>15</v>
      </c>
      <c r="T420" s="214" t="s">
        <v>15</v>
      </c>
      <c r="U420" s="214" t="s">
        <v>15</v>
      </c>
      <c r="V420" s="214" t="s">
        <v>15</v>
      </c>
      <c r="W420" s="214" t="s">
        <v>15</v>
      </c>
      <c r="X420" s="214" t="s">
        <v>15</v>
      </c>
      <c r="Y420" s="214" t="s">
        <v>15</v>
      </c>
      <c r="Z420" s="234"/>
      <c r="AA420" s="214" t="s">
        <v>303</v>
      </c>
      <c r="AB420" s="214" t="s">
        <v>292</v>
      </c>
      <c r="AC420" s="214" t="s">
        <v>292</v>
      </c>
      <c r="AD420" s="320" t="s">
        <v>304</v>
      </c>
      <c r="AE420" s="320" t="s">
        <v>918</v>
      </c>
      <c r="AF420" s="162">
        <f t="shared" si="27"/>
        <v>22.546589970367343</v>
      </c>
      <c r="AG420" s="162" t="str">
        <f t="shared" si="28"/>
        <v/>
      </c>
      <c r="AH420" s="164">
        <f t="shared" si="29"/>
        <v>5.7787478495479316</v>
      </c>
      <c r="AI420" s="164" t="str">
        <f t="shared" si="30"/>
        <v/>
      </c>
      <c r="AJ420" s="368"/>
      <c r="AK420" s="368"/>
      <c r="AL420" s="369"/>
      <c r="AM420" s="368"/>
      <c r="AN420" s="368"/>
      <c r="AO420" s="368"/>
      <c r="AP420" s="368"/>
      <c r="AQ420" s="368"/>
      <c r="AR420" s="368"/>
      <c r="AS420" s="194">
        <f>11.9/0.724/0.729</f>
        <v>22.546589970367343</v>
      </c>
      <c r="AT420" s="195"/>
      <c r="AU420" s="377"/>
      <c r="AV420" s="382"/>
      <c r="AW420" s="426"/>
      <c r="AX420" s="426"/>
      <c r="AY420" s="359"/>
      <c r="AZ420" s="426"/>
      <c r="BA420" s="426"/>
      <c r="BB420" s="426"/>
      <c r="BC420" s="426"/>
      <c r="BD420" s="426"/>
      <c r="BE420" s="426"/>
      <c r="BF420" s="468">
        <f>3.05/0.724/0.729</f>
        <v>5.7787478495479316</v>
      </c>
      <c r="BG420" s="469"/>
      <c r="BH420" s="341"/>
      <c r="BI420" s="447"/>
      <c r="BJ420" s="505"/>
    </row>
    <row r="421" spans="1:62" ht="15.75" customHeight="1" thickBot="1" x14ac:dyDescent="0.25">
      <c r="A421" s="176">
        <v>420</v>
      </c>
      <c r="B421" s="175">
        <v>1</v>
      </c>
      <c r="C421" s="166" t="s">
        <v>24</v>
      </c>
      <c r="D421" s="166" t="s">
        <v>269</v>
      </c>
      <c r="E421" s="166" t="s">
        <v>13</v>
      </c>
      <c r="F421" s="166" t="s">
        <v>927</v>
      </c>
      <c r="G421" s="166" t="s">
        <v>122</v>
      </c>
      <c r="H421" s="166" t="s">
        <v>923</v>
      </c>
      <c r="I421" s="181">
        <v>2010</v>
      </c>
      <c r="J421" s="181" t="s">
        <v>924</v>
      </c>
      <c r="K421" s="181" t="s">
        <v>925</v>
      </c>
      <c r="L421" s="181" t="s">
        <v>19</v>
      </c>
      <c r="M421" s="556" t="s">
        <v>4169</v>
      </c>
      <c r="N421" s="214" t="s">
        <v>20</v>
      </c>
      <c r="O421" s="214" t="s">
        <v>15</v>
      </c>
      <c r="P421" s="214" t="s">
        <v>15</v>
      </c>
      <c r="Q421" s="214" t="s">
        <v>15</v>
      </c>
      <c r="R421" s="214" t="s">
        <v>15</v>
      </c>
      <c r="S421" s="214" t="s">
        <v>15</v>
      </c>
      <c r="T421" s="214" t="s">
        <v>15</v>
      </c>
      <c r="U421" s="214" t="s">
        <v>15</v>
      </c>
      <c r="V421" s="214" t="s">
        <v>15</v>
      </c>
      <c r="W421" s="214" t="s">
        <v>15</v>
      </c>
      <c r="X421" s="214" t="s">
        <v>15</v>
      </c>
      <c r="Y421" s="214" t="s">
        <v>15</v>
      </c>
      <c r="Z421" s="234"/>
      <c r="AA421" s="214" t="s">
        <v>303</v>
      </c>
      <c r="AB421" s="214" t="s">
        <v>292</v>
      </c>
      <c r="AC421" s="214" t="s">
        <v>292</v>
      </c>
      <c r="AD421" s="320" t="s">
        <v>304</v>
      </c>
      <c r="AE421" s="320" t="s">
        <v>918</v>
      </c>
      <c r="AF421" s="162">
        <f t="shared" si="27"/>
        <v>21.599254257326695</v>
      </c>
      <c r="AG421" s="162" t="str">
        <f t="shared" si="28"/>
        <v/>
      </c>
      <c r="AH421" s="164">
        <f t="shared" si="29"/>
        <v>4.774571993724849</v>
      </c>
      <c r="AI421" s="164" t="str">
        <f t="shared" si="30"/>
        <v/>
      </c>
      <c r="AJ421" s="368"/>
      <c r="AK421" s="368"/>
      <c r="AL421" s="369"/>
      <c r="AM421" s="368"/>
      <c r="AN421" s="368"/>
      <c r="AO421" s="368"/>
      <c r="AP421" s="368"/>
      <c r="AQ421" s="368"/>
      <c r="AR421" s="368"/>
      <c r="AS421" s="194">
        <f>11.4/0.724/0.729</f>
        <v>21.599254257326695</v>
      </c>
      <c r="AT421" s="195"/>
      <c r="AU421" s="377"/>
      <c r="AV421" s="382"/>
      <c r="AW421" s="426"/>
      <c r="AX421" s="426"/>
      <c r="AY421" s="359"/>
      <c r="AZ421" s="426"/>
      <c r="BA421" s="426"/>
      <c r="BB421" s="426"/>
      <c r="BC421" s="426"/>
      <c r="BD421" s="426"/>
      <c r="BE421" s="426"/>
      <c r="BF421" s="468">
        <f>2.52/0.724/0.729</f>
        <v>4.774571993724849</v>
      </c>
      <c r="BG421" s="469"/>
      <c r="BH421" s="341"/>
      <c r="BI421" s="447"/>
      <c r="BJ421" s="505"/>
    </row>
    <row r="422" spans="1:62" ht="15.75" customHeight="1" thickBot="1" x14ac:dyDescent="0.25">
      <c r="A422" s="174">
        <v>421</v>
      </c>
      <c r="B422" s="175">
        <v>1</v>
      </c>
      <c r="C422" s="166" t="s">
        <v>24</v>
      </c>
      <c r="D422" s="166" t="s">
        <v>269</v>
      </c>
      <c r="E422" s="166" t="s">
        <v>13</v>
      </c>
      <c r="F422" s="166" t="s">
        <v>928</v>
      </c>
      <c r="G422" s="166" t="s">
        <v>122</v>
      </c>
      <c r="H422" s="166" t="s">
        <v>923</v>
      </c>
      <c r="I422" s="181">
        <v>2010</v>
      </c>
      <c r="J422" s="181" t="s">
        <v>924</v>
      </c>
      <c r="K422" s="181" t="s">
        <v>925</v>
      </c>
      <c r="L422" s="181" t="s">
        <v>19</v>
      </c>
      <c r="M422" s="556" t="s">
        <v>4169</v>
      </c>
      <c r="N422" s="214" t="s">
        <v>20</v>
      </c>
      <c r="O422" s="214" t="s">
        <v>15</v>
      </c>
      <c r="P422" s="214" t="s">
        <v>15</v>
      </c>
      <c r="Q422" s="214" t="s">
        <v>15</v>
      </c>
      <c r="R422" s="214" t="s">
        <v>15</v>
      </c>
      <c r="S422" s="214" t="s">
        <v>15</v>
      </c>
      <c r="T422" s="214" t="s">
        <v>15</v>
      </c>
      <c r="U422" s="214" t="s">
        <v>15</v>
      </c>
      <c r="V422" s="214" t="s">
        <v>15</v>
      </c>
      <c r="W422" s="214" t="s">
        <v>15</v>
      </c>
      <c r="X422" s="214" t="s">
        <v>15</v>
      </c>
      <c r="Y422" s="214" t="s">
        <v>15</v>
      </c>
      <c r="Z422" s="234"/>
      <c r="AA422" s="214" t="s">
        <v>303</v>
      </c>
      <c r="AB422" s="214" t="s">
        <v>292</v>
      </c>
      <c r="AC422" s="214" t="s">
        <v>292</v>
      </c>
      <c r="AD422" s="320" t="s">
        <v>304</v>
      </c>
      <c r="AE422" s="320" t="s">
        <v>918</v>
      </c>
      <c r="AF422" s="162">
        <f t="shared" si="27"/>
        <v>27.283268535570564</v>
      </c>
      <c r="AG422" s="162" t="str">
        <f t="shared" si="28"/>
        <v/>
      </c>
      <c r="AH422" s="164">
        <f t="shared" si="29"/>
        <v>6.3092558488506931</v>
      </c>
      <c r="AI422" s="164" t="str">
        <f t="shared" si="30"/>
        <v/>
      </c>
      <c r="AJ422" s="368"/>
      <c r="AK422" s="368"/>
      <c r="AL422" s="369"/>
      <c r="AM422" s="368"/>
      <c r="AN422" s="368"/>
      <c r="AO422" s="368"/>
      <c r="AP422" s="368"/>
      <c r="AQ422" s="368"/>
      <c r="AR422" s="368"/>
      <c r="AS422" s="194">
        <f>14.4/0.724/0.729</f>
        <v>27.283268535570564</v>
      </c>
      <c r="AT422" s="195"/>
      <c r="AU422" s="377"/>
      <c r="AV422" s="382"/>
      <c r="AW422" s="426"/>
      <c r="AX422" s="426"/>
      <c r="AY422" s="359"/>
      <c r="AZ422" s="426"/>
      <c r="BA422" s="426"/>
      <c r="BB422" s="426"/>
      <c r="BC422" s="426"/>
      <c r="BD422" s="426"/>
      <c r="BE422" s="426"/>
      <c r="BF422" s="468">
        <f>3.33/0.724/0.729</f>
        <v>6.3092558488506931</v>
      </c>
      <c r="BG422" s="469"/>
      <c r="BH422" s="341"/>
      <c r="BI422" s="447"/>
      <c r="BJ422" s="505"/>
    </row>
    <row r="423" spans="1:62" ht="15.75" customHeight="1" thickBot="1" x14ac:dyDescent="0.25">
      <c r="A423" s="176">
        <v>422</v>
      </c>
      <c r="B423" s="175">
        <v>1</v>
      </c>
      <c r="C423" s="166" t="s">
        <v>24</v>
      </c>
      <c r="D423" s="166" t="s">
        <v>269</v>
      </c>
      <c r="E423" s="166" t="s">
        <v>13</v>
      </c>
      <c r="F423" s="166" t="s">
        <v>929</v>
      </c>
      <c r="G423" s="166" t="s">
        <v>122</v>
      </c>
      <c r="H423" s="166" t="s">
        <v>930</v>
      </c>
      <c r="I423" s="181">
        <v>2010</v>
      </c>
      <c r="J423" s="181" t="s">
        <v>931</v>
      </c>
      <c r="K423" s="181" t="s">
        <v>932</v>
      </c>
      <c r="L423" s="181" t="s">
        <v>274</v>
      </c>
      <c r="M423" s="556" t="s">
        <v>4170</v>
      </c>
      <c r="N423" s="214" t="s">
        <v>20</v>
      </c>
      <c r="O423" s="214" t="s">
        <v>15</v>
      </c>
      <c r="P423" s="214" t="s">
        <v>20</v>
      </c>
      <c r="Q423" s="214" t="s">
        <v>20</v>
      </c>
      <c r="R423" s="214" t="s">
        <v>15</v>
      </c>
      <c r="S423" s="214" t="s">
        <v>15</v>
      </c>
      <c r="T423" s="214" t="s">
        <v>15</v>
      </c>
      <c r="U423" s="214" t="s">
        <v>15</v>
      </c>
      <c r="V423" s="214" t="s">
        <v>15</v>
      </c>
      <c r="W423" s="214" t="s">
        <v>15</v>
      </c>
      <c r="X423" s="214" t="s">
        <v>15</v>
      </c>
      <c r="Y423" s="214" t="s">
        <v>15</v>
      </c>
      <c r="Z423" s="234"/>
      <c r="AA423" s="214" t="s">
        <v>933</v>
      </c>
      <c r="AB423" s="214" t="s">
        <v>292</v>
      </c>
      <c r="AC423" s="214" t="s">
        <v>122</v>
      </c>
      <c r="AD423" s="320" t="s">
        <v>313</v>
      </c>
      <c r="AE423" s="320" t="s">
        <v>276</v>
      </c>
      <c r="AF423" s="162">
        <f t="shared" si="27"/>
        <v>24.554183813443071</v>
      </c>
      <c r="AG423" s="162">
        <f t="shared" si="28"/>
        <v>35.880089163237308</v>
      </c>
      <c r="AH423" s="164">
        <f t="shared" si="29"/>
        <v>3.614540466392318</v>
      </c>
      <c r="AI423" s="164">
        <f t="shared" si="30"/>
        <v>4.252400548696845</v>
      </c>
      <c r="AJ423" s="368">
        <f>AS423</f>
        <v>24.554183813443071</v>
      </c>
      <c r="AK423" s="368">
        <f>0.25*AT510</f>
        <v>7.5750000000000002</v>
      </c>
      <c r="AL423" s="368">
        <f>0.1347*AT423</f>
        <v>3.7509053497942384</v>
      </c>
      <c r="AM423" s="368"/>
      <c r="AN423" s="368"/>
      <c r="AO423" s="368"/>
      <c r="AP423" s="368"/>
      <c r="AQ423" s="368"/>
      <c r="AR423" s="368"/>
      <c r="AS423" s="195">
        <v>24.554183813443071</v>
      </c>
      <c r="AT423" s="195">
        <v>27.846364883401922</v>
      </c>
      <c r="AU423" s="377"/>
      <c r="AW423" s="426">
        <f>0.85*BG423</f>
        <v>3.614540466392318</v>
      </c>
      <c r="AX423" s="426"/>
      <c r="AY423" s="426">
        <f>0.15*BG423</f>
        <v>0.63786008230452673</v>
      </c>
      <c r="AZ423" s="426"/>
      <c r="BA423" s="426"/>
      <c r="BB423" s="426"/>
      <c r="BC423" s="426"/>
      <c r="BD423" s="426"/>
      <c r="BE423" s="426"/>
      <c r="BF423" s="469">
        <v>3.614540466392318</v>
      </c>
      <c r="BG423" s="469">
        <v>4.252400548696845</v>
      </c>
      <c r="BH423" s="341"/>
      <c r="BI423" s="447"/>
      <c r="BJ423" s="505"/>
    </row>
    <row r="424" spans="1:62" ht="15.75" customHeight="1" thickBot="1" x14ac:dyDescent="0.25">
      <c r="A424" s="174">
        <v>423</v>
      </c>
      <c r="B424" s="175">
        <v>1</v>
      </c>
      <c r="C424" s="166" t="s">
        <v>24</v>
      </c>
      <c r="D424" s="166" t="s">
        <v>269</v>
      </c>
      <c r="E424" s="166" t="s">
        <v>13</v>
      </c>
      <c r="F424" s="166" t="s">
        <v>934</v>
      </c>
      <c r="G424" s="166" t="s">
        <v>122</v>
      </c>
      <c r="H424" s="166" t="s">
        <v>930</v>
      </c>
      <c r="I424" s="181">
        <v>2010</v>
      </c>
      <c r="J424" s="181" t="s">
        <v>931</v>
      </c>
      <c r="K424" s="181" t="s">
        <v>932</v>
      </c>
      <c r="L424" s="181" t="s">
        <v>274</v>
      </c>
      <c r="M424" s="556" t="s">
        <v>4170</v>
      </c>
      <c r="N424" s="214" t="s">
        <v>20</v>
      </c>
      <c r="O424" s="214" t="s">
        <v>15</v>
      </c>
      <c r="P424" s="214" t="s">
        <v>20</v>
      </c>
      <c r="Q424" s="214" t="s">
        <v>20</v>
      </c>
      <c r="R424" s="214" t="s">
        <v>15</v>
      </c>
      <c r="S424" s="214" t="s">
        <v>15</v>
      </c>
      <c r="T424" s="214" t="s">
        <v>15</v>
      </c>
      <c r="U424" s="214" t="s">
        <v>15</v>
      </c>
      <c r="V424" s="214" t="s">
        <v>15</v>
      </c>
      <c r="W424" s="214" t="s">
        <v>15</v>
      </c>
      <c r="X424" s="214" t="s">
        <v>15</v>
      </c>
      <c r="Y424" s="214" t="s">
        <v>15</v>
      </c>
      <c r="Z424" s="234"/>
      <c r="AA424" s="214" t="s">
        <v>933</v>
      </c>
      <c r="AB424" s="214" t="s">
        <v>292</v>
      </c>
      <c r="AC424" s="214" t="s">
        <v>122</v>
      </c>
      <c r="AD424" s="320" t="s">
        <v>313</v>
      </c>
      <c r="AE424" s="320" t="s">
        <v>276</v>
      </c>
      <c r="AF424" s="162">
        <f t="shared" si="27"/>
        <v>30.8641975308642</v>
      </c>
      <c r="AG424" s="162">
        <f t="shared" si="28"/>
        <v>39.165943827160497</v>
      </c>
      <c r="AH424" s="164">
        <f t="shared" si="29"/>
        <v>7.0919067215363505</v>
      </c>
      <c r="AI424" s="164">
        <f t="shared" si="30"/>
        <v>7.544581618655692</v>
      </c>
      <c r="AJ424" s="368">
        <f>AS424</f>
        <v>30.8641975308642</v>
      </c>
      <c r="AK424" s="368">
        <f>0.18*AT511</f>
        <v>5.274</v>
      </c>
      <c r="AL424" s="368">
        <f>0.0900909*AT424</f>
        <v>3.0277462962962969</v>
      </c>
      <c r="AM424" s="368"/>
      <c r="AN424" s="368"/>
      <c r="AO424" s="368"/>
      <c r="AP424" s="368"/>
      <c r="AQ424" s="368"/>
      <c r="AR424" s="368"/>
      <c r="AS424" s="195">
        <v>30.8641975308642</v>
      </c>
      <c r="AT424" s="195">
        <v>33.607681755829908</v>
      </c>
      <c r="AU424" s="377"/>
      <c r="AW424" s="426">
        <f>0.94*BG424</f>
        <v>7.0919067215363505</v>
      </c>
      <c r="AX424" s="426"/>
      <c r="AY424" s="426">
        <f>0.06*BG424</f>
        <v>0.45267489711934156</v>
      </c>
      <c r="AZ424" s="426"/>
      <c r="BA424" s="426"/>
      <c r="BB424" s="426"/>
      <c r="BC424" s="426"/>
      <c r="BD424" s="426"/>
      <c r="BE424" s="426"/>
      <c r="BF424" s="469">
        <v>7.0919067215363505</v>
      </c>
      <c r="BG424" s="469">
        <v>7.5445816186556929</v>
      </c>
      <c r="BH424" s="341"/>
      <c r="BI424" s="447"/>
      <c r="BJ424" s="505"/>
    </row>
    <row r="425" spans="1:62" ht="15.75" customHeight="1" thickBot="1" x14ac:dyDescent="0.25">
      <c r="A425" s="176">
        <v>424</v>
      </c>
      <c r="B425" s="175">
        <v>1</v>
      </c>
      <c r="C425" s="166" t="s">
        <v>24</v>
      </c>
      <c r="D425" s="166" t="s">
        <v>269</v>
      </c>
      <c r="E425" s="166" t="s">
        <v>13</v>
      </c>
      <c r="F425" s="166" t="s">
        <v>935</v>
      </c>
      <c r="G425" s="166" t="s">
        <v>122</v>
      </c>
      <c r="H425" s="166" t="s">
        <v>42</v>
      </c>
      <c r="I425" s="181">
        <v>2012</v>
      </c>
      <c r="J425" s="181" t="s">
        <v>936</v>
      </c>
      <c r="K425" s="181" t="s">
        <v>937</v>
      </c>
      <c r="L425" s="181" t="s">
        <v>19</v>
      </c>
      <c r="M425" s="556" t="s">
        <v>4171</v>
      </c>
      <c r="N425" s="214" t="s">
        <v>20</v>
      </c>
      <c r="O425" s="214" t="s">
        <v>15</v>
      </c>
      <c r="P425" s="214" t="s">
        <v>15</v>
      </c>
      <c r="Q425" s="214" t="s">
        <v>15</v>
      </c>
      <c r="R425" s="214" t="s">
        <v>15</v>
      </c>
      <c r="S425" s="214" t="s">
        <v>15</v>
      </c>
      <c r="T425" s="214" t="s">
        <v>15</v>
      </c>
      <c r="U425" s="214" t="s">
        <v>15</v>
      </c>
      <c r="V425" s="214" t="s">
        <v>15</v>
      </c>
      <c r="W425" s="214" t="s">
        <v>15</v>
      </c>
      <c r="X425" s="214" t="s">
        <v>15</v>
      </c>
      <c r="Y425" s="214" t="s">
        <v>15</v>
      </c>
      <c r="Z425" s="234"/>
      <c r="AA425" s="214" t="s">
        <v>303</v>
      </c>
      <c r="AB425" s="214" t="s">
        <v>292</v>
      </c>
      <c r="AC425" s="214" t="s">
        <v>292</v>
      </c>
      <c r="AD425" s="320" t="s">
        <v>938</v>
      </c>
      <c r="AE425" s="320" t="s">
        <v>939</v>
      </c>
      <c r="AF425" s="162">
        <f t="shared" si="27"/>
        <v>38.436213991769549</v>
      </c>
      <c r="AG425" s="162" t="str">
        <f t="shared" si="28"/>
        <v/>
      </c>
      <c r="AH425" s="164">
        <f t="shared" si="29"/>
        <v>7.4897119341563787</v>
      </c>
      <c r="AI425" s="164" t="str">
        <f t="shared" si="30"/>
        <v/>
      </c>
      <c r="AJ425" s="368"/>
      <c r="AK425" s="368"/>
      <c r="AL425" s="368"/>
      <c r="AM425" s="368"/>
      <c r="AN425" s="368"/>
      <c r="AO425" s="368"/>
      <c r="AP425" s="368"/>
      <c r="AQ425" s="368"/>
      <c r="AR425" s="368"/>
      <c r="AS425" s="194">
        <f>28.02/0.729</f>
        <v>38.436213991769549</v>
      </c>
      <c r="AT425" s="195"/>
      <c r="AU425" s="377"/>
      <c r="AW425" s="426"/>
      <c r="AX425" s="426"/>
      <c r="AY425" s="426"/>
      <c r="AZ425" s="426"/>
      <c r="BA425" s="426"/>
      <c r="BB425" s="426"/>
      <c r="BC425" s="426"/>
      <c r="BD425" s="426"/>
      <c r="BE425" s="426"/>
      <c r="BF425" s="468">
        <f>5.46/0.729</f>
        <v>7.4897119341563787</v>
      </c>
      <c r="BG425" s="469"/>
      <c r="BH425" s="341"/>
      <c r="BI425" s="447"/>
      <c r="BJ425" s="505"/>
    </row>
    <row r="426" spans="1:62" ht="15.75" customHeight="1" thickBot="1" x14ac:dyDescent="0.25">
      <c r="A426" s="174">
        <v>425</v>
      </c>
      <c r="B426" s="175">
        <v>1</v>
      </c>
      <c r="C426" s="166" t="s">
        <v>24</v>
      </c>
      <c r="D426" s="166" t="s">
        <v>269</v>
      </c>
      <c r="E426" s="166" t="s">
        <v>13</v>
      </c>
      <c r="F426" s="166"/>
      <c r="G426" s="166" t="s">
        <v>292</v>
      </c>
      <c r="H426" s="166" t="s">
        <v>940</v>
      </c>
      <c r="I426" s="181">
        <v>2012</v>
      </c>
      <c r="J426" s="181" t="s">
        <v>331</v>
      </c>
      <c r="K426" s="181" t="s">
        <v>941</v>
      </c>
      <c r="L426" s="181" t="s">
        <v>19</v>
      </c>
      <c r="M426" s="556" t="s">
        <v>4172</v>
      </c>
      <c r="N426" s="214" t="s">
        <v>20</v>
      </c>
      <c r="O426" s="214" t="s">
        <v>15</v>
      </c>
      <c r="P426" s="214" t="s">
        <v>15</v>
      </c>
      <c r="Q426" s="214" t="s">
        <v>15</v>
      </c>
      <c r="R426" s="214" t="s">
        <v>15</v>
      </c>
      <c r="S426" s="214" t="s">
        <v>15</v>
      </c>
      <c r="T426" s="214" t="s">
        <v>15</v>
      </c>
      <c r="U426" s="214" t="s">
        <v>15</v>
      </c>
      <c r="V426" s="214" t="s">
        <v>15</v>
      </c>
      <c r="W426" s="214" t="s">
        <v>15</v>
      </c>
      <c r="X426" s="214" t="s">
        <v>15</v>
      </c>
      <c r="Y426" s="214" t="s">
        <v>15</v>
      </c>
      <c r="Z426" s="234"/>
      <c r="AA426" s="214" t="s">
        <v>303</v>
      </c>
      <c r="AB426" s="214" t="s">
        <v>292</v>
      </c>
      <c r="AC426" s="214" t="s">
        <v>292</v>
      </c>
      <c r="AD426" s="320" t="s">
        <v>275</v>
      </c>
      <c r="AE426" s="320" t="s">
        <v>276</v>
      </c>
      <c r="AF426" s="162">
        <f t="shared" si="27"/>
        <v>26.886145404663925</v>
      </c>
      <c r="AG426" s="162" t="str">
        <f t="shared" si="28"/>
        <v/>
      </c>
      <c r="AH426" s="164">
        <f t="shared" si="29"/>
        <v>6.5843621399176957</v>
      </c>
      <c r="AI426" s="164" t="str">
        <f t="shared" si="30"/>
        <v/>
      </c>
      <c r="AJ426" s="368"/>
      <c r="AK426" s="368"/>
      <c r="AL426" s="368"/>
      <c r="AM426" s="368"/>
      <c r="AN426" s="368"/>
      <c r="AO426" s="368"/>
      <c r="AP426" s="368"/>
      <c r="AQ426" s="368"/>
      <c r="AR426" s="368"/>
      <c r="AS426" s="194">
        <f>19.6/0.729</f>
        <v>26.886145404663925</v>
      </c>
      <c r="AT426" s="195"/>
      <c r="AU426" s="377"/>
      <c r="AV426" s="382"/>
      <c r="AW426" s="426"/>
      <c r="AX426" s="426"/>
      <c r="AY426" s="426"/>
      <c r="AZ426" s="426"/>
      <c r="BA426" s="426"/>
      <c r="BB426" s="426"/>
      <c r="BC426" s="426"/>
      <c r="BD426" s="426"/>
      <c r="BE426" s="426"/>
      <c r="BF426" s="468">
        <f>4.8/0.729</f>
        <v>6.5843621399176957</v>
      </c>
      <c r="BG426" s="469"/>
      <c r="BH426" s="341"/>
      <c r="BI426" s="447"/>
      <c r="BJ426" s="505"/>
    </row>
    <row r="427" spans="1:62" ht="15.75" customHeight="1" thickBot="1" x14ac:dyDescent="0.25">
      <c r="A427" s="176">
        <v>426</v>
      </c>
      <c r="B427" s="175">
        <v>1</v>
      </c>
      <c r="C427" s="166" t="s">
        <v>24</v>
      </c>
      <c r="D427" s="166" t="s">
        <v>269</v>
      </c>
      <c r="E427" s="166" t="s">
        <v>13</v>
      </c>
      <c r="F427" s="166" t="s">
        <v>378</v>
      </c>
      <c r="G427" s="166" t="s">
        <v>122</v>
      </c>
      <c r="H427" s="166" t="s">
        <v>940</v>
      </c>
      <c r="I427" s="181">
        <v>2014</v>
      </c>
      <c r="J427" s="181" t="s">
        <v>942</v>
      </c>
      <c r="K427" s="181" t="s">
        <v>943</v>
      </c>
      <c r="L427" s="181" t="s">
        <v>19</v>
      </c>
      <c r="M427" s="556" t="s">
        <v>4173</v>
      </c>
      <c r="N427" s="214" t="s">
        <v>20</v>
      </c>
      <c r="O427" s="214" t="s">
        <v>15</v>
      </c>
      <c r="P427" s="214" t="s">
        <v>15</v>
      </c>
      <c r="Q427" s="214" t="s">
        <v>15</v>
      </c>
      <c r="R427" s="214" t="s">
        <v>15</v>
      </c>
      <c r="S427" s="214" t="s">
        <v>15</v>
      </c>
      <c r="T427" s="214" t="s">
        <v>15</v>
      </c>
      <c r="U427" s="214" t="s">
        <v>15</v>
      </c>
      <c r="V427" s="214" t="s">
        <v>15</v>
      </c>
      <c r="W427" s="214" t="s">
        <v>15</v>
      </c>
      <c r="X427" s="214" t="s">
        <v>15</v>
      </c>
      <c r="Y427" s="214" t="s">
        <v>15</v>
      </c>
      <c r="Z427" s="234"/>
      <c r="AA427" s="214" t="s">
        <v>303</v>
      </c>
      <c r="AB427" s="214" t="s">
        <v>292</v>
      </c>
      <c r="AC427" s="214" t="s">
        <v>292</v>
      </c>
      <c r="AD427" s="320" t="s">
        <v>944</v>
      </c>
      <c r="AE427" s="320" t="s">
        <v>918</v>
      </c>
      <c r="AF427" s="162">
        <f t="shared" si="27"/>
        <v>30.731570531038503</v>
      </c>
      <c r="AG427" s="162" t="str">
        <f t="shared" si="28"/>
        <v/>
      </c>
      <c r="AH427" s="164">
        <f t="shared" si="29"/>
        <v>4.2630107086829003</v>
      </c>
      <c r="AI427" s="164" t="str">
        <f t="shared" si="30"/>
        <v/>
      </c>
      <c r="AJ427" s="368"/>
      <c r="AK427" s="368"/>
      <c r="AL427" s="368"/>
      <c r="AM427" s="368"/>
      <c r="AN427" s="368"/>
      <c r="AO427" s="368"/>
      <c r="AP427" s="368"/>
      <c r="AQ427" s="368"/>
      <c r="AR427" s="368"/>
      <c r="AS427" s="194">
        <f>16.22/0.724/0.729</f>
        <v>30.731570531038503</v>
      </c>
      <c r="AT427" s="195"/>
      <c r="AU427" s="377"/>
      <c r="AV427" s="382"/>
      <c r="AW427" s="426"/>
      <c r="AX427" s="426"/>
      <c r="AY427" s="426"/>
      <c r="AZ427" s="426"/>
      <c r="BA427" s="426"/>
      <c r="BB427" s="426"/>
      <c r="BC427" s="426"/>
      <c r="BD427" s="426"/>
      <c r="BE427" s="426"/>
      <c r="BF427" s="468">
        <f>2.25/0.724/0.729</f>
        <v>4.2630107086829003</v>
      </c>
      <c r="BG427" s="467"/>
      <c r="BH427" s="335" t="s">
        <v>945</v>
      </c>
      <c r="BI427" s="446" t="s">
        <v>946</v>
      </c>
      <c r="BJ427" s="505"/>
    </row>
    <row r="428" spans="1:62" ht="15.75" customHeight="1" thickBot="1" x14ac:dyDescent="0.25">
      <c r="A428" s="174">
        <v>427</v>
      </c>
      <c r="B428" s="175">
        <v>1</v>
      </c>
      <c r="C428" s="166" t="s">
        <v>24</v>
      </c>
      <c r="D428" s="166" t="s">
        <v>269</v>
      </c>
      <c r="E428" s="166" t="s">
        <v>13</v>
      </c>
      <c r="F428" s="166" t="s">
        <v>947</v>
      </c>
      <c r="G428" s="166" t="s">
        <v>122</v>
      </c>
      <c r="H428" s="166" t="s">
        <v>940</v>
      </c>
      <c r="I428" s="181">
        <v>2014</v>
      </c>
      <c r="J428" s="181" t="s">
        <v>942</v>
      </c>
      <c r="K428" s="181" t="s">
        <v>943</v>
      </c>
      <c r="L428" s="181" t="s">
        <v>19</v>
      </c>
      <c r="M428" s="556" t="s">
        <v>4173</v>
      </c>
      <c r="N428" s="214" t="s">
        <v>20</v>
      </c>
      <c r="O428" s="214" t="s">
        <v>15</v>
      </c>
      <c r="P428" s="214" t="s">
        <v>15</v>
      </c>
      <c r="Q428" s="214" t="s">
        <v>15</v>
      </c>
      <c r="R428" s="214" t="s">
        <v>15</v>
      </c>
      <c r="S428" s="214" t="s">
        <v>15</v>
      </c>
      <c r="T428" s="214" t="s">
        <v>15</v>
      </c>
      <c r="U428" s="214" t="s">
        <v>15</v>
      </c>
      <c r="V428" s="214" t="s">
        <v>15</v>
      </c>
      <c r="W428" s="214" t="s">
        <v>15</v>
      </c>
      <c r="X428" s="214" t="s">
        <v>15</v>
      </c>
      <c r="Y428" s="214" t="s">
        <v>15</v>
      </c>
      <c r="Z428" s="234"/>
      <c r="AA428" s="214" t="s">
        <v>303</v>
      </c>
      <c r="AB428" s="214" t="s">
        <v>292</v>
      </c>
      <c r="AC428" s="214" t="s">
        <v>292</v>
      </c>
      <c r="AD428" s="320" t="s">
        <v>944</v>
      </c>
      <c r="AE428" s="320" t="s">
        <v>918</v>
      </c>
      <c r="AF428" s="162">
        <f t="shared" si="27"/>
        <v>31.26207853034127</v>
      </c>
      <c r="AG428" s="162" t="str">
        <f t="shared" si="28"/>
        <v/>
      </c>
      <c r="AH428" s="164">
        <f t="shared" si="29"/>
        <v>4.8693055650289123</v>
      </c>
      <c r="AI428" s="164" t="str">
        <f t="shared" si="30"/>
        <v/>
      </c>
      <c r="AJ428" s="368"/>
      <c r="AK428" s="368"/>
      <c r="AL428" s="368"/>
      <c r="AM428" s="368"/>
      <c r="AN428" s="368"/>
      <c r="AO428" s="368"/>
      <c r="AP428" s="368"/>
      <c r="AQ428" s="368"/>
      <c r="AR428" s="368"/>
      <c r="AS428" s="194">
        <f>16.5/0.724/0.729</f>
        <v>31.26207853034127</v>
      </c>
      <c r="AT428" s="195"/>
      <c r="AU428" s="377"/>
      <c r="AV428" s="382"/>
      <c r="AW428" s="426"/>
      <c r="AX428" s="426"/>
      <c r="AY428" s="426"/>
      <c r="AZ428" s="426"/>
      <c r="BA428" s="426"/>
      <c r="BB428" s="426"/>
      <c r="BC428" s="426"/>
      <c r="BD428" s="426"/>
      <c r="BE428" s="426"/>
      <c r="BF428" s="468">
        <f>2.57/0.724/0.729</f>
        <v>4.8693055650289123</v>
      </c>
      <c r="BG428" s="467"/>
      <c r="BH428" s="335" t="s">
        <v>948</v>
      </c>
      <c r="BI428" s="446" t="s">
        <v>946</v>
      </c>
      <c r="BJ428" s="505"/>
    </row>
    <row r="429" spans="1:62" ht="15.75" customHeight="1" thickBot="1" x14ac:dyDescent="0.25">
      <c r="A429" s="176">
        <v>428</v>
      </c>
      <c r="B429" s="175">
        <v>1</v>
      </c>
      <c r="C429" s="166" t="s">
        <v>24</v>
      </c>
      <c r="D429" s="166" t="s">
        <v>269</v>
      </c>
      <c r="E429" s="166" t="s">
        <v>13</v>
      </c>
      <c r="F429" s="166" t="s">
        <v>379</v>
      </c>
      <c r="G429" s="166" t="s">
        <v>122</v>
      </c>
      <c r="H429" s="166" t="s">
        <v>940</v>
      </c>
      <c r="I429" s="181">
        <v>2014</v>
      </c>
      <c r="J429" s="181" t="s">
        <v>942</v>
      </c>
      <c r="K429" s="181" t="s">
        <v>943</v>
      </c>
      <c r="L429" s="181" t="s">
        <v>19</v>
      </c>
      <c r="M429" s="556" t="s">
        <v>4173</v>
      </c>
      <c r="N429" s="214" t="s">
        <v>20</v>
      </c>
      <c r="O429" s="214" t="s">
        <v>15</v>
      </c>
      <c r="P429" s="214" t="s">
        <v>15</v>
      </c>
      <c r="Q429" s="214" t="s">
        <v>15</v>
      </c>
      <c r="R429" s="214" t="s">
        <v>15</v>
      </c>
      <c r="S429" s="214" t="s">
        <v>15</v>
      </c>
      <c r="T429" s="214" t="s">
        <v>15</v>
      </c>
      <c r="U429" s="214" t="s">
        <v>15</v>
      </c>
      <c r="V429" s="214" t="s">
        <v>15</v>
      </c>
      <c r="W429" s="214" t="s">
        <v>15</v>
      </c>
      <c r="X429" s="214" t="s">
        <v>15</v>
      </c>
      <c r="Y429" s="214" t="s">
        <v>15</v>
      </c>
      <c r="Z429" s="234"/>
      <c r="AA429" s="214" t="s">
        <v>303</v>
      </c>
      <c r="AB429" s="214" t="s">
        <v>292</v>
      </c>
      <c r="AC429" s="214" t="s">
        <v>292</v>
      </c>
      <c r="AD429" s="320" t="s">
        <v>944</v>
      </c>
      <c r="AE429" s="320" t="s">
        <v>918</v>
      </c>
      <c r="AF429" s="162">
        <f t="shared" si="27"/>
        <v>34.255659383549705</v>
      </c>
      <c r="AG429" s="162" t="str">
        <f t="shared" si="28"/>
        <v/>
      </c>
      <c r="AH429" s="164">
        <f t="shared" si="29"/>
        <v>4.6040515653775325</v>
      </c>
      <c r="AI429" s="164" t="str">
        <f t="shared" si="30"/>
        <v/>
      </c>
      <c r="AJ429" s="368"/>
      <c r="AK429" s="368"/>
      <c r="AL429" s="368"/>
      <c r="AM429" s="368"/>
      <c r="AN429" s="368"/>
      <c r="AO429" s="368"/>
      <c r="AP429" s="368"/>
      <c r="AQ429" s="368"/>
      <c r="AR429" s="368"/>
      <c r="AS429" s="194">
        <f>18.08/0.724/0.729</f>
        <v>34.255659383549705</v>
      </c>
      <c r="AT429" s="195"/>
      <c r="AU429" s="377"/>
      <c r="AV429" s="382"/>
      <c r="AW429" s="426"/>
      <c r="AX429" s="426"/>
      <c r="AY429" s="426"/>
      <c r="AZ429" s="426"/>
      <c r="BA429" s="426"/>
      <c r="BB429" s="426"/>
      <c r="BC429" s="426"/>
      <c r="BD429" s="426"/>
      <c r="BE429" s="426"/>
      <c r="BF429" s="468">
        <f>2.43/0.724/0.729</f>
        <v>4.6040515653775325</v>
      </c>
      <c r="BG429" s="467"/>
      <c r="BH429" s="335" t="s">
        <v>949</v>
      </c>
      <c r="BI429" s="446" t="s">
        <v>946</v>
      </c>
      <c r="BJ429" s="505"/>
    </row>
    <row r="430" spans="1:62" ht="15.75" customHeight="1" thickBot="1" x14ac:dyDescent="0.25">
      <c r="A430" s="174">
        <v>429</v>
      </c>
      <c r="B430" s="175">
        <v>1</v>
      </c>
      <c r="C430" s="166" t="s">
        <v>24</v>
      </c>
      <c r="D430" s="166" t="s">
        <v>269</v>
      </c>
      <c r="E430" s="166" t="s">
        <v>13</v>
      </c>
      <c r="F430" s="166" t="s">
        <v>950</v>
      </c>
      <c r="G430" s="166" t="s">
        <v>122</v>
      </c>
      <c r="H430" s="166" t="s">
        <v>940</v>
      </c>
      <c r="I430" s="181">
        <v>2014</v>
      </c>
      <c r="J430" s="181" t="s">
        <v>942</v>
      </c>
      <c r="K430" s="181" t="s">
        <v>943</v>
      </c>
      <c r="L430" s="181" t="s">
        <v>19</v>
      </c>
      <c r="M430" s="556" t="s">
        <v>4173</v>
      </c>
      <c r="N430" s="214" t="s">
        <v>20</v>
      </c>
      <c r="O430" s="214" t="s">
        <v>15</v>
      </c>
      <c r="P430" s="214" t="s">
        <v>15</v>
      </c>
      <c r="Q430" s="214" t="s">
        <v>15</v>
      </c>
      <c r="R430" s="214" t="s">
        <v>15</v>
      </c>
      <c r="S430" s="214" t="s">
        <v>15</v>
      </c>
      <c r="T430" s="214" t="s">
        <v>15</v>
      </c>
      <c r="U430" s="214" t="s">
        <v>15</v>
      </c>
      <c r="V430" s="214" t="s">
        <v>15</v>
      </c>
      <c r="W430" s="214" t="s">
        <v>15</v>
      </c>
      <c r="X430" s="214" t="s">
        <v>15</v>
      </c>
      <c r="Y430" s="214" t="s">
        <v>15</v>
      </c>
      <c r="Z430" s="234"/>
      <c r="AA430" s="214" t="s">
        <v>303</v>
      </c>
      <c r="AB430" s="214" t="s">
        <v>292</v>
      </c>
      <c r="AC430" s="214" t="s">
        <v>292</v>
      </c>
      <c r="AD430" s="320" t="s">
        <v>944</v>
      </c>
      <c r="AE430" s="320" t="s">
        <v>918</v>
      </c>
      <c r="AF430" s="162">
        <f t="shared" si="27"/>
        <v>46.002622225253702</v>
      </c>
      <c r="AG430" s="162" t="str">
        <f t="shared" si="28"/>
        <v/>
      </c>
      <c r="AH430" s="164">
        <f t="shared" si="29"/>
        <v>6.574509848502073</v>
      </c>
      <c r="AI430" s="164" t="str">
        <f t="shared" si="30"/>
        <v/>
      </c>
      <c r="AJ430" s="368"/>
      <c r="AK430" s="368"/>
      <c r="AL430" s="368"/>
      <c r="AM430" s="368"/>
      <c r="AN430" s="368"/>
      <c r="AO430" s="368"/>
      <c r="AP430" s="368"/>
      <c r="AQ430" s="368"/>
      <c r="AR430" s="368"/>
      <c r="AS430" s="194">
        <f>24.28/0.724/0.729</f>
        <v>46.002622225253702</v>
      </c>
      <c r="AT430" s="195"/>
      <c r="AU430" s="377"/>
      <c r="AV430" s="382"/>
      <c r="AW430" s="426"/>
      <c r="AX430" s="426"/>
      <c r="AY430" s="426"/>
      <c r="AZ430" s="426"/>
      <c r="BA430" s="426"/>
      <c r="BB430" s="426"/>
      <c r="BC430" s="426"/>
      <c r="BD430" s="426"/>
      <c r="BE430" s="426"/>
      <c r="BF430" s="468">
        <f>3.47/0.724/0.729</f>
        <v>6.574509848502073</v>
      </c>
      <c r="BG430" s="467"/>
      <c r="BH430" s="335" t="s">
        <v>951</v>
      </c>
      <c r="BI430" s="446" t="s">
        <v>946</v>
      </c>
      <c r="BJ430" s="505"/>
    </row>
    <row r="431" spans="1:62" ht="15.75" customHeight="1" thickBot="1" x14ac:dyDescent="0.25">
      <c r="A431" s="176">
        <v>430</v>
      </c>
      <c r="B431" s="175">
        <v>1</v>
      </c>
      <c r="C431" s="166" t="s">
        <v>24</v>
      </c>
      <c r="D431" s="166" t="s">
        <v>269</v>
      </c>
      <c r="E431" s="166" t="s">
        <v>13</v>
      </c>
      <c r="F431" s="166" t="s">
        <v>952</v>
      </c>
      <c r="G431" s="166" t="s">
        <v>122</v>
      </c>
      <c r="H431" s="166" t="s">
        <v>108</v>
      </c>
      <c r="I431" s="181">
        <v>2011</v>
      </c>
      <c r="J431" s="181" t="s">
        <v>953</v>
      </c>
      <c r="K431" s="181" t="s">
        <v>954</v>
      </c>
      <c r="L431" s="181" t="s">
        <v>104</v>
      </c>
      <c r="M431" s="556" t="s">
        <v>4174</v>
      </c>
      <c r="N431" s="214" t="s">
        <v>20</v>
      </c>
      <c r="O431" s="214" t="s">
        <v>15</v>
      </c>
      <c r="P431" s="214" t="s">
        <v>20</v>
      </c>
      <c r="Q431" s="214" t="s">
        <v>20</v>
      </c>
      <c r="R431" s="214" t="s">
        <v>15</v>
      </c>
      <c r="S431" s="214" t="s">
        <v>15</v>
      </c>
      <c r="T431" s="214" t="s">
        <v>15</v>
      </c>
      <c r="U431" s="214" t="s">
        <v>15</v>
      </c>
      <c r="V431" s="214" t="s">
        <v>15</v>
      </c>
      <c r="W431" s="214" t="s">
        <v>15</v>
      </c>
      <c r="X431" s="214" t="s">
        <v>15</v>
      </c>
      <c r="Y431" s="214" t="s">
        <v>15</v>
      </c>
      <c r="Z431" s="234"/>
      <c r="AA431" s="214" t="s">
        <v>933</v>
      </c>
      <c r="AB431" s="214" t="s">
        <v>292</v>
      </c>
      <c r="AC431" s="214" t="s">
        <v>292</v>
      </c>
      <c r="AD431" s="320" t="s">
        <v>275</v>
      </c>
      <c r="AE431" s="320" t="s">
        <v>276</v>
      </c>
      <c r="AF431" s="162" t="str">
        <f t="shared" si="27"/>
        <v/>
      </c>
      <c r="AG431" s="162" t="str">
        <f t="shared" si="28"/>
        <v/>
      </c>
      <c r="AH431" s="164" t="str">
        <f t="shared" si="29"/>
        <v/>
      </c>
      <c r="AI431" s="164" t="str">
        <f t="shared" si="30"/>
        <v/>
      </c>
      <c r="AJ431" s="368"/>
      <c r="AK431" s="368"/>
      <c r="AL431" s="368"/>
      <c r="AM431" s="368"/>
      <c r="AN431" s="368"/>
      <c r="AO431" s="368"/>
      <c r="AP431" s="368"/>
      <c r="AQ431" s="368"/>
      <c r="AR431" s="368"/>
      <c r="AS431" s="199"/>
      <c r="AT431" s="195"/>
      <c r="AU431" s="377"/>
      <c r="AV431" s="382"/>
      <c r="AW431" s="426"/>
      <c r="AX431" s="426"/>
      <c r="AY431" s="426"/>
      <c r="AZ431" s="426"/>
      <c r="BA431" s="426"/>
      <c r="BB431" s="426"/>
      <c r="BC431" s="426"/>
      <c r="BD431" s="426"/>
      <c r="BE431" s="426"/>
      <c r="BF431" s="469"/>
      <c r="BG431" s="467">
        <f>4.7/0.729</f>
        <v>6.4471879286694103</v>
      </c>
      <c r="BH431" s="341"/>
      <c r="BI431" s="446" t="s">
        <v>733</v>
      </c>
      <c r="BJ431" s="505"/>
    </row>
    <row r="432" spans="1:62" ht="15.75" customHeight="1" thickBot="1" x14ac:dyDescent="0.25">
      <c r="A432" s="174">
        <v>431</v>
      </c>
      <c r="B432" s="175">
        <v>1</v>
      </c>
      <c r="C432" s="166" t="s">
        <v>24</v>
      </c>
      <c r="D432" s="166" t="s">
        <v>269</v>
      </c>
      <c r="E432" s="166" t="s">
        <v>13</v>
      </c>
      <c r="F432" s="166" t="s">
        <v>955</v>
      </c>
      <c r="G432" s="166" t="s">
        <v>122</v>
      </c>
      <c r="H432" s="166" t="s">
        <v>108</v>
      </c>
      <c r="I432" s="181">
        <v>2011</v>
      </c>
      <c r="J432" s="181" t="s">
        <v>953</v>
      </c>
      <c r="K432" s="181" t="s">
        <v>954</v>
      </c>
      <c r="L432" s="181" t="s">
        <v>104</v>
      </c>
      <c r="M432" s="556" t="s">
        <v>4174</v>
      </c>
      <c r="N432" s="214" t="s">
        <v>20</v>
      </c>
      <c r="O432" s="214" t="s">
        <v>15</v>
      </c>
      <c r="P432" s="214" t="s">
        <v>20</v>
      </c>
      <c r="Q432" s="214" t="s">
        <v>20</v>
      </c>
      <c r="R432" s="214" t="s">
        <v>15</v>
      </c>
      <c r="S432" s="214" t="s">
        <v>15</v>
      </c>
      <c r="T432" s="214" t="s">
        <v>15</v>
      </c>
      <c r="U432" s="214" t="s">
        <v>15</v>
      </c>
      <c r="V432" s="214" t="s">
        <v>15</v>
      </c>
      <c r="W432" s="214" t="s">
        <v>15</v>
      </c>
      <c r="X432" s="214" t="s">
        <v>15</v>
      </c>
      <c r="Y432" s="214" t="s">
        <v>15</v>
      </c>
      <c r="Z432" s="234"/>
      <c r="AA432" s="214" t="s">
        <v>933</v>
      </c>
      <c r="AB432" s="214" t="s">
        <v>292</v>
      </c>
      <c r="AC432" s="214" t="s">
        <v>292</v>
      </c>
      <c r="AD432" s="320" t="s">
        <v>275</v>
      </c>
      <c r="AE432" s="320" t="s">
        <v>276</v>
      </c>
      <c r="AF432" s="162" t="str">
        <f t="shared" si="27"/>
        <v/>
      </c>
      <c r="AG432" s="162" t="str">
        <f t="shared" si="28"/>
        <v/>
      </c>
      <c r="AH432" s="164" t="str">
        <f t="shared" si="29"/>
        <v/>
      </c>
      <c r="AI432" s="164" t="str">
        <f t="shared" si="30"/>
        <v/>
      </c>
      <c r="AJ432" s="368"/>
      <c r="AK432" s="368"/>
      <c r="AL432" s="368"/>
      <c r="AM432" s="368"/>
      <c r="AN432" s="368"/>
      <c r="AO432" s="368"/>
      <c r="AP432" s="368"/>
      <c r="AQ432" s="368"/>
      <c r="AR432" s="368"/>
      <c r="AS432" s="199"/>
      <c r="AT432" s="195"/>
      <c r="AU432" s="377"/>
      <c r="AV432" s="382"/>
      <c r="AW432" s="426"/>
      <c r="AX432" s="426"/>
      <c r="AY432" s="426"/>
      <c r="AZ432" s="426"/>
      <c r="BA432" s="426"/>
      <c r="BB432" s="426"/>
      <c r="BC432" s="426"/>
      <c r="BD432" s="426"/>
      <c r="BE432" s="426"/>
      <c r="BF432" s="469"/>
      <c r="BG432" s="468">
        <f>2.2/0.729</f>
        <v>3.0178326474622774</v>
      </c>
      <c r="BH432" s="341"/>
      <c r="BI432" s="446" t="s">
        <v>956</v>
      </c>
      <c r="BJ432" s="505"/>
    </row>
    <row r="433" spans="1:62" ht="15.75" customHeight="1" thickBot="1" x14ac:dyDescent="0.25">
      <c r="A433" s="176">
        <v>432</v>
      </c>
      <c r="B433" s="175">
        <v>1</v>
      </c>
      <c r="C433" s="166" t="s">
        <v>24</v>
      </c>
      <c r="D433" s="166" t="s">
        <v>283</v>
      </c>
      <c r="E433" s="166" t="s">
        <v>13</v>
      </c>
      <c r="F433" s="167"/>
      <c r="G433" s="166" t="s">
        <v>292</v>
      </c>
      <c r="H433" s="166" t="s">
        <v>351</v>
      </c>
      <c r="I433" s="181">
        <v>2008</v>
      </c>
      <c r="J433" s="181" t="s">
        <v>957</v>
      </c>
      <c r="K433" s="181" t="s">
        <v>958</v>
      </c>
      <c r="L433" s="181" t="s">
        <v>19</v>
      </c>
      <c r="M433" s="556" t="s">
        <v>4175</v>
      </c>
      <c r="N433" s="214" t="s">
        <v>20</v>
      </c>
      <c r="O433" s="214" t="s">
        <v>15</v>
      </c>
      <c r="P433" s="214" t="s">
        <v>15</v>
      </c>
      <c r="Q433" s="214" t="s">
        <v>15</v>
      </c>
      <c r="R433" s="214" t="s">
        <v>15</v>
      </c>
      <c r="S433" s="214" t="s">
        <v>15</v>
      </c>
      <c r="T433" s="214" t="s">
        <v>15</v>
      </c>
      <c r="U433" s="214" t="s">
        <v>15</v>
      </c>
      <c r="V433" s="214" t="s">
        <v>15</v>
      </c>
      <c r="W433" s="214" t="s">
        <v>15</v>
      </c>
      <c r="X433" s="214" t="s">
        <v>15</v>
      </c>
      <c r="Y433" s="214" t="s">
        <v>15</v>
      </c>
      <c r="Z433" s="234"/>
      <c r="AA433" s="214" t="s">
        <v>303</v>
      </c>
      <c r="AB433" s="214" t="s">
        <v>292</v>
      </c>
      <c r="AC433" s="214" t="s">
        <v>122</v>
      </c>
      <c r="AD433" s="320" t="s">
        <v>959</v>
      </c>
      <c r="AE433" s="320" t="s">
        <v>960</v>
      </c>
      <c r="AF433" s="162">
        <f t="shared" si="27"/>
        <v>26.712499999999995</v>
      </c>
      <c r="AG433" s="162" t="str">
        <f t="shared" si="28"/>
        <v/>
      </c>
      <c r="AH433" s="164">
        <f t="shared" si="29"/>
        <v>2.4910714285714284</v>
      </c>
      <c r="AI433" s="164" t="str">
        <f t="shared" si="30"/>
        <v/>
      </c>
      <c r="AJ433" s="368"/>
      <c r="AK433" s="368"/>
      <c r="AL433" s="368"/>
      <c r="AM433" s="368"/>
      <c r="AN433" s="368"/>
      <c r="AO433" s="368"/>
      <c r="AP433" s="368"/>
      <c r="AQ433" s="368"/>
      <c r="AR433" s="368"/>
      <c r="AS433" s="199">
        <f>14959/1000/0.56</f>
        <v>26.712499999999995</v>
      </c>
      <c r="AT433" s="195"/>
      <c r="AU433" s="378" t="s">
        <v>961</v>
      </c>
      <c r="AV433" s="382"/>
      <c r="AW433" s="426"/>
      <c r="AX433" s="426"/>
      <c r="AY433" s="426"/>
      <c r="AZ433" s="426"/>
      <c r="BA433" s="426"/>
      <c r="BB433" s="426"/>
      <c r="BC433" s="426"/>
      <c r="BD433" s="426"/>
      <c r="BE433" s="426"/>
      <c r="BF433" s="467">
        <f>1395/1000/0.56</f>
        <v>2.4910714285714284</v>
      </c>
      <c r="BG433" s="467"/>
      <c r="BH433" s="341"/>
      <c r="BI433" s="446" t="s">
        <v>962</v>
      </c>
      <c r="BJ433" s="505"/>
    </row>
    <row r="434" spans="1:62" ht="15.75" customHeight="1" thickBot="1" x14ac:dyDescent="0.25">
      <c r="A434" s="174">
        <v>433</v>
      </c>
      <c r="B434" s="175">
        <v>1</v>
      </c>
      <c r="C434" s="166" t="s">
        <v>24</v>
      </c>
      <c r="D434" s="166" t="s">
        <v>283</v>
      </c>
      <c r="E434" s="166" t="s">
        <v>13</v>
      </c>
      <c r="F434" s="166" t="s">
        <v>963</v>
      </c>
      <c r="G434" s="166" t="s">
        <v>292</v>
      </c>
      <c r="H434" s="166" t="s">
        <v>183</v>
      </c>
      <c r="I434" s="181">
        <v>2009</v>
      </c>
      <c r="J434" s="181" t="s">
        <v>964</v>
      </c>
      <c r="K434" s="181" t="s">
        <v>965</v>
      </c>
      <c r="L434" s="181" t="s">
        <v>19</v>
      </c>
      <c r="M434" s="556" t="s">
        <v>4176</v>
      </c>
      <c r="N434" s="214" t="s">
        <v>20</v>
      </c>
      <c r="O434" s="214" t="s">
        <v>15</v>
      </c>
      <c r="P434" s="214" t="s">
        <v>15</v>
      </c>
      <c r="Q434" s="214" t="s">
        <v>15</v>
      </c>
      <c r="R434" s="214" t="s">
        <v>15</v>
      </c>
      <c r="S434" s="214" t="s">
        <v>15</v>
      </c>
      <c r="T434" s="214" t="s">
        <v>15</v>
      </c>
      <c r="U434" s="214" t="s">
        <v>15</v>
      </c>
      <c r="V434" s="214" t="s">
        <v>15</v>
      </c>
      <c r="W434" s="214" t="s">
        <v>15</v>
      </c>
      <c r="X434" s="214" t="s">
        <v>15</v>
      </c>
      <c r="Y434" s="214" t="s">
        <v>15</v>
      </c>
      <c r="Z434" s="234"/>
      <c r="AA434" s="214" t="s">
        <v>303</v>
      </c>
      <c r="AB434" s="214" t="s">
        <v>292</v>
      </c>
      <c r="AC434" s="214" t="s">
        <v>292</v>
      </c>
      <c r="AD434" s="320" t="s">
        <v>304</v>
      </c>
      <c r="AE434" s="320" t="s">
        <v>966</v>
      </c>
      <c r="AF434" s="162" t="str">
        <f t="shared" si="27"/>
        <v/>
      </c>
      <c r="AG434" s="162" t="str">
        <f t="shared" si="28"/>
        <v/>
      </c>
      <c r="AH434" s="164">
        <f t="shared" si="29"/>
        <v>1.7857142857142856</v>
      </c>
      <c r="AI434" s="164" t="str">
        <f t="shared" si="30"/>
        <v/>
      </c>
      <c r="AJ434" s="368"/>
      <c r="AK434" s="368"/>
      <c r="AL434" s="368"/>
      <c r="AM434" s="368"/>
      <c r="AN434" s="368"/>
      <c r="AO434" s="368"/>
      <c r="AP434" s="368"/>
      <c r="AQ434" s="368"/>
      <c r="AR434" s="368"/>
      <c r="AS434" s="199"/>
      <c r="AT434" s="195"/>
      <c r="AU434" s="377"/>
      <c r="AV434" s="382"/>
      <c r="AW434" s="426"/>
      <c r="AX434" s="426"/>
      <c r="AY434" s="426"/>
      <c r="AZ434" s="426"/>
      <c r="BA434" s="426"/>
      <c r="BB434" s="426"/>
      <c r="BC434" s="426"/>
      <c r="BD434" s="426"/>
      <c r="BE434" s="426"/>
      <c r="BF434" s="468">
        <f>1/0.56</f>
        <v>1.7857142857142856</v>
      </c>
      <c r="BG434" s="467"/>
      <c r="BH434" s="341"/>
      <c r="BI434" s="446"/>
      <c r="BJ434" s="505"/>
    </row>
    <row r="435" spans="1:62" ht="15.75" customHeight="1" thickBot="1" x14ac:dyDescent="0.25">
      <c r="A435" s="176">
        <v>434</v>
      </c>
      <c r="B435" s="175">
        <v>1</v>
      </c>
      <c r="C435" s="166" t="s">
        <v>24</v>
      </c>
      <c r="D435" s="166" t="s">
        <v>967</v>
      </c>
      <c r="E435" s="166" t="s">
        <v>13</v>
      </c>
      <c r="F435" s="166" t="s">
        <v>963</v>
      </c>
      <c r="G435" s="166" t="s">
        <v>292</v>
      </c>
      <c r="H435" s="166" t="s">
        <v>183</v>
      </c>
      <c r="I435" s="181">
        <v>2009</v>
      </c>
      <c r="J435" s="181" t="s">
        <v>964</v>
      </c>
      <c r="K435" s="181" t="s">
        <v>965</v>
      </c>
      <c r="L435" s="181" t="s">
        <v>19</v>
      </c>
      <c r="M435" s="556" t="s">
        <v>4176</v>
      </c>
      <c r="N435" s="214" t="s">
        <v>20</v>
      </c>
      <c r="O435" s="214" t="s">
        <v>15</v>
      </c>
      <c r="P435" s="214" t="s">
        <v>15</v>
      </c>
      <c r="Q435" s="214" t="s">
        <v>15</v>
      </c>
      <c r="R435" s="214" t="s">
        <v>15</v>
      </c>
      <c r="S435" s="214" t="s">
        <v>15</v>
      </c>
      <c r="T435" s="214" t="s">
        <v>15</v>
      </c>
      <c r="U435" s="214" t="s">
        <v>15</v>
      </c>
      <c r="V435" s="214" t="s">
        <v>15</v>
      </c>
      <c r="W435" s="214" t="s">
        <v>15</v>
      </c>
      <c r="X435" s="214" t="s">
        <v>15</v>
      </c>
      <c r="Y435" s="214" t="s">
        <v>15</v>
      </c>
      <c r="Z435" s="234"/>
      <c r="AA435" s="214" t="s">
        <v>303</v>
      </c>
      <c r="AB435" s="214" t="s">
        <v>292</v>
      </c>
      <c r="AC435" s="214" t="s">
        <v>292</v>
      </c>
      <c r="AD435" s="320" t="s">
        <v>304</v>
      </c>
      <c r="AE435" s="320" t="s">
        <v>966</v>
      </c>
      <c r="AF435" s="162" t="str">
        <f t="shared" si="27"/>
        <v/>
      </c>
      <c r="AG435" s="162" t="str">
        <f t="shared" si="28"/>
        <v/>
      </c>
      <c r="AH435" s="164">
        <f t="shared" si="29"/>
        <v>2.5714285714285712</v>
      </c>
      <c r="AI435" s="164" t="str">
        <f t="shared" si="30"/>
        <v/>
      </c>
      <c r="AJ435" s="368"/>
      <c r="AK435" s="368"/>
      <c r="AL435" s="368"/>
      <c r="AM435" s="368"/>
      <c r="AN435" s="368"/>
      <c r="AO435" s="368"/>
      <c r="AP435" s="368"/>
      <c r="AQ435" s="368"/>
      <c r="AR435" s="368"/>
      <c r="AS435" s="199"/>
      <c r="AT435" s="195"/>
      <c r="AU435" s="377"/>
      <c r="AV435" s="382"/>
      <c r="AW435" s="426"/>
      <c r="AX435" s="426"/>
      <c r="AY435" s="426"/>
      <c r="AZ435" s="426"/>
      <c r="BA435" s="426"/>
      <c r="BB435" s="426"/>
      <c r="BC435" s="426"/>
      <c r="BD435" s="426"/>
      <c r="BE435" s="426"/>
      <c r="BF435" s="468">
        <f>1.44/0.56</f>
        <v>2.5714285714285712</v>
      </c>
      <c r="BG435" s="467"/>
      <c r="BH435" s="341"/>
      <c r="BI435" s="446"/>
      <c r="BJ435" s="505"/>
    </row>
    <row r="436" spans="1:62" ht="15.75" customHeight="1" thickBot="1" x14ac:dyDescent="0.25">
      <c r="A436" s="174">
        <v>435</v>
      </c>
      <c r="B436" s="175">
        <v>1</v>
      </c>
      <c r="C436" s="166" t="s">
        <v>24</v>
      </c>
      <c r="D436" s="166" t="s">
        <v>283</v>
      </c>
      <c r="E436" s="166" t="s">
        <v>13</v>
      </c>
      <c r="F436" s="166" t="s">
        <v>968</v>
      </c>
      <c r="G436" s="166" t="s">
        <v>122</v>
      </c>
      <c r="H436" s="166" t="s">
        <v>108</v>
      </c>
      <c r="I436" s="181">
        <v>2012</v>
      </c>
      <c r="J436" s="181" t="s">
        <v>969</v>
      </c>
      <c r="K436" s="181" t="s">
        <v>970</v>
      </c>
      <c r="L436" s="181" t="s">
        <v>19</v>
      </c>
      <c r="M436" s="556" t="s">
        <v>4177</v>
      </c>
      <c r="N436" s="214" t="s">
        <v>20</v>
      </c>
      <c r="O436" s="214" t="s">
        <v>15</v>
      </c>
      <c r="P436" s="214" t="s">
        <v>15</v>
      </c>
      <c r="Q436" s="214" t="s">
        <v>15</v>
      </c>
      <c r="R436" s="214" t="s">
        <v>15</v>
      </c>
      <c r="S436" s="214" t="s">
        <v>15</v>
      </c>
      <c r="T436" s="214" t="s">
        <v>15</v>
      </c>
      <c r="U436" s="214" t="s">
        <v>15</v>
      </c>
      <c r="V436" s="214" t="s">
        <v>15</v>
      </c>
      <c r="W436" s="214" t="s">
        <v>15</v>
      </c>
      <c r="X436" s="214" t="s">
        <v>15</v>
      </c>
      <c r="Y436" s="214" t="s">
        <v>15</v>
      </c>
      <c r="Z436" s="234"/>
      <c r="AA436" s="214" t="s">
        <v>303</v>
      </c>
      <c r="AB436" s="214" t="s">
        <v>292</v>
      </c>
      <c r="AC436" s="214" t="s">
        <v>292</v>
      </c>
      <c r="AD436" s="320" t="s">
        <v>971</v>
      </c>
      <c r="AE436" s="320" t="s">
        <v>485</v>
      </c>
      <c r="AF436" s="162">
        <f t="shared" si="27"/>
        <v>25.37</v>
      </c>
      <c r="AG436" s="162" t="str">
        <f t="shared" si="28"/>
        <v/>
      </c>
      <c r="AH436" s="164">
        <f t="shared" si="29"/>
        <v>4.41</v>
      </c>
      <c r="AI436" s="164" t="str">
        <f t="shared" si="30"/>
        <v/>
      </c>
      <c r="AJ436" s="368"/>
      <c r="AK436" s="368"/>
      <c r="AL436" s="368"/>
      <c r="AM436" s="368"/>
      <c r="AN436" s="368"/>
      <c r="AO436" s="368"/>
      <c r="AP436" s="368"/>
      <c r="AQ436" s="368"/>
      <c r="AR436" s="368"/>
      <c r="AS436" s="194">
        <v>25.37</v>
      </c>
      <c r="AT436" s="195"/>
      <c r="AU436" s="377"/>
      <c r="AV436" s="382"/>
      <c r="AW436" s="426"/>
      <c r="AX436" s="426"/>
      <c r="AY436" s="426"/>
      <c r="AZ436" s="426"/>
      <c r="BA436" s="426"/>
      <c r="BB436" s="426"/>
      <c r="BC436" s="426"/>
      <c r="BD436" s="426"/>
      <c r="BE436" s="426"/>
      <c r="BF436" s="468">
        <v>4.41</v>
      </c>
      <c r="BG436" s="467"/>
      <c r="BH436" s="335" t="s">
        <v>972</v>
      </c>
      <c r="BI436" s="446" t="s">
        <v>47</v>
      </c>
      <c r="BJ436" s="505"/>
    </row>
    <row r="437" spans="1:62" ht="15.75" customHeight="1" thickBot="1" x14ac:dyDescent="0.25">
      <c r="A437" s="176">
        <v>436</v>
      </c>
      <c r="B437" s="175">
        <v>1</v>
      </c>
      <c r="C437" s="166" t="s">
        <v>24</v>
      </c>
      <c r="D437" s="166" t="s">
        <v>283</v>
      </c>
      <c r="E437" s="166" t="s">
        <v>13</v>
      </c>
      <c r="F437" s="166" t="s">
        <v>460</v>
      </c>
      <c r="G437" s="166" t="s">
        <v>122</v>
      </c>
      <c r="H437" s="166" t="s">
        <v>108</v>
      </c>
      <c r="I437" s="181">
        <v>2012</v>
      </c>
      <c r="J437" s="181" t="s">
        <v>969</v>
      </c>
      <c r="K437" s="181" t="s">
        <v>970</v>
      </c>
      <c r="L437" s="181" t="s">
        <v>19</v>
      </c>
      <c r="M437" s="556" t="s">
        <v>4177</v>
      </c>
      <c r="N437" s="214" t="s">
        <v>20</v>
      </c>
      <c r="O437" s="214" t="s">
        <v>15</v>
      </c>
      <c r="P437" s="214" t="s">
        <v>15</v>
      </c>
      <c r="Q437" s="214" t="s">
        <v>15</v>
      </c>
      <c r="R437" s="214" t="s">
        <v>15</v>
      </c>
      <c r="S437" s="214" t="s">
        <v>15</v>
      </c>
      <c r="T437" s="214" t="s">
        <v>15</v>
      </c>
      <c r="U437" s="214" t="s">
        <v>15</v>
      </c>
      <c r="V437" s="214" t="s">
        <v>15</v>
      </c>
      <c r="W437" s="214" t="s">
        <v>15</v>
      </c>
      <c r="X437" s="214" t="s">
        <v>15</v>
      </c>
      <c r="Y437" s="214" t="s">
        <v>15</v>
      </c>
      <c r="Z437" s="234"/>
      <c r="AA437" s="214" t="s">
        <v>303</v>
      </c>
      <c r="AB437" s="214" t="s">
        <v>292</v>
      </c>
      <c r="AC437" s="214" t="s">
        <v>292</v>
      </c>
      <c r="AD437" s="320" t="s">
        <v>971</v>
      </c>
      <c r="AE437" s="320" t="s">
        <v>485</v>
      </c>
      <c r="AF437" s="162">
        <f t="shared" si="27"/>
        <v>25.65</v>
      </c>
      <c r="AG437" s="162" t="str">
        <f t="shared" si="28"/>
        <v/>
      </c>
      <c r="AH437" s="164">
        <f t="shared" si="29"/>
        <v>5.13</v>
      </c>
      <c r="AI437" s="164" t="str">
        <f t="shared" si="30"/>
        <v/>
      </c>
      <c r="AJ437" s="368"/>
      <c r="AK437" s="368"/>
      <c r="AL437" s="368"/>
      <c r="AM437" s="368"/>
      <c r="AN437" s="368"/>
      <c r="AO437" s="368"/>
      <c r="AP437" s="368"/>
      <c r="AQ437" s="368"/>
      <c r="AR437" s="368"/>
      <c r="AS437" s="194">
        <v>25.65</v>
      </c>
      <c r="AT437" s="195"/>
      <c r="AU437" s="377"/>
      <c r="AV437" s="382"/>
      <c r="AW437" s="426"/>
      <c r="AX437" s="426"/>
      <c r="AY437" s="426"/>
      <c r="AZ437" s="426"/>
      <c r="BA437" s="426"/>
      <c r="BB437" s="426"/>
      <c r="BC437" s="426"/>
      <c r="BD437" s="426"/>
      <c r="BE437" s="426"/>
      <c r="BF437" s="468">
        <v>5.13</v>
      </c>
      <c r="BG437" s="467"/>
      <c r="BH437" s="335" t="s">
        <v>973</v>
      </c>
      <c r="BI437" s="446" t="s">
        <v>733</v>
      </c>
      <c r="BJ437" s="505"/>
    </row>
    <row r="438" spans="1:62" ht="15.75" customHeight="1" thickBot="1" x14ac:dyDescent="0.25">
      <c r="A438" s="174">
        <v>437</v>
      </c>
      <c r="B438" s="175">
        <v>1</v>
      </c>
      <c r="C438" s="166" t="s">
        <v>24</v>
      </c>
      <c r="D438" s="166" t="s">
        <v>283</v>
      </c>
      <c r="E438" s="166" t="s">
        <v>13</v>
      </c>
      <c r="F438" s="166" t="s">
        <v>379</v>
      </c>
      <c r="G438" s="166" t="s">
        <v>122</v>
      </c>
      <c r="H438" s="166" t="s">
        <v>108</v>
      </c>
      <c r="I438" s="181">
        <v>2012</v>
      </c>
      <c r="J438" s="181" t="s">
        <v>969</v>
      </c>
      <c r="K438" s="181" t="s">
        <v>970</v>
      </c>
      <c r="L438" s="181" t="s">
        <v>19</v>
      </c>
      <c r="M438" s="556" t="s">
        <v>4177</v>
      </c>
      <c r="N438" s="214" t="s">
        <v>20</v>
      </c>
      <c r="O438" s="214" t="s">
        <v>15</v>
      </c>
      <c r="P438" s="214" t="s">
        <v>15</v>
      </c>
      <c r="Q438" s="214" t="s">
        <v>15</v>
      </c>
      <c r="R438" s="214" t="s">
        <v>15</v>
      </c>
      <c r="S438" s="214" t="s">
        <v>15</v>
      </c>
      <c r="T438" s="214" t="s">
        <v>15</v>
      </c>
      <c r="U438" s="214" t="s">
        <v>15</v>
      </c>
      <c r="V438" s="214" t="s">
        <v>15</v>
      </c>
      <c r="W438" s="214" t="s">
        <v>15</v>
      </c>
      <c r="X438" s="214" t="s">
        <v>15</v>
      </c>
      <c r="Y438" s="214" t="s">
        <v>15</v>
      </c>
      <c r="Z438" s="234"/>
      <c r="AA438" s="214" t="s">
        <v>303</v>
      </c>
      <c r="AB438" s="214" t="s">
        <v>292</v>
      </c>
      <c r="AC438" s="214" t="s">
        <v>292</v>
      </c>
      <c r="AD438" s="320" t="s">
        <v>971</v>
      </c>
      <c r="AE438" s="320" t="s">
        <v>485</v>
      </c>
      <c r="AF438" s="162">
        <f t="shared" si="27"/>
        <v>40.340000000000003</v>
      </c>
      <c r="AG438" s="162" t="str">
        <f t="shared" si="28"/>
        <v/>
      </c>
      <c r="AH438" s="164">
        <f t="shared" si="29"/>
        <v>5.66</v>
      </c>
      <c r="AI438" s="164" t="str">
        <f t="shared" si="30"/>
        <v/>
      </c>
      <c r="AJ438" s="368"/>
      <c r="AK438" s="368"/>
      <c r="AL438" s="368"/>
      <c r="AM438" s="368"/>
      <c r="AN438" s="368"/>
      <c r="AO438" s="368"/>
      <c r="AP438" s="368"/>
      <c r="AQ438" s="368"/>
      <c r="AR438" s="368"/>
      <c r="AS438" s="194">
        <v>40.340000000000003</v>
      </c>
      <c r="AT438" s="195"/>
      <c r="AU438" s="377"/>
      <c r="AV438" s="382"/>
      <c r="AW438" s="426"/>
      <c r="AX438" s="426"/>
      <c r="AY438" s="426"/>
      <c r="AZ438" s="426"/>
      <c r="BA438" s="426"/>
      <c r="BB438" s="426"/>
      <c r="BC438" s="426"/>
      <c r="BD438" s="426"/>
      <c r="BE438" s="426"/>
      <c r="BF438" s="468">
        <v>5.66</v>
      </c>
      <c r="BG438" s="467"/>
      <c r="BH438" s="335" t="s">
        <v>974</v>
      </c>
      <c r="BI438" s="446" t="s">
        <v>956</v>
      </c>
      <c r="BJ438" s="505"/>
    </row>
    <row r="439" spans="1:62" ht="15.75" customHeight="1" thickBot="1" x14ac:dyDescent="0.25">
      <c r="A439" s="176">
        <v>438</v>
      </c>
      <c r="B439" s="175">
        <v>1</v>
      </c>
      <c r="C439" s="166" t="s">
        <v>975</v>
      </c>
      <c r="D439" s="168" t="s">
        <v>3058</v>
      </c>
      <c r="E439" s="166" t="s">
        <v>778</v>
      </c>
      <c r="F439" s="166" t="s">
        <v>976</v>
      </c>
      <c r="G439" s="166" t="s">
        <v>292</v>
      </c>
      <c r="H439" s="166" t="s">
        <v>73</v>
      </c>
      <c r="I439" s="181">
        <v>2005</v>
      </c>
      <c r="J439" s="181" t="s">
        <v>977</v>
      </c>
      <c r="K439" s="181" t="s">
        <v>978</v>
      </c>
      <c r="L439" s="181" t="s">
        <v>19</v>
      </c>
      <c r="M439" s="556" t="s">
        <v>4178</v>
      </c>
      <c r="N439" s="214" t="s">
        <v>20</v>
      </c>
      <c r="O439" s="214" t="s">
        <v>15</v>
      </c>
      <c r="P439" s="214" t="s">
        <v>20</v>
      </c>
      <c r="Q439" s="214" t="s">
        <v>15</v>
      </c>
      <c r="R439" s="214" t="s">
        <v>15</v>
      </c>
      <c r="S439" s="214" t="s">
        <v>15</v>
      </c>
      <c r="T439" s="214" t="s">
        <v>15</v>
      </c>
      <c r="U439" s="214" t="s">
        <v>15</v>
      </c>
      <c r="V439" s="214" t="s">
        <v>15</v>
      </c>
      <c r="W439" s="214" t="s">
        <v>15</v>
      </c>
      <c r="X439" s="214" t="s">
        <v>15</v>
      </c>
      <c r="Y439" s="214" t="s">
        <v>15</v>
      </c>
      <c r="Z439" s="234"/>
      <c r="AA439" s="214" t="s">
        <v>979</v>
      </c>
      <c r="AB439" s="214" t="s">
        <v>292</v>
      </c>
      <c r="AC439" s="214" t="s">
        <v>292</v>
      </c>
      <c r="AD439" s="323" t="s">
        <v>980</v>
      </c>
      <c r="AE439" s="320" t="s">
        <v>2437</v>
      </c>
      <c r="AF439" s="162" t="str">
        <f t="shared" si="27"/>
        <v/>
      </c>
      <c r="AG439" s="162" t="str">
        <f t="shared" si="28"/>
        <v/>
      </c>
      <c r="AH439" s="164" t="str">
        <f t="shared" si="29"/>
        <v/>
      </c>
      <c r="AI439" s="164" t="str">
        <f t="shared" si="30"/>
        <v/>
      </c>
      <c r="AJ439" s="368"/>
      <c r="AK439" s="368"/>
      <c r="AL439" s="368"/>
      <c r="AM439" s="368"/>
      <c r="AN439" s="368"/>
      <c r="AO439" s="368"/>
      <c r="AP439" s="368"/>
      <c r="AQ439" s="368"/>
      <c r="AR439" s="368"/>
      <c r="AS439" s="199"/>
      <c r="AT439" s="195"/>
      <c r="AU439" s="377"/>
      <c r="AV439" s="382"/>
      <c r="AW439" s="426"/>
      <c r="AX439" s="426"/>
      <c r="AY439" s="426"/>
      <c r="AZ439" s="426"/>
      <c r="BA439" s="426"/>
      <c r="BB439" s="426"/>
      <c r="BC439" s="426"/>
      <c r="BD439" s="426"/>
      <c r="BE439" s="426"/>
      <c r="BF439" s="467"/>
      <c r="BG439" s="468">
        <f>1.8/0.58</f>
        <v>3.1034482758620694</v>
      </c>
      <c r="BH439" s="341"/>
      <c r="BI439" s="447"/>
      <c r="BJ439" s="505"/>
    </row>
    <row r="440" spans="1:62" ht="15.75" customHeight="1" thickBot="1" x14ac:dyDescent="0.25">
      <c r="A440" s="174">
        <v>439</v>
      </c>
      <c r="B440" s="175">
        <v>1</v>
      </c>
      <c r="C440" s="166" t="s">
        <v>975</v>
      </c>
      <c r="D440" s="168" t="s">
        <v>3056</v>
      </c>
      <c r="E440" s="166" t="s">
        <v>13</v>
      </c>
      <c r="F440" s="168" t="s">
        <v>2360</v>
      </c>
      <c r="G440" s="166" t="s">
        <v>122</v>
      </c>
      <c r="H440" s="166" t="s">
        <v>981</v>
      </c>
      <c r="I440" s="181">
        <v>2009</v>
      </c>
      <c r="J440" s="181" t="s">
        <v>982</v>
      </c>
      <c r="K440" s="181" t="s">
        <v>983</v>
      </c>
      <c r="L440" s="181" t="s">
        <v>19</v>
      </c>
      <c r="M440" s="556" t="s">
        <v>4179</v>
      </c>
      <c r="N440" s="214" t="s">
        <v>20</v>
      </c>
      <c r="O440" s="214" t="s">
        <v>15</v>
      </c>
      <c r="P440" s="214" t="s">
        <v>15</v>
      </c>
      <c r="Q440" s="214" t="s">
        <v>15</v>
      </c>
      <c r="R440" s="214" t="s">
        <v>15</v>
      </c>
      <c r="S440" s="214" t="s">
        <v>15</v>
      </c>
      <c r="T440" s="214" t="s">
        <v>15</v>
      </c>
      <c r="U440" s="214" t="s">
        <v>15</v>
      </c>
      <c r="V440" s="214" t="s">
        <v>15</v>
      </c>
      <c r="W440" s="214" t="s">
        <v>15</v>
      </c>
      <c r="X440" s="214" t="s">
        <v>15</v>
      </c>
      <c r="Y440" s="214" t="s">
        <v>15</v>
      </c>
      <c r="Z440" s="234"/>
      <c r="AA440" s="214" t="s">
        <v>984</v>
      </c>
      <c r="AB440" s="214" t="s">
        <v>292</v>
      </c>
      <c r="AC440" s="214" t="s">
        <v>292</v>
      </c>
      <c r="AD440" s="323" t="s">
        <v>985</v>
      </c>
      <c r="AE440" s="320" t="s">
        <v>2439</v>
      </c>
      <c r="AF440" s="162">
        <f t="shared" si="27"/>
        <v>53.644615384615385</v>
      </c>
      <c r="AG440" s="162" t="str">
        <f t="shared" si="28"/>
        <v/>
      </c>
      <c r="AH440" s="164">
        <f t="shared" si="29"/>
        <v>3.1</v>
      </c>
      <c r="AI440" s="164" t="str">
        <f t="shared" si="30"/>
        <v/>
      </c>
      <c r="AJ440" s="368"/>
      <c r="AK440" s="368"/>
      <c r="AL440" s="368"/>
      <c r="AM440" s="368"/>
      <c r="AN440" s="368"/>
      <c r="AO440" s="368"/>
      <c r="AP440" s="368"/>
      <c r="AQ440" s="368"/>
      <c r="AR440" s="368"/>
      <c r="AS440" s="199">
        <f>34869/1000/0.65</f>
        <v>53.644615384615385</v>
      </c>
      <c r="AT440" s="195"/>
      <c r="AU440" s="377"/>
      <c r="AV440" s="382"/>
      <c r="AW440" s="426"/>
      <c r="AX440" s="426"/>
      <c r="AY440" s="426"/>
      <c r="AZ440" s="426"/>
      <c r="BA440" s="426"/>
      <c r="BB440" s="426"/>
      <c r="BC440" s="426"/>
      <c r="BD440" s="426"/>
      <c r="BE440" s="426"/>
      <c r="BF440" s="467">
        <f>2015/1000/0.65</f>
        <v>3.1</v>
      </c>
      <c r="BG440" s="469"/>
      <c r="BH440" s="341"/>
      <c r="BI440" s="447"/>
      <c r="BJ440" s="505"/>
    </row>
    <row r="441" spans="1:62" ht="15.75" customHeight="1" thickBot="1" x14ac:dyDescent="0.25">
      <c r="A441" s="176">
        <v>440</v>
      </c>
      <c r="B441" s="175">
        <v>1</v>
      </c>
      <c r="C441" s="166" t="s">
        <v>975</v>
      </c>
      <c r="D441" s="168" t="s">
        <v>3056</v>
      </c>
      <c r="E441" s="166" t="s">
        <v>13</v>
      </c>
      <c r="F441" s="168" t="s">
        <v>2361</v>
      </c>
      <c r="G441" s="166" t="s">
        <v>122</v>
      </c>
      <c r="H441" s="166" t="s">
        <v>165</v>
      </c>
      <c r="I441" s="181">
        <v>2009</v>
      </c>
      <c r="J441" s="181" t="s">
        <v>982</v>
      </c>
      <c r="K441" s="181" t="s">
        <v>983</v>
      </c>
      <c r="L441" s="181" t="s">
        <v>19</v>
      </c>
      <c r="M441" s="556" t="s">
        <v>4179</v>
      </c>
      <c r="N441" s="214" t="s">
        <v>20</v>
      </c>
      <c r="O441" s="214" t="s">
        <v>15</v>
      </c>
      <c r="P441" s="214" t="s">
        <v>15</v>
      </c>
      <c r="Q441" s="214" t="s">
        <v>15</v>
      </c>
      <c r="R441" s="214" t="s">
        <v>15</v>
      </c>
      <c r="S441" s="214" t="s">
        <v>15</v>
      </c>
      <c r="T441" s="214" t="s">
        <v>15</v>
      </c>
      <c r="U441" s="214" t="s">
        <v>15</v>
      </c>
      <c r="V441" s="214" t="s">
        <v>15</v>
      </c>
      <c r="W441" s="214" t="s">
        <v>15</v>
      </c>
      <c r="X441" s="214" t="s">
        <v>15</v>
      </c>
      <c r="Y441" s="214" t="s">
        <v>15</v>
      </c>
      <c r="Z441" s="234"/>
      <c r="AA441" s="214" t="s">
        <v>984</v>
      </c>
      <c r="AB441" s="214" t="s">
        <v>292</v>
      </c>
      <c r="AC441" s="214" t="s">
        <v>292</v>
      </c>
      <c r="AD441" s="323" t="s">
        <v>985</v>
      </c>
      <c r="AE441" s="320" t="s">
        <v>2439</v>
      </c>
      <c r="AF441" s="162">
        <f t="shared" si="27"/>
        <v>97.233846153846144</v>
      </c>
      <c r="AG441" s="162" t="str">
        <f t="shared" si="28"/>
        <v/>
      </c>
      <c r="AH441" s="164">
        <f t="shared" si="29"/>
        <v>3.1430769230769231</v>
      </c>
      <c r="AI441" s="164" t="str">
        <f t="shared" si="30"/>
        <v/>
      </c>
      <c r="AJ441" s="368"/>
      <c r="AK441" s="368"/>
      <c r="AL441" s="368"/>
      <c r="AM441" s="368"/>
      <c r="AN441" s="368"/>
      <c r="AO441" s="368"/>
      <c r="AP441" s="368"/>
      <c r="AQ441" s="368"/>
      <c r="AR441" s="368"/>
      <c r="AS441" s="199">
        <f>63202/1000/0.65</f>
        <v>97.233846153846144</v>
      </c>
      <c r="AT441" s="195"/>
      <c r="AU441" s="377"/>
      <c r="AV441" s="382"/>
      <c r="AW441" s="426"/>
      <c r="AX441" s="426"/>
      <c r="AY441" s="426"/>
      <c r="AZ441" s="426"/>
      <c r="BA441" s="426"/>
      <c r="BB441" s="426"/>
      <c r="BC441" s="426"/>
      <c r="BD441" s="426"/>
      <c r="BE441" s="426"/>
      <c r="BF441" s="467">
        <f>2043/1000/0.65</f>
        <v>3.1430769230769231</v>
      </c>
      <c r="BG441" s="469"/>
      <c r="BH441" s="341"/>
      <c r="BI441" s="447"/>
      <c r="BJ441" s="505"/>
    </row>
    <row r="442" spans="1:62" ht="15.75" customHeight="1" thickBot="1" x14ac:dyDescent="0.25">
      <c r="A442" s="174">
        <v>441</v>
      </c>
      <c r="B442" s="175">
        <v>1</v>
      </c>
      <c r="C442" s="166" t="s">
        <v>975</v>
      </c>
      <c r="D442" s="168" t="s">
        <v>3060</v>
      </c>
      <c r="E442" s="166" t="s">
        <v>13</v>
      </c>
      <c r="F442" s="166" t="s">
        <v>986</v>
      </c>
      <c r="G442" s="166" t="s">
        <v>292</v>
      </c>
      <c r="H442" s="166" t="s">
        <v>73</v>
      </c>
      <c r="I442" s="181">
        <v>2010</v>
      </c>
      <c r="J442" s="181" t="s">
        <v>987</v>
      </c>
      <c r="K442" s="181" t="s">
        <v>988</v>
      </c>
      <c r="L442" s="181" t="s">
        <v>19</v>
      </c>
      <c r="M442" s="556" t="s">
        <v>4180</v>
      </c>
      <c r="N442" s="214" t="s">
        <v>20</v>
      </c>
      <c r="O442" s="214" t="s">
        <v>15</v>
      </c>
      <c r="P442" s="214" t="s">
        <v>20</v>
      </c>
      <c r="Q442" s="214" t="s">
        <v>20</v>
      </c>
      <c r="R442" s="214" t="s">
        <v>20</v>
      </c>
      <c r="S442" s="214" t="s">
        <v>20</v>
      </c>
      <c r="T442" s="214" t="s">
        <v>15</v>
      </c>
      <c r="U442" s="214" t="s">
        <v>15</v>
      </c>
      <c r="V442" s="214" t="s">
        <v>15</v>
      </c>
      <c r="W442" s="214" t="s">
        <v>15</v>
      </c>
      <c r="X442" s="214" t="s">
        <v>15</v>
      </c>
      <c r="Y442" s="214" t="s">
        <v>15</v>
      </c>
      <c r="Z442" s="234"/>
      <c r="AA442" s="234"/>
      <c r="AB442" s="214" t="s">
        <v>292</v>
      </c>
      <c r="AC442" s="214" t="s">
        <v>122</v>
      </c>
      <c r="AD442" s="320" t="s">
        <v>989</v>
      </c>
      <c r="AE442" s="319"/>
      <c r="AF442" s="162" t="str">
        <f t="shared" si="27"/>
        <v/>
      </c>
      <c r="AG442" s="162" t="str">
        <f t="shared" si="28"/>
        <v/>
      </c>
      <c r="AH442" s="164">
        <f t="shared" si="29"/>
        <v>2.5019999999999998</v>
      </c>
      <c r="AI442" s="164">
        <f t="shared" si="30"/>
        <v>13.622</v>
      </c>
      <c r="AJ442" s="368"/>
      <c r="AK442" s="368"/>
      <c r="AL442" s="368"/>
      <c r="AM442" s="368"/>
      <c r="AN442" s="368"/>
      <c r="AO442" s="368"/>
      <c r="AP442" s="368"/>
      <c r="AQ442" s="368"/>
      <c r="AR442" s="368"/>
      <c r="AS442" s="195"/>
      <c r="AT442" s="195"/>
      <c r="AU442" s="377"/>
      <c r="AV442" s="382"/>
      <c r="AW442" s="426">
        <f>BG442*0.18</f>
        <v>2.5019999999999998</v>
      </c>
      <c r="AX442" s="426">
        <f>BG442*0.8</f>
        <v>11.120000000000001</v>
      </c>
      <c r="AY442" s="426"/>
      <c r="AZ442" s="426"/>
      <c r="BA442" s="426"/>
      <c r="BB442" s="426"/>
      <c r="BC442" s="426">
        <f>0.02*BG442</f>
        <v>0.27800000000000002</v>
      </c>
      <c r="BD442" s="426"/>
      <c r="BE442" s="426"/>
      <c r="BF442" s="469">
        <v>2.5019999999999998</v>
      </c>
      <c r="BG442" s="469">
        <v>13.9</v>
      </c>
      <c r="BH442" s="341"/>
      <c r="BI442" s="446" t="s">
        <v>990</v>
      </c>
      <c r="BJ442" s="505"/>
    </row>
    <row r="443" spans="1:62" ht="15.75" customHeight="1" thickBot="1" x14ac:dyDescent="0.25">
      <c r="A443" s="176">
        <v>442</v>
      </c>
      <c r="B443" s="175">
        <v>1</v>
      </c>
      <c r="C443" s="166" t="s">
        <v>975</v>
      </c>
      <c r="D443" s="168" t="s">
        <v>3060</v>
      </c>
      <c r="E443" s="166" t="s">
        <v>196</v>
      </c>
      <c r="F443" s="166" t="s">
        <v>991</v>
      </c>
      <c r="G443" s="166" t="s">
        <v>292</v>
      </c>
      <c r="H443" s="166" t="s">
        <v>73</v>
      </c>
      <c r="I443" s="181">
        <v>2010</v>
      </c>
      <c r="J443" s="181" t="s">
        <v>987</v>
      </c>
      <c r="K443" s="181" t="s">
        <v>988</v>
      </c>
      <c r="L443" s="181" t="s">
        <v>19</v>
      </c>
      <c r="M443" s="556" t="s">
        <v>4180</v>
      </c>
      <c r="N443" s="214" t="s">
        <v>20</v>
      </c>
      <c r="O443" s="214" t="s">
        <v>15</v>
      </c>
      <c r="P443" s="214" t="s">
        <v>20</v>
      </c>
      <c r="Q443" s="214" t="s">
        <v>20</v>
      </c>
      <c r="R443" s="214" t="s">
        <v>20</v>
      </c>
      <c r="S443" s="214" t="s">
        <v>20</v>
      </c>
      <c r="T443" s="214" t="s">
        <v>15</v>
      </c>
      <c r="U443" s="214" t="s">
        <v>15</v>
      </c>
      <c r="V443" s="214" t="s">
        <v>15</v>
      </c>
      <c r="W443" s="214" t="s">
        <v>15</v>
      </c>
      <c r="X443" s="214" t="s">
        <v>15</v>
      </c>
      <c r="Y443" s="214" t="s">
        <v>15</v>
      </c>
      <c r="Z443" s="234"/>
      <c r="AA443" s="234"/>
      <c r="AB443" s="214" t="s">
        <v>292</v>
      </c>
      <c r="AC443" s="214" t="s">
        <v>122</v>
      </c>
      <c r="AD443" s="320" t="s">
        <v>989</v>
      </c>
      <c r="AE443" s="319"/>
      <c r="AF443" s="162" t="str">
        <f t="shared" si="27"/>
        <v/>
      </c>
      <c r="AG443" s="162" t="str">
        <f t="shared" si="28"/>
        <v/>
      </c>
      <c r="AH443" s="164">
        <f t="shared" si="29"/>
        <v>6.0023999999999997</v>
      </c>
      <c r="AI443" s="164">
        <f t="shared" si="30"/>
        <v>9.84</v>
      </c>
      <c r="AJ443" s="368"/>
      <c r="AK443" s="368"/>
      <c r="AL443" s="368"/>
      <c r="AM443" s="368"/>
      <c r="AN443" s="368"/>
      <c r="AO443" s="368"/>
      <c r="AP443" s="368"/>
      <c r="AQ443" s="368"/>
      <c r="AR443" s="368"/>
      <c r="AS443" s="195"/>
      <c r="AT443" s="195"/>
      <c r="AU443" s="377"/>
      <c r="AV443" s="382"/>
      <c r="AW443" s="426">
        <f>BG443*0.61</f>
        <v>6.0023999999999997</v>
      </c>
      <c r="AX443" s="426">
        <f>BG443*0.39</f>
        <v>3.8376000000000001</v>
      </c>
      <c r="AY443" s="426"/>
      <c r="AZ443" s="426"/>
      <c r="BA443" s="426"/>
      <c r="BB443" s="426"/>
      <c r="BC443" s="426"/>
      <c r="BD443" s="426"/>
      <c r="BE443" s="426"/>
      <c r="BF443" s="469">
        <v>6.0023999999999997</v>
      </c>
      <c r="BG443" s="469">
        <v>9.84</v>
      </c>
      <c r="BH443" s="341"/>
      <c r="BI443" s="446" t="s">
        <v>990</v>
      </c>
      <c r="BJ443" s="505"/>
    </row>
    <row r="444" spans="1:62" ht="15.75" customHeight="1" thickBot="1" x14ac:dyDescent="0.25">
      <c r="A444" s="174">
        <v>443</v>
      </c>
      <c r="B444" s="175">
        <v>1</v>
      </c>
      <c r="C444" s="166" t="s">
        <v>975</v>
      </c>
      <c r="D444" s="168" t="s">
        <v>3060</v>
      </c>
      <c r="E444" s="166" t="s">
        <v>778</v>
      </c>
      <c r="F444" s="166" t="s">
        <v>992</v>
      </c>
      <c r="G444" s="166" t="s">
        <v>292</v>
      </c>
      <c r="H444" s="166" t="s">
        <v>73</v>
      </c>
      <c r="I444" s="181">
        <v>2010</v>
      </c>
      <c r="J444" s="181" t="s">
        <v>987</v>
      </c>
      <c r="K444" s="181" t="s">
        <v>988</v>
      </c>
      <c r="L444" s="181" t="s">
        <v>19</v>
      </c>
      <c r="M444" s="556" t="s">
        <v>4180</v>
      </c>
      <c r="N444" s="214" t="s">
        <v>20</v>
      </c>
      <c r="O444" s="214" t="s">
        <v>15</v>
      </c>
      <c r="P444" s="214" t="s">
        <v>20</v>
      </c>
      <c r="Q444" s="214" t="s">
        <v>20</v>
      </c>
      <c r="R444" s="214" t="s">
        <v>20</v>
      </c>
      <c r="S444" s="214" t="s">
        <v>20</v>
      </c>
      <c r="T444" s="214" t="s">
        <v>15</v>
      </c>
      <c r="U444" s="214" t="s">
        <v>15</v>
      </c>
      <c r="V444" s="214" t="s">
        <v>15</v>
      </c>
      <c r="W444" s="214" t="s">
        <v>15</v>
      </c>
      <c r="X444" s="214" t="s">
        <v>15</v>
      </c>
      <c r="Y444" s="214" t="s">
        <v>15</v>
      </c>
      <c r="Z444" s="234"/>
      <c r="AA444" s="234"/>
      <c r="AB444" s="214" t="s">
        <v>292</v>
      </c>
      <c r="AC444" s="214" t="s">
        <v>122</v>
      </c>
      <c r="AD444" s="320" t="s">
        <v>989</v>
      </c>
      <c r="AE444" s="319"/>
      <c r="AF444" s="162" t="str">
        <f t="shared" si="27"/>
        <v/>
      </c>
      <c r="AG444" s="162" t="str">
        <f t="shared" si="28"/>
        <v/>
      </c>
      <c r="AH444" s="164">
        <f t="shared" si="29"/>
        <v>5.8010999999999999</v>
      </c>
      <c r="AI444" s="164">
        <f t="shared" si="30"/>
        <v>9.51</v>
      </c>
      <c r="AJ444" s="368"/>
      <c r="AK444" s="368"/>
      <c r="AL444" s="368"/>
      <c r="AM444" s="368"/>
      <c r="AN444" s="368"/>
      <c r="AO444" s="368"/>
      <c r="AP444" s="368"/>
      <c r="AQ444" s="368"/>
      <c r="AR444" s="368"/>
      <c r="AS444" s="195"/>
      <c r="AT444" s="195"/>
      <c r="AU444" s="377"/>
      <c r="AV444" s="382"/>
      <c r="AW444" s="426">
        <f>BG444*0.61</f>
        <v>5.8010999999999999</v>
      </c>
      <c r="AX444" s="426">
        <f>BG444*0.39</f>
        <v>3.7088999999999999</v>
      </c>
      <c r="AY444" s="426"/>
      <c r="AZ444" s="426"/>
      <c r="BA444" s="426"/>
      <c r="BB444" s="426"/>
      <c r="BC444" s="426"/>
      <c r="BD444" s="426"/>
      <c r="BE444" s="426"/>
      <c r="BF444" s="469">
        <v>5.8010999999999999</v>
      </c>
      <c r="BG444" s="469">
        <v>9.51</v>
      </c>
      <c r="BH444" s="341"/>
      <c r="BI444" s="446" t="s">
        <v>990</v>
      </c>
      <c r="BJ444" s="505"/>
    </row>
    <row r="445" spans="1:62" ht="15.75" customHeight="1" thickBot="1" x14ac:dyDescent="0.25">
      <c r="A445" s="176">
        <v>444</v>
      </c>
      <c r="B445" s="175">
        <v>1</v>
      </c>
      <c r="C445" s="166" t="s">
        <v>975</v>
      </c>
      <c r="D445" s="168" t="s">
        <v>3057</v>
      </c>
      <c r="E445" s="166" t="s">
        <v>13</v>
      </c>
      <c r="F445" s="168" t="s">
        <v>2362</v>
      </c>
      <c r="G445" s="166" t="s">
        <v>122</v>
      </c>
      <c r="H445" s="166" t="s">
        <v>73</v>
      </c>
      <c r="I445" s="181">
        <v>2010</v>
      </c>
      <c r="J445" s="181" t="s">
        <v>993</v>
      </c>
      <c r="K445" s="181" t="s">
        <v>994</v>
      </c>
      <c r="L445" s="181" t="s">
        <v>19</v>
      </c>
      <c r="M445" s="556" t="s">
        <v>4181</v>
      </c>
      <c r="N445" s="214" t="s">
        <v>20</v>
      </c>
      <c r="O445" s="214" t="s">
        <v>15</v>
      </c>
      <c r="P445" s="214" t="s">
        <v>15</v>
      </c>
      <c r="Q445" s="214" t="s">
        <v>15</v>
      </c>
      <c r="R445" s="214" t="s">
        <v>15</v>
      </c>
      <c r="S445" s="214" t="s">
        <v>15</v>
      </c>
      <c r="T445" s="214" t="s">
        <v>15</v>
      </c>
      <c r="U445" s="214" t="s">
        <v>15</v>
      </c>
      <c r="V445" s="214" t="s">
        <v>15</v>
      </c>
      <c r="W445" s="214" t="s">
        <v>15</v>
      </c>
      <c r="X445" s="214" t="s">
        <v>15</v>
      </c>
      <c r="Y445" s="214" t="s">
        <v>15</v>
      </c>
      <c r="Z445" s="234"/>
      <c r="AA445" s="214" t="s">
        <v>995</v>
      </c>
      <c r="AB445" s="214" t="s">
        <v>292</v>
      </c>
      <c r="AC445" s="214" t="s">
        <v>122</v>
      </c>
      <c r="AD445" s="324" t="s">
        <v>996</v>
      </c>
      <c r="AE445" s="320" t="s">
        <v>2436</v>
      </c>
      <c r="AF445" s="162" t="str">
        <f t="shared" si="27"/>
        <v/>
      </c>
      <c r="AG445" s="162" t="str">
        <f t="shared" si="28"/>
        <v/>
      </c>
      <c r="AH445" s="164" t="str">
        <f t="shared" si="29"/>
        <v/>
      </c>
      <c r="AI445" s="164" t="str">
        <f t="shared" si="30"/>
        <v/>
      </c>
      <c r="AJ445" s="368"/>
      <c r="AK445" s="368"/>
      <c r="AL445" s="368"/>
      <c r="AM445" s="368"/>
      <c r="AN445" s="368"/>
      <c r="AO445" s="368"/>
      <c r="AP445" s="368"/>
      <c r="AQ445" s="368"/>
      <c r="AR445" s="368"/>
      <c r="AS445" s="195"/>
      <c r="AT445" s="195"/>
      <c r="AU445" s="377"/>
      <c r="AV445" s="382"/>
      <c r="AW445" s="426"/>
      <c r="AX445" s="426"/>
      <c r="AY445" s="426"/>
      <c r="AZ445" s="426"/>
      <c r="BA445" s="426"/>
      <c r="BB445" s="426"/>
      <c r="BC445" s="426"/>
      <c r="BD445" s="426"/>
      <c r="BE445" s="426"/>
      <c r="BF445" s="469"/>
      <c r="BG445" s="468">
        <f>0.796/0.52</f>
        <v>1.5307692307692309</v>
      </c>
      <c r="BH445" s="341"/>
      <c r="BI445" s="446" t="s">
        <v>997</v>
      </c>
      <c r="BJ445" s="505"/>
    </row>
    <row r="446" spans="1:62" ht="15.75" customHeight="1" thickBot="1" x14ac:dyDescent="0.25">
      <c r="A446" s="174">
        <v>445</v>
      </c>
      <c r="B446" s="175">
        <v>1</v>
      </c>
      <c r="C446" s="166" t="s">
        <v>975</v>
      </c>
      <c r="D446" s="168" t="s">
        <v>3057</v>
      </c>
      <c r="E446" s="166" t="s">
        <v>13</v>
      </c>
      <c r="F446" s="168" t="s">
        <v>2363</v>
      </c>
      <c r="G446" s="166" t="s">
        <v>122</v>
      </c>
      <c r="H446" s="166" t="s">
        <v>73</v>
      </c>
      <c r="I446" s="181">
        <v>2010</v>
      </c>
      <c r="J446" s="181" t="s">
        <v>993</v>
      </c>
      <c r="K446" s="181" t="s">
        <v>994</v>
      </c>
      <c r="L446" s="181" t="s">
        <v>19</v>
      </c>
      <c r="M446" s="556" t="s">
        <v>4181</v>
      </c>
      <c r="N446" s="214" t="s">
        <v>20</v>
      </c>
      <c r="O446" s="214" t="s">
        <v>15</v>
      </c>
      <c r="P446" s="214" t="s">
        <v>15</v>
      </c>
      <c r="Q446" s="214" t="s">
        <v>15</v>
      </c>
      <c r="R446" s="214" t="s">
        <v>15</v>
      </c>
      <c r="S446" s="214" t="s">
        <v>15</v>
      </c>
      <c r="T446" s="214" t="s">
        <v>15</v>
      </c>
      <c r="U446" s="214" t="s">
        <v>15</v>
      </c>
      <c r="V446" s="214" t="s">
        <v>15</v>
      </c>
      <c r="W446" s="214" t="s">
        <v>15</v>
      </c>
      <c r="X446" s="214" t="s">
        <v>15</v>
      </c>
      <c r="Y446" s="214" t="s">
        <v>15</v>
      </c>
      <c r="Z446" s="234"/>
      <c r="AA446" s="214" t="s">
        <v>995</v>
      </c>
      <c r="AB446" s="214" t="s">
        <v>292</v>
      </c>
      <c r="AC446" s="214" t="s">
        <v>122</v>
      </c>
      <c r="AD446" s="324" t="s">
        <v>996</v>
      </c>
      <c r="AE446" s="320" t="s">
        <v>2436</v>
      </c>
      <c r="AF446" s="162" t="str">
        <f t="shared" si="27"/>
        <v/>
      </c>
      <c r="AG446" s="162" t="str">
        <f t="shared" si="28"/>
        <v/>
      </c>
      <c r="AH446" s="164" t="str">
        <f t="shared" si="29"/>
        <v/>
      </c>
      <c r="AI446" s="164" t="str">
        <f t="shared" si="30"/>
        <v/>
      </c>
      <c r="AJ446" s="368"/>
      <c r="AK446" s="368"/>
      <c r="AL446" s="368"/>
      <c r="AM446" s="368"/>
      <c r="AN446" s="368"/>
      <c r="AO446" s="368"/>
      <c r="AP446" s="368"/>
      <c r="AQ446" s="368"/>
      <c r="AR446" s="368"/>
      <c r="AS446" s="195"/>
      <c r="AT446" s="195"/>
      <c r="AU446" s="377"/>
      <c r="AV446" s="382"/>
      <c r="AW446" s="426"/>
      <c r="AX446" s="426"/>
      <c r="AY446" s="426"/>
      <c r="AZ446" s="426"/>
      <c r="BA446" s="426"/>
      <c r="BB446" s="426"/>
      <c r="BC446" s="426"/>
      <c r="BD446" s="426"/>
      <c r="BE446" s="426"/>
      <c r="BF446" s="469"/>
      <c r="BG446" s="468">
        <f>2.278/0.52</f>
        <v>4.3807692307692303</v>
      </c>
      <c r="BH446" s="341"/>
      <c r="BI446" s="446" t="s">
        <v>997</v>
      </c>
      <c r="BJ446" s="505"/>
    </row>
    <row r="447" spans="1:62" ht="15.75" customHeight="1" thickBot="1" x14ac:dyDescent="0.25">
      <c r="A447" s="176">
        <v>446</v>
      </c>
      <c r="B447" s="175">
        <v>1</v>
      </c>
      <c r="C447" s="166" t="s">
        <v>975</v>
      </c>
      <c r="D447" s="168" t="s">
        <v>3057</v>
      </c>
      <c r="E447" s="166" t="s">
        <v>13</v>
      </c>
      <c r="F447" s="168" t="s">
        <v>2364</v>
      </c>
      <c r="G447" s="166" t="s">
        <v>122</v>
      </c>
      <c r="H447" s="166" t="s">
        <v>998</v>
      </c>
      <c r="I447" s="181">
        <v>2011</v>
      </c>
      <c r="J447" s="181" t="s">
        <v>993</v>
      </c>
      <c r="K447" s="181" t="s">
        <v>994</v>
      </c>
      <c r="L447" s="181" t="s">
        <v>19</v>
      </c>
      <c r="M447" s="556" t="s">
        <v>4182</v>
      </c>
      <c r="N447" s="214" t="s">
        <v>20</v>
      </c>
      <c r="O447" s="214" t="s">
        <v>15</v>
      </c>
      <c r="P447" s="214" t="s">
        <v>20</v>
      </c>
      <c r="Q447" s="214" t="s">
        <v>20</v>
      </c>
      <c r="R447" s="214" t="s">
        <v>20</v>
      </c>
      <c r="S447" s="214" t="s">
        <v>20</v>
      </c>
      <c r="T447" s="214" t="s">
        <v>20</v>
      </c>
      <c r="U447" s="214" t="s">
        <v>20</v>
      </c>
      <c r="V447" s="214" t="s">
        <v>20</v>
      </c>
      <c r="W447" s="214" t="s">
        <v>20</v>
      </c>
      <c r="X447" s="214" t="s">
        <v>15</v>
      </c>
      <c r="Y447" s="214" t="s">
        <v>15</v>
      </c>
      <c r="Z447" s="234"/>
      <c r="AA447" s="214" t="s">
        <v>999</v>
      </c>
      <c r="AB447" s="214" t="s">
        <v>292</v>
      </c>
      <c r="AC447" s="214" t="s">
        <v>122</v>
      </c>
      <c r="AD447" s="324" t="s">
        <v>1000</v>
      </c>
      <c r="AE447" s="320" t="s">
        <v>1001</v>
      </c>
      <c r="AF447" s="162" t="str">
        <f t="shared" si="27"/>
        <v/>
      </c>
      <c r="AG447" s="162" t="str">
        <f t="shared" si="28"/>
        <v/>
      </c>
      <c r="AH447" s="164" t="str">
        <f t="shared" si="29"/>
        <v/>
      </c>
      <c r="AI447" s="164" t="str">
        <f t="shared" si="30"/>
        <v/>
      </c>
      <c r="AJ447" s="368"/>
      <c r="AK447" s="368"/>
      <c r="AL447" s="368"/>
      <c r="AM447" s="368"/>
      <c r="AN447" s="368"/>
      <c r="AO447" s="368"/>
      <c r="AP447" s="368"/>
      <c r="AQ447" s="368"/>
      <c r="AR447" s="368"/>
      <c r="AS447" s="195"/>
      <c r="AT447" s="195"/>
      <c r="AU447" s="377"/>
      <c r="AV447" s="382"/>
      <c r="AW447" s="426"/>
      <c r="AX447" s="426"/>
      <c r="AY447" s="426"/>
      <c r="AZ447" s="426"/>
      <c r="BA447" s="426"/>
      <c r="BB447" s="426"/>
      <c r="BC447" s="426"/>
      <c r="BD447" s="426"/>
      <c r="BE447" s="426"/>
      <c r="BF447" s="469"/>
      <c r="BG447" s="467">
        <f>3.83*2</f>
        <v>7.66</v>
      </c>
      <c r="BH447" s="341"/>
      <c r="BI447" s="446" t="s">
        <v>997</v>
      </c>
      <c r="BJ447" s="505"/>
    </row>
    <row r="448" spans="1:62" ht="15.75" customHeight="1" thickBot="1" x14ac:dyDescent="0.25">
      <c r="A448" s="174">
        <v>447</v>
      </c>
      <c r="B448" s="175">
        <v>1</v>
      </c>
      <c r="C448" s="166" t="s">
        <v>975</v>
      </c>
      <c r="D448" s="168" t="s">
        <v>3057</v>
      </c>
      <c r="E448" s="166" t="s">
        <v>13</v>
      </c>
      <c r="F448" s="168" t="s">
        <v>2365</v>
      </c>
      <c r="G448" s="166" t="s">
        <v>122</v>
      </c>
      <c r="H448" s="166" t="s">
        <v>998</v>
      </c>
      <c r="I448" s="181">
        <v>2011</v>
      </c>
      <c r="J448" s="181" t="s">
        <v>993</v>
      </c>
      <c r="K448" s="181" t="s">
        <v>994</v>
      </c>
      <c r="L448" s="181" t="s">
        <v>19</v>
      </c>
      <c r="M448" s="556" t="s">
        <v>4182</v>
      </c>
      <c r="N448" s="214" t="s">
        <v>20</v>
      </c>
      <c r="O448" s="214" t="s">
        <v>15</v>
      </c>
      <c r="P448" s="214" t="s">
        <v>20</v>
      </c>
      <c r="Q448" s="214" t="s">
        <v>20</v>
      </c>
      <c r="R448" s="214" t="s">
        <v>20</v>
      </c>
      <c r="S448" s="214" t="s">
        <v>20</v>
      </c>
      <c r="T448" s="214" t="s">
        <v>20</v>
      </c>
      <c r="U448" s="214" t="s">
        <v>20</v>
      </c>
      <c r="V448" s="214" t="s">
        <v>20</v>
      </c>
      <c r="W448" s="214" t="s">
        <v>20</v>
      </c>
      <c r="X448" s="214" t="s">
        <v>15</v>
      </c>
      <c r="Y448" s="214" t="s">
        <v>15</v>
      </c>
      <c r="Z448" s="234"/>
      <c r="AA448" s="214" t="s">
        <v>999</v>
      </c>
      <c r="AB448" s="214" t="s">
        <v>292</v>
      </c>
      <c r="AC448" s="214" t="s">
        <v>122</v>
      </c>
      <c r="AD448" s="324" t="s">
        <v>1000</v>
      </c>
      <c r="AE448" s="320" t="s">
        <v>1001</v>
      </c>
      <c r="AF448" s="162" t="str">
        <f t="shared" si="27"/>
        <v/>
      </c>
      <c r="AG448" s="162" t="str">
        <f t="shared" si="28"/>
        <v/>
      </c>
      <c r="AH448" s="164" t="str">
        <f t="shared" si="29"/>
        <v/>
      </c>
      <c r="AI448" s="164" t="str">
        <f t="shared" si="30"/>
        <v/>
      </c>
      <c r="AJ448" s="368"/>
      <c r="AK448" s="368"/>
      <c r="AL448" s="368"/>
      <c r="AM448" s="368"/>
      <c r="AN448" s="368"/>
      <c r="AO448" s="368"/>
      <c r="AP448" s="368"/>
      <c r="AQ448" s="368"/>
      <c r="AR448" s="368"/>
      <c r="AS448" s="195"/>
      <c r="AT448" s="195"/>
      <c r="AU448" s="377"/>
      <c r="AV448" s="382"/>
      <c r="AW448" s="426"/>
      <c r="AX448" s="426"/>
      <c r="AY448" s="426"/>
      <c r="AZ448" s="426"/>
      <c r="BA448" s="426"/>
      <c r="BB448" s="426"/>
      <c r="BC448" s="426"/>
      <c r="BD448" s="426"/>
      <c r="BE448" s="426"/>
      <c r="BF448" s="469"/>
      <c r="BG448" s="467">
        <f>5.74*2</f>
        <v>11.48</v>
      </c>
      <c r="BH448" s="341"/>
      <c r="BI448" s="446" t="s">
        <v>997</v>
      </c>
      <c r="BJ448" s="505"/>
    </row>
    <row r="449" spans="1:62" ht="15.75" customHeight="1" thickBot="1" x14ac:dyDescent="0.25">
      <c r="A449" s="176">
        <v>448</v>
      </c>
      <c r="B449" s="175">
        <v>1</v>
      </c>
      <c r="C449" s="166" t="s">
        <v>236</v>
      </c>
      <c r="D449" s="166" t="s">
        <v>597</v>
      </c>
      <c r="E449" s="166" t="s">
        <v>13</v>
      </c>
      <c r="F449" s="166" t="s">
        <v>1002</v>
      </c>
      <c r="G449" s="166" t="s">
        <v>122</v>
      </c>
      <c r="H449" s="166" t="s">
        <v>1003</v>
      </c>
      <c r="I449" s="181">
        <v>2013</v>
      </c>
      <c r="J449" s="181" t="s">
        <v>1004</v>
      </c>
      <c r="K449" s="181" t="s">
        <v>1005</v>
      </c>
      <c r="L449" s="181" t="s">
        <v>19</v>
      </c>
      <c r="M449" s="556" t="s">
        <v>4183</v>
      </c>
      <c r="N449" s="214" t="s">
        <v>20</v>
      </c>
      <c r="O449" s="214" t="s">
        <v>15</v>
      </c>
      <c r="P449" s="214" t="s">
        <v>15</v>
      </c>
      <c r="Q449" s="214" t="s">
        <v>15</v>
      </c>
      <c r="R449" s="214" t="s">
        <v>15</v>
      </c>
      <c r="S449" s="214" t="s">
        <v>15</v>
      </c>
      <c r="T449" s="214" t="s">
        <v>15</v>
      </c>
      <c r="U449" s="214" t="s">
        <v>15</v>
      </c>
      <c r="V449" s="214" t="s">
        <v>15</v>
      </c>
      <c r="W449" s="214" t="s">
        <v>15</v>
      </c>
      <c r="X449" s="214" t="s">
        <v>15</v>
      </c>
      <c r="Y449" s="214" t="s">
        <v>15</v>
      </c>
      <c r="Z449" s="214"/>
      <c r="AA449" s="214" t="s">
        <v>1006</v>
      </c>
      <c r="AB449" s="214" t="s">
        <v>15</v>
      </c>
      <c r="AC449" s="214" t="s">
        <v>15</v>
      </c>
      <c r="AD449" s="320" t="s">
        <v>1007</v>
      </c>
      <c r="AE449" s="320" t="s">
        <v>1008</v>
      </c>
      <c r="AF449" s="162" t="str">
        <f t="shared" si="27"/>
        <v/>
      </c>
      <c r="AG449" s="162" t="str">
        <f t="shared" si="28"/>
        <v/>
      </c>
      <c r="AH449" s="164" t="str">
        <f t="shared" si="29"/>
        <v/>
      </c>
      <c r="AI449" s="164" t="str">
        <f t="shared" si="30"/>
        <v/>
      </c>
      <c r="AJ449" s="368"/>
      <c r="AK449" s="368"/>
      <c r="AL449" s="368"/>
      <c r="AM449" s="368"/>
      <c r="AN449" s="368"/>
      <c r="AO449" s="368"/>
      <c r="AP449" s="368"/>
      <c r="AQ449" s="368"/>
      <c r="AR449" s="368"/>
      <c r="AS449" s="195"/>
      <c r="AT449" s="195"/>
      <c r="AU449" s="377"/>
      <c r="AV449" s="382"/>
      <c r="AW449" s="426"/>
      <c r="AX449" s="426"/>
      <c r="AY449" s="426"/>
      <c r="AZ449" s="426"/>
      <c r="BA449" s="426"/>
      <c r="BB449" s="426"/>
      <c r="BC449" s="426"/>
      <c r="BD449" s="426"/>
      <c r="BE449" s="426"/>
      <c r="BF449" s="469"/>
      <c r="BG449" s="477">
        <f>0.08414*(10/11)</f>
        <v>7.6490909090909096E-2</v>
      </c>
      <c r="BH449" s="341"/>
      <c r="BI449" s="446" t="s">
        <v>1009</v>
      </c>
      <c r="BJ449" s="505"/>
    </row>
    <row r="450" spans="1:62" ht="15.75" customHeight="1" thickBot="1" x14ac:dyDescent="0.25">
      <c r="A450" s="174">
        <v>449</v>
      </c>
      <c r="B450" s="175">
        <v>1</v>
      </c>
      <c r="C450" s="166" t="s">
        <v>236</v>
      </c>
      <c r="D450" s="166" t="s">
        <v>597</v>
      </c>
      <c r="E450" s="166" t="s">
        <v>13</v>
      </c>
      <c r="F450" s="166" t="s">
        <v>1010</v>
      </c>
      <c r="G450" s="166" t="s">
        <v>122</v>
      </c>
      <c r="H450" s="166" t="s">
        <v>1003</v>
      </c>
      <c r="I450" s="181">
        <v>2013</v>
      </c>
      <c r="J450" s="181" t="s">
        <v>1004</v>
      </c>
      <c r="K450" s="181" t="s">
        <v>1005</v>
      </c>
      <c r="L450" s="181" t="s">
        <v>19</v>
      </c>
      <c r="M450" s="556" t="s">
        <v>4183</v>
      </c>
      <c r="N450" s="214" t="s">
        <v>20</v>
      </c>
      <c r="O450" s="214" t="s">
        <v>15</v>
      </c>
      <c r="P450" s="214" t="s">
        <v>15</v>
      </c>
      <c r="Q450" s="214" t="s">
        <v>15</v>
      </c>
      <c r="R450" s="214" t="s">
        <v>15</v>
      </c>
      <c r="S450" s="214" t="s">
        <v>15</v>
      </c>
      <c r="T450" s="214" t="s">
        <v>15</v>
      </c>
      <c r="U450" s="214" t="s">
        <v>15</v>
      </c>
      <c r="V450" s="214" t="s">
        <v>15</v>
      </c>
      <c r="W450" s="214" t="s">
        <v>15</v>
      </c>
      <c r="X450" s="214" t="s">
        <v>15</v>
      </c>
      <c r="Y450" s="214" t="s">
        <v>15</v>
      </c>
      <c r="Z450" s="234"/>
      <c r="AA450" s="214" t="s">
        <v>1006</v>
      </c>
      <c r="AB450" s="214" t="s">
        <v>15</v>
      </c>
      <c r="AC450" s="214" t="s">
        <v>15</v>
      </c>
      <c r="AD450" s="320" t="s">
        <v>1007</v>
      </c>
      <c r="AE450" s="320" t="s">
        <v>1008</v>
      </c>
      <c r="AF450" s="162" t="str">
        <f t="shared" ref="AF450:AF513" si="31">IF(AS450&lt;&gt;0,AS450,"")</f>
        <v/>
      </c>
      <c r="AG450" s="162" t="str">
        <f t="shared" ref="AG450:AG465" si="32">IF(AND(SUM(AJ450:AL450)&lt;&gt;0,SUM(AJ450:AL450)&lt;&gt;AJ450),SUM(AJ450:AL450),"")</f>
        <v/>
      </c>
      <c r="AH450" s="164" t="str">
        <f t="shared" ref="AH450:AH513" si="33">IF(BF450&lt;&gt;0,BF450,"")</f>
        <v/>
      </c>
      <c r="AI450" s="164" t="str">
        <f t="shared" ref="AI450:AI513" si="34">IF(AND(SUM(AW450:AY450)&lt;&gt;0,SUM(AW450:AY450)&lt;&gt;AW450),SUM(AW450:AY450),"")</f>
        <v/>
      </c>
      <c r="AJ450" s="368"/>
      <c r="AK450" s="368"/>
      <c r="AL450" s="368"/>
      <c r="AM450" s="368"/>
      <c r="AN450" s="368"/>
      <c r="AO450" s="368"/>
      <c r="AP450" s="368"/>
      <c r="AQ450" s="368"/>
      <c r="AR450" s="368"/>
      <c r="AS450" s="195"/>
      <c r="AT450" s="195"/>
      <c r="AU450" s="377"/>
      <c r="AV450" s="382"/>
      <c r="AW450" s="426"/>
      <c r="AX450" s="426"/>
      <c r="AY450" s="426"/>
      <c r="AZ450" s="426"/>
      <c r="BA450" s="426"/>
      <c r="BB450" s="426"/>
      <c r="BC450" s="426"/>
      <c r="BD450" s="426"/>
      <c r="BE450" s="426"/>
      <c r="BF450" s="469"/>
      <c r="BG450" s="477">
        <f>0.11746*(10/11)</f>
        <v>0.10678181818181817</v>
      </c>
      <c r="BH450" s="341"/>
      <c r="BI450" s="446" t="s">
        <v>1009</v>
      </c>
      <c r="BJ450" s="505"/>
    </row>
    <row r="451" spans="1:62" ht="15.75" customHeight="1" thickBot="1" x14ac:dyDescent="0.25">
      <c r="A451" s="176">
        <v>450</v>
      </c>
      <c r="B451" s="175">
        <v>1</v>
      </c>
      <c r="C451" s="166" t="s">
        <v>236</v>
      </c>
      <c r="D451" s="166" t="s">
        <v>597</v>
      </c>
      <c r="E451" s="166" t="s">
        <v>13</v>
      </c>
      <c r="F451" s="166" t="s">
        <v>1011</v>
      </c>
      <c r="G451" s="166" t="s">
        <v>122</v>
      </c>
      <c r="H451" s="166" t="s">
        <v>1003</v>
      </c>
      <c r="I451" s="181">
        <v>2013</v>
      </c>
      <c r="J451" s="181" t="s">
        <v>1004</v>
      </c>
      <c r="K451" s="181" t="s">
        <v>1005</v>
      </c>
      <c r="L451" s="181" t="s">
        <v>19</v>
      </c>
      <c r="M451" s="556" t="s">
        <v>4183</v>
      </c>
      <c r="N451" s="214" t="s">
        <v>20</v>
      </c>
      <c r="O451" s="214" t="s">
        <v>15</v>
      </c>
      <c r="P451" s="214" t="s">
        <v>15</v>
      </c>
      <c r="Q451" s="214" t="s">
        <v>15</v>
      </c>
      <c r="R451" s="214" t="s">
        <v>15</v>
      </c>
      <c r="S451" s="214" t="s">
        <v>15</v>
      </c>
      <c r="T451" s="214" t="s">
        <v>15</v>
      </c>
      <c r="U451" s="214" t="s">
        <v>15</v>
      </c>
      <c r="V451" s="214" t="s">
        <v>15</v>
      </c>
      <c r="W451" s="214" t="s">
        <v>15</v>
      </c>
      <c r="X451" s="214" t="s">
        <v>15</v>
      </c>
      <c r="Y451" s="214" t="s">
        <v>15</v>
      </c>
      <c r="Z451" s="234"/>
      <c r="AA451" s="214" t="s">
        <v>1006</v>
      </c>
      <c r="AB451" s="214" t="s">
        <v>15</v>
      </c>
      <c r="AC451" s="214" t="s">
        <v>15</v>
      </c>
      <c r="AD451" s="320" t="s">
        <v>1007</v>
      </c>
      <c r="AE451" s="320" t="s">
        <v>1008</v>
      </c>
      <c r="AF451" s="162" t="str">
        <f t="shared" si="31"/>
        <v/>
      </c>
      <c r="AG451" s="162" t="str">
        <f t="shared" si="32"/>
        <v/>
      </c>
      <c r="AH451" s="164" t="str">
        <f t="shared" si="33"/>
        <v/>
      </c>
      <c r="AI451" s="164" t="str">
        <f t="shared" si="34"/>
        <v/>
      </c>
      <c r="AJ451" s="368"/>
      <c r="AK451" s="368"/>
      <c r="AL451" s="368"/>
      <c r="AM451" s="368"/>
      <c r="AN451" s="368"/>
      <c r="AO451" s="368"/>
      <c r="AP451" s="368"/>
      <c r="AQ451" s="368"/>
      <c r="AR451" s="368"/>
      <c r="AS451" s="195"/>
      <c r="AT451" s="195"/>
      <c r="AU451" s="377"/>
      <c r="AV451" s="382"/>
      <c r="AW451" s="426"/>
      <c r="AX451" s="426"/>
      <c r="AY451" s="426"/>
      <c r="AZ451" s="426"/>
      <c r="BA451" s="426"/>
      <c r="BB451" s="426"/>
      <c r="BC451" s="426"/>
      <c r="BD451" s="426"/>
      <c r="BE451" s="426"/>
      <c r="BF451" s="469"/>
      <c r="BG451" s="477">
        <f>0.329365*(10/11)</f>
        <v>0.29942272727272728</v>
      </c>
      <c r="BH451" s="341"/>
      <c r="BI451" s="446" t="s">
        <v>1009</v>
      </c>
      <c r="BJ451" s="505"/>
    </row>
    <row r="452" spans="1:62" ht="15.75" customHeight="1" thickBot="1" x14ac:dyDescent="0.25">
      <c r="A452" s="174">
        <v>451</v>
      </c>
      <c r="B452" s="175">
        <v>1</v>
      </c>
      <c r="C452" s="166" t="s">
        <v>596</v>
      </c>
      <c r="D452" s="166" t="s">
        <v>3052</v>
      </c>
      <c r="E452" s="166" t="s">
        <v>13</v>
      </c>
      <c r="F452" s="166" t="s">
        <v>1012</v>
      </c>
      <c r="G452" s="166" t="s">
        <v>292</v>
      </c>
      <c r="H452" s="166" t="s">
        <v>708</v>
      </c>
      <c r="I452" s="181">
        <v>2009</v>
      </c>
      <c r="J452" s="181" t="s">
        <v>1013</v>
      </c>
      <c r="K452" s="181"/>
      <c r="L452" s="181" t="s">
        <v>19</v>
      </c>
      <c r="M452" s="556" t="s">
        <v>4184</v>
      </c>
      <c r="N452" s="214" t="s">
        <v>20</v>
      </c>
      <c r="O452" s="214" t="s">
        <v>15</v>
      </c>
      <c r="P452" s="214" t="s">
        <v>20</v>
      </c>
      <c r="Q452" s="214" t="s">
        <v>20</v>
      </c>
      <c r="R452" s="214" t="s">
        <v>20</v>
      </c>
      <c r="S452" s="214" t="s">
        <v>20</v>
      </c>
      <c r="T452" s="214" t="s">
        <v>15</v>
      </c>
      <c r="U452" s="214" t="s">
        <v>15</v>
      </c>
      <c r="V452" s="214" t="s">
        <v>15</v>
      </c>
      <c r="W452" s="214" t="s">
        <v>20</v>
      </c>
      <c r="X452" s="214" t="s">
        <v>15</v>
      </c>
      <c r="Y452" s="214" t="s">
        <v>15</v>
      </c>
      <c r="Z452" s="234"/>
      <c r="AA452" s="214" t="s">
        <v>1014</v>
      </c>
      <c r="AB452" s="214" t="s">
        <v>292</v>
      </c>
      <c r="AC452" s="214" t="s">
        <v>15</v>
      </c>
      <c r="AD452" s="320" t="s">
        <v>1015</v>
      </c>
      <c r="AE452" s="320" t="s">
        <v>3306</v>
      </c>
      <c r="AF452" s="162">
        <f t="shared" si="31"/>
        <v>115</v>
      </c>
      <c r="AG452" s="162">
        <f t="shared" si="32"/>
        <v>175</v>
      </c>
      <c r="AH452" s="164">
        <f t="shared" si="33"/>
        <v>7.75</v>
      </c>
      <c r="AI452" s="164">
        <f t="shared" si="34"/>
        <v>11.35</v>
      </c>
      <c r="AJ452" s="368">
        <v>115</v>
      </c>
      <c r="AK452" s="368">
        <v>10</v>
      </c>
      <c r="AL452" s="368">
        <v>50</v>
      </c>
      <c r="AM452" s="368">
        <v>45</v>
      </c>
      <c r="AN452" s="368">
        <v>15</v>
      </c>
      <c r="AO452" s="368"/>
      <c r="AP452" s="368">
        <f>(0.3+0.4)/0.002</f>
        <v>349.99999999999994</v>
      </c>
      <c r="AQ452" s="368">
        <f>-0.005/0.002</f>
        <v>-2.5</v>
      </c>
      <c r="AR452" s="368">
        <f>(0.06+0.03)/0.002</f>
        <v>45</v>
      </c>
      <c r="AS452" s="195">
        <f>AJ452</f>
        <v>115</v>
      </c>
      <c r="AT452" s="199">
        <f>SUM(AJ452:AR452)</f>
        <v>627.5</v>
      </c>
      <c r="AU452" s="377"/>
      <c r="AW452" s="426">
        <f>(9.6+2.4+3.5)/0.002/1000</f>
        <v>7.75</v>
      </c>
      <c r="AX452" s="426">
        <f>1/1000/0.02</f>
        <v>0.05</v>
      </c>
      <c r="AY452" s="426">
        <f>7.1/1000/0.002</f>
        <v>3.55</v>
      </c>
      <c r="AZ452" s="426">
        <f>7.7/1000/0.002</f>
        <v>3.85</v>
      </c>
      <c r="BA452" s="426">
        <f>1.6/1000/0.002</f>
        <v>0.8</v>
      </c>
      <c r="BB452" s="426"/>
      <c r="BC452" s="426">
        <f>(15+20)/1000/0.002</f>
        <v>17.5</v>
      </c>
      <c r="BD452" s="426">
        <f>-2.2/1000/0.002</f>
        <v>-1.1000000000000001</v>
      </c>
      <c r="BE452" s="426">
        <f>(2+3.2)/1000/0.002</f>
        <v>2.5999999999999996</v>
      </c>
      <c r="BF452" s="469">
        <f>AW452</f>
        <v>7.75</v>
      </c>
      <c r="BG452" s="468">
        <f>SUM(AW452:BE452)</f>
        <v>35</v>
      </c>
      <c r="BH452" s="341"/>
      <c r="BI452" s="446" t="s">
        <v>47</v>
      </c>
      <c r="BJ452" s="505"/>
    </row>
    <row r="453" spans="1:62" ht="15" customHeight="1" thickBot="1" x14ac:dyDescent="0.25">
      <c r="A453" s="176">
        <v>452</v>
      </c>
      <c r="B453" s="175">
        <v>1</v>
      </c>
      <c r="C453" s="166" t="s">
        <v>596</v>
      </c>
      <c r="D453" s="166" t="s">
        <v>1928</v>
      </c>
      <c r="E453" s="166" t="s">
        <v>13</v>
      </c>
      <c r="F453" s="166" t="s">
        <v>1017</v>
      </c>
      <c r="G453" s="166" t="s">
        <v>292</v>
      </c>
      <c r="H453" s="166" t="s">
        <v>708</v>
      </c>
      <c r="I453" s="181">
        <v>2009</v>
      </c>
      <c r="J453" s="181" t="s">
        <v>1013</v>
      </c>
      <c r="K453" s="181"/>
      <c r="L453" s="181" t="s">
        <v>19</v>
      </c>
      <c r="M453" s="556" t="s">
        <v>4184</v>
      </c>
      <c r="N453" s="214" t="s">
        <v>20</v>
      </c>
      <c r="O453" s="214" t="s">
        <v>15</v>
      </c>
      <c r="P453" s="214" t="s">
        <v>20</v>
      </c>
      <c r="Q453" s="214" t="s">
        <v>20</v>
      </c>
      <c r="R453" s="214" t="s">
        <v>20</v>
      </c>
      <c r="S453" s="214" t="s">
        <v>20</v>
      </c>
      <c r="T453" s="214" t="s">
        <v>15</v>
      </c>
      <c r="U453" s="214" t="s">
        <v>15</v>
      </c>
      <c r="V453" s="214" t="s">
        <v>15</v>
      </c>
      <c r="W453" s="214" t="s">
        <v>20</v>
      </c>
      <c r="X453" s="214" t="s">
        <v>15</v>
      </c>
      <c r="Y453" s="214" t="s">
        <v>15</v>
      </c>
      <c r="Z453" s="234"/>
      <c r="AA453" s="214" t="s">
        <v>1014</v>
      </c>
      <c r="AB453" s="214" t="s">
        <v>15</v>
      </c>
      <c r="AC453" s="214" t="s">
        <v>15</v>
      </c>
      <c r="AD453" s="320" t="s">
        <v>1015</v>
      </c>
      <c r="AE453" s="320" t="s">
        <v>3307</v>
      </c>
      <c r="AF453" s="162">
        <f t="shared" si="31"/>
        <v>44.444444444444443</v>
      </c>
      <c r="AG453" s="162">
        <f t="shared" si="32"/>
        <v>55.55555555555555</v>
      </c>
      <c r="AH453" s="164">
        <f t="shared" si="33"/>
        <v>2.8740740740740738</v>
      </c>
      <c r="AI453" s="164">
        <f t="shared" si="34"/>
        <v>3.2888888888888888</v>
      </c>
      <c r="AJ453" s="368">
        <f>(0.2+0.3+0.1)/0.0135</f>
        <v>44.444444444444443</v>
      </c>
      <c r="AK453" s="368">
        <f>0.06/0.0135</f>
        <v>4.4444444444444446</v>
      </c>
      <c r="AL453" s="368">
        <f>0.09/0.0135</f>
        <v>6.6666666666666661</v>
      </c>
      <c r="AM453" s="368">
        <f>0.06/0.0135</f>
        <v>4.4444444444444446</v>
      </c>
      <c r="AN453" s="368">
        <f>0.08/0.0135</f>
        <v>5.9259259259259265</v>
      </c>
      <c r="AO453" s="368"/>
      <c r="AP453" s="368">
        <f>(0.9+0.4)/0.0135</f>
        <v>96.296296296296305</v>
      </c>
      <c r="AQ453" s="368">
        <f>-0.07/0.0135</f>
        <v>-5.185185185185186</v>
      </c>
      <c r="AR453" s="368">
        <f>(0.06+0.9)/0.0135</f>
        <v>71.111111111111114</v>
      </c>
      <c r="AS453" s="195">
        <f>AJ453</f>
        <v>44.444444444444443</v>
      </c>
      <c r="AT453" s="199">
        <f>SUM(AJ453:AR453)</f>
        <v>228.14814814814815</v>
      </c>
      <c r="AU453" s="377"/>
      <c r="AW453" s="426">
        <f>(24+6.1+8.7)/1000/0.0135</f>
        <v>2.8740740740740738</v>
      </c>
      <c r="AX453" s="426">
        <f>2.5/1000/0.0135</f>
        <v>0.1851851851851852</v>
      </c>
      <c r="AY453" s="426">
        <f>3.1/1000/0.0135</f>
        <v>0.22962962962962963</v>
      </c>
      <c r="AZ453" s="426">
        <f>2.5/1000/0.0135</f>
        <v>0.1851851851851852</v>
      </c>
      <c r="BA453" s="426">
        <f>2.7/1000/0.0135</f>
        <v>0.2</v>
      </c>
      <c r="BB453" s="426"/>
      <c r="BC453" s="426">
        <f>(44+20)/1000/0.0135</f>
        <v>4.7407407407407405</v>
      </c>
      <c r="BD453" s="426">
        <f>-3.5/1000/0.0135</f>
        <v>-0.25925925925925924</v>
      </c>
      <c r="BE453" s="426">
        <f>(2.8+3.2)/1000/0.0135</f>
        <v>0.44444444444444448</v>
      </c>
      <c r="BF453" s="469">
        <f>AW453</f>
        <v>2.8740740740740738</v>
      </c>
      <c r="BG453" s="468">
        <f>SUM(AW453:BE453)</f>
        <v>8.6</v>
      </c>
      <c r="BH453" s="341"/>
      <c r="BI453" s="446" t="s">
        <v>47</v>
      </c>
      <c r="BJ453" s="505"/>
    </row>
    <row r="454" spans="1:62" ht="15.75" customHeight="1" thickBot="1" x14ac:dyDescent="0.25">
      <c r="A454" s="174">
        <v>453</v>
      </c>
      <c r="B454" s="175">
        <v>1</v>
      </c>
      <c r="C454" s="166" t="s">
        <v>596</v>
      </c>
      <c r="D454" s="166" t="s">
        <v>1928</v>
      </c>
      <c r="E454" s="166" t="s">
        <v>13</v>
      </c>
      <c r="F454" s="166" t="s">
        <v>1018</v>
      </c>
      <c r="G454" s="166" t="s">
        <v>292</v>
      </c>
      <c r="H454" s="166" t="s">
        <v>708</v>
      </c>
      <c r="I454" s="181">
        <v>2009</v>
      </c>
      <c r="J454" s="181" t="s">
        <v>1013</v>
      </c>
      <c r="K454" s="184"/>
      <c r="L454" s="181" t="s">
        <v>19</v>
      </c>
      <c r="M454" s="556" t="s">
        <v>4184</v>
      </c>
      <c r="N454" s="214" t="s">
        <v>20</v>
      </c>
      <c r="O454" s="214" t="s">
        <v>15</v>
      </c>
      <c r="P454" s="214" t="s">
        <v>20</v>
      </c>
      <c r="Q454" s="214" t="s">
        <v>20</v>
      </c>
      <c r="R454" s="214" t="s">
        <v>20</v>
      </c>
      <c r="S454" s="214" t="s">
        <v>20</v>
      </c>
      <c r="T454" s="214" t="s">
        <v>15</v>
      </c>
      <c r="U454" s="214" t="s">
        <v>15</v>
      </c>
      <c r="V454" s="214" t="s">
        <v>15</v>
      </c>
      <c r="W454" s="214" t="s">
        <v>20</v>
      </c>
      <c r="X454" s="214" t="s">
        <v>15</v>
      </c>
      <c r="Y454" s="214" t="s">
        <v>15</v>
      </c>
      <c r="Z454" s="234"/>
      <c r="AA454" s="214" t="s">
        <v>1014</v>
      </c>
      <c r="AB454" s="214" t="s">
        <v>15</v>
      </c>
      <c r="AC454" s="214" t="s">
        <v>15</v>
      </c>
      <c r="AD454" s="320" t="s">
        <v>1015</v>
      </c>
      <c r="AE454" s="320" t="s">
        <v>2761</v>
      </c>
      <c r="AF454" s="162">
        <f t="shared" si="31"/>
        <v>73.846153846153854</v>
      </c>
      <c r="AG454" s="162">
        <f t="shared" si="32"/>
        <v>84.615384615384627</v>
      </c>
      <c r="AH454" s="164">
        <f t="shared" si="33"/>
        <v>4.2615384615384615</v>
      </c>
      <c r="AI454" s="164">
        <f t="shared" si="34"/>
        <v>4.8769230769230765</v>
      </c>
      <c r="AJ454" s="368">
        <f>(0.2+0.2+0.08)/0.0065</f>
        <v>73.846153846153854</v>
      </c>
      <c r="AK454" s="368">
        <f>0.03/0.0065</f>
        <v>4.6153846153846159</v>
      </c>
      <c r="AL454" s="368">
        <f>0.04/0.0065</f>
        <v>6.1538461538461542</v>
      </c>
      <c r="AM454" s="368">
        <f>0.5/0.0065</f>
        <v>76.92307692307692</v>
      </c>
      <c r="AN454" s="368">
        <f>0.08/0.0065</f>
        <v>12.307692307692308</v>
      </c>
      <c r="AO454" s="368"/>
      <c r="AP454" s="368">
        <f>(0.3+0.4)/0.0065</f>
        <v>107.69230769230769</v>
      </c>
      <c r="AQ454" s="368">
        <f>-0.05/0.0065</f>
        <v>-7.6923076923076934</v>
      </c>
      <c r="AR454" s="368">
        <f>(0.07+0.08)/0.0065</f>
        <v>23.07692307692308</v>
      </c>
      <c r="AS454" s="195">
        <f>AJ454</f>
        <v>73.846153846153854</v>
      </c>
      <c r="AT454" s="199">
        <f>SUM(AJ454:AR454)</f>
        <v>296.92307692307696</v>
      </c>
      <c r="AU454" s="377"/>
      <c r="AW454" s="426">
        <f>(17+4.4+6.3)/1000/0.0065</f>
        <v>4.2615384615384615</v>
      </c>
      <c r="AX454" s="426">
        <f>1.8/1000/0.0065</f>
        <v>0.27692307692307694</v>
      </c>
      <c r="AY454" s="426">
        <f>2.2/1000/0.0065</f>
        <v>0.33846153846153848</v>
      </c>
      <c r="AZ454" s="426">
        <f>21/1000/0.0065</f>
        <v>3.2307692307692313</v>
      </c>
      <c r="BA454" s="426">
        <f>4.2/1000/0.0065</f>
        <v>0.6461538461538463</v>
      </c>
      <c r="BB454" s="426"/>
      <c r="BC454" s="426">
        <f>(17+20)/1000/0.0065</f>
        <v>5.6923076923076925</v>
      </c>
      <c r="BD454" s="426">
        <f>6.2/1000/0.0065</f>
        <v>0.9538461538461539</v>
      </c>
      <c r="BE454" s="426">
        <f>(4.6+3.7)/1000/0.0065</f>
        <v>1.276923076923077</v>
      </c>
      <c r="BF454" s="469">
        <f>AW454</f>
        <v>4.2615384615384615</v>
      </c>
      <c r="BG454" s="468">
        <f>SUM(AW454:BE454)</f>
        <v>16.676923076923075</v>
      </c>
      <c r="BH454" s="341"/>
      <c r="BI454" s="446" t="s">
        <v>47</v>
      </c>
      <c r="BJ454" s="505"/>
    </row>
    <row r="455" spans="1:62" ht="15.75" customHeight="1" thickBot="1" x14ac:dyDescent="0.25">
      <c r="A455" s="176">
        <v>454</v>
      </c>
      <c r="B455" s="175">
        <v>1</v>
      </c>
      <c r="C455" s="166" t="s">
        <v>596</v>
      </c>
      <c r="D455" s="166" t="s">
        <v>1928</v>
      </c>
      <c r="E455" s="166" t="s">
        <v>13</v>
      </c>
      <c r="F455" s="166" t="s">
        <v>1019</v>
      </c>
      <c r="G455" s="166" t="s">
        <v>292</v>
      </c>
      <c r="H455" s="166" t="s">
        <v>708</v>
      </c>
      <c r="I455" s="181">
        <v>2009</v>
      </c>
      <c r="J455" s="181" t="s">
        <v>1020</v>
      </c>
      <c r="K455" s="181" t="s">
        <v>1021</v>
      </c>
      <c r="L455" s="181" t="s">
        <v>1022</v>
      </c>
      <c r="M455" s="556" t="s">
        <v>4185</v>
      </c>
      <c r="N455" s="214" t="s">
        <v>20</v>
      </c>
      <c r="O455" s="214" t="s">
        <v>15</v>
      </c>
      <c r="P455" s="214" t="s">
        <v>20</v>
      </c>
      <c r="Q455" s="214" t="s">
        <v>20</v>
      </c>
      <c r="R455" s="214" t="s">
        <v>20</v>
      </c>
      <c r="S455" s="214" t="s">
        <v>20</v>
      </c>
      <c r="T455" s="214" t="s">
        <v>15</v>
      </c>
      <c r="U455" s="214" t="s">
        <v>20</v>
      </c>
      <c r="V455" s="214" t="s">
        <v>15</v>
      </c>
      <c r="W455" s="214" t="s">
        <v>20</v>
      </c>
      <c r="X455" s="214" t="s">
        <v>15</v>
      </c>
      <c r="Y455" s="214" t="s">
        <v>15</v>
      </c>
      <c r="Z455" s="234"/>
      <c r="AA455" s="214" t="s">
        <v>1023</v>
      </c>
      <c r="AB455" s="214" t="s">
        <v>292</v>
      </c>
      <c r="AC455" s="214" t="s">
        <v>15</v>
      </c>
      <c r="AD455" s="320" t="s">
        <v>1024</v>
      </c>
      <c r="AE455" s="320" t="s">
        <v>2762</v>
      </c>
      <c r="AF455" s="162" t="str">
        <f t="shared" si="31"/>
        <v/>
      </c>
      <c r="AG455" s="162">
        <f t="shared" si="32"/>
        <v>53.571428571428569</v>
      </c>
      <c r="AH455" s="164" t="str">
        <f t="shared" si="33"/>
        <v/>
      </c>
      <c r="AI455" s="164">
        <f t="shared" si="34"/>
        <v>10.671428571428571</v>
      </c>
      <c r="AJ455" s="368"/>
      <c r="AK455" s="368"/>
      <c r="AL455" s="373">
        <f>0.375/(7/1000)</f>
        <v>53.571428571428569</v>
      </c>
      <c r="AM455" s="368">
        <f>0.0263/0.007</f>
        <v>3.7571428571428571</v>
      </c>
      <c r="AN455" s="368"/>
      <c r="AO455" s="368"/>
      <c r="AP455" s="368">
        <f>0.239/0.007</f>
        <v>34.142857142857139</v>
      </c>
      <c r="AQ455" s="368"/>
      <c r="AR455" s="368"/>
      <c r="AS455" s="195"/>
      <c r="AT455" s="199">
        <f>SUM(AJ455:AR455)</f>
        <v>91.471428571428561</v>
      </c>
      <c r="AU455" s="377"/>
      <c r="AW455" s="426"/>
      <c r="AX455" s="426"/>
      <c r="AY455" s="430">
        <f>0.0747/(7/1000)</f>
        <v>10.671428571428571</v>
      </c>
      <c r="AZ455" s="426">
        <f>0.00123/0.007</f>
        <v>0.17571428571428571</v>
      </c>
      <c r="BA455" s="426"/>
      <c r="BB455" s="426"/>
      <c r="BC455" s="426">
        <f>0.0119/0.007</f>
        <v>1.7000000000000002</v>
      </c>
      <c r="BD455" s="426"/>
      <c r="BE455" s="426"/>
      <c r="BF455" s="469"/>
      <c r="BG455" s="468">
        <f>SUM(AW455:BE455)</f>
        <v>12.547142857142855</v>
      </c>
      <c r="BH455" s="341"/>
      <c r="BI455" s="446"/>
      <c r="BJ455" s="505"/>
    </row>
    <row r="456" spans="1:62" ht="15.75" customHeight="1" thickBot="1" x14ac:dyDescent="0.25">
      <c r="A456" s="174">
        <v>455</v>
      </c>
      <c r="B456" s="175">
        <v>1</v>
      </c>
      <c r="C456" s="166" t="s">
        <v>596</v>
      </c>
      <c r="D456" s="166" t="s">
        <v>2760</v>
      </c>
      <c r="E456" s="166" t="s">
        <v>13</v>
      </c>
      <c r="F456" s="166" t="s">
        <v>1026</v>
      </c>
      <c r="G456" s="166" t="s">
        <v>292</v>
      </c>
      <c r="H456" s="166" t="s">
        <v>708</v>
      </c>
      <c r="I456" s="181">
        <v>2009</v>
      </c>
      <c r="J456" s="181" t="s">
        <v>1020</v>
      </c>
      <c r="K456" s="181" t="s">
        <v>1021</v>
      </c>
      <c r="L456" s="181" t="s">
        <v>1022</v>
      </c>
      <c r="M456" s="556" t="s">
        <v>4185</v>
      </c>
      <c r="N456" s="214" t="s">
        <v>20</v>
      </c>
      <c r="O456" s="214" t="s">
        <v>15</v>
      </c>
      <c r="P456" s="214" t="s">
        <v>20</v>
      </c>
      <c r="Q456" s="214" t="s">
        <v>20</v>
      </c>
      <c r="R456" s="214" t="s">
        <v>20</v>
      </c>
      <c r="S456" s="214" t="s">
        <v>20</v>
      </c>
      <c r="T456" s="214" t="s">
        <v>15</v>
      </c>
      <c r="U456" s="214" t="s">
        <v>20</v>
      </c>
      <c r="V456" s="214" t="s">
        <v>15</v>
      </c>
      <c r="W456" s="214" t="s">
        <v>20</v>
      </c>
      <c r="X456" s="214" t="s">
        <v>15</v>
      </c>
      <c r="Y456" s="214" t="s">
        <v>15</v>
      </c>
      <c r="Z456" s="234"/>
      <c r="AA456" s="214" t="s">
        <v>1023</v>
      </c>
      <c r="AB456" s="214" t="s">
        <v>15</v>
      </c>
      <c r="AC456" s="214" t="s">
        <v>15</v>
      </c>
      <c r="AD456" s="320" t="s">
        <v>1024</v>
      </c>
      <c r="AE456" s="320" t="s">
        <v>1025</v>
      </c>
      <c r="AF456" s="162" t="str">
        <f t="shared" si="31"/>
        <v/>
      </c>
      <c r="AG456" s="162" t="str">
        <f t="shared" si="32"/>
        <v/>
      </c>
      <c r="AH456" s="164" t="str">
        <f t="shared" si="33"/>
        <v/>
      </c>
      <c r="AI456" s="164" t="str">
        <f t="shared" si="34"/>
        <v/>
      </c>
      <c r="AJ456" s="368"/>
      <c r="AK456" s="368"/>
      <c r="AL456" s="368"/>
      <c r="AM456" s="368"/>
      <c r="AN456" s="368"/>
      <c r="AO456" s="368"/>
      <c r="AP456" s="368"/>
      <c r="AQ456" s="368"/>
      <c r="AR456" s="368"/>
      <c r="AS456" s="195"/>
      <c r="AT456" s="260">
        <f>1.42*1000/236.588</f>
        <v>6.0019950293336946</v>
      </c>
      <c r="AU456" s="377"/>
      <c r="AW456" s="426"/>
      <c r="AX456" s="426"/>
      <c r="AY456" s="426"/>
      <c r="AZ456" s="426"/>
      <c r="BA456" s="426"/>
      <c r="BB456" s="426"/>
      <c r="BC456" s="426"/>
      <c r="BD456" s="426"/>
      <c r="BE456" s="426"/>
      <c r="BF456" s="469"/>
      <c r="BG456" s="478">
        <f>0.125*1000/236.588</f>
        <v>0.52834463286388156</v>
      </c>
      <c r="BH456" s="341"/>
      <c r="BI456" s="447"/>
      <c r="BJ456" s="505"/>
    </row>
    <row r="457" spans="1:62" ht="15.75" customHeight="1" thickBot="1" x14ac:dyDescent="0.25">
      <c r="A457" s="176">
        <v>456</v>
      </c>
      <c r="B457" s="175">
        <v>1</v>
      </c>
      <c r="C457" s="166" t="s">
        <v>596</v>
      </c>
      <c r="D457" s="166" t="s">
        <v>3052</v>
      </c>
      <c r="E457" s="166" t="s">
        <v>13</v>
      </c>
      <c r="F457" s="166" t="s">
        <v>1027</v>
      </c>
      <c r="G457" s="166" t="s">
        <v>292</v>
      </c>
      <c r="H457" s="166" t="s">
        <v>708</v>
      </c>
      <c r="I457" s="181">
        <v>2009</v>
      </c>
      <c r="J457" s="181" t="s">
        <v>1020</v>
      </c>
      <c r="K457" s="181" t="s">
        <v>1021</v>
      </c>
      <c r="L457" s="181" t="s">
        <v>1022</v>
      </c>
      <c r="M457" s="556" t="s">
        <v>4185</v>
      </c>
      <c r="N457" s="214" t="s">
        <v>20</v>
      </c>
      <c r="O457" s="214" t="s">
        <v>15</v>
      </c>
      <c r="P457" s="214" t="s">
        <v>20</v>
      </c>
      <c r="Q457" s="214" t="s">
        <v>20</v>
      </c>
      <c r="R457" s="214" t="s">
        <v>20</v>
      </c>
      <c r="S457" s="214" t="s">
        <v>20</v>
      </c>
      <c r="T457" s="214" t="s">
        <v>15</v>
      </c>
      <c r="U457" s="214" t="s">
        <v>20</v>
      </c>
      <c r="V457" s="214" t="s">
        <v>15</v>
      </c>
      <c r="W457" s="214" t="s">
        <v>20</v>
      </c>
      <c r="X457" s="214" t="s">
        <v>15</v>
      </c>
      <c r="Y457" s="214" t="s">
        <v>15</v>
      </c>
      <c r="Z457" s="234"/>
      <c r="AA457" s="214" t="s">
        <v>1023</v>
      </c>
      <c r="AB457" s="214" t="s">
        <v>15</v>
      </c>
      <c r="AC457" s="214" t="s">
        <v>15</v>
      </c>
      <c r="AD457" s="320" t="s">
        <v>1024</v>
      </c>
      <c r="AE457" s="320" t="s">
        <v>2763</v>
      </c>
      <c r="AF457" s="162" t="str">
        <f t="shared" si="31"/>
        <v/>
      </c>
      <c r="AG457" s="162">
        <f t="shared" si="32"/>
        <v>187.5</v>
      </c>
      <c r="AH457" s="164" t="str">
        <f t="shared" si="33"/>
        <v/>
      </c>
      <c r="AI457" s="164">
        <f t="shared" si="34"/>
        <v>27.05</v>
      </c>
      <c r="AJ457" s="368"/>
      <c r="AK457" s="368"/>
      <c r="AL457" s="373">
        <f>0.375/(2/1000)</f>
        <v>187.5</v>
      </c>
      <c r="AM457" s="368">
        <f>0.126/0.002</f>
        <v>63</v>
      </c>
      <c r="AN457" s="368"/>
      <c r="AO457" s="368"/>
      <c r="AP457" s="368">
        <f>0.334/0.002</f>
        <v>167</v>
      </c>
      <c r="AQ457" s="368"/>
      <c r="AR457" s="368"/>
      <c r="AS457" s="195"/>
      <c r="AT457" s="199">
        <f>SUM(AJ457:AR457)</f>
        <v>417.5</v>
      </c>
      <c r="AU457" s="377"/>
      <c r="AW457" s="426"/>
      <c r="AX457" s="426"/>
      <c r="AY457" s="430">
        <f>0.0541/(2/1000)</f>
        <v>27.05</v>
      </c>
      <c r="AZ457" s="426">
        <f>0.007/0.002</f>
        <v>3.5</v>
      </c>
      <c r="BA457" s="426"/>
      <c r="BB457" s="426"/>
      <c r="BC457" s="426">
        <f>0.0178/0.002</f>
        <v>8.9</v>
      </c>
      <c r="BD457" s="426"/>
      <c r="BE457" s="426"/>
      <c r="BF457" s="469"/>
      <c r="BG457" s="468">
        <f>SUM(AW457:BE457)</f>
        <v>39.450000000000003</v>
      </c>
      <c r="BH457" s="341"/>
      <c r="BI457" s="447"/>
      <c r="BJ457" s="505"/>
    </row>
    <row r="458" spans="1:62" ht="15.75" customHeight="1" thickBot="1" x14ac:dyDescent="0.25">
      <c r="A458" s="174">
        <v>457</v>
      </c>
      <c r="B458" s="175">
        <v>1</v>
      </c>
      <c r="C458" s="166" t="s">
        <v>596</v>
      </c>
      <c r="D458" s="166" t="s">
        <v>2305</v>
      </c>
      <c r="E458" s="166" t="s">
        <v>13</v>
      </c>
      <c r="F458" s="166" t="s">
        <v>1029</v>
      </c>
      <c r="G458" s="166" t="s">
        <v>292</v>
      </c>
      <c r="H458" s="166" t="s">
        <v>793</v>
      </c>
      <c r="I458" s="181">
        <v>2015</v>
      </c>
      <c r="J458" s="181" t="s">
        <v>1030</v>
      </c>
      <c r="K458" s="181" t="s">
        <v>1031</v>
      </c>
      <c r="L458" s="181" t="s">
        <v>19</v>
      </c>
      <c r="M458" s="556" t="s">
        <v>4186</v>
      </c>
      <c r="N458" s="214" t="s">
        <v>20</v>
      </c>
      <c r="O458" s="214" t="s">
        <v>20</v>
      </c>
      <c r="P458" s="214" t="s">
        <v>20</v>
      </c>
      <c r="Q458" s="214" t="s">
        <v>20</v>
      </c>
      <c r="R458" s="214" t="s">
        <v>20</v>
      </c>
      <c r="S458" s="214" t="s">
        <v>20</v>
      </c>
      <c r="T458" s="214" t="s">
        <v>20</v>
      </c>
      <c r="U458" s="214" t="s">
        <v>15</v>
      </c>
      <c r="V458" s="214" t="s">
        <v>15</v>
      </c>
      <c r="W458" s="214" t="s">
        <v>20</v>
      </c>
      <c r="X458" s="214" t="s">
        <v>15</v>
      </c>
      <c r="Y458" s="214" t="s">
        <v>15</v>
      </c>
      <c r="Z458" s="234"/>
      <c r="AA458" s="214" t="s">
        <v>243</v>
      </c>
      <c r="AB458" s="214" t="s">
        <v>15</v>
      </c>
      <c r="AC458" s="214" t="s">
        <v>20</v>
      </c>
      <c r="AD458" s="320" t="s">
        <v>1032</v>
      </c>
      <c r="AE458" s="320" t="s">
        <v>92</v>
      </c>
      <c r="AF458" s="162" t="str">
        <f t="shared" si="31"/>
        <v/>
      </c>
      <c r="AG458" s="162" t="str">
        <f t="shared" si="32"/>
        <v/>
      </c>
      <c r="AH458" s="164">
        <f t="shared" si="33"/>
        <v>1.07</v>
      </c>
      <c r="AI458" s="164">
        <f t="shared" si="34"/>
        <v>1.1300000000000001</v>
      </c>
      <c r="AJ458" s="368"/>
      <c r="AK458" s="368"/>
      <c r="AL458" s="368"/>
      <c r="AM458" s="369"/>
      <c r="AN458" s="368"/>
      <c r="AO458" s="368"/>
      <c r="AP458" s="368"/>
      <c r="AQ458" s="368"/>
      <c r="AR458" s="368"/>
      <c r="AS458" s="195"/>
      <c r="AT458" s="199"/>
      <c r="AU458" s="377"/>
      <c r="AW458" s="426">
        <v>1.07</v>
      </c>
      <c r="AX458" s="426"/>
      <c r="AY458" s="426">
        <v>0.06</v>
      </c>
      <c r="AZ458" s="426"/>
      <c r="BA458" s="359">
        <v>0.49</v>
      </c>
      <c r="BB458" s="426"/>
      <c r="BC458" s="359">
        <v>10.46</v>
      </c>
      <c r="BD458" s="426"/>
      <c r="BE458" s="426"/>
      <c r="BF458" s="469">
        <f>AW458</f>
        <v>1.07</v>
      </c>
      <c r="BG458" s="469">
        <v>12.08</v>
      </c>
      <c r="BH458" s="341"/>
      <c r="BI458" s="446"/>
      <c r="BJ458" s="507"/>
    </row>
    <row r="459" spans="1:62" ht="15.75" customHeight="1" thickBot="1" x14ac:dyDescent="0.25">
      <c r="A459" s="176">
        <v>458</v>
      </c>
      <c r="B459" s="175">
        <v>1</v>
      </c>
      <c r="C459" s="166" t="s">
        <v>596</v>
      </c>
      <c r="D459" s="166" t="s">
        <v>2305</v>
      </c>
      <c r="E459" s="166" t="s">
        <v>13</v>
      </c>
      <c r="F459" s="166" t="s">
        <v>1033</v>
      </c>
      <c r="G459" s="166" t="s">
        <v>292</v>
      </c>
      <c r="H459" s="166" t="s">
        <v>793</v>
      </c>
      <c r="I459" s="181">
        <v>2015</v>
      </c>
      <c r="J459" s="181" t="s">
        <v>1030</v>
      </c>
      <c r="K459" s="181" t="s">
        <v>1031</v>
      </c>
      <c r="L459" s="181" t="s">
        <v>19</v>
      </c>
      <c r="M459" s="556" t="s">
        <v>4186</v>
      </c>
      <c r="N459" s="214" t="s">
        <v>20</v>
      </c>
      <c r="O459" s="214" t="s">
        <v>20</v>
      </c>
      <c r="P459" s="214" t="s">
        <v>20</v>
      </c>
      <c r="Q459" s="214" t="s">
        <v>20</v>
      </c>
      <c r="R459" s="214" t="s">
        <v>20</v>
      </c>
      <c r="S459" s="214" t="s">
        <v>20</v>
      </c>
      <c r="T459" s="214" t="s">
        <v>20</v>
      </c>
      <c r="U459" s="214" t="s">
        <v>15</v>
      </c>
      <c r="V459" s="214" t="s">
        <v>15</v>
      </c>
      <c r="W459" s="214" t="s">
        <v>20</v>
      </c>
      <c r="X459" s="214" t="s">
        <v>15</v>
      </c>
      <c r="Y459" s="214" t="s">
        <v>15</v>
      </c>
      <c r="Z459" s="234"/>
      <c r="AA459" s="214" t="s">
        <v>243</v>
      </c>
      <c r="AB459" s="214" t="s">
        <v>15</v>
      </c>
      <c r="AC459" s="214" t="s">
        <v>20</v>
      </c>
      <c r="AD459" s="320" t="s">
        <v>1032</v>
      </c>
      <c r="AE459" s="320" t="s">
        <v>92</v>
      </c>
      <c r="AF459" s="162" t="str">
        <f t="shared" si="31"/>
        <v/>
      </c>
      <c r="AG459" s="162" t="str">
        <f t="shared" si="32"/>
        <v/>
      </c>
      <c r="AH459" s="164">
        <f t="shared" si="33"/>
        <v>1.42</v>
      </c>
      <c r="AI459" s="164">
        <f t="shared" si="34"/>
        <v>1.48</v>
      </c>
      <c r="AJ459" s="368"/>
      <c r="AK459" s="368"/>
      <c r="AL459" s="368"/>
      <c r="AM459" s="369"/>
      <c r="AN459" s="368"/>
      <c r="AO459" s="368"/>
      <c r="AP459" s="368"/>
      <c r="AQ459" s="368"/>
      <c r="AR459" s="368"/>
      <c r="AS459" s="195"/>
      <c r="AT459" s="199"/>
      <c r="AU459" s="377"/>
      <c r="AW459" s="426">
        <v>1.42</v>
      </c>
      <c r="AX459" s="426"/>
      <c r="AY459" s="426">
        <v>0.06</v>
      </c>
      <c r="AZ459" s="426"/>
      <c r="BA459" s="359">
        <v>0.51</v>
      </c>
      <c r="BB459" s="426"/>
      <c r="BC459" s="359">
        <v>10.46</v>
      </c>
      <c r="BD459" s="426"/>
      <c r="BE459" s="426"/>
      <c r="BF459" s="475">
        <f>AW459</f>
        <v>1.42</v>
      </c>
      <c r="BG459" s="469">
        <v>12.45</v>
      </c>
      <c r="BH459" s="341"/>
      <c r="BI459" s="446"/>
      <c r="BJ459" s="507"/>
    </row>
    <row r="460" spans="1:62" ht="15.75" customHeight="1" thickBot="1" x14ac:dyDescent="0.25">
      <c r="A460" s="174">
        <v>459</v>
      </c>
      <c r="B460" s="175">
        <v>1</v>
      </c>
      <c r="C460" s="166" t="s">
        <v>596</v>
      </c>
      <c r="D460" s="166" t="s">
        <v>2305</v>
      </c>
      <c r="E460" s="166" t="s">
        <v>13</v>
      </c>
      <c r="F460" s="166" t="s">
        <v>2764</v>
      </c>
      <c r="G460" s="166" t="s">
        <v>122</v>
      </c>
      <c r="H460" s="166" t="s">
        <v>1034</v>
      </c>
      <c r="I460" s="181">
        <v>2010</v>
      </c>
      <c r="J460" s="181" t="s">
        <v>1035</v>
      </c>
      <c r="K460" s="181" t="s">
        <v>1036</v>
      </c>
      <c r="L460" s="181" t="s">
        <v>1022</v>
      </c>
      <c r="M460" s="556" t="s">
        <v>4187</v>
      </c>
      <c r="N460" s="214" t="s">
        <v>20</v>
      </c>
      <c r="O460" s="214" t="s">
        <v>15</v>
      </c>
      <c r="P460" s="214" t="s">
        <v>20</v>
      </c>
      <c r="Q460" s="214" t="s">
        <v>20</v>
      </c>
      <c r="R460" s="214" t="s">
        <v>20</v>
      </c>
      <c r="S460" s="214" t="s">
        <v>20</v>
      </c>
      <c r="T460" s="214" t="s">
        <v>20</v>
      </c>
      <c r="U460" s="214" t="s">
        <v>20</v>
      </c>
      <c r="V460" s="214" t="s">
        <v>15</v>
      </c>
      <c r="W460" s="214" t="s">
        <v>20</v>
      </c>
      <c r="X460" s="214" t="s">
        <v>15</v>
      </c>
      <c r="Y460" s="214" t="s">
        <v>15</v>
      </c>
      <c r="Z460" s="234"/>
      <c r="AA460" s="214" t="s">
        <v>243</v>
      </c>
      <c r="AB460" s="214" t="s">
        <v>15</v>
      </c>
      <c r="AC460" s="214" t="s">
        <v>15</v>
      </c>
      <c r="AD460" s="320" t="s">
        <v>1037</v>
      </c>
      <c r="AE460" s="320" t="s">
        <v>2766</v>
      </c>
      <c r="AF460" s="162">
        <f t="shared" si="31"/>
        <v>51.428571428571423</v>
      </c>
      <c r="AG460" s="162">
        <f t="shared" si="32"/>
        <v>51.999999999999993</v>
      </c>
      <c r="AH460" s="164">
        <f t="shared" si="33"/>
        <v>2.9142857142857146</v>
      </c>
      <c r="AI460" s="164">
        <f t="shared" si="34"/>
        <v>6.6857142857142859</v>
      </c>
      <c r="AJ460" s="374">
        <f>0.09/0.00175</f>
        <v>51.428571428571423</v>
      </c>
      <c r="AK460" s="368">
        <f>0.001/0.00175</f>
        <v>0.5714285714285714</v>
      </c>
      <c r="AL460" s="368"/>
      <c r="AM460" s="369">
        <f>0.003/0.00175</f>
        <v>1.7142857142857142</v>
      </c>
      <c r="AN460" s="368">
        <f>0/0.00175</f>
        <v>0</v>
      </c>
      <c r="AO460" s="368"/>
      <c r="AP460" s="368">
        <f>0.66/0.00175</f>
        <v>377.14285714285717</v>
      </c>
      <c r="AQ460" s="368"/>
      <c r="AR460" s="368"/>
      <c r="AS460" s="195">
        <f>AJ460</f>
        <v>51.428571428571423</v>
      </c>
      <c r="AT460" s="269">
        <f>SUM(AJ460:AR460)</f>
        <v>430.85714285714289</v>
      </c>
      <c r="AU460" s="373"/>
      <c r="AW460" s="426">
        <f>0.0051/0.00175</f>
        <v>2.9142857142857146</v>
      </c>
      <c r="AX460" s="426"/>
      <c r="AY460" s="426">
        <f>0.0066/0.00175</f>
        <v>3.7714285714285714</v>
      </c>
      <c r="AZ460" s="426">
        <f>0.004/0.00175</f>
        <v>2.2857142857142856</v>
      </c>
      <c r="BA460" s="359">
        <f>0.009/0.00175</f>
        <v>5.1428571428571423</v>
      </c>
      <c r="BB460" s="426">
        <f>0.0011/0.00175</f>
        <v>0.62857142857142856</v>
      </c>
      <c r="BC460" s="359">
        <f>0.033/0.0175</f>
        <v>1.8857142857142857</v>
      </c>
      <c r="BD460" s="426"/>
      <c r="BE460" s="426"/>
      <c r="BF460" s="479">
        <f>AW460</f>
        <v>2.9142857142857146</v>
      </c>
      <c r="BG460" s="480">
        <f>SUM(AW460:BE460)</f>
        <v>16.628571428571426</v>
      </c>
      <c r="BH460" s="341"/>
      <c r="BI460" s="446"/>
      <c r="BJ460" s="507"/>
    </row>
    <row r="461" spans="1:62" ht="15.75" customHeight="1" thickBot="1" x14ac:dyDescent="0.25">
      <c r="A461" s="176">
        <v>460</v>
      </c>
      <c r="B461" s="175">
        <v>1</v>
      </c>
      <c r="C461" s="166" t="s">
        <v>596</v>
      </c>
      <c r="D461" s="166" t="s">
        <v>1028</v>
      </c>
      <c r="E461" s="166" t="s">
        <v>13</v>
      </c>
      <c r="F461" s="166" t="s">
        <v>1039</v>
      </c>
      <c r="G461" s="166" t="s">
        <v>122</v>
      </c>
      <c r="H461" s="166" t="s">
        <v>1034</v>
      </c>
      <c r="I461" s="181">
        <v>2010</v>
      </c>
      <c r="J461" s="181" t="s">
        <v>1035</v>
      </c>
      <c r="K461" s="181" t="s">
        <v>1036</v>
      </c>
      <c r="L461" s="181" t="s">
        <v>1022</v>
      </c>
      <c r="M461" s="556" t="s">
        <v>4187</v>
      </c>
      <c r="N461" s="214" t="s">
        <v>20</v>
      </c>
      <c r="O461" s="214" t="s">
        <v>15</v>
      </c>
      <c r="P461" s="214" t="s">
        <v>20</v>
      </c>
      <c r="Q461" s="214" t="s">
        <v>20</v>
      </c>
      <c r="R461" s="214" t="s">
        <v>20</v>
      </c>
      <c r="S461" s="214" t="s">
        <v>20</v>
      </c>
      <c r="T461" s="214" t="s">
        <v>20</v>
      </c>
      <c r="U461" s="214" t="s">
        <v>20</v>
      </c>
      <c r="V461" s="214" t="s">
        <v>15</v>
      </c>
      <c r="W461" s="214" t="s">
        <v>20</v>
      </c>
      <c r="X461" s="214" t="s">
        <v>15</v>
      </c>
      <c r="Y461" s="214" t="s">
        <v>15</v>
      </c>
      <c r="Z461" s="234"/>
      <c r="AA461" s="214" t="s">
        <v>243</v>
      </c>
      <c r="AB461" s="214" t="s">
        <v>15</v>
      </c>
      <c r="AC461" s="214" t="s">
        <v>15</v>
      </c>
      <c r="AD461" s="320" t="s">
        <v>1037</v>
      </c>
      <c r="AE461" s="320" t="s">
        <v>1038</v>
      </c>
      <c r="AF461" s="162" t="str">
        <f t="shared" si="31"/>
        <v/>
      </c>
      <c r="AG461" s="162" t="str">
        <f t="shared" si="32"/>
        <v/>
      </c>
      <c r="AH461" s="164" t="str">
        <f t="shared" si="33"/>
        <v/>
      </c>
      <c r="AI461" s="164" t="str">
        <f t="shared" si="34"/>
        <v/>
      </c>
      <c r="AJ461" s="368"/>
      <c r="AK461" s="368"/>
      <c r="AL461" s="368"/>
      <c r="AM461" s="369"/>
      <c r="AN461" s="368"/>
      <c r="AO461" s="368"/>
      <c r="AP461" s="368"/>
      <c r="AQ461" s="368"/>
      <c r="AR461" s="368"/>
      <c r="AS461" s="195"/>
      <c r="AT461" s="269">
        <f>0.858*1000/250.44</f>
        <v>3.4259702922855775</v>
      </c>
      <c r="AU461" s="373"/>
      <c r="AW461" s="426"/>
      <c r="AX461" s="426"/>
      <c r="AY461" s="426"/>
      <c r="AZ461" s="337"/>
      <c r="BA461" s="359"/>
      <c r="BB461" s="426"/>
      <c r="BC461" s="359"/>
      <c r="BD461" s="426"/>
      <c r="BE461" s="426"/>
      <c r="BF461" s="479"/>
      <c r="BG461" s="480">
        <f>0.0516*1000/250.44</f>
        <v>0.20603737422137039</v>
      </c>
      <c r="BH461" s="341"/>
      <c r="BI461" s="446"/>
      <c r="BJ461" s="507"/>
    </row>
    <row r="462" spans="1:62" ht="15.75" customHeight="1" thickBot="1" x14ac:dyDescent="0.25">
      <c r="A462" s="174">
        <v>461</v>
      </c>
      <c r="B462" s="175">
        <v>1</v>
      </c>
      <c r="C462" s="166" t="s">
        <v>596</v>
      </c>
      <c r="D462" s="166" t="s">
        <v>2305</v>
      </c>
      <c r="E462" s="166" t="s">
        <v>13</v>
      </c>
      <c r="F462" s="166" t="s">
        <v>2765</v>
      </c>
      <c r="G462" s="166" t="s">
        <v>122</v>
      </c>
      <c r="H462" s="166" t="s">
        <v>1034</v>
      </c>
      <c r="I462" s="181">
        <v>2010</v>
      </c>
      <c r="J462" s="181" t="s">
        <v>1035</v>
      </c>
      <c r="K462" s="181" t="s">
        <v>1036</v>
      </c>
      <c r="L462" s="181" t="s">
        <v>1022</v>
      </c>
      <c r="M462" s="556" t="s">
        <v>4187</v>
      </c>
      <c r="N462" s="214" t="s">
        <v>20</v>
      </c>
      <c r="O462" s="214" t="s">
        <v>15</v>
      </c>
      <c r="P462" s="214" t="s">
        <v>20</v>
      </c>
      <c r="Q462" s="214" t="s">
        <v>20</v>
      </c>
      <c r="R462" s="214" t="s">
        <v>20</v>
      </c>
      <c r="S462" s="214" t="s">
        <v>20</v>
      </c>
      <c r="T462" s="214" t="s">
        <v>20</v>
      </c>
      <c r="U462" s="214" t="s">
        <v>20</v>
      </c>
      <c r="V462" s="214" t="s">
        <v>15</v>
      </c>
      <c r="W462" s="214" t="s">
        <v>20</v>
      </c>
      <c r="X462" s="214" t="s">
        <v>15</v>
      </c>
      <c r="Y462" s="214" t="s">
        <v>15</v>
      </c>
      <c r="Z462" s="234"/>
      <c r="AA462" s="214" t="s">
        <v>243</v>
      </c>
      <c r="AB462" s="214" t="s">
        <v>15</v>
      </c>
      <c r="AC462" s="214" t="s">
        <v>15</v>
      </c>
      <c r="AD462" s="320" t="s">
        <v>1037</v>
      </c>
      <c r="AE462" s="320" t="s">
        <v>2766</v>
      </c>
      <c r="AF462" s="162">
        <f t="shared" si="31"/>
        <v>57.142857142857146</v>
      </c>
      <c r="AG462" s="162">
        <f t="shared" si="32"/>
        <v>57.714285714285715</v>
      </c>
      <c r="AH462" s="164">
        <f t="shared" si="33"/>
        <v>1.7142857142857142</v>
      </c>
      <c r="AI462" s="164">
        <f t="shared" si="34"/>
        <v>5.4857142857142858</v>
      </c>
      <c r="AJ462" s="374">
        <f>0.1/0.00175</f>
        <v>57.142857142857146</v>
      </c>
      <c r="AK462" s="368">
        <f>0.001/0.00175</f>
        <v>0.5714285714285714</v>
      </c>
      <c r="AL462" s="368"/>
      <c r="AM462" s="369">
        <f>0.003/0.00175</f>
        <v>1.7142857142857142</v>
      </c>
      <c r="AN462" s="368">
        <f>0.01/0.00175</f>
        <v>5.7142857142857144</v>
      </c>
      <c r="AO462" s="368"/>
      <c r="AP462" s="368">
        <f>0.66/0.00175</f>
        <v>377.14285714285717</v>
      </c>
      <c r="AQ462" s="368"/>
      <c r="AR462" s="368"/>
      <c r="AS462" s="195">
        <f>AJ462</f>
        <v>57.142857142857146</v>
      </c>
      <c r="AT462" s="269">
        <f>SUM(AJ462:AR462)</f>
        <v>442.28571428571433</v>
      </c>
      <c r="AU462" s="373"/>
      <c r="AW462" s="426">
        <f>0.003/0.00175</f>
        <v>1.7142857142857142</v>
      </c>
      <c r="AX462" s="426"/>
      <c r="AY462" s="426">
        <f>0.0066/0.00175</f>
        <v>3.7714285714285714</v>
      </c>
      <c r="AZ462" s="426">
        <f>0.004/0.00175</f>
        <v>2.2857142857142856</v>
      </c>
      <c r="BA462" s="359">
        <f>0.009/0.00175</f>
        <v>5.1428571428571423</v>
      </c>
      <c r="BB462" s="426">
        <f>0.0011/0.00175</f>
        <v>0.62857142857142856</v>
      </c>
      <c r="BC462" s="359">
        <f>0.033/0.0175</f>
        <v>1.8857142857142857</v>
      </c>
      <c r="BD462" s="426"/>
      <c r="BE462" s="426"/>
      <c r="BF462" s="479">
        <f>AW462</f>
        <v>1.7142857142857142</v>
      </c>
      <c r="BG462" s="480">
        <f>SUM(AW462:BE462)</f>
        <v>15.428571428571429</v>
      </c>
      <c r="BH462" s="341"/>
      <c r="BI462" s="446"/>
      <c r="BJ462" s="507"/>
    </row>
    <row r="463" spans="1:62" ht="15.75" customHeight="1" thickBot="1" x14ac:dyDescent="0.25">
      <c r="A463" s="176">
        <v>462</v>
      </c>
      <c r="B463" s="175">
        <v>1</v>
      </c>
      <c r="C463" s="166" t="s">
        <v>596</v>
      </c>
      <c r="D463" s="166" t="s">
        <v>1028</v>
      </c>
      <c r="E463" s="166" t="s">
        <v>13</v>
      </c>
      <c r="F463" s="166" t="s">
        <v>1041</v>
      </c>
      <c r="G463" s="166" t="s">
        <v>122</v>
      </c>
      <c r="H463" s="166" t="s">
        <v>1034</v>
      </c>
      <c r="I463" s="181">
        <v>2010</v>
      </c>
      <c r="J463" s="181" t="s">
        <v>1035</v>
      </c>
      <c r="K463" s="181" t="s">
        <v>1036</v>
      </c>
      <c r="L463" s="181" t="s">
        <v>1022</v>
      </c>
      <c r="M463" s="556" t="s">
        <v>4187</v>
      </c>
      <c r="N463" s="214" t="s">
        <v>20</v>
      </c>
      <c r="O463" s="214" t="s">
        <v>15</v>
      </c>
      <c r="P463" s="214" t="s">
        <v>20</v>
      </c>
      <c r="Q463" s="214" t="s">
        <v>20</v>
      </c>
      <c r="R463" s="214" t="s">
        <v>20</v>
      </c>
      <c r="S463" s="214" t="s">
        <v>20</v>
      </c>
      <c r="T463" s="214" t="s">
        <v>20</v>
      </c>
      <c r="U463" s="214" t="s">
        <v>20</v>
      </c>
      <c r="V463" s="214" t="s">
        <v>15</v>
      </c>
      <c r="W463" s="214" t="s">
        <v>20</v>
      </c>
      <c r="X463" s="214" t="s">
        <v>15</v>
      </c>
      <c r="Y463" s="214" t="s">
        <v>15</v>
      </c>
      <c r="Z463" s="234"/>
      <c r="AA463" s="214" t="s">
        <v>243</v>
      </c>
      <c r="AB463" s="214" t="s">
        <v>15</v>
      </c>
      <c r="AC463" s="214" t="s">
        <v>15</v>
      </c>
      <c r="AD463" s="320" t="s">
        <v>1037</v>
      </c>
      <c r="AE463" s="320" t="s">
        <v>1038</v>
      </c>
      <c r="AF463" s="162" t="str">
        <f t="shared" si="31"/>
        <v/>
      </c>
      <c r="AG463" s="162" t="str">
        <f t="shared" si="32"/>
        <v/>
      </c>
      <c r="AH463" s="164" t="str">
        <f t="shared" si="33"/>
        <v/>
      </c>
      <c r="AI463" s="164" t="str">
        <f t="shared" si="34"/>
        <v/>
      </c>
      <c r="AJ463" s="368"/>
      <c r="AK463" s="368"/>
      <c r="AL463" s="368"/>
      <c r="AM463" s="369"/>
      <c r="AN463" s="368"/>
      <c r="AO463" s="368"/>
      <c r="AP463" s="368"/>
      <c r="AQ463" s="368"/>
      <c r="AR463" s="368"/>
      <c r="AS463" s="195"/>
      <c r="AT463" s="269">
        <f>0.865*1000/250.44</f>
        <v>3.4539210988659961</v>
      </c>
      <c r="AU463" s="373"/>
      <c r="AW463" s="426"/>
      <c r="AX463" s="426"/>
      <c r="AY463" s="426"/>
      <c r="AZ463" s="426"/>
      <c r="BA463" s="359"/>
      <c r="BB463" s="426"/>
      <c r="BC463" s="359"/>
      <c r="BD463" s="426"/>
      <c r="BE463" s="426"/>
      <c r="BF463" s="479"/>
      <c r="BG463" s="480">
        <f>0.0492*1000/250.44</f>
        <v>0.1964542405366555</v>
      </c>
      <c r="BH463" s="341"/>
      <c r="BI463" s="446"/>
      <c r="BJ463" s="507"/>
    </row>
    <row r="464" spans="1:62" ht="15.75" customHeight="1" thickBot="1" x14ac:dyDescent="0.25">
      <c r="A464" s="174">
        <v>463</v>
      </c>
      <c r="B464" s="175">
        <v>1</v>
      </c>
      <c r="C464" s="166" t="s">
        <v>596</v>
      </c>
      <c r="D464" s="166" t="s">
        <v>1028</v>
      </c>
      <c r="E464" s="166" t="s">
        <v>13</v>
      </c>
      <c r="F464" s="166" t="s">
        <v>1042</v>
      </c>
      <c r="G464" s="166" t="s">
        <v>122</v>
      </c>
      <c r="H464" s="166" t="s">
        <v>1034</v>
      </c>
      <c r="I464" s="181">
        <v>2010</v>
      </c>
      <c r="J464" s="181" t="s">
        <v>1035</v>
      </c>
      <c r="K464" s="181" t="s">
        <v>1036</v>
      </c>
      <c r="L464" s="181" t="s">
        <v>1022</v>
      </c>
      <c r="M464" s="556" t="s">
        <v>4187</v>
      </c>
      <c r="N464" s="214" t="s">
        <v>20</v>
      </c>
      <c r="O464" s="214" t="s">
        <v>15</v>
      </c>
      <c r="P464" s="214" t="s">
        <v>20</v>
      </c>
      <c r="Q464" s="214" t="s">
        <v>20</v>
      </c>
      <c r="R464" s="214" t="s">
        <v>20</v>
      </c>
      <c r="S464" s="214" t="s">
        <v>15</v>
      </c>
      <c r="T464" s="214" t="s">
        <v>15</v>
      </c>
      <c r="U464" s="214" t="s">
        <v>15</v>
      </c>
      <c r="V464" s="214" t="s">
        <v>15</v>
      </c>
      <c r="W464" s="214" t="s">
        <v>20</v>
      </c>
      <c r="X464" s="214" t="s">
        <v>15</v>
      </c>
      <c r="Y464" s="214" t="s">
        <v>15</v>
      </c>
      <c r="Z464" s="234"/>
      <c r="AA464" s="214" t="s">
        <v>243</v>
      </c>
      <c r="AB464" s="214" t="s">
        <v>15</v>
      </c>
      <c r="AC464" s="214" t="s">
        <v>15</v>
      </c>
      <c r="AD464" s="320" t="s">
        <v>1037</v>
      </c>
      <c r="AE464" s="320" t="s">
        <v>1038</v>
      </c>
      <c r="AF464" s="162" t="str">
        <f t="shared" si="31"/>
        <v/>
      </c>
      <c r="AG464" s="162" t="str">
        <f t="shared" si="32"/>
        <v/>
      </c>
      <c r="AH464" s="164" t="str">
        <f t="shared" si="33"/>
        <v/>
      </c>
      <c r="AI464" s="164" t="str">
        <f t="shared" si="34"/>
        <v/>
      </c>
      <c r="AJ464" s="368"/>
      <c r="AK464" s="368"/>
      <c r="AL464" s="368"/>
      <c r="AM464" s="369"/>
      <c r="AN464" s="368"/>
      <c r="AO464" s="368"/>
      <c r="AP464" s="368"/>
      <c r="AQ464" s="368"/>
      <c r="AR464" s="368"/>
      <c r="AS464" s="195"/>
      <c r="AT464" s="269">
        <f>0.76*1000/250.44</f>
        <v>3.0346590001597189</v>
      </c>
      <c r="AU464" s="373"/>
      <c r="AW464" s="426"/>
      <c r="AX464" s="426"/>
      <c r="AY464" s="426"/>
      <c r="AZ464" s="426"/>
      <c r="BA464" s="359"/>
      <c r="BB464" s="426"/>
      <c r="BC464" s="359"/>
      <c r="BD464" s="426"/>
      <c r="BE464" s="426"/>
      <c r="BF464" s="479"/>
      <c r="BG464" s="480">
        <f>0.046*1000/250.44</f>
        <v>0.18367672895703563</v>
      </c>
      <c r="BH464" s="341"/>
      <c r="BI464" s="446"/>
      <c r="BJ464" s="507"/>
    </row>
    <row r="465" spans="1:62" ht="15.75" customHeight="1" thickBot="1" x14ac:dyDescent="0.25">
      <c r="A465" s="176">
        <v>464</v>
      </c>
      <c r="B465" s="175">
        <v>1</v>
      </c>
      <c r="C465" s="166" t="s">
        <v>596</v>
      </c>
      <c r="D465" s="166" t="s">
        <v>1043</v>
      </c>
      <c r="E465" s="166" t="s">
        <v>13</v>
      </c>
      <c r="F465" s="166" t="s">
        <v>1044</v>
      </c>
      <c r="G465" s="166" t="s">
        <v>292</v>
      </c>
      <c r="H465" s="166" t="s">
        <v>108</v>
      </c>
      <c r="I465" s="181">
        <v>2012</v>
      </c>
      <c r="J465" s="181" t="s">
        <v>1045</v>
      </c>
      <c r="K465" s="184"/>
      <c r="L465" s="181" t="s">
        <v>19</v>
      </c>
      <c r="M465" s="556" t="s">
        <v>4188</v>
      </c>
      <c r="N465" s="214" t="s">
        <v>20</v>
      </c>
      <c r="O465" s="214" t="s">
        <v>15</v>
      </c>
      <c r="P465" s="214" t="s">
        <v>20</v>
      </c>
      <c r="Q465" s="214" t="s">
        <v>20</v>
      </c>
      <c r="R465" s="214" t="s">
        <v>20</v>
      </c>
      <c r="S465" s="214" t="s">
        <v>20</v>
      </c>
      <c r="T465" s="214" t="s">
        <v>20</v>
      </c>
      <c r="U465" s="214" t="s">
        <v>20</v>
      </c>
      <c r="V465" s="214" t="s">
        <v>20</v>
      </c>
      <c r="W465" s="214" t="s">
        <v>15</v>
      </c>
      <c r="X465" s="214" t="s">
        <v>15</v>
      </c>
      <c r="Y465" s="214" t="s">
        <v>15</v>
      </c>
      <c r="Z465" s="234"/>
      <c r="AA465" s="214" t="s">
        <v>243</v>
      </c>
      <c r="AB465" s="214" t="s">
        <v>15</v>
      </c>
      <c r="AC465" s="214" t="s">
        <v>15</v>
      </c>
      <c r="AD465" s="320" t="s">
        <v>1046</v>
      </c>
      <c r="AE465" s="320" t="s">
        <v>1047</v>
      </c>
      <c r="AF465" s="162">
        <f t="shared" si="31"/>
        <v>1.4733205374280227</v>
      </c>
      <c r="AG465" s="162">
        <f t="shared" si="32"/>
        <v>2.5492322456813814</v>
      </c>
      <c r="AH465" s="164">
        <f t="shared" si="33"/>
        <v>3.8387715930902108E-2</v>
      </c>
      <c r="AI465" s="164">
        <f t="shared" si="34"/>
        <v>9.2130518234165071E-2</v>
      </c>
      <c r="AJ465" s="368">
        <f>0.152*AT465</f>
        <v>1.4733205374280227</v>
      </c>
      <c r="AK465" s="368"/>
      <c r="AL465" s="368">
        <f>0.111*AT465</f>
        <v>1.0759117082533587</v>
      </c>
      <c r="AM465" s="369">
        <f>0.689*AT465</f>
        <v>6.6784069097888663</v>
      </c>
      <c r="AN465" s="368">
        <f>0.014*AT465</f>
        <v>0.13570057581573894</v>
      </c>
      <c r="AO465" s="368"/>
      <c r="AP465" s="368"/>
      <c r="AQ465" s="368">
        <f>0.034*AT465</f>
        <v>0.32955854126679462</v>
      </c>
      <c r="AR465" s="368"/>
      <c r="AS465" s="195">
        <f>AJ465</f>
        <v>1.4733205374280227</v>
      </c>
      <c r="AT465" s="199">
        <f>10.1/1.042</f>
        <v>9.6928982725527817</v>
      </c>
      <c r="AU465" s="377"/>
      <c r="AW465" s="426">
        <f>0.04/1.042</f>
        <v>3.8387715930902108E-2</v>
      </c>
      <c r="AX465" s="426"/>
      <c r="AY465" s="426">
        <f>0.056/1.042</f>
        <v>5.3742802303262956E-2</v>
      </c>
      <c r="AZ465" s="426">
        <f>0.414/1.042</f>
        <v>0.39731285988483683</v>
      </c>
      <c r="BA465" s="359">
        <f>0.008/1.042</f>
        <v>7.677543186180422E-3</v>
      </c>
      <c r="BB465" s="426"/>
      <c r="BC465" s="359"/>
      <c r="BD465" s="426">
        <f>0.037/1.042</f>
        <v>3.5508637236084453E-2</v>
      </c>
      <c r="BE465" s="426"/>
      <c r="BF465" s="479">
        <f>AW465</f>
        <v>3.8387715930902108E-2</v>
      </c>
      <c r="BG465" s="481">
        <f>SUM(AW465:BE465)</f>
        <v>0.53262955854126681</v>
      </c>
      <c r="BH465" s="341"/>
      <c r="BI465" s="446" t="s">
        <v>990</v>
      </c>
      <c r="BJ465" s="507"/>
    </row>
    <row r="466" spans="1:62" ht="15.75" customHeight="1" thickBot="1" x14ac:dyDescent="0.25">
      <c r="A466" s="174">
        <v>465</v>
      </c>
      <c r="B466" s="175">
        <v>1</v>
      </c>
      <c r="C466" s="166" t="s">
        <v>596</v>
      </c>
      <c r="D466" s="166" t="s">
        <v>1043</v>
      </c>
      <c r="E466" s="166" t="s">
        <v>13</v>
      </c>
      <c r="F466" s="166" t="s">
        <v>1048</v>
      </c>
      <c r="G466" s="166" t="s">
        <v>292</v>
      </c>
      <c r="H466" s="166" t="s">
        <v>108</v>
      </c>
      <c r="I466" s="181">
        <v>2012</v>
      </c>
      <c r="J466" s="181" t="s">
        <v>1045</v>
      </c>
      <c r="K466" s="181"/>
      <c r="L466" s="181" t="s">
        <v>19</v>
      </c>
      <c r="M466" s="556" t="s">
        <v>4188</v>
      </c>
      <c r="N466" s="214" t="s">
        <v>20</v>
      </c>
      <c r="O466" s="214" t="s">
        <v>15</v>
      </c>
      <c r="P466" s="214" t="s">
        <v>20</v>
      </c>
      <c r="Q466" s="214" t="s">
        <v>20</v>
      </c>
      <c r="R466" s="214" t="s">
        <v>20</v>
      </c>
      <c r="S466" s="214" t="s">
        <v>20</v>
      </c>
      <c r="T466" s="214" t="s">
        <v>20</v>
      </c>
      <c r="U466" s="214" t="s">
        <v>20</v>
      </c>
      <c r="V466" s="214" t="s">
        <v>20</v>
      </c>
      <c r="W466" s="214" t="s">
        <v>15</v>
      </c>
      <c r="X466" s="214" t="s">
        <v>15</v>
      </c>
      <c r="Y466" s="214" t="s">
        <v>15</v>
      </c>
      <c r="Z466" s="234"/>
      <c r="AA466" s="214" t="s">
        <v>243</v>
      </c>
      <c r="AB466" s="214" t="s">
        <v>15</v>
      </c>
      <c r="AC466" s="214" t="s">
        <v>15</v>
      </c>
      <c r="AD466" s="320" t="s">
        <v>1046</v>
      </c>
      <c r="AE466" s="320" t="s">
        <v>1047</v>
      </c>
      <c r="AF466" s="162">
        <f t="shared" si="31"/>
        <v>1.4700575815738961</v>
      </c>
      <c r="AG466" s="162">
        <f>IF(AND(SUM(AJ466:AM466)&lt;&gt;0,SUM(AJ466:AM466)&lt;&gt;AJ466),SUM(AJ466:AM466),"")</f>
        <v>4.2380038387715917</v>
      </c>
      <c r="AH466" s="164">
        <f t="shared" si="33"/>
        <v>3.8387715930902108E-2</v>
      </c>
      <c r="AI466" s="164">
        <f t="shared" si="34"/>
        <v>4.9904030710172742E-2</v>
      </c>
      <c r="AJ466" s="368">
        <f>0.333*AT466</f>
        <v>1.4700575815738961</v>
      </c>
      <c r="AK466" s="368"/>
      <c r="AL466" s="368">
        <f>0.047*AT466</f>
        <v>0.20748560460652588</v>
      </c>
      <c r="AM466" s="368">
        <f>0.58*AT466</f>
        <v>2.5604606525911699</v>
      </c>
      <c r="AN466" s="368">
        <f>0.021*AT466</f>
        <v>9.270633397312858E-2</v>
      </c>
      <c r="AO466" s="368"/>
      <c r="AP466" s="368"/>
      <c r="AQ466" s="368">
        <f>0.019*AT466</f>
        <v>8.3877159309021093E-2</v>
      </c>
      <c r="AR466" s="368"/>
      <c r="AS466" s="195">
        <f>AJ466</f>
        <v>1.4700575815738961</v>
      </c>
      <c r="AT466" s="199">
        <f>4.6/1.042</f>
        <v>4.4145873320537419</v>
      </c>
      <c r="AU466" s="377"/>
      <c r="AW466" s="426">
        <f>0.04/1.042</f>
        <v>3.8387715930902108E-2</v>
      </c>
      <c r="AX466" s="426"/>
      <c r="AY466" s="426">
        <f>0.012/1.042</f>
        <v>1.1516314779270634E-2</v>
      </c>
      <c r="AZ466" s="426">
        <f>0.248/1.042</f>
        <v>0.23800383877159309</v>
      </c>
      <c r="BA466" s="359">
        <f>0.005/1.042</f>
        <v>4.7984644913627635E-3</v>
      </c>
      <c r="BB466" s="426"/>
      <c r="BC466" s="359"/>
      <c r="BD466" s="426">
        <f>0.007/1.042</f>
        <v>6.7178502879078695E-3</v>
      </c>
      <c r="BE466" s="426"/>
      <c r="BF466" s="479">
        <f>AW466</f>
        <v>3.8387715930902108E-2</v>
      </c>
      <c r="BG466" s="481">
        <f>SUM(AW466:BE466)</f>
        <v>0.29942418426103651</v>
      </c>
      <c r="BH466" s="341"/>
      <c r="BI466" s="446" t="s">
        <v>990</v>
      </c>
      <c r="BJ466" s="507"/>
    </row>
    <row r="467" spans="1:62" ht="15.75" customHeight="1" thickBot="1" x14ac:dyDescent="0.25">
      <c r="A467" s="176">
        <v>466</v>
      </c>
      <c r="B467" s="175">
        <v>1</v>
      </c>
      <c r="C467" s="166" t="s">
        <v>596</v>
      </c>
      <c r="D467" s="166" t="s">
        <v>1043</v>
      </c>
      <c r="E467" s="166" t="s">
        <v>13</v>
      </c>
      <c r="F467" s="166" t="s">
        <v>1049</v>
      </c>
      <c r="G467" s="166" t="s">
        <v>292</v>
      </c>
      <c r="H467" s="166" t="s">
        <v>108</v>
      </c>
      <c r="I467" s="181">
        <v>2012</v>
      </c>
      <c r="J467" s="181" t="s">
        <v>1045</v>
      </c>
      <c r="K467" s="181"/>
      <c r="L467" s="181" t="s">
        <v>19</v>
      </c>
      <c r="M467" s="556" t="s">
        <v>4188</v>
      </c>
      <c r="N467" s="214" t="s">
        <v>20</v>
      </c>
      <c r="O467" s="214" t="s">
        <v>15</v>
      </c>
      <c r="P467" s="214" t="s">
        <v>20</v>
      </c>
      <c r="Q467" s="214" t="s">
        <v>20</v>
      </c>
      <c r="R467" s="214" t="s">
        <v>20</v>
      </c>
      <c r="S467" s="214" t="s">
        <v>20</v>
      </c>
      <c r="T467" s="214" t="s">
        <v>20</v>
      </c>
      <c r="U467" s="214" t="s">
        <v>20</v>
      </c>
      <c r="V467" s="214" t="s">
        <v>20</v>
      </c>
      <c r="W467" s="214" t="s">
        <v>15</v>
      </c>
      <c r="X467" s="214" t="s">
        <v>15</v>
      </c>
      <c r="Y467" s="214" t="s">
        <v>15</v>
      </c>
      <c r="Z467" s="234"/>
      <c r="AA467" s="214" t="s">
        <v>243</v>
      </c>
      <c r="AB467" s="214" t="s">
        <v>15</v>
      </c>
      <c r="AC467" s="214" t="s">
        <v>15</v>
      </c>
      <c r="AD467" s="320" t="s">
        <v>1046</v>
      </c>
      <c r="AE467" s="320" t="s">
        <v>1047</v>
      </c>
      <c r="AF467" s="162">
        <f t="shared" si="31"/>
        <v>2.0596928982725524</v>
      </c>
      <c r="AG467" s="162">
        <f t="shared" ref="AG467:AG530" si="35">IF(AND(SUM(AJ467:AL467)&lt;&gt;0,SUM(AJ467:AL467)&lt;&gt;AJ467),SUM(AJ467:AL467),"")</f>
        <v>2.7231381957773508</v>
      </c>
      <c r="AH467" s="164">
        <f t="shared" si="33"/>
        <v>3.8387715930902108E-2</v>
      </c>
      <c r="AI467" s="164">
        <f t="shared" si="34"/>
        <v>7.4856046065259113E-2</v>
      </c>
      <c r="AJ467" s="368">
        <f>0.294*AT467</f>
        <v>2.0596928982725524</v>
      </c>
      <c r="AK467" s="368"/>
      <c r="AL467" s="368">
        <f>0.0947*AT467</f>
        <v>0.66344529750479841</v>
      </c>
      <c r="AM467" s="369">
        <f>0.58*AT467</f>
        <v>4.0633397312859882</v>
      </c>
      <c r="AN467" s="368">
        <f>0.0113*AT467</f>
        <v>7.9165067178502871E-2</v>
      </c>
      <c r="AO467" s="368"/>
      <c r="AP467" s="368"/>
      <c r="AQ467" s="368">
        <f>0.02*AT467</f>
        <v>0.14011516314779271</v>
      </c>
      <c r="AR467" s="368"/>
      <c r="AS467" s="195">
        <f>AJ467</f>
        <v>2.0596928982725524</v>
      </c>
      <c r="AT467" s="199">
        <f>7.3/1.042</f>
        <v>7.0057581573896348</v>
      </c>
      <c r="AU467" s="377"/>
      <c r="AW467" s="426">
        <f>0.04/1.042</f>
        <v>3.8387715930902108E-2</v>
      </c>
      <c r="AX467" s="426"/>
      <c r="AY467" s="426">
        <f>0.038/1.042</f>
        <v>3.6468330134357005E-2</v>
      </c>
      <c r="AZ467" s="426">
        <f>0.174/1.042</f>
        <v>0.16698656429942416</v>
      </c>
      <c r="BA467" s="359">
        <f>0.006/1.042</f>
        <v>5.7581573896353169E-3</v>
      </c>
      <c r="BB467" s="426"/>
      <c r="BC467" s="359"/>
      <c r="BD467" s="426">
        <f>0.035/1.042</f>
        <v>3.358925143953935E-2</v>
      </c>
      <c r="BE467" s="426"/>
      <c r="BF467" s="479">
        <f>AW467</f>
        <v>3.8387715930902108E-2</v>
      </c>
      <c r="BG467" s="481">
        <f>SUM(AW467:BE467)</f>
        <v>0.28119001919385794</v>
      </c>
      <c r="BH467" s="341"/>
      <c r="BI467" s="446" t="s">
        <v>990</v>
      </c>
      <c r="BJ467" s="507"/>
    </row>
    <row r="468" spans="1:62" ht="15.75" customHeight="1" thickBot="1" x14ac:dyDescent="0.25">
      <c r="A468" s="174">
        <v>467</v>
      </c>
      <c r="B468" s="175">
        <v>1</v>
      </c>
      <c r="C468" s="166" t="s">
        <v>596</v>
      </c>
      <c r="D468" s="166" t="s">
        <v>1043</v>
      </c>
      <c r="E468" s="166" t="s">
        <v>13</v>
      </c>
      <c r="F468" s="166" t="s">
        <v>1050</v>
      </c>
      <c r="G468" s="166" t="s">
        <v>292</v>
      </c>
      <c r="H468" s="166" t="s">
        <v>108</v>
      </c>
      <c r="I468" s="181">
        <v>2012</v>
      </c>
      <c r="J468" s="181" t="s">
        <v>1045</v>
      </c>
      <c r="K468" s="181"/>
      <c r="L468" s="181" t="s">
        <v>19</v>
      </c>
      <c r="M468" s="556" t="s">
        <v>4188</v>
      </c>
      <c r="N468" s="214" t="s">
        <v>20</v>
      </c>
      <c r="O468" s="214" t="s">
        <v>15</v>
      </c>
      <c r="P468" s="214" t="s">
        <v>20</v>
      </c>
      <c r="Q468" s="214" t="s">
        <v>20</v>
      </c>
      <c r="R468" s="214" t="s">
        <v>20</v>
      </c>
      <c r="S468" s="214" t="s">
        <v>20</v>
      </c>
      <c r="T468" s="214" t="s">
        <v>20</v>
      </c>
      <c r="U468" s="214" t="s">
        <v>20</v>
      </c>
      <c r="V468" s="214" t="s">
        <v>20</v>
      </c>
      <c r="W468" s="214" t="s">
        <v>15</v>
      </c>
      <c r="X468" s="214" t="s">
        <v>15</v>
      </c>
      <c r="Y468" s="214" t="s">
        <v>15</v>
      </c>
      <c r="Z468" s="234"/>
      <c r="AA468" s="214" t="s">
        <v>243</v>
      </c>
      <c r="AB468" s="214" t="s">
        <v>15</v>
      </c>
      <c r="AC468" s="214" t="s">
        <v>15</v>
      </c>
      <c r="AD468" s="320" t="s">
        <v>1046</v>
      </c>
      <c r="AE468" s="320" t="s">
        <v>1047</v>
      </c>
      <c r="AF468" s="162">
        <f t="shared" si="31"/>
        <v>1.1568138195777349</v>
      </c>
      <c r="AG468" s="162">
        <f t="shared" si="35"/>
        <v>1.5294337811900189</v>
      </c>
      <c r="AH468" s="164">
        <f t="shared" si="33"/>
        <v>3.8387715930902108E-2</v>
      </c>
      <c r="AI468" s="164">
        <f t="shared" si="34"/>
        <v>5.4702495201535507E-2</v>
      </c>
      <c r="AJ468" s="368">
        <f>0.294*AT468</f>
        <v>1.1568138195777349</v>
      </c>
      <c r="AK468" s="368"/>
      <c r="AL468" s="368">
        <f>0.0947*AT468</f>
        <v>0.37261996161228406</v>
      </c>
      <c r="AM468" s="369">
        <f>0.58*AT468</f>
        <v>2.2821497120921301</v>
      </c>
      <c r="AN468" s="368">
        <f>0.0113*AT468</f>
        <v>4.4462571976967361E-2</v>
      </c>
      <c r="AO468" s="368"/>
      <c r="AP468" s="368"/>
      <c r="AQ468" s="368">
        <f>0.02*AT468</f>
        <v>7.869481765834932E-2</v>
      </c>
      <c r="AR468" s="368"/>
      <c r="AS468" s="195">
        <f>AJ468</f>
        <v>1.1568138195777349</v>
      </c>
      <c r="AT468" s="194">
        <f>4.1/1.042</f>
        <v>3.9347408829174659</v>
      </c>
      <c r="AU468" s="377"/>
      <c r="AW468" s="426">
        <f>0.04/1.042</f>
        <v>3.8387715930902108E-2</v>
      </c>
      <c r="AX468" s="426"/>
      <c r="AY468" s="426">
        <f>0.017/1.042</f>
        <v>1.6314779270633399E-2</v>
      </c>
      <c r="AZ468" s="426">
        <f>0.074/1.042</f>
        <v>7.1017274472168906E-2</v>
      </c>
      <c r="BA468" s="359">
        <f>0.005/1.042</f>
        <v>4.7984644913627635E-3</v>
      </c>
      <c r="BB468" s="426"/>
      <c r="BC468" s="359"/>
      <c r="BD468" s="426">
        <f>0.014/1.042</f>
        <v>1.3435700575815739E-2</v>
      </c>
      <c r="BE468" s="426"/>
      <c r="BF468" s="479">
        <f>AW468</f>
        <v>3.8387715930902108E-2</v>
      </c>
      <c r="BG468" s="481">
        <f>SUM(AW468:BE468)</f>
        <v>0.14395393474088292</v>
      </c>
      <c r="BH468" s="341"/>
      <c r="BI468" s="446" t="s">
        <v>990</v>
      </c>
      <c r="BJ468" s="507"/>
    </row>
    <row r="469" spans="1:62" ht="15.75" customHeight="1" thickBot="1" x14ac:dyDescent="0.25">
      <c r="A469" s="176">
        <v>468</v>
      </c>
      <c r="B469" s="175">
        <v>1</v>
      </c>
      <c r="C469" s="166" t="s">
        <v>975</v>
      </c>
      <c r="D469" s="169" t="s">
        <v>3060</v>
      </c>
      <c r="E469" s="166" t="s">
        <v>778</v>
      </c>
      <c r="F469" s="166" t="s">
        <v>1051</v>
      </c>
      <c r="G469" s="166" t="s">
        <v>292</v>
      </c>
      <c r="H469" s="166" t="s">
        <v>1052</v>
      </c>
      <c r="I469" s="181">
        <v>2012</v>
      </c>
      <c r="J469" s="181" t="s">
        <v>1053</v>
      </c>
      <c r="K469" s="181" t="s">
        <v>1054</v>
      </c>
      <c r="L469" s="181" t="s">
        <v>19</v>
      </c>
      <c r="M469" s="556" t="s">
        <v>4189</v>
      </c>
      <c r="N469" s="214" t="s">
        <v>20</v>
      </c>
      <c r="O469" s="214" t="s">
        <v>15</v>
      </c>
      <c r="P469" s="214" t="s">
        <v>20</v>
      </c>
      <c r="Q469" s="214" t="s">
        <v>15</v>
      </c>
      <c r="R469" s="214" t="s">
        <v>20</v>
      </c>
      <c r="S469" s="214" t="s">
        <v>15</v>
      </c>
      <c r="T469" s="214" t="s">
        <v>15</v>
      </c>
      <c r="U469" s="214" t="s">
        <v>15</v>
      </c>
      <c r="V469" s="214" t="s">
        <v>15</v>
      </c>
      <c r="W469" s="214" t="s">
        <v>15</v>
      </c>
      <c r="X469" s="214" t="s">
        <v>15</v>
      </c>
      <c r="Y469" s="214" t="s">
        <v>15</v>
      </c>
      <c r="Z469" s="234"/>
      <c r="AA469" s="214" t="s">
        <v>1055</v>
      </c>
      <c r="AB469" s="214" t="s">
        <v>292</v>
      </c>
      <c r="AC469" s="214" t="s">
        <v>292</v>
      </c>
      <c r="AD469" s="320" t="s">
        <v>1056</v>
      </c>
      <c r="AE469" s="320" t="s">
        <v>2443</v>
      </c>
      <c r="AF469" s="162" t="str">
        <f t="shared" si="31"/>
        <v/>
      </c>
      <c r="AG469" s="162" t="str">
        <f t="shared" si="35"/>
        <v/>
      </c>
      <c r="AH469" s="164" t="str">
        <f t="shared" si="33"/>
        <v/>
      </c>
      <c r="AI469" s="164" t="str">
        <f t="shared" si="34"/>
        <v/>
      </c>
      <c r="AJ469" s="368"/>
      <c r="AK469" s="368"/>
      <c r="AL469" s="368"/>
      <c r="AM469" s="369"/>
      <c r="AN469" s="368"/>
      <c r="AO469" s="368"/>
      <c r="AP469" s="368"/>
      <c r="AQ469" s="368"/>
      <c r="AR469" s="368"/>
      <c r="AS469" s="195"/>
      <c r="AT469" s="195"/>
      <c r="AU469" s="377"/>
      <c r="AV469" s="382"/>
      <c r="AW469" s="426"/>
      <c r="AX469" s="426"/>
      <c r="AY469" s="426"/>
      <c r="AZ469" s="426"/>
      <c r="BA469" s="359"/>
      <c r="BB469" s="426"/>
      <c r="BC469" s="359"/>
      <c r="BD469" s="426"/>
      <c r="BE469" s="426"/>
      <c r="BF469" s="479"/>
      <c r="BG469" s="467">
        <f>(186.43+186.96+190.27)/3/24/0.79</f>
        <v>9.9096343178621655</v>
      </c>
      <c r="BH469" s="341"/>
      <c r="BI469" s="446" t="s">
        <v>990</v>
      </c>
      <c r="BJ469" s="507"/>
    </row>
    <row r="470" spans="1:62" ht="15.75" customHeight="1" thickBot="1" x14ac:dyDescent="0.25">
      <c r="A470" s="174">
        <v>469</v>
      </c>
      <c r="B470" s="175">
        <v>1</v>
      </c>
      <c r="C470" s="166" t="s">
        <v>975</v>
      </c>
      <c r="D470" s="166" t="s">
        <v>3059</v>
      </c>
      <c r="E470" s="166" t="s">
        <v>13</v>
      </c>
      <c r="F470" s="168" t="s">
        <v>2366</v>
      </c>
      <c r="G470" s="166" t="s">
        <v>122</v>
      </c>
      <c r="H470" s="166" t="s">
        <v>1057</v>
      </c>
      <c r="I470" s="181">
        <v>2014</v>
      </c>
      <c r="J470" s="181" t="s">
        <v>1058</v>
      </c>
      <c r="K470" s="181" t="s">
        <v>1059</v>
      </c>
      <c r="L470" s="181" t="s">
        <v>19</v>
      </c>
      <c r="M470" s="556" t="s">
        <v>4190</v>
      </c>
      <c r="N470" s="214" t="s">
        <v>20</v>
      </c>
      <c r="O470" s="214" t="s">
        <v>15</v>
      </c>
      <c r="P470" s="214" t="s">
        <v>20</v>
      </c>
      <c r="Q470" s="214" t="s">
        <v>15</v>
      </c>
      <c r="R470" s="214" t="s">
        <v>20</v>
      </c>
      <c r="S470" s="214" t="s">
        <v>15</v>
      </c>
      <c r="T470" s="214" t="s">
        <v>15</v>
      </c>
      <c r="U470" s="214" t="s">
        <v>15</v>
      </c>
      <c r="V470" s="214" t="s">
        <v>15</v>
      </c>
      <c r="W470" s="214" t="s">
        <v>15</v>
      </c>
      <c r="X470" s="214" t="s">
        <v>15</v>
      </c>
      <c r="Y470" s="214" t="s">
        <v>15</v>
      </c>
      <c r="Z470" s="234"/>
      <c r="AA470" s="214" t="s">
        <v>1060</v>
      </c>
      <c r="AB470" s="214" t="s">
        <v>292</v>
      </c>
      <c r="AC470" s="214" t="s">
        <v>122</v>
      </c>
      <c r="AD470" s="320" t="s">
        <v>1061</v>
      </c>
      <c r="AE470" s="319" t="s">
        <v>2856</v>
      </c>
      <c r="AF470" s="162">
        <f t="shared" si="31"/>
        <v>609.67741935483866</v>
      </c>
      <c r="AG470" s="162" t="str">
        <f t="shared" si="35"/>
        <v/>
      </c>
      <c r="AH470" s="164">
        <f t="shared" si="33"/>
        <v>40.645161290322577</v>
      </c>
      <c r="AI470" s="164" t="str">
        <f t="shared" si="34"/>
        <v/>
      </c>
      <c r="AJ470" s="368">
        <f>189/0.31</f>
        <v>609.67741935483866</v>
      </c>
      <c r="AK470" s="368"/>
      <c r="AL470" s="368"/>
      <c r="AM470" s="368">
        <f>31/0.31</f>
        <v>100</v>
      </c>
      <c r="AN470" s="368">
        <f>265/0.31</f>
        <v>854.83870967741939</v>
      </c>
      <c r="AO470" s="368"/>
      <c r="AP470" s="368"/>
      <c r="AQ470" s="368"/>
      <c r="AR470" s="368"/>
      <c r="AS470" s="195">
        <f>AJ470</f>
        <v>609.67741935483866</v>
      </c>
      <c r="AT470" s="195">
        <v>1564.516129032258</v>
      </c>
      <c r="AU470" s="378" t="s">
        <v>1062</v>
      </c>
      <c r="AW470" s="426">
        <f>12.6/0.31</f>
        <v>40.645161290322577</v>
      </c>
      <c r="AX470" s="426"/>
      <c r="AY470" s="426"/>
      <c r="AZ470" s="426">
        <f>0.92/0.31</f>
        <v>2.967741935483871</v>
      </c>
      <c r="BA470" s="426">
        <f>17.5/0.31</f>
        <v>56.451612903225808</v>
      </c>
      <c r="BB470" s="426"/>
      <c r="BC470" s="426"/>
      <c r="BD470" s="426"/>
      <c r="BE470" s="426"/>
      <c r="BF470" s="469">
        <f>AW470</f>
        <v>40.645161290322577</v>
      </c>
      <c r="BG470" s="469">
        <v>100</v>
      </c>
      <c r="BH470" s="341"/>
      <c r="BI470" s="447" t="s">
        <v>1062</v>
      </c>
      <c r="BJ470" s="505"/>
    </row>
    <row r="471" spans="1:62" ht="15.75" customHeight="1" thickBot="1" x14ac:dyDescent="0.25">
      <c r="A471" s="176">
        <v>470</v>
      </c>
      <c r="B471" s="175">
        <v>1</v>
      </c>
      <c r="C471" s="166" t="s">
        <v>975</v>
      </c>
      <c r="D471" s="168" t="s">
        <v>3056</v>
      </c>
      <c r="E471" s="166" t="s">
        <v>1063</v>
      </c>
      <c r="F471" s="168" t="s">
        <v>2367</v>
      </c>
      <c r="G471" s="166" t="s">
        <v>292</v>
      </c>
      <c r="H471" s="166" t="s">
        <v>1064</v>
      </c>
      <c r="I471" s="181">
        <v>2013</v>
      </c>
      <c r="J471" s="181" t="s">
        <v>1065</v>
      </c>
      <c r="K471" s="181" t="s">
        <v>1066</v>
      </c>
      <c r="L471" s="181" t="s">
        <v>19</v>
      </c>
      <c r="M471" s="556" t="s">
        <v>4191</v>
      </c>
      <c r="N471" s="214" t="s">
        <v>20</v>
      </c>
      <c r="O471" s="214" t="s">
        <v>15</v>
      </c>
      <c r="P471" s="214" t="s">
        <v>20</v>
      </c>
      <c r="Q471" s="214" t="s">
        <v>20</v>
      </c>
      <c r="R471" s="214" t="s">
        <v>20</v>
      </c>
      <c r="S471" s="214" t="s">
        <v>20</v>
      </c>
      <c r="T471" s="214" t="s">
        <v>15</v>
      </c>
      <c r="U471" s="214" t="s">
        <v>15</v>
      </c>
      <c r="V471" s="214" t="s">
        <v>15</v>
      </c>
      <c r="W471" s="214" t="s">
        <v>15</v>
      </c>
      <c r="X471" s="214" t="s">
        <v>15</v>
      </c>
      <c r="Y471" s="214" t="s">
        <v>15</v>
      </c>
      <c r="Z471" s="234"/>
      <c r="AA471" s="234"/>
      <c r="AB471" s="214" t="s">
        <v>292</v>
      </c>
      <c r="AC471" s="214" t="s">
        <v>292</v>
      </c>
      <c r="AD471" s="320" t="s">
        <v>1067</v>
      </c>
      <c r="AE471" s="319"/>
      <c r="AF471" s="162" t="str">
        <f t="shared" si="31"/>
        <v/>
      </c>
      <c r="AG471" s="162" t="str">
        <f t="shared" si="35"/>
        <v/>
      </c>
      <c r="AH471" s="164">
        <f t="shared" si="33"/>
        <v>2</v>
      </c>
      <c r="AI471" s="164" t="str">
        <f t="shared" si="34"/>
        <v/>
      </c>
      <c r="AJ471" s="368"/>
      <c r="AK471" s="368"/>
      <c r="AL471" s="368"/>
      <c r="AM471" s="368"/>
      <c r="AN471" s="368"/>
      <c r="AO471" s="368"/>
      <c r="AP471" s="368"/>
      <c r="AQ471" s="368"/>
      <c r="AR471" s="368"/>
      <c r="AS471" s="195"/>
      <c r="AT471" s="195"/>
      <c r="AU471" s="377"/>
      <c r="AV471" s="382"/>
      <c r="AW471" s="426"/>
      <c r="AX471" s="426"/>
      <c r="AY471" s="426"/>
      <c r="AZ471" s="426"/>
      <c r="BA471" s="426"/>
      <c r="BB471" s="426"/>
      <c r="BC471" s="426"/>
      <c r="BD471" s="426"/>
      <c r="BE471" s="426"/>
      <c r="BF471" s="468">
        <v>2</v>
      </c>
      <c r="BG471" s="468">
        <v>3.6</v>
      </c>
      <c r="BH471" s="341"/>
      <c r="BI471" s="446" t="s">
        <v>93</v>
      </c>
      <c r="BJ471" s="505"/>
    </row>
    <row r="472" spans="1:62" ht="15.75" customHeight="1" thickBot="1" x14ac:dyDescent="0.25">
      <c r="A472" s="174">
        <v>471</v>
      </c>
      <c r="B472" s="175">
        <v>1</v>
      </c>
      <c r="C472" s="166" t="s">
        <v>975</v>
      </c>
      <c r="D472" s="168" t="s">
        <v>3056</v>
      </c>
      <c r="E472" s="166" t="s">
        <v>1063</v>
      </c>
      <c r="F472" s="168" t="s">
        <v>2368</v>
      </c>
      <c r="G472" s="166" t="s">
        <v>292</v>
      </c>
      <c r="H472" s="166" t="s">
        <v>1064</v>
      </c>
      <c r="I472" s="181">
        <v>2013</v>
      </c>
      <c r="J472" s="181" t="s">
        <v>1065</v>
      </c>
      <c r="K472" s="181" t="s">
        <v>1066</v>
      </c>
      <c r="L472" s="181" t="s">
        <v>19</v>
      </c>
      <c r="M472" s="556" t="s">
        <v>4191</v>
      </c>
      <c r="N472" s="214" t="s">
        <v>20</v>
      </c>
      <c r="O472" s="214" t="s">
        <v>15</v>
      </c>
      <c r="P472" s="214" t="s">
        <v>20</v>
      </c>
      <c r="Q472" s="214" t="s">
        <v>20</v>
      </c>
      <c r="R472" s="214" t="s">
        <v>20</v>
      </c>
      <c r="S472" s="214" t="s">
        <v>20</v>
      </c>
      <c r="T472" s="214" t="s">
        <v>15</v>
      </c>
      <c r="U472" s="214" t="s">
        <v>15</v>
      </c>
      <c r="V472" s="214" t="s">
        <v>15</v>
      </c>
      <c r="W472" s="214" t="s">
        <v>15</v>
      </c>
      <c r="X472" s="214" t="s">
        <v>15</v>
      </c>
      <c r="Y472" s="214" t="s">
        <v>15</v>
      </c>
      <c r="Z472" s="234"/>
      <c r="AA472" s="234"/>
      <c r="AB472" s="214" t="s">
        <v>292</v>
      </c>
      <c r="AC472" s="214" t="s">
        <v>292</v>
      </c>
      <c r="AD472" s="320" t="s">
        <v>1067</v>
      </c>
      <c r="AE472" s="319"/>
      <c r="AF472" s="162" t="str">
        <f t="shared" si="31"/>
        <v/>
      </c>
      <c r="AG472" s="162" t="str">
        <f t="shared" si="35"/>
        <v/>
      </c>
      <c r="AH472" s="164">
        <f t="shared" si="33"/>
        <v>2</v>
      </c>
      <c r="AI472" s="164" t="str">
        <f t="shared" si="34"/>
        <v/>
      </c>
      <c r="AJ472" s="368"/>
      <c r="AK472" s="368"/>
      <c r="AL472" s="368"/>
      <c r="AM472" s="368"/>
      <c r="AN472" s="368"/>
      <c r="AO472" s="368"/>
      <c r="AP472" s="368"/>
      <c r="AQ472" s="368"/>
      <c r="AR472" s="368"/>
      <c r="AS472" s="195"/>
      <c r="AT472" s="195"/>
      <c r="AU472" s="377"/>
      <c r="AV472" s="382"/>
      <c r="AW472" s="426"/>
      <c r="AX472" s="426"/>
      <c r="AY472" s="426"/>
      <c r="AZ472" s="426"/>
      <c r="BA472" s="426"/>
      <c r="BB472" s="426"/>
      <c r="BC472" s="426"/>
      <c r="BD472" s="426"/>
      <c r="BE472" s="426"/>
      <c r="BF472" s="468">
        <v>2</v>
      </c>
      <c r="BG472" s="468">
        <v>3.29</v>
      </c>
      <c r="BH472" s="341"/>
      <c r="BI472" s="446" t="s">
        <v>93</v>
      </c>
      <c r="BJ472" s="505"/>
    </row>
    <row r="473" spans="1:62" ht="15.75" customHeight="1" thickBot="1" x14ac:dyDescent="0.25">
      <c r="A473" s="176">
        <v>472</v>
      </c>
      <c r="B473" s="175">
        <v>1</v>
      </c>
      <c r="C473" s="166" t="s">
        <v>975</v>
      </c>
      <c r="D473" s="168" t="s">
        <v>3056</v>
      </c>
      <c r="E473" s="166" t="s">
        <v>1063</v>
      </c>
      <c r="F473" s="168" t="s">
        <v>2369</v>
      </c>
      <c r="G473" s="166" t="s">
        <v>292</v>
      </c>
      <c r="H473" s="166" t="s">
        <v>1064</v>
      </c>
      <c r="I473" s="181">
        <v>2013</v>
      </c>
      <c r="J473" s="181" t="s">
        <v>1065</v>
      </c>
      <c r="K473" s="181" t="s">
        <v>1066</v>
      </c>
      <c r="L473" s="181" t="s">
        <v>19</v>
      </c>
      <c r="M473" s="556" t="s">
        <v>4191</v>
      </c>
      <c r="N473" s="214" t="s">
        <v>20</v>
      </c>
      <c r="O473" s="214" t="s">
        <v>15</v>
      </c>
      <c r="P473" s="214" t="s">
        <v>20</v>
      </c>
      <c r="Q473" s="214" t="s">
        <v>20</v>
      </c>
      <c r="R473" s="214" t="s">
        <v>20</v>
      </c>
      <c r="S473" s="214" t="s">
        <v>20</v>
      </c>
      <c r="T473" s="214" t="s">
        <v>15</v>
      </c>
      <c r="U473" s="214" t="s">
        <v>15</v>
      </c>
      <c r="V473" s="214" t="s">
        <v>15</v>
      </c>
      <c r="W473" s="214" t="s">
        <v>15</v>
      </c>
      <c r="X473" s="214" t="s">
        <v>15</v>
      </c>
      <c r="Y473" s="214" t="s">
        <v>15</v>
      </c>
      <c r="Z473" s="234"/>
      <c r="AA473" s="234"/>
      <c r="AB473" s="214" t="s">
        <v>292</v>
      </c>
      <c r="AC473" s="214" t="s">
        <v>292</v>
      </c>
      <c r="AD473" s="320" t="s">
        <v>1067</v>
      </c>
      <c r="AE473" s="319"/>
      <c r="AF473" s="162" t="str">
        <f t="shared" si="31"/>
        <v/>
      </c>
      <c r="AG473" s="162" t="str">
        <f t="shared" si="35"/>
        <v/>
      </c>
      <c r="AH473" s="164">
        <f t="shared" si="33"/>
        <v>2</v>
      </c>
      <c r="AI473" s="164" t="str">
        <f t="shared" si="34"/>
        <v/>
      </c>
      <c r="AJ473" s="368"/>
      <c r="AK473" s="368"/>
      <c r="AL473" s="368"/>
      <c r="AM473" s="368"/>
      <c r="AN473" s="368"/>
      <c r="AO473" s="368"/>
      <c r="AP473" s="368"/>
      <c r="AQ473" s="368"/>
      <c r="AR473" s="368"/>
      <c r="AS473" s="195"/>
      <c r="AT473" s="195"/>
      <c r="AU473" s="377"/>
      <c r="AV473" s="382"/>
      <c r="AW473" s="426"/>
      <c r="AX473" s="426"/>
      <c r="AY473" s="426"/>
      <c r="AZ473" s="426"/>
      <c r="BA473" s="426"/>
      <c r="BB473" s="426"/>
      <c r="BC473" s="426"/>
      <c r="BD473" s="426"/>
      <c r="BE473" s="426"/>
      <c r="BF473" s="468">
        <v>2</v>
      </c>
      <c r="BG473" s="468">
        <v>4.16</v>
      </c>
      <c r="BH473" s="341"/>
      <c r="BI473" s="446" t="s">
        <v>93</v>
      </c>
      <c r="BJ473" s="505"/>
    </row>
    <row r="474" spans="1:62" ht="15.75" customHeight="1" thickBot="1" x14ac:dyDescent="0.25">
      <c r="A474" s="174">
        <v>473</v>
      </c>
      <c r="B474" s="175">
        <v>1</v>
      </c>
      <c r="C474" s="166" t="s">
        <v>975</v>
      </c>
      <c r="D474" s="166" t="s">
        <v>3056</v>
      </c>
      <c r="E474" s="166" t="s">
        <v>1063</v>
      </c>
      <c r="F474" s="168" t="s">
        <v>2370</v>
      </c>
      <c r="G474" s="166" t="s">
        <v>292</v>
      </c>
      <c r="H474" s="166" t="s">
        <v>1064</v>
      </c>
      <c r="I474" s="181">
        <v>2013</v>
      </c>
      <c r="J474" s="181" t="s">
        <v>1065</v>
      </c>
      <c r="K474" s="181" t="s">
        <v>1066</v>
      </c>
      <c r="L474" s="181" t="s">
        <v>19</v>
      </c>
      <c r="M474" s="556" t="s">
        <v>4191</v>
      </c>
      <c r="N474" s="214" t="s">
        <v>20</v>
      </c>
      <c r="O474" s="214" t="s">
        <v>15</v>
      </c>
      <c r="P474" s="214" t="s">
        <v>20</v>
      </c>
      <c r="Q474" s="214" t="s">
        <v>20</v>
      </c>
      <c r="R474" s="214" t="s">
        <v>20</v>
      </c>
      <c r="S474" s="214" t="s">
        <v>20</v>
      </c>
      <c r="T474" s="214" t="s">
        <v>15</v>
      </c>
      <c r="U474" s="214" t="s">
        <v>15</v>
      </c>
      <c r="V474" s="214" t="s">
        <v>15</v>
      </c>
      <c r="W474" s="214" t="s">
        <v>15</v>
      </c>
      <c r="X474" s="214" t="s">
        <v>15</v>
      </c>
      <c r="Y474" s="214" t="s">
        <v>15</v>
      </c>
      <c r="Z474" s="234"/>
      <c r="AA474" s="234"/>
      <c r="AB474" s="214" t="s">
        <v>292</v>
      </c>
      <c r="AC474" s="214" t="s">
        <v>292</v>
      </c>
      <c r="AD474" s="320" t="s">
        <v>1067</v>
      </c>
      <c r="AE474" s="319"/>
      <c r="AF474" s="162" t="str">
        <f t="shared" si="31"/>
        <v/>
      </c>
      <c r="AG474" s="162" t="str">
        <f t="shared" si="35"/>
        <v/>
      </c>
      <c r="AH474" s="164">
        <f t="shared" si="33"/>
        <v>2</v>
      </c>
      <c r="AI474" s="164" t="str">
        <f t="shared" si="34"/>
        <v/>
      </c>
      <c r="AJ474" s="368"/>
      <c r="AK474" s="368"/>
      <c r="AL474" s="368"/>
      <c r="AM474" s="368"/>
      <c r="AN474" s="368"/>
      <c r="AO474" s="368"/>
      <c r="AP474" s="368"/>
      <c r="AQ474" s="368"/>
      <c r="AR474" s="368"/>
      <c r="AS474" s="195"/>
      <c r="AT474" s="195"/>
      <c r="AU474" s="377"/>
      <c r="AV474" s="382"/>
      <c r="AW474" s="426"/>
      <c r="AX474" s="426"/>
      <c r="AY474" s="426"/>
      <c r="AZ474" s="426"/>
      <c r="BA474" s="426"/>
      <c r="BB474" s="426"/>
      <c r="BC474" s="426"/>
      <c r="BD474" s="426"/>
      <c r="BE474" s="426"/>
      <c r="BF474" s="468">
        <v>2</v>
      </c>
      <c r="BG474" s="468">
        <v>13.9</v>
      </c>
      <c r="BH474" s="341"/>
      <c r="BI474" s="446" t="s">
        <v>93</v>
      </c>
      <c r="BJ474" s="505"/>
    </row>
    <row r="475" spans="1:62" ht="15.75" customHeight="1" thickBot="1" x14ac:dyDescent="0.25">
      <c r="A475" s="176">
        <v>474</v>
      </c>
      <c r="B475" s="175">
        <v>1</v>
      </c>
      <c r="C475" s="166" t="s">
        <v>975</v>
      </c>
      <c r="D475" s="168" t="s">
        <v>3056</v>
      </c>
      <c r="E475" s="166" t="s">
        <v>1068</v>
      </c>
      <c r="F475" s="168" t="s">
        <v>2371</v>
      </c>
      <c r="G475" s="166" t="s">
        <v>292</v>
      </c>
      <c r="H475" s="166" t="s">
        <v>1064</v>
      </c>
      <c r="I475" s="181">
        <v>2013</v>
      </c>
      <c r="J475" s="181" t="s">
        <v>1065</v>
      </c>
      <c r="K475" s="181" t="s">
        <v>1066</v>
      </c>
      <c r="L475" s="181" t="s">
        <v>19</v>
      </c>
      <c r="M475" s="556" t="s">
        <v>4191</v>
      </c>
      <c r="N475" s="214" t="s">
        <v>20</v>
      </c>
      <c r="O475" s="214" t="s">
        <v>15</v>
      </c>
      <c r="P475" s="214" t="s">
        <v>20</v>
      </c>
      <c r="Q475" s="214" t="s">
        <v>20</v>
      </c>
      <c r="R475" s="214" t="s">
        <v>20</v>
      </c>
      <c r="S475" s="214" t="s">
        <v>20</v>
      </c>
      <c r="T475" s="214" t="s">
        <v>15</v>
      </c>
      <c r="U475" s="214" t="s">
        <v>15</v>
      </c>
      <c r="V475" s="214" t="s">
        <v>15</v>
      </c>
      <c r="W475" s="214" t="s">
        <v>15</v>
      </c>
      <c r="X475" s="214" t="s">
        <v>15</v>
      </c>
      <c r="Y475" s="214" t="s">
        <v>15</v>
      </c>
      <c r="Z475" s="234"/>
      <c r="AA475" s="234"/>
      <c r="AB475" s="214" t="s">
        <v>292</v>
      </c>
      <c r="AC475" s="214" t="s">
        <v>292</v>
      </c>
      <c r="AD475" s="320" t="s">
        <v>1067</v>
      </c>
      <c r="AE475" s="319"/>
      <c r="AF475" s="162" t="str">
        <f t="shared" si="31"/>
        <v/>
      </c>
      <c r="AG475" s="162" t="str">
        <f t="shared" si="35"/>
        <v/>
      </c>
      <c r="AH475" s="164">
        <f t="shared" si="33"/>
        <v>2</v>
      </c>
      <c r="AI475" s="164" t="str">
        <f t="shared" si="34"/>
        <v/>
      </c>
      <c r="AJ475" s="368"/>
      <c r="AK475" s="368"/>
      <c r="AL475" s="368"/>
      <c r="AM475" s="368"/>
      <c r="AN475" s="368"/>
      <c r="AO475" s="368"/>
      <c r="AP475" s="368"/>
      <c r="AQ475" s="368"/>
      <c r="AR475" s="368"/>
      <c r="AS475" s="195"/>
      <c r="AT475" s="195"/>
      <c r="AU475" s="377"/>
      <c r="AV475" s="382"/>
      <c r="AW475" s="426"/>
      <c r="AX475" s="426"/>
      <c r="AY475" s="426"/>
      <c r="AZ475" s="426"/>
      <c r="BA475" s="426"/>
      <c r="BB475" s="426"/>
      <c r="BC475" s="426"/>
      <c r="BD475" s="426"/>
      <c r="BE475" s="426"/>
      <c r="BF475" s="468">
        <v>2</v>
      </c>
      <c r="BG475" s="468">
        <v>4.08</v>
      </c>
      <c r="BH475" s="341"/>
      <c r="BI475" s="446" t="s">
        <v>93</v>
      </c>
      <c r="BJ475" s="505"/>
    </row>
    <row r="476" spans="1:62" ht="15.75" customHeight="1" thickBot="1" x14ac:dyDescent="0.25">
      <c r="A476" s="174">
        <v>475</v>
      </c>
      <c r="B476" s="175">
        <v>1</v>
      </c>
      <c r="C476" s="166" t="s">
        <v>975</v>
      </c>
      <c r="D476" s="168" t="s">
        <v>3056</v>
      </c>
      <c r="E476" s="166" t="s">
        <v>13</v>
      </c>
      <c r="F476" s="168" t="s">
        <v>2372</v>
      </c>
      <c r="G476" s="166" t="s">
        <v>292</v>
      </c>
      <c r="H476" s="166" t="s">
        <v>1064</v>
      </c>
      <c r="I476" s="181">
        <v>2013</v>
      </c>
      <c r="J476" s="181" t="s">
        <v>1065</v>
      </c>
      <c r="K476" s="181" t="s">
        <v>1066</v>
      </c>
      <c r="L476" s="181" t="s">
        <v>19</v>
      </c>
      <c r="M476" s="556" t="s">
        <v>4191</v>
      </c>
      <c r="N476" s="214" t="s">
        <v>20</v>
      </c>
      <c r="O476" s="214" t="s">
        <v>15</v>
      </c>
      <c r="P476" s="214" t="s">
        <v>20</v>
      </c>
      <c r="Q476" s="214" t="s">
        <v>20</v>
      </c>
      <c r="R476" s="214" t="s">
        <v>20</v>
      </c>
      <c r="S476" s="214" t="s">
        <v>20</v>
      </c>
      <c r="T476" s="214" t="s">
        <v>15</v>
      </c>
      <c r="U476" s="214" t="s">
        <v>15</v>
      </c>
      <c r="V476" s="214" t="s">
        <v>15</v>
      </c>
      <c r="W476" s="214" t="s">
        <v>15</v>
      </c>
      <c r="X476" s="214" t="s">
        <v>15</v>
      </c>
      <c r="Y476" s="214" t="s">
        <v>15</v>
      </c>
      <c r="Z476" s="234"/>
      <c r="AA476" s="234"/>
      <c r="AB476" s="214" t="s">
        <v>292</v>
      </c>
      <c r="AC476" s="214" t="s">
        <v>292</v>
      </c>
      <c r="AD476" s="320" t="s">
        <v>1067</v>
      </c>
      <c r="AE476" s="319"/>
      <c r="AF476" s="162" t="str">
        <f t="shared" si="31"/>
        <v/>
      </c>
      <c r="AG476" s="162" t="str">
        <f t="shared" si="35"/>
        <v/>
      </c>
      <c r="AH476" s="164">
        <f t="shared" si="33"/>
        <v>2</v>
      </c>
      <c r="AI476" s="164" t="str">
        <f t="shared" si="34"/>
        <v/>
      </c>
      <c r="AJ476" s="368"/>
      <c r="AK476" s="368"/>
      <c r="AL476" s="368"/>
      <c r="AM476" s="368"/>
      <c r="AN476" s="368"/>
      <c r="AO476" s="368"/>
      <c r="AP476" s="368"/>
      <c r="AQ476" s="368"/>
      <c r="AR476" s="368"/>
      <c r="AS476" s="195"/>
      <c r="AT476" s="195"/>
      <c r="AU476" s="377"/>
      <c r="AV476" s="382"/>
      <c r="AW476" s="426"/>
      <c r="AX476" s="426"/>
      <c r="AY476" s="426"/>
      <c r="AZ476" s="426"/>
      <c r="BA476" s="426"/>
      <c r="BB476" s="426"/>
      <c r="BC476" s="426"/>
      <c r="BD476" s="426"/>
      <c r="BE476" s="426"/>
      <c r="BF476" s="468">
        <v>2</v>
      </c>
      <c r="BG476" s="468">
        <v>2.52</v>
      </c>
      <c r="BH476" s="341"/>
      <c r="BI476" s="446" t="s">
        <v>93</v>
      </c>
      <c r="BJ476" s="505"/>
    </row>
    <row r="477" spans="1:62" ht="15.75" customHeight="1" thickBot="1" x14ac:dyDescent="0.25">
      <c r="A477" s="176">
        <v>476</v>
      </c>
      <c r="B477" s="175">
        <v>1</v>
      </c>
      <c r="C477" s="166" t="s">
        <v>975</v>
      </c>
      <c r="D477" s="168" t="s">
        <v>3056</v>
      </c>
      <c r="E477" s="166" t="s">
        <v>1068</v>
      </c>
      <c r="F477" s="168" t="s">
        <v>2372</v>
      </c>
      <c r="G477" s="166" t="s">
        <v>292</v>
      </c>
      <c r="H477" s="166" t="s">
        <v>1064</v>
      </c>
      <c r="I477" s="181">
        <v>2013</v>
      </c>
      <c r="J477" s="181" t="s">
        <v>1065</v>
      </c>
      <c r="K477" s="181" t="s">
        <v>1066</v>
      </c>
      <c r="L477" s="181" t="s">
        <v>19</v>
      </c>
      <c r="M477" s="556" t="s">
        <v>4191</v>
      </c>
      <c r="N477" s="214" t="s">
        <v>20</v>
      </c>
      <c r="O477" s="214" t="s">
        <v>15</v>
      </c>
      <c r="P477" s="214" t="s">
        <v>20</v>
      </c>
      <c r="Q477" s="214" t="s">
        <v>20</v>
      </c>
      <c r="R477" s="214" t="s">
        <v>20</v>
      </c>
      <c r="S477" s="214" t="s">
        <v>20</v>
      </c>
      <c r="T477" s="214" t="s">
        <v>15</v>
      </c>
      <c r="U477" s="214" t="s">
        <v>15</v>
      </c>
      <c r="V477" s="214" t="s">
        <v>15</v>
      </c>
      <c r="W477" s="214" t="s">
        <v>15</v>
      </c>
      <c r="X477" s="214" t="s">
        <v>15</v>
      </c>
      <c r="Y477" s="214" t="s">
        <v>15</v>
      </c>
      <c r="Z477" s="234"/>
      <c r="AA477" s="234"/>
      <c r="AB477" s="214" t="s">
        <v>292</v>
      </c>
      <c r="AC477" s="214" t="s">
        <v>292</v>
      </c>
      <c r="AD477" s="320" t="s">
        <v>1067</v>
      </c>
      <c r="AE477" s="319"/>
      <c r="AF477" s="162" t="str">
        <f t="shared" si="31"/>
        <v/>
      </c>
      <c r="AG477" s="162" t="str">
        <f t="shared" si="35"/>
        <v/>
      </c>
      <c r="AH477" s="164">
        <f t="shared" si="33"/>
        <v>2</v>
      </c>
      <c r="AI477" s="164" t="str">
        <f t="shared" si="34"/>
        <v/>
      </c>
      <c r="AJ477" s="368"/>
      <c r="AK477" s="368"/>
      <c r="AL477" s="368"/>
      <c r="AM477" s="368"/>
      <c r="AN477" s="368"/>
      <c r="AO477" s="368"/>
      <c r="AP477" s="368"/>
      <c r="AQ477" s="368"/>
      <c r="AR477" s="368"/>
      <c r="AS477" s="195"/>
      <c r="AT477" s="195"/>
      <c r="AU477" s="377"/>
      <c r="AV477" s="382"/>
      <c r="AW477" s="426"/>
      <c r="AX477" s="426"/>
      <c r="AY477" s="426"/>
      <c r="AZ477" s="426"/>
      <c r="BA477" s="426"/>
      <c r="BB477" s="426"/>
      <c r="BC477" s="426"/>
      <c r="BD477" s="426"/>
      <c r="BE477" s="426"/>
      <c r="BF477" s="468">
        <v>2</v>
      </c>
      <c r="BG477" s="468">
        <v>2.4700000000000002</v>
      </c>
      <c r="BH477" s="341"/>
      <c r="BI477" s="446" t="s">
        <v>93</v>
      </c>
      <c r="BJ477" s="505"/>
    </row>
    <row r="478" spans="1:62" ht="15.75" customHeight="1" thickBot="1" x14ac:dyDescent="0.25">
      <c r="A478" s="174">
        <v>477</v>
      </c>
      <c r="B478" s="175">
        <v>1</v>
      </c>
      <c r="C478" s="166" t="s">
        <v>975</v>
      </c>
      <c r="D478" s="168" t="s">
        <v>3060</v>
      </c>
      <c r="E478" s="166" t="s">
        <v>1069</v>
      </c>
      <c r="F478" s="168" t="s">
        <v>2373</v>
      </c>
      <c r="G478" s="166" t="s">
        <v>292</v>
      </c>
      <c r="H478" s="166" t="s">
        <v>1064</v>
      </c>
      <c r="I478" s="181">
        <v>2013</v>
      </c>
      <c r="J478" s="181" t="s">
        <v>1065</v>
      </c>
      <c r="K478" s="181" t="s">
        <v>1066</v>
      </c>
      <c r="L478" s="181" t="s">
        <v>19</v>
      </c>
      <c r="M478" s="556" t="s">
        <v>4191</v>
      </c>
      <c r="N478" s="214" t="s">
        <v>20</v>
      </c>
      <c r="O478" s="214" t="s">
        <v>15</v>
      </c>
      <c r="P478" s="214" t="s">
        <v>20</v>
      </c>
      <c r="Q478" s="214" t="s">
        <v>20</v>
      </c>
      <c r="R478" s="214" t="s">
        <v>20</v>
      </c>
      <c r="S478" s="214" t="s">
        <v>20</v>
      </c>
      <c r="T478" s="214" t="s">
        <v>15</v>
      </c>
      <c r="U478" s="214" t="s">
        <v>15</v>
      </c>
      <c r="V478" s="214" t="s">
        <v>15</v>
      </c>
      <c r="W478" s="214" t="s">
        <v>15</v>
      </c>
      <c r="X478" s="214" t="s">
        <v>15</v>
      </c>
      <c r="Y478" s="214" t="s">
        <v>15</v>
      </c>
      <c r="Z478" s="234"/>
      <c r="AA478" s="234"/>
      <c r="AB478" s="214" t="s">
        <v>292</v>
      </c>
      <c r="AC478" s="214" t="s">
        <v>292</v>
      </c>
      <c r="AD478" s="320" t="s">
        <v>1067</v>
      </c>
      <c r="AE478" s="319"/>
      <c r="AF478" s="162" t="str">
        <f t="shared" si="31"/>
        <v/>
      </c>
      <c r="AG478" s="162" t="str">
        <f t="shared" si="35"/>
        <v/>
      </c>
      <c r="AH478" s="164">
        <f t="shared" si="33"/>
        <v>0.16900000000000001</v>
      </c>
      <c r="AI478" s="164" t="str">
        <f t="shared" si="34"/>
        <v/>
      </c>
      <c r="AJ478" s="368"/>
      <c r="AK478" s="368"/>
      <c r="AL478" s="368"/>
      <c r="AM478" s="368"/>
      <c r="AN478" s="368"/>
      <c r="AO478" s="368"/>
      <c r="AP478" s="368"/>
      <c r="AQ478" s="368"/>
      <c r="AR478" s="368"/>
      <c r="AS478" s="195"/>
      <c r="AT478" s="195"/>
      <c r="AU478" s="377"/>
      <c r="AV478" s="382"/>
      <c r="AW478" s="426"/>
      <c r="AX478" s="426"/>
      <c r="AY478" s="426"/>
      <c r="AZ478" s="426"/>
      <c r="BA478" s="426"/>
      <c r="BB478" s="426"/>
      <c r="BC478" s="426"/>
      <c r="BD478" s="426"/>
      <c r="BE478" s="426"/>
      <c r="BF478" s="468">
        <v>0.16900000000000001</v>
      </c>
      <c r="BG478" s="468">
        <v>2.5499999999999998</v>
      </c>
      <c r="BH478" s="341"/>
      <c r="BI478" s="446" t="s">
        <v>93</v>
      </c>
      <c r="BJ478" s="505"/>
    </row>
    <row r="479" spans="1:62" ht="15.75" customHeight="1" thickBot="1" x14ac:dyDescent="0.25">
      <c r="A479" s="176">
        <v>478</v>
      </c>
      <c r="B479" s="175">
        <v>1</v>
      </c>
      <c r="C479" s="166" t="s">
        <v>975</v>
      </c>
      <c r="D479" s="168" t="s">
        <v>3057</v>
      </c>
      <c r="E479" s="166" t="s">
        <v>13</v>
      </c>
      <c r="F479" s="168" t="s">
        <v>2374</v>
      </c>
      <c r="G479" s="166" t="s">
        <v>292</v>
      </c>
      <c r="H479" s="166" t="s">
        <v>1064</v>
      </c>
      <c r="I479" s="181">
        <v>2013</v>
      </c>
      <c r="J479" s="181" t="s">
        <v>1065</v>
      </c>
      <c r="K479" s="181" t="s">
        <v>1066</v>
      </c>
      <c r="L479" s="181" t="s">
        <v>19</v>
      </c>
      <c r="M479" s="556" t="s">
        <v>4191</v>
      </c>
      <c r="N479" s="214" t="s">
        <v>20</v>
      </c>
      <c r="O479" s="214" t="s">
        <v>15</v>
      </c>
      <c r="P479" s="214" t="s">
        <v>20</v>
      </c>
      <c r="Q479" s="214" t="s">
        <v>20</v>
      </c>
      <c r="R479" s="214" t="s">
        <v>20</v>
      </c>
      <c r="S479" s="214" t="s">
        <v>20</v>
      </c>
      <c r="T479" s="214" t="s">
        <v>15</v>
      </c>
      <c r="U479" s="214" t="s">
        <v>15</v>
      </c>
      <c r="V479" s="214" t="s">
        <v>15</v>
      </c>
      <c r="W479" s="214" t="s">
        <v>15</v>
      </c>
      <c r="X479" s="214" t="s">
        <v>15</v>
      </c>
      <c r="Y479" s="214" t="s">
        <v>15</v>
      </c>
      <c r="Z479" s="234"/>
      <c r="AA479" s="234"/>
      <c r="AB479" s="214" t="s">
        <v>292</v>
      </c>
      <c r="AC479" s="214" t="s">
        <v>292</v>
      </c>
      <c r="AD479" s="320" t="s">
        <v>1067</v>
      </c>
      <c r="AE479" s="319"/>
      <c r="AF479" s="162" t="str">
        <f t="shared" si="31"/>
        <v/>
      </c>
      <c r="AG479" s="162" t="str">
        <f t="shared" si="35"/>
        <v/>
      </c>
      <c r="AH479" s="164">
        <f t="shared" si="33"/>
        <v>1.2</v>
      </c>
      <c r="AI479" s="164" t="str">
        <f t="shared" si="34"/>
        <v/>
      </c>
      <c r="AJ479" s="368"/>
      <c r="AK479" s="368"/>
      <c r="AL479" s="368"/>
      <c r="AM479" s="368"/>
      <c r="AN479" s="368"/>
      <c r="AO479" s="368"/>
      <c r="AP479" s="368"/>
      <c r="AQ479" s="368"/>
      <c r="AR479" s="368"/>
      <c r="AS479" s="195"/>
      <c r="AT479" s="195"/>
      <c r="AU479" s="377"/>
      <c r="AV479" s="382"/>
      <c r="AW479" s="426"/>
      <c r="AX479" s="426"/>
      <c r="AY479" s="426"/>
      <c r="AZ479" s="426"/>
      <c r="BA479" s="426"/>
      <c r="BB479" s="426"/>
      <c r="BC479" s="426"/>
      <c r="BD479" s="426"/>
      <c r="BE479" s="426"/>
      <c r="BF479" s="468">
        <v>1.2</v>
      </c>
      <c r="BG479" s="468">
        <v>3.63</v>
      </c>
      <c r="BH479" s="341"/>
      <c r="BI479" s="446" t="s">
        <v>93</v>
      </c>
      <c r="BJ479" s="505"/>
    </row>
    <row r="480" spans="1:62" ht="15.75" customHeight="1" thickBot="1" x14ac:dyDescent="0.25">
      <c r="A480" s="174">
        <v>479</v>
      </c>
      <c r="B480" s="175">
        <v>1</v>
      </c>
      <c r="C480" s="166" t="s">
        <v>975</v>
      </c>
      <c r="D480" s="168" t="s">
        <v>3057</v>
      </c>
      <c r="E480" s="166" t="s">
        <v>13</v>
      </c>
      <c r="F480" s="168" t="s">
        <v>2375</v>
      </c>
      <c r="G480" s="166" t="s">
        <v>292</v>
      </c>
      <c r="H480" s="166" t="s">
        <v>1064</v>
      </c>
      <c r="I480" s="181">
        <v>2013</v>
      </c>
      <c r="J480" s="181" t="s">
        <v>1065</v>
      </c>
      <c r="K480" s="181" t="s">
        <v>1066</v>
      </c>
      <c r="L480" s="181" t="s">
        <v>19</v>
      </c>
      <c r="M480" s="556" t="s">
        <v>4191</v>
      </c>
      <c r="N480" s="214" t="s">
        <v>20</v>
      </c>
      <c r="O480" s="214" t="s">
        <v>15</v>
      </c>
      <c r="P480" s="214" t="s">
        <v>20</v>
      </c>
      <c r="Q480" s="214" t="s">
        <v>20</v>
      </c>
      <c r="R480" s="214" t="s">
        <v>20</v>
      </c>
      <c r="S480" s="214" t="s">
        <v>20</v>
      </c>
      <c r="T480" s="214" t="s">
        <v>15</v>
      </c>
      <c r="U480" s="214" t="s">
        <v>15</v>
      </c>
      <c r="V480" s="214" t="s">
        <v>15</v>
      </c>
      <c r="W480" s="214" t="s">
        <v>15</v>
      </c>
      <c r="X480" s="214" t="s">
        <v>15</v>
      </c>
      <c r="Y480" s="214" t="s">
        <v>15</v>
      </c>
      <c r="Z480" s="234"/>
      <c r="AA480" s="234"/>
      <c r="AB480" s="214" t="s">
        <v>292</v>
      </c>
      <c r="AC480" s="214" t="s">
        <v>292</v>
      </c>
      <c r="AD480" s="320" t="s">
        <v>1067</v>
      </c>
      <c r="AE480" s="319"/>
      <c r="AF480" s="162" t="str">
        <f t="shared" si="31"/>
        <v/>
      </c>
      <c r="AG480" s="162" t="str">
        <f t="shared" si="35"/>
        <v/>
      </c>
      <c r="AH480" s="164">
        <f t="shared" si="33"/>
        <v>1.2</v>
      </c>
      <c r="AI480" s="164" t="str">
        <f t="shared" si="34"/>
        <v/>
      </c>
      <c r="AJ480" s="368"/>
      <c r="AK480" s="368"/>
      <c r="AL480" s="368"/>
      <c r="AM480" s="368"/>
      <c r="AN480" s="368"/>
      <c r="AO480" s="368"/>
      <c r="AP480" s="368"/>
      <c r="AQ480" s="368"/>
      <c r="AR480" s="368"/>
      <c r="AS480" s="195"/>
      <c r="AT480" s="195"/>
      <c r="AU480" s="377"/>
      <c r="AV480" s="382"/>
      <c r="AW480" s="426"/>
      <c r="AX480" s="426"/>
      <c r="AY480" s="426"/>
      <c r="AZ480" s="426"/>
      <c r="BA480" s="426"/>
      <c r="BB480" s="426"/>
      <c r="BC480" s="426"/>
      <c r="BD480" s="426"/>
      <c r="BE480" s="426"/>
      <c r="BF480" s="468">
        <v>1.2</v>
      </c>
      <c r="BG480" s="468">
        <v>2.36</v>
      </c>
      <c r="BH480" s="341"/>
      <c r="BI480" s="446" t="s">
        <v>93</v>
      </c>
      <c r="BJ480" s="505"/>
    </row>
    <row r="481" spans="1:62" ht="15.75" customHeight="1" thickBot="1" x14ac:dyDescent="0.25">
      <c r="A481" s="176">
        <v>480</v>
      </c>
      <c r="B481" s="175">
        <v>1</v>
      </c>
      <c r="C481" s="166" t="s">
        <v>975</v>
      </c>
      <c r="D481" s="168" t="s">
        <v>3057</v>
      </c>
      <c r="E481" s="166" t="s">
        <v>13</v>
      </c>
      <c r="F481" s="168" t="s">
        <v>2376</v>
      </c>
      <c r="G481" s="166" t="s">
        <v>292</v>
      </c>
      <c r="H481" s="166" t="s">
        <v>1064</v>
      </c>
      <c r="I481" s="181">
        <v>2013</v>
      </c>
      <c r="J481" s="181" t="s">
        <v>1065</v>
      </c>
      <c r="K481" s="181" t="s">
        <v>1066</v>
      </c>
      <c r="L481" s="181" t="s">
        <v>19</v>
      </c>
      <c r="M481" s="556" t="s">
        <v>4191</v>
      </c>
      <c r="N481" s="214" t="s">
        <v>20</v>
      </c>
      <c r="O481" s="214" t="s">
        <v>15</v>
      </c>
      <c r="P481" s="214" t="s">
        <v>20</v>
      </c>
      <c r="Q481" s="214" t="s">
        <v>20</v>
      </c>
      <c r="R481" s="214" t="s">
        <v>20</v>
      </c>
      <c r="S481" s="214" t="s">
        <v>20</v>
      </c>
      <c r="T481" s="214" t="s">
        <v>15</v>
      </c>
      <c r="U481" s="214" t="s">
        <v>15</v>
      </c>
      <c r="V481" s="214" t="s">
        <v>15</v>
      </c>
      <c r="W481" s="214" t="s">
        <v>15</v>
      </c>
      <c r="X481" s="214" t="s">
        <v>15</v>
      </c>
      <c r="Y481" s="214" t="s">
        <v>15</v>
      </c>
      <c r="Z481" s="234"/>
      <c r="AA481" s="234"/>
      <c r="AB481" s="214" t="s">
        <v>292</v>
      </c>
      <c r="AC481" s="214" t="s">
        <v>292</v>
      </c>
      <c r="AD481" s="320" t="s">
        <v>1067</v>
      </c>
      <c r="AE481" s="319"/>
      <c r="AF481" s="162" t="str">
        <f t="shared" si="31"/>
        <v/>
      </c>
      <c r="AG481" s="162" t="str">
        <f t="shared" si="35"/>
        <v/>
      </c>
      <c r="AH481" s="164">
        <f t="shared" si="33"/>
        <v>1.2</v>
      </c>
      <c r="AI481" s="164" t="str">
        <f t="shared" si="34"/>
        <v/>
      </c>
      <c r="AJ481" s="368"/>
      <c r="AK481" s="368"/>
      <c r="AL481" s="368"/>
      <c r="AM481" s="368"/>
      <c r="AN481" s="368"/>
      <c r="AO481" s="368"/>
      <c r="AP481" s="368"/>
      <c r="AQ481" s="368"/>
      <c r="AR481" s="368"/>
      <c r="AS481" s="195"/>
      <c r="AT481" s="195"/>
      <c r="AU481" s="377"/>
      <c r="AV481" s="382"/>
      <c r="AW481" s="426"/>
      <c r="AX481" s="426"/>
      <c r="AY481" s="426"/>
      <c r="AZ481" s="426"/>
      <c r="BA481" s="426"/>
      <c r="BB481" s="426"/>
      <c r="BC481" s="426"/>
      <c r="BD481" s="426"/>
      <c r="BE481" s="426"/>
      <c r="BF481" s="468">
        <v>1.2</v>
      </c>
      <c r="BG481" s="468">
        <v>2.5099999999999998</v>
      </c>
      <c r="BH481" s="341"/>
      <c r="BI481" s="446" t="s">
        <v>93</v>
      </c>
      <c r="BJ481" s="505"/>
    </row>
    <row r="482" spans="1:62" ht="15.75" customHeight="1" thickBot="1" x14ac:dyDescent="0.25">
      <c r="A482" s="174">
        <v>481</v>
      </c>
      <c r="B482" s="175">
        <v>1</v>
      </c>
      <c r="C482" s="166" t="s">
        <v>975</v>
      </c>
      <c r="D482" s="168" t="s">
        <v>3057</v>
      </c>
      <c r="E482" s="166" t="s">
        <v>1068</v>
      </c>
      <c r="F482" s="168" t="s">
        <v>2376</v>
      </c>
      <c r="G482" s="166" t="s">
        <v>292</v>
      </c>
      <c r="H482" s="166" t="s">
        <v>1064</v>
      </c>
      <c r="I482" s="181">
        <v>2013</v>
      </c>
      <c r="J482" s="181" t="s">
        <v>1065</v>
      </c>
      <c r="K482" s="181" t="s">
        <v>1066</v>
      </c>
      <c r="L482" s="181" t="s">
        <v>19</v>
      </c>
      <c r="M482" s="556" t="s">
        <v>4191</v>
      </c>
      <c r="N482" s="214" t="s">
        <v>20</v>
      </c>
      <c r="O482" s="214" t="s">
        <v>15</v>
      </c>
      <c r="P482" s="214" t="s">
        <v>20</v>
      </c>
      <c r="Q482" s="214" t="s">
        <v>20</v>
      </c>
      <c r="R482" s="214" t="s">
        <v>20</v>
      </c>
      <c r="S482" s="214" t="s">
        <v>20</v>
      </c>
      <c r="T482" s="214" t="s">
        <v>15</v>
      </c>
      <c r="U482" s="214" t="s">
        <v>15</v>
      </c>
      <c r="V482" s="214" t="s">
        <v>15</v>
      </c>
      <c r="W482" s="214" t="s">
        <v>15</v>
      </c>
      <c r="X482" s="214" t="s">
        <v>15</v>
      </c>
      <c r="Y482" s="214" t="s">
        <v>15</v>
      </c>
      <c r="Z482" s="234"/>
      <c r="AA482" s="234"/>
      <c r="AB482" s="214" t="s">
        <v>292</v>
      </c>
      <c r="AC482" s="214" t="s">
        <v>292</v>
      </c>
      <c r="AD482" s="320" t="s">
        <v>1067</v>
      </c>
      <c r="AE482" s="319"/>
      <c r="AF482" s="162" t="str">
        <f t="shared" si="31"/>
        <v/>
      </c>
      <c r="AG482" s="162" t="str">
        <f t="shared" si="35"/>
        <v/>
      </c>
      <c r="AH482" s="164">
        <f t="shared" si="33"/>
        <v>1.2</v>
      </c>
      <c r="AI482" s="164" t="str">
        <f t="shared" si="34"/>
        <v/>
      </c>
      <c r="AJ482" s="368"/>
      <c r="AK482" s="368"/>
      <c r="AL482" s="368"/>
      <c r="AM482" s="368"/>
      <c r="AN482" s="368"/>
      <c r="AO482" s="368"/>
      <c r="AP482" s="368"/>
      <c r="AQ482" s="368"/>
      <c r="AR482" s="368"/>
      <c r="AS482" s="195"/>
      <c r="AT482" s="195"/>
      <c r="AU482" s="377"/>
      <c r="AV482" s="382"/>
      <c r="AW482" s="426"/>
      <c r="AX482" s="426"/>
      <c r="AY482" s="426"/>
      <c r="AZ482" s="426"/>
      <c r="BA482" s="426"/>
      <c r="BB482" s="426"/>
      <c r="BC482" s="426"/>
      <c r="BD482" s="426"/>
      <c r="BE482" s="426"/>
      <c r="BF482" s="468">
        <v>1.2</v>
      </c>
      <c r="BG482" s="468">
        <v>2.5099999999999998</v>
      </c>
      <c r="BH482" s="341"/>
      <c r="BI482" s="446" t="s">
        <v>93</v>
      </c>
      <c r="BJ482" s="505"/>
    </row>
    <row r="483" spans="1:62" ht="15.75" customHeight="1" thickBot="1" x14ac:dyDescent="0.25">
      <c r="A483" s="176">
        <v>482</v>
      </c>
      <c r="B483" s="175">
        <v>1</v>
      </c>
      <c r="C483" s="166" t="s">
        <v>975</v>
      </c>
      <c r="D483" s="168" t="s">
        <v>3057</v>
      </c>
      <c r="E483" s="166" t="s">
        <v>1068</v>
      </c>
      <c r="F483" s="168" t="s">
        <v>2377</v>
      </c>
      <c r="G483" s="166" t="s">
        <v>292</v>
      </c>
      <c r="H483" s="166" t="s">
        <v>1064</v>
      </c>
      <c r="I483" s="181">
        <v>2013</v>
      </c>
      <c r="J483" s="181" t="s">
        <v>1065</v>
      </c>
      <c r="K483" s="181" t="s">
        <v>1066</v>
      </c>
      <c r="L483" s="181" t="s">
        <v>19</v>
      </c>
      <c r="M483" s="556" t="s">
        <v>4191</v>
      </c>
      <c r="N483" s="214" t="s">
        <v>20</v>
      </c>
      <c r="O483" s="214" t="s">
        <v>15</v>
      </c>
      <c r="P483" s="214" t="s">
        <v>20</v>
      </c>
      <c r="Q483" s="214" t="s">
        <v>20</v>
      </c>
      <c r="R483" s="214" t="s">
        <v>20</v>
      </c>
      <c r="S483" s="214" t="s">
        <v>20</v>
      </c>
      <c r="T483" s="214" t="s">
        <v>15</v>
      </c>
      <c r="U483" s="214" t="s">
        <v>15</v>
      </c>
      <c r="V483" s="214" t="s">
        <v>15</v>
      </c>
      <c r="W483" s="214" t="s">
        <v>15</v>
      </c>
      <c r="X483" s="214" t="s">
        <v>15</v>
      </c>
      <c r="Y483" s="214" t="s">
        <v>15</v>
      </c>
      <c r="Z483" s="234"/>
      <c r="AA483" s="234"/>
      <c r="AB483" s="214" t="s">
        <v>292</v>
      </c>
      <c r="AC483" s="214" t="s">
        <v>292</v>
      </c>
      <c r="AD483" s="320" t="s">
        <v>1067</v>
      </c>
      <c r="AE483" s="319"/>
      <c r="AF483" s="162" t="str">
        <f t="shared" si="31"/>
        <v/>
      </c>
      <c r="AG483" s="162" t="str">
        <f t="shared" si="35"/>
        <v/>
      </c>
      <c r="AH483" s="164">
        <f t="shared" si="33"/>
        <v>1.2</v>
      </c>
      <c r="AI483" s="164" t="str">
        <f t="shared" si="34"/>
        <v/>
      </c>
      <c r="AJ483" s="368"/>
      <c r="AK483" s="368"/>
      <c r="AL483" s="368"/>
      <c r="AM483" s="368"/>
      <c r="AN483" s="368"/>
      <c r="AO483" s="368"/>
      <c r="AP483" s="368"/>
      <c r="AQ483" s="368"/>
      <c r="AR483" s="368"/>
      <c r="AS483" s="195"/>
      <c r="AT483" s="195"/>
      <c r="AU483" s="377"/>
      <c r="AV483" s="382"/>
      <c r="AW483" s="426"/>
      <c r="AX483" s="426"/>
      <c r="AY483" s="426"/>
      <c r="AZ483" s="426"/>
      <c r="BA483" s="426"/>
      <c r="BB483" s="426"/>
      <c r="BC483" s="426"/>
      <c r="BD483" s="426"/>
      <c r="BE483" s="426"/>
      <c r="BF483" s="468">
        <v>1.2</v>
      </c>
      <c r="BG483" s="468">
        <v>3.78</v>
      </c>
      <c r="BH483" s="341"/>
      <c r="BI483" s="446" t="s">
        <v>93</v>
      </c>
      <c r="BJ483" s="505"/>
    </row>
    <row r="484" spans="1:62" ht="15.75" customHeight="1" thickBot="1" x14ac:dyDescent="0.25">
      <c r="A484" s="174">
        <v>483</v>
      </c>
      <c r="B484" s="175">
        <v>1</v>
      </c>
      <c r="C484" s="166" t="s">
        <v>975</v>
      </c>
      <c r="D484" s="168" t="s">
        <v>3057</v>
      </c>
      <c r="E484" s="166" t="s">
        <v>1070</v>
      </c>
      <c r="F484" s="168" t="s">
        <v>2378</v>
      </c>
      <c r="G484" s="166" t="s">
        <v>292</v>
      </c>
      <c r="H484" s="166" t="s">
        <v>1064</v>
      </c>
      <c r="I484" s="181">
        <v>2013</v>
      </c>
      <c r="J484" s="181" t="s">
        <v>1065</v>
      </c>
      <c r="K484" s="181" t="s">
        <v>1066</v>
      </c>
      <c r="L484" s="181" t="s">
        <v>19</v>
      </c>
      <c r="M484" s="556" t="s">
        <v>4191</v>
      </c>
      <c r="N484" s="214" t="s">
        <v>20</v>
      </c>
      <c r="O484" s="214" t="s">
        <v>15</v>
      </c>
      <c r="P484" s="214" t="s">
        <v>20</v>
      </c>
      <c r="Q484" s="214" t="s">
        <v>20</v>
      </c>
      <c r="R484" s="214" t="s">
        <v>20</v>
      </c>
      <c r="S484" s="214" t="s">
        <v>20</v>
      </c>
      <c r="T484" s="214" t="s">
        <v>15</v>
      </c>
      <c r="U484" s="214" t="s">
        <v>15</v>
      </c>
      <c r="V484" s="214" t="s">
        <v>15</v>
      </c>
      <c r="W484" s="214" t="s">
        <v>15</v>
      </c>
      <c r="X484" s="214" t="s">
        <v>15</v>
      </c>
      <c r="Y484" s="214" t="s">
        <v>15</v>
      </c>
      <c r="Z484" s="234"/>
      <c r="AA484" s="234"/>
      <c r="AB484" s="214" t="s">
        <v>292</v>
      </c>
      <c r="AC484" s="214" t="s">
        <v>292</v>
      </c>
      <c r="AD484" s="320" t="s">
        <v>1067</v>
      </c>
      <c r="AE484" s="319"/>
      <c r="AF484" s="162" t="str">
        <f t="shared" si="31"/>
        <v/>
      </c>
      <c r="AG484" s="162" t="str">
        <f t="shared" si="35"/>
        <v/>
      </c>
      <c r="AH484" s="164">
        <f t="shared" si="33"/>
        <v>1.2</v>
      </c>
      <c r="AI484" s="164" t="str">
        <f t="shared" si="34"/>
        <v/>
      </c>
      <c r="AJ484" s="368"/>
      <c r="AK484" s="368"/>
      <c r="AL484" s="368"/>
      <c r="AM484" s="368"/>
      <c r="AN484" s="368"/>
      <c r="AO484" s="368"/>
      <c r="AP484" s="368"/>
      <c r="AQ484" s="368"/>
      <c r="AR484" s="368"/>
      <c r="AS484" s="195"/>
      <c r="AT484" s="195"/>
      <c r="AU484" s="377"/>
      <c r="AV484" s="382"/>
      <c r="AW484" s="426"/>
      <c r="AX484" s="426"/>
      <c r="AY484" s="426"/>
      <c r="AZ484" s="426"/>
      <c r="BA484" s="426"/>
      <c r="BB484" s="426"/>
      <c r="BC484" s="426"/>
      <c r="BD484" s="426"/>
      <c r="BE484" s="426"/>
      <c r="BF484" s="468">
        <v>1.2</v>
      </c>
      <c r="BG484" s="468">
        <v>2.21</v>
      </c>
      <c r="BH484" s="341"/>
      <c r="BI484" s="446" t="s">
        <v>93</v>
      </c>
      <c r="BJ484" s="505"/>
    </row>
    <row r="485" spans="1:62" ht="15.75" customHeight="1" thickBot="1" x14ac:dyDescent="0.25">
      <c r="A485" s="176">
        <v>484</v>
      </c>
      <c r="B485" s="175">
        <v>1</v>
      </c>
      <c r="C485" s="166" t="s">
        <v>975</v>
      </c>
      <c r="D485" s="168" t="s">
        <v>3057</v>
      </c>
      <c r="E485" s="166" t="s">
        <v>1070</v>
      </c>
      <c r="F485" s="168" t="s">
        <v>2378</v>
      </c>
      <c r="G485" s="166" t="s">
        <v>292</v>
      </c>
      <c r="H485" s="166" t="s">
        <v>1064</v>
      </c>
      <c r="I485" s="181">
        <v>2013</v>
      </c>
      <c r="J485" s="181" t="s">
        <v>1065</v>
      </c>
      <c r="K485" s="181" t="s">
        <v>1066</v>
      </c>
      <c r="L485" s="181" t="s">
        <v>19</v>
      </c>
      <c r="M485" s="556" t="s">
        <v>4191</v>
      </c>
      <c r="N485" s="214" t="s">
        <v>20</v>
      </c>
      <c r="O485" s="214" t="s">
        <v>15</v>
      </c>
      <c r="P485" s="214" t="s">
        <v>20</v>
      </c>
      <c r="Q485" s="214" t="s">
        <v>20</v>
      </c>
      <c r="R485" s="214" t="s">
        <v>20</v>
      </c>
      <c r="S485" s="214" t="s">
        <v>20</v>
      </c>
      <c r="T485" s="214" t="s">
        <v>15</v>
      </c>
      <c r="U485" s="214" t="s">
        <v>15</v>
      </c>
      <c r="V485" s="214" t="s">
        <v>15</v>
      </c>
      <c r="W485" s="214" t="s">
        <v>15</v>
      </c>
      <c r="X485" s="214" t="s">
        <v>15</v>
      </c>
      <c r="Y485" s="214" t="s">
        <v>15</v>
      </c>
      <c r="Z485" s="234"/>
      <c r="AA485" s="234"/>
      <c r="AB485" s="214" t="s">
        <v>292</v>
      </c>
      <c r="AC485" s="214" t="s">
        <v>292</v>
      </c>
      <c r="AD485" s="320" t="s">
        <v>1067</v>
      </c>
      <c r="AE485" s="319"/>
      <c r="AF485" s="162" t="str">
        <f t="shared" si="31"/>
        <v/>
      </c>
      <c r="AG485" s="162" t="str">
        <f t="shared" si="35"/>
        <v/>
      </c>
      <c r="AH485" s="164">
        <f t="shared" si="33"/>
        <v>1.2</v>
      </c>
      <c r="AI485" s="164" t="str">
        <f t="shared" si="34"/>
        <v/>
      </c>
      <c r="AJ485" s="368"/>
      <c r="AK485" s="368"/>
      <c r="AL485" s="368"/>
      <c r="AM485" s="368"/>
      <c r="AN485" s="368"/>
      <c r="AO485" s="368"/>
      <c r="AP485" s="368"/>
      <c r="AQ485" s="368"/>
      <c r="AR485" s="368"/>
      <c r="AS485" s="195"/>
      <c r="AT485" s="195"/>
      <c r="AU485" s="377"/>
      <c r="AV485" s="382"/>
      <c r="AW485" s="426"/>
      <c r="AX485" s="426"/>
      <c r="AY485" s="426"/>
      <c r="AZ485" s="426"/>
      <c r="BA485" s="426"/>
      <c r="BB485" s="426"/>
      <c r="BC485" s="426"/>
      <c r="BD485" s="426"/>
      <c r="BE485" s="426"/>
      <c r="BF485" s="468">
        <v>1.2</v>
      </c>
      <c r="BG485" s="468">
        <v>2.2799999999999998</v>
      </c>
      <c r="BH485" s="341"/>
      <c r="BI485" s="446" t="s">
        <v>93</v>
      </c>
      <c r="BJ485" s="505"/>
    </row>
    <row r="486" spans="1:62" ht="15.75" customHeight="1" thickBot="1" x14ac:dyDescent="0.25">
      <c r="A486" s="174">
        <v>485</v>
      </c>
      <c r="B486" s="175">
        <v>1</v>
      </c>
      <c r="C486" s="166" t="s">
        <v>975</v>
      </c>
      <c r="D486" s="168" t="s">
        <v>3057</v>
      </c>
      <c r="E486" s="166" t="s">
        <v>3069</v>
      </c>
      <c r="F486" s="166" t="s">
        <v>1071</v>
      </c>
      <c r="G486" s="166" t="s">
        <v>292</v>
      </c>
      <c r="H486" s="166" t="s">
        <v>1064</v>
      </c>
      <c r="I486" s="181">
        <v>2013</v>
      </c>
      <c r="J486" s="181" t="s">
        <v>1065</v>
      </c>
      <c r="K486" s="181" t="s">
        <v>1066</v>
      </c>
      <c r="L486" s="181" t="s">
        <v>19</v>
      </c>
      <c r="M486" s="556" t="s">
        <v>4191</v>
      </c>
      <c r="N486" s="214" t="s">
        <v>20</v>
      </c>
      <c r="O486" s="214" t="s">
        <v>15</v>
      </c>
      <c r="P486" s="214" t="s">
        <v>20</v>
      </c>
      <c r="Q486" s="214" t="s">
        <v>20</v>
      </c>
      <c r="R486" s="214" t="s">
        <v>20</v>
      </c>
      <c r="S486" s="214" t="s">
        <v>20</v>
      </c>
      <c r="T486" s="214" t="s">
        <v>15</v>
      </c>
      <c r="U486" s="214" t="s">
        <v>15</v>
      </c>
      <c r="V486" s="214" t="s">
        <v>15</v>
      </c>
      <c r="W486" s="214" t="s">
        <v>15</v>
      </c>
      <c r="X486" s="214" t="s">
        <v>15</v>
      </c>
      <c r="Y486" s="214" t="s">
        <v>15</v>
      </c>
      <c r="Z486" s="234"/>
      <c r="AA486" s="234"/>
      <c r="AB486" s="214" t="s">
        <v>292</v>
      </c>
      <c r="AC486" s="214" t="s">
        <v>292</v>
      </c>
      <c r="AD486" s="320" t="s">
        <v>1067</v>
      </c>
      <c r="AE486" s="319"/>
      <c r="AF486" s="162" t="str">
        <f t="shared" si="31"/>
        <v/>
      </c>
      <c r="AG486" s="162" t="str">
        <f t="shared" si="35"/>
        <v/>
      </c>
      <c r="AH486" s="164">
        <f t="shared" si="33"/>
        <v>1.3</v>
      </c>
      <c r="AI486" s="164" t="str">
        <f t="shared" si="34"/>
        <v/>
      </c>
      <c r="AJ486" s="368"/>
      <c r="AK486" s="368"/>
      <c r="AL486" s="368"/>
      <c r="AM486" s="368"/>
      <c r="AN486" s="368"/>
      <c r="AO486" s="368"/>
      <c r="AP486" s="368"/>
      <c r="AQ486" s="368"/>
      <c r="AR486" s="368"/>
      <c r="AS486" s="195"/>
      <c r="AT486" s="195"/>
      <c r="AU486" s="377"/>
      <c r="AV486" s="382"/>
      <c r="AW486" s="426"/>
      <c r="AX486" s="426"/>
      <c r="AY486" s="426"/>
      <c r="AZ486" s="426"/>
      <c r="BA486" s="426"/>
      <c r="BB486" s="426"/>
      <c r="BC486" s="426"/>
      <c r="BD486" s="426"/>
      <c r="BE486" s="426"/>
      <c r="BF486" s="468">
        <v>1.3</v>
      </c>
      <c r="BG486" s="468">
        <v>2.57</v>
      </c>
      <c r="BH486" s="341"/>
      <c r="BI486" s="446" t="s">
        <v>93</v>
      </c>
      <c r="BJ486" s="505"/>
    </row>
    <row r="487" spans="1:62" ht="15.75" customHeight="1" thickBot="1" x14ac:dyDescent="0.25">
      <c r="A487" s="176">
        <v>486</v>
      </c>
      <c r="B487" s="175">
        <v>1</v>
      </c>
      <c r="C487" s="166" t="s">
        <v>975</v>
      </c>
      <c r="D487" s="168" t="s">
        <v>3057</v>
      </c>
      <c r="E487" s="166" t="s">
        <v>13</v>
      </c>
      <c r="F487" s="168" t="s">
        <v>2379</v>
      </c>
      <c r="G487" s="166" t="s">
        <v>292</v>
      </c>
      <c r="H487" s="166" t="s">
        <v>1064</v>
      </c>
      <c r="I487" s="181">
        <v>2013</v>
      </c>
      <c r="J487" s="181" t="s">
        <v>1065</v>
      </c>
      <c r="K487" s="181" t="s">
        <v>1066</v>
      </c>
      <c r="L487" s="181" t="s">
        <v>19</v>
      </c>
      <c r="M487" s="556" t="s">
        <v>4191</v>
      </c>
      <c r="N487" s="214" t="s">
        <v>20</v>
      </c>
      <c r="O487" s="214" t="s">
        <v>15</v>
      </c>
      <c r="P487" s="214" t="s">
        <v>20</v>
      </c>
      <c r="Q487" s="214" t="s">
        <v>20</v>
      </c>
      <c r="R487" s="214" t="s">
        <v>20</v>
      </c>
      <c r="S487" s="214" t="s">
        <v>20</v>
      </c>
      <c r="T487" s="214" t="s">
        <v>15</v>
      </c>
      <c r="U487" s="214" t="s">
        <v>15</v>
      </c>
      <c r="V487" s="214" t="s">
        <v>15</v>
      </c>
      <c r="W487" s="214" t="s">
        <v>15</v>
      </c>
      <c r="X487" s="214" t="s">
        <v>15</v>
      </c>
      <c r="Y487" s="214" t="s">
        <v>15</v>
      </c>
      <c r="Z487" s="234"/>
      <c r="AA487" s="234"/>
      <c r="AB487" s="214" t="s">
        <v>292</v>
      </c>
      <c r="AC487" s="214" t="s">
        <v>292</v>
      </c>
      <c r="AD487" s="320" t="s">
        <v>1067</v>
      </c>
      <c r="AE487" s="319"/>
      <c r="AF487" s="162" t="str">
        <f t="shared" si="31"/>
        <v/>
      </c>
      <c r="AG487" s="162" t="str">
        <f t="shared" si="35"/>
        <v/>
      </c>
      <c r="AH487" s="164">
        <f t="shared" si="33"/>
        <v>1.35</v>
      </c>
      <c r="AI487" s="164" t="str">
        <f t="shared" si="34"/>
        <v/>
      </c>
      <c r="AJ487" s="368"/>
      <c r="AK487" s="368"/>
      <c r="AL487" s="368"/>
      <c r="AM487" s="368"/>
      <c r="AN487" s="368"/>
      <c r="AO487" s="368"/>
      <c r="AP487" s="368"/>
      <c r="AQ487" s="368"/>
      <c r="AR487" s="368"/>
      <c r="AS487" s="195"/>
      <c r="AT487" s="195"/>
      <c r="AU487" s="377"/>
      <c r="AV487" s="382"/>
      <c r="AW487" s="426"/>
      <c r="AX487" s="426"/>
      <c r="AY487" s="426"/>
      <c r="AZ487" s="426"/>
      <c r="BA487" s="426"/>
      <c r="BB487" s="426"/>
      <c r="BC487" s="426"/>
      <c r="BD487" s="426"/>
      <c r="BE487" s="426"/>
      <c r="BF487" s="468">
        <v>1.35</v>
      </c>
      <c r="BG487" s="468">
        <v>3.71</v>
      </c>
      <c r="BH487" s="341"/>
      <c r="BI487" s="446" t="s">
        <v>93</v>
      </c>
      <c r="BJ487" s="505"/>
    </row>
    <row r="488" spans="1:62" ht="15.75" customHeight="1" thickBot="1" x14ac:dyDescent="0.25">
      <c r="A488" s="174">
        <v>487</v>
      </c>
      <c r="B488" s="175">
        <v>1</v>
      </c>
      <c r="C488" s="166" t="s">
        <v>975</v>
      </c>
      <c r="D488" s="168" t="s">
        <v>3057</v>
      </c>
      <c r="E488" s="166" t="s">
        <v>1068</v>
      </c>
      <c r="F488" s="168" t="s">
        <v>2380</v>
      </c>
      <c r="G488" s="166" t="s">
        <v>292</v>
      </c>
      <c r="H488" s="166" t="s">
        <v>1064</v>
      </c>
      <c r="I488" s="181">
        <v>2013</v>
      </c>
      <c r="J488" s="181" t="s">
        <v>1065</v>
      </c>
      <c r="K488" s="181" t="s">
        <v>1066</v>
      </c>
      <c r="L488" s="181" t="s">
        <v>19</v>
      </c>
      <c r="M488" s="556" t="s">
        <v>4191</v>
      </c>
      <c r="N488" s="214" t="s">
        <v>20</v>
      </c>
      <c r="O488" s="214" t="s">
        <v>15</v>
      </c>
      <c r="P488" s="214" t="s">
        <v>20</v>
      </c>
      <c r="Q488" s="214" t="s">
        <v>20</v>
      </c>
      <c r="R488" s="214" t="s">
        <v>20</v>
      </c>
      <c r="S488" s="214" t="s">
        <v>20</v>
      </c>
      <c r="T488" s="214" t="s">
        <v>15</v>
      </c>
      <c r="U488" s="214" t="s">
        <v>15</v>
      </c>
      <c r="V488" s="214" t="s">
        <v>15</v>
      </c>
      <c r="W488" s="214" t="s">
        <v>15</v>
      </c>
      <c r="X488" s="214" t="s">
        <v>15</v>
      </c>
      <c r="Y488" s="214" t="s">
        <v>15</v>
      </c>
      <c r="Z488" s="234"/>
      <c r="AA488" s="234"/>
      <c r="AB488" s="214" t="s">
        <v>292</v>
      </c>
      <c r="AC488" s="214" t="s">
        <v>292</v>
      </c>
      <c r="AD488" s="320" t="s">
        <v>1067</v>
      </c>
      <c r="AE488" s="319"/>
      <c r="AF488" s="162" t="str">
        <f t="shared" si="31"/>
        <v/>
      </c>
      <c r="AG488" s="162" t="str">
        <f t="shared" si="35"/>
        <v/>
      </c>
      <c r="AH488" s="164">
        <f t="shared" si="33"/>
        <v>0.34</v>
      </c>
      <c r="AI488" s="164" t="str">
        <f t="shared" si="34"/>
        <v/>
      </c>
      <c r="AJ488" s="368"/>
      <c r="AK488" s="368"/>
      <c r="AL488" s="368"/>
      <c r="AM488" s="368"/>
      <c r="AN488" s="368"/>
      <c r="AO488" s="368"/>
      <c r="AP488" s="368"/>
      <c r="AQ488" s="368"/>
      <c r="AR488" s="368"/>
      <c r="AS488" s="195"/>
      <c r="AT488" s="195"/>
      <c r="AU488" s="377"/>
      <c r="AV488" s="382"/>
      <c r="AW488" s="426"/>
      <c r="AX488" s="426"/>
      <c r="AY488" s="426"/>
      <c r="AZ488" s="426"/>
      <c r="BA488" s="426"/>
      <c r="BB488" s="426"/>
      <c r="BC488" s="426"/>
      <c r="BD488" s="426"/>
      <c r="BE488" s="426"/>
      <c r="BF488" s="468">
        <v>0.34</v>
      </c>
      <c r="BG488" s="468">
        <v>3.84</v>
      </c>
      <c r="BH488" s="341"/>
      <c r="BI488" s="446" t="s">
        <v>93</v>
      </c>
      <c r="BJ488" s="505"/>
    </row>
    <row r="489" spans="1:62" ht="15.75" customHeight="1" thickBot="1" x14ac:dyDescent="0.25">
      <c r="A489" s="176">
        <v>488</v>
      </c>
      <c r="B489" s="175">
        <v>1</v>
      </c>
      <c r="C489" s="166" t="s">
        <v>975</v>
      </c>
      <c r="D489" s="168" t="s">
        <v>3057</v>
      </c>
      <c r="E489" s="166" t="s">
        <v>3070</v>
      </c>
      <c r="F489" s="166" t="s">
        <v>1072</v>
      </c>
      <c r="G489" s="166" t="s">
        <v>292</v>
      </c>
      <c r="H489" s="166" t="s">
        <v>1064</v>
      </c>
      <c r="I489" s="181">
        <v>2013</v>
      </c>
      <c r="J489" s="181" t="s">
        <v>1065</v>
      </c>
      <c r="K489" s="181" t="s">
        <v>1066</v>
      </c>
      <c r="L489" s="181" t="s">
        <v>19</v>
      </c>
      <c r="M489" s="556" t="s">
        <v>4191</v>
      </c>
      <c r="N489" s="214" t="s">
        <v>20</v>
      </c>
      <c r="O489" s="214" t="s">
        <v>15</v>
      </c>
      <c r="P489" s="214" t="s">
        <v>20</v>
      </c>
      <c r="Q489" s="214" t="s">
        <v>20</v>
      </c>
      <c r="R489" s="214" t="s">
        <v>20</v>
      </c>
      <c r="S489" s="214" t="s">
        <v>20</v>
      </c>
      <c r="T489" s="214" t="s">
        <v>15</v>
      </c>
      <c r="U489" s="214" t="s">
        <v>15</v>
      </c>
      <c r="V489" s="214" t="s">
        <v>15</v>
      </c>
      <c r="W489" s="214" t="s">
        <v>15</v>
      </c>
      <c r="X489" s="214" t="s">
        <v>15</v>
      </c>
      <c r="Y489" s="214" t="s">
        <v>15</v>
      </c>
      <c r="Z489" s="234"/>
      <c r="AA489" s="234"/>
      <c r="AB489" s="214" t="s">
        <v>292</v>
      </c>
      <c r="AC489" s="214" t="s">
        <v>292</v>
      </c>
      <c r="AD489" s="320" t="s">
        <v>1067</v>
      </c>
      <c r="AE489" s="319"/>
      <c r="AF489" s="162" t="str">
        <f t="shared" si="31"/>
        <v/>
      </c>
      <c r="AG489" s="162" t="str">
        <f t="shared" si="35"/>
        <v/>
      </c>
      <c r="AH489" s="164">
        <f t="shared" si="33"/>
        <v>0.34</v>
      </c>
      <c r="AI489" s="164" t="str">
        <f t="shared" si="34"/>
        <v/>
      </c>
      <c r="AJ489" s="368"/>
      <c r="AK489" s="368"/>
      <c r="AL489" s="368"/>
      <c r="AM489" s="368"/>
      <c r="AN489" s="368"/>
      <c r="AO489" s="368"/>
      <c r="AP489" s="368"/>
      <c r="AQ489" s="368"/>
      <c r="AR489" s="368"/>
      <c r="AS489" s="195"/>
      <c r="AT489" s="195"/>
      <c r="AU489" s="377"/>
      <c r="AV489" s="382"/>
      <c r="AW489" s="426"/>
      <c r="AX489" s="426"/>
      <c r="AY489" s="426"/>
      <c r="AZ489" s="426"/>
      <c r="BA489" s="426"/>
      <c r="BB489" s="426"/>
      <c r="BC489" s="426"/>
      <c r="BD489" s="426"/>
      <c r="BE489" s="426"/>
      <c r="BF489" s="468">
        <v>0.34</v>
      </c>
      <c r="BG489" s="468">
        <v>0.97</v>
      </c>
      <c r="BH489" s="341"/>
      <c r="BI489" s="446" t="s">
        <v>93</v>
      </c>
      <c r="BJ489" s="505"/>
    </row>
    <row r="490" spans="1:62" ht="15.75" customHeight="1" thickBot="1" x14ac:dyDescent="0.25">
      <c r="A490" s="174">
        <v>489</v>
      </c>
      <c r="B490" s="175">
        <v>1</v>
      </c>
      <c r="C490" s="166" t="s">
        <v>975</v>
      </c>
      <c r="D490" s="168" t="s">
        <v>3057</v>
      </c>
      <c r="E490" s="166" t="s">
        <v>3070</v>
      </c>
      <c r="F490" s="166" t="s">
        <v>1073</v>
      </c>
      <c r="G490" s="166" t="s">
        <v>292</v>
      </c>
      <c r="H490" s="166" t="s">
        <v>1064</v>
      </c>
      <c r="I490" s="181">
        <v>2013</v>
      </c>
      <c r="J490" s="181" t="s">
        <v>1065</v>
      </c>
      <c r="K490" s="181" t="s">
        <v>1066</v>
      </c>
      <c r="L490" s="181" t="s">
        <v>19</v>
      </c>
      <c r="M490" s="556" t="s">
        <v>4191</v>
      </c>
      <c r="N490" s="214" t="s">
        <v>20</v>
      </c>
      <c r="O490" s="214" t="s">
        <v>15</v>
      </c>
      <c r="P490" s="214" t="s">
        <v>20</v>
      </c>
      <c r="Q490" s="214" t="s">
        <v>20</v>
      </c>
      <c r="R490" s="214" t="s">
        <v>20</v>
      </c>
      <c r="S490" s="214" t="s">
        <v>20</v>
      </c>
      <c r="T490" s="214" t="s">
        <v>15</v>
      </c>
      <c r="U490" s="214" t="s">
        <v>15</v>
      </c>
      <c r="V490" s="214" t="s">
        <v>15</v>
      </c>
      <c r="W490" s="214" t="s">
        <v>15</v>
      </c>
      <c r="X490" s="214" t="s">
        <v>15</v>
      </c>
      <c r="Y490" s="214" t="s">
        <v>15</v>
      </c>
      <c r="Z490" s="234"/>
      <c r="AA490" s="234"/>
      <c r="AB490" s="214" t="s">
        <v>292</v>
      </c>
      <c r="AC490" s="214" t="s">
        <v>292</v>
      </c>
      <c r="AD490" s="320" t="s">
        <v>1067</v>
      </c>
      <c r="AE490" s="319"/>
      <c r="AF490" s="162" t="str">
        <f t="shared" si="31"/>
        <v/>
      </c>
      <c r="AG490" s="162" t="str">
        <f t="shared" si="35"/>
        <v/>
      </c>
      <c r="AH490" s="164">
        <f t="shared" si="33"/>
        <v>0.34</v>
      </c>
      <c r="AI490" s="164" t="str">
        <f t="shared" si="34"/>
        <v/>
      </c>
      <c r="AJ490" s="368"/>
      <c r="AK490" s="368"/>
      <c r="AL490" s="368"/>
      <c r="AM490" s="368"/>
      <c r="AN490" s="368"/>
      <c r="AO490" s="368"/>
      <c r="AP490" s="368"/>
      <c r="AQ490" s="368"/>
      <c r="AR490" s="368"/>
      <c r="AS490" s="195"/>
      <c r="AT490" s="195"/>
      <c r="AU490" s="377"/>
      <c r="AV490" s="382"/>
      <c r="AW490" s="426"/>
      <c r="AX490" s="426"/>
      <c r="AY490" s="426"/>
      <c r="AZ490" s="426"/>
      <c r="BA490" s="426"/>
      <c r="BB490" s="426"/>
      <c r="BC490" s="426"/>
      <c r="BD490" s="426"/>
      <c r="BE490" s="426"/>
      <c r="BF490" s="468">
        <v>0.34</v>
      </c>
      <c r="BG490" s="468">
        <v>1.39</v>
      </c>
      <c r="BH490" s="341"/>
      <c r="BI490" s="446" t="s">
        <v>93</v>
      </c>
      <c r="BJ490" s="505"/>
    </row>
    <row r="491" spans="1:62" ht="15.75" customHeight="1" thickBot="1" x14ac:dyDescent="0.25">
      <c r="A491" s="176">
        <v>490</v>
      </c>
      <c r="B491" s="175">
        <v>1</v>
      </c>
      <c r="C491" s="166" t="s">
        <v>975</v>
      </c>
      <c r="D491" s="168" t="s">
        <v>3057</v>
      </c>
      <c r="E491" s="166" t="s">
        <v>1068</v>
      </c>
      <c r="F491" s="168" t="s">
        <v>2381</v>
      </c>
      <c r="G491" s="166" t="s">
        <v>292</v>
      </c>
      <c r="H491" s="166" t="s">
        <v>1064</v>
      </c>
      <c r="I491" s="181">
        <v>2013</v>
      </c>
      <c r="J491" s="181" t="s">
        <v>1065</v>
      </c>
      <c r="K491" s="181" t="s">
        <v>1066</v>
      </c>
      <c r="L491" s="181" t="s">
        <v>19</v>
      </c>
      <c r="M491" s="556" t="s">
        <v>4191</v>
      </c>
      <c r="N491" s="214" t="s">
        <v>20</v>
      </c>
      <c r="O491" s="214" t="s">
        <v>15</v>
      </c>
      <c r="P491" s="214" t="s">
        <v>20</v>
      </c>
      <c r="Q491" s="214" t="s">
        <v>20</v>
      </c>
      <c r="R491" s="214" t="s">
        <v>20</v>
      </c>
      <c r="S491" s="214" t="s">
        <v>20</v>
      </c>
      <c r="T491" s="214" t="s">
        <v>15</v>
      </c>
      <c r="U491" s="214" t="s">
        <v>15</v>
      </c>
      <c r="V491" s="214" t="s">
        <v>15</v>
      </c>
      <c r="W491" s="214" t="s">
        <v>15</v>
      </c>
      <c r="X491" s="214" t="s">
        <v>15</v>
      </c>
      <c r="Y491" s="214" t="s">
        <v>15</v>
      </c>
      <c r="Z491" s="234"/>
      <c r="AA491" s="234"/>
      <c r="AB491" s="214" t="s">
        <v>292</v>
      </c>
      <c r="AC491" s="214" t="s">
        <v>292</v>
      </c>
      <c r="AD491" s="320" t="s">
        <v>1067</v>
      </c>
      <c r="AE491" s="319"/>
      <c r="AF491" s="162" t="str">
        <f t="shared" si="31"/>
        <v/>
      </c>
      <c r="AG491" s="162" t="str">
        <f t="shared" si="35"/>
        <v/>
      </c>
      <c r="AH491" s="164">
        <f t="shared" si="33"/>
        <v>0.34</v>
      </c>
      <c r="AI491" s="164" t="str">
        <f t="shared" si="34"/>
        <v/>
      </c>
      <c r="AJ491" s="368"/>
      <c r="AK491" s="368"/>
      <c r="AL491" s="368"/>
      <c r="AM491" s="368"/>
      <c r="AN491" s="368"/>
      <c r="AO491" s="368"/>
      <c r="AP491" s="368"/>
      <c r="AQ491" s="368"/>
      <c r="AR491" s="368"/>
      <c r="AS491" s="195"/>
      <c r="AT491" s="195"/>
      <c r="AU491" s="377"/>
      <c r="AV491" s="382"/>
      <c r="AW491" s="426"/>
      <c r="AX491" s="426"/>
      <c r="AY491" s="426"/>
      <c r="AZ491" s="426"/>
      <c r="BA491" s="426"/>
      <c r="BB491" s="426"/>
      <c r="BC491" s="426"/>
      <c r="BD491" s="426"/>
      <c r="BE491" s="426"/>
      <c r="BF491" s="468">
        <v>0.34</v>
      </c>
      <c r="BG491" s="468">
        <v>1.93</v>
      </c>
      <c r="BH491" s="341"/>
      <c r="BI491" s="446" t="s">
        <v>93</v>
      </c>
      <c r="BJ491" s="505"/>
    </row>
    <row r="492" spans="1:62" ht="15.75" customHeight="1" thickBot="1" x14ac:dyDescent="0.25">
      <c r="A492" s="174">
        <v>491</v>
      </c>
      <c r="B492" s="175">
        <v>1</v>
      </c>
      <c r="C492" s="166" t="s">
        <v>975</v>
      </c>
      <c r="D492" s="168" t="s">
        <v>3057</v>
      </c>
      <c r="E492" s="166" t="s">
        <v>1068</v>
      </c>
      <c r="F492" s="168" t="s">
        <v>2382</v>
      </c>
      <c r="G492" s="166" t="s">
        <v>292</v>
      </c>
      <c r="H492" s="166" t="s">
        <v>1064</v>
      </c>
      <c r="I492" s="181">
        <v>2013</v>
      </c>
      <c r="J492" s="181" t="s">
        <v>1065</v>
      </c>
      <c r="K492" s="181" t="s">
        <v>1066</v>
      </c>
      <c r="L492" s="181" t="s">
        <v>19</v>
      </c>
      <c r="M492" s="556" t="s">
        <v>4191</v>
      </c>
      <c r="N492" s="214" t="s">
        <v>20</v>
      </c>
      <c r="O492" s="214" t="s">
        <v>15</v>
      </c>
      <c r="P492" s="214" t="s">
        <v>20</v>
      </c>
      <c r="Q492" s="214" t="s">
        <v>20</v>
      </c>
      <c r="R492" s="214" t="s">
        <v>20</v>
      </c>
      <c r="S492" s="214" t="s">
        <v>20</v>
      </c>
      <c r="T492" s="214" t="s">
        <v>15</v>
      </c>
      <c r="U492" s="214" t="s">
        <v>15</v>
      </c>
      <c r="V492" s="214" t="s">
        <v>15</v>
      </c>
      <c r="W492" s="214" t="s">
        <v>15</v>
      </c>
      <c r="X492" s="214" t="s">
        <v>15</v>
      </c>
      <c r="Y492" s="214" t="s">
        <v>15</v>
      </c>
      <c r="Z492" s="234"/>
      <c r="AA492" s="234"/>
      <c r="AB492" s="214" t="s">
        <v>292</v>
      </c>
      <c r="AC492" s="214" t="s">
        <v>292</v>
      </c>
      <c r="AD492" s="320" t="s">
        <v>1067</v>
      </c>
      <c r="AE492" s="319"/>
      <c r="AF492" s="162" t="str">
        <f t="shared" si="31"/>
        <v/>
      </c>
      <c r="AG492" s="162" t="str">
        <f t="shared" si="35"/>
        <v/>
      </c>
      <c r="AH492" s="164">
        <f t="shared" si="33"/>
        <v>0.34</v>
      </c>
      <c r="AI492" s="164" t="str">
        <f t="shared" si="34"/>
        <v/>
      </c>
      <c r="AJ492" s="368"/>
      <c r="AK492" s="368"/>
      <c r="AL492" s="368"/>
      <c r="AM492" s="368"/>
      <c r="AN492" s="368"/>
      <c r="AO492" s="368"/>
      <c r="AP492" s="368"/>
      <c r="AQ492" s="368"/>
      <c r="AR492" s="368"/>
      <c r="AS492" s="195"/>
      <c r="AT492" s="195"/>
      <c r="AU492" s="377"/>
      <c r="AV492" s="382"/>
      <c r="AW492" s="426"/>
      <c r="AX492" s="426"/>
      <c r="AY492" s="426"/>
      <c r="AZ492" s="426"/>
      <c r="BA492" s="426"/>
      <c r="BB492" s="426"/>
      <c r="BC492" s="426"/>
      <c r="BD492" s="426"/>
      <c r="BE492" s="426"/>
      <c r="BF492" s="468">
        <v>0.34</v>
      </c>
      <c r="BG492" s="468">
        <v>1</v>
      </c>
      <c r="BH492" s="341"/>
      <c r="BI492" s="446" t="s">
        <v>93</v>
      </c>
      <c r="BJ492" s="505"/>
    </row>
    <row r="493" spans="1:62" ht="15.75" customHeight="1" thickBot="1" x14ac:dyDescent="0.25">
      <c r="A493" s="176">
        <v>492</v>
      </c>
      <c r="B493" s="175">
        <v>1</v>
      </c>
      <c r="C493" s="166" t="s">
        <v>975</v>
      </c>
      <c r="D493" s="168" t="s">
        <v>3059</v>
      </c>
      <c r="E493" s="166" t="s">
        <v>1069</v>
      </c>
      <c r="F493" s="168" t="s">
        <v>2383</v>
      </c>
      <c r="G493" s="166" t="s">
        <v>292</v>
      </c>
      <c r="H493" s="166" t="s">
        <v>1074</v>
      </c>
      <c r="I493" s="181">
        <v>2015</v>
      </c>
      <c r="J493" s="181" t="s">
        <v>1075</v>
      </c>
      <c r="K493" s="181" t="s">
        <v>1076</v>
      </c>
      <c r="L493" s="181" t="s">
        <v>19</v>
      </c>
      <c r="M493" s="556" t="s">
        <v>4192</v>
      </c>
      <c r="N493" s="214" t="s">
        <v>20</v>
      </c>
      <c r="O493" s="214" t="s">
        <v>15</v>
      </c>
      <c r="P493" s="214" t="s">
        <v>20</v>
      </c>
      <c r="Q493" s="214" t="s">
        <v>15</v>
      </c>
      <c r="R493" s="214" t="s">
        <v>15</v>
      </c>
      <c r="S493" s="214" t="s">
        <v>15</v>
      </c>
      <c r="T493" s="214" t="s">
        <v>15</v>
      </c>
      <c r="U493" s="214" t="s">
        <v>15</v>
      </c>
      <c r="V493" s="214" t="s">
        <v>15</v>
      </c>
      <c r="W493" s="214" t="s">
        <v>15</v>
      </c>
      <c r="X493" s="214" t="s">
        <v>15</v>
      </c>
      <c r="Y493" s="214" t="s">
        <v>15</v>
      </c>
      <c r="Z493" s="234"/>
      <c r="AA493" s="312" t="s">
        <v>1077</v>
      </c>
      <c r="AB493" s="214" t="s">
        <v>292</v>
      </c>
      <c r="AC493" s="214" t="s">
        <v>122</v>
      </c>
      <c r="AD493" s="324" t="s">
        <v>1078</v>
      </c>
      <c r="AE493" s="320" t="s">
        <v>2442</v>
      </c>
      <c r="AF493" s="162">
        <f t="shared" si="31"/>
        <v>244.11612903225807</v>
      </c>
      <c r="AG493" s="162" t="str">
        <f t="shared" si="35"/>
        <v/>
      </c>
      <c r="AH493" s="164">
        <f t="shared" si="33"/>
        <v>15.848387096774195</v>
      </c>
      <c r="AI493" s="164" t="str">
        <f t="shared" si="34"/>
        <v/>
      </c>
      <c r="AJ493" s="368">
        <v>244.11612903225807</v>
      </c>
      <c r="AK493" s="369"/>
      <c r="AL493" s="368"/>
      <c r="AM493" s="368"/>
      <c r="AN493" s="369">
        <f>14.0129+2.8839</f>
        <v>16.896799999999999</v>
      </c>
      <c r="AO493" s="368"/>
      <c r="AP493" s="368"/>
      <c r="AQ493" s="368"/>
      <c r="AR493" s="368"/>
      <c r="AS493" s="195">
        <v>244.11612903225807</v>
      </c>
      <c r="AT493" s="195">
        <v>261.01290322580644</v>
      </c>
      <c r="AU493" s="378" t="s">
        <v>961</v>
      </c>
      <c r="AV493" s="382"/>
      <c r="AW493" s="426">
        <v>15.848387096774195</v>
      </c>
      <c r="AX493" s="359"/>
      <c r="AY493" s="426"/>
      <c r="AZ493" s="426"/>
      <c r="BA493" s="359">
        <f>0.741935+0.2129</f>
        <v>0.95483499999999999</v>
      </c>
      <c r="BB493" s="426"/>
      <c r="BC493" s="426"/>
      <c r="BD493" s="426"/>
      <c r="BE493" s="426"/>
      <c r="BF493" s="469">
        <v>15.848387096774195</v>
      </c>
      <c r="BG493" s="469">
        <v>16.803225806451611</v>
      </c>
      <c r="BH493" s="341"/>
      <c r="BI493" s="446" t="s">
        <v>990</v>
      </c>
      <c r="BJ493" s="505"/>
    </row>
    <row r="494" spans="1:62" ht="15.75" customHeight="1" thickBot="1" x14ac:dyDescent="0.25">
      <c r="A494" s="174">
        <v>493</v>
      </c>
      <c r="B494" s="175">
        <v>1</v>
      </c>
      <c r="C494" s="166" t="s">
        <v>975</v>
      </c>
      <c r="D494" s="168" t="s">
        <v>3059</v>
      </c>
      <c r="E494" s="166" t="s">
        <v>1069</v>
      </c>
      <c r="F494" s="168" t="s">
        <v>2384</v>
      </c>
      <c r="G494" s="166" t="s">
        <v>292</v>
      </c>
      <c r="H494" s="166" t="s">
        <v>1079</v>
      </c>
      <c r="I494" s="181">
        <v>2015</v>
      </c>
      <c r="J494" s="181" t="s">
        <v>1075</v>
      </c>
      <c r="K494" s="181" t="s">
        <v>1076</v>
      </c>
      <c r="L494" s="181" t="s">
        <v>19</v>
      </c>
      <c r="M494" s="556" t="s">
        <v>4192</v>
      </c>
      <c r="N494" s="214" t="s">
        <v>20</v>
      </c>
      <c r="O494" s="214" t="s">
        <v>15</v>
      </c>
      <c r="P494" s="214" t="s">
        <v>20</v>
      </c>
      <c r="Q494" s="214" t="s">
        <v>15</v>
      </c>
      <c r="R494" s="214" t="s">
        <v>15</v>
      </c>
      <c r="S494" s="214" t="s">
        <v>15</v>
      </c>
      <c r="T494" s="214" t="s">
        <v>15</v>
      </c>
      <c r="U494" s="214" t="s">
        <v>15</v>
      </c>
      <c r="V494" s="214" t="s">
        <v>15</v>
      </c>
      <c r="W494" s="214" t="s">
        <v>15</v>
      </c>
      <c r="X494" s="214" t="s">
        <v>15</v>
      </c>
      <c r="Y494" s="214" t="s">
        <v>15</v>
      </c>
      <c r="Z494" s="234"/>
      <c r="AA494" s="312" t="s">
        <v>1077</v>
      </c>
      <c r="AB494" s="214" t="s">
        <v>292</v>
      </c>
      <c r="AC494" s="214" t="s">
        <v>122</v>
      </c>
      <c r="AD494" s="324" t="s">
        <v>1080</v>
      </c>
      <c r="AE494" s="320" t="s">
        <v>2442</v>
      </c>
      <c r="AF494" s="162">
        <f t="shared" si="31"/>
        <v>191.96774193548387</v>
      </c>
      <c r="AG494" s="162">
        <f t="shared" si="35"/>
        <v>219.17096193548389</v>
      </c>
      <c r="AH494" s="164">
        <f t="shared" si="33"/>
        <v>13.445161290322581</v>
      </c>
      <c r="AI494" s="164" t="str">
        <f t="shared" si="34"/>
        <v/>
      </c>
      <c r="AJ494" s="368">
        <v>191.96774193548387</v>
      </c>
      <c r="AK494" s="369">
        <v>27.203220000000002</v>
      </c>
      <c r="AL494" s="368"/>
      <c r="AM494" s="368"/>
      <c r="AN494" s="368">
        <v>224.858</v>
      </c>
      <c r="AO494" s="368"/>
      <c r="AP494" s="368"/>
      <c r="AQ494" s="368"/>
      <c r="AR494" s="368"/>
      <c r="AS494" s="195">
        <v>191.96774193548387</v>
      </c>
      <c r="AT494" s="195">
        <v>444.03225806451616</v>
      </c>
      <c r="AU494" s="378" t="s">
        <v>961</v>
      </c>
      <c r="AV494" s="402"/>
      <c r="AW494" s="426">
        <v>13.445161290322581</v>
      </c>
      <c r="AX494" s="426"/>
      <c r="AY494" s="426"/>
      <c r="AZ494" s="426"/>
      <c r="BA494" s="426">
        <f>(670+4359)/1000/0.31</f>
        <v>16.22258064516129</v>
      </c>
      <c r="BB494" s="426"/>
      <c r="BC494" s="426"/>
      <c r="BD494" s="426"/>
      <c r="BE494" s="426"/>
      <c r="BF494" s="469">
        <v>13.445161290322581</v>
      </c>
      <c r="BG494" s="469">
        <v>29.667741935483868</v>
      </c>
      <c r="BH494" s="341"/>
      <c r="BI494" s="446" t="s">
        <v>990</v>
      </c>
      <c r="BJ494" s="505"/>
    </row>
    <row r="495" spans="1:62" ht="15.75" customHeight="1" thickBot="1" x14ac:dyDescent="0.25">
      <c r="A495" s="176">
        <v>494</v>
      </c>
      <c r="B495" s="175">
        <v>1</v>
      </c>
      <c r="C495" s="166" t="s">
        <v>975</v>
      </c>
      <c r="D495" s="168" t="s">
        <v>3057</v>
      </c>
      <c r="E495" s="166" t="s">
        <v>3071</v>
      </c>
      <c r="F495" s="168" t="s">
        <v>3231</v>
      </c>
      <c r="G495" s="166" t="s">
        <v>292</v>
      </c>
      <c r="H495" s="166" t="s">
        <v>80</v>
      </c>
      <c r="I495" s="181">
        <v>2011</v>
      </c>
      <c r="J495" s="181" t="s">
        <v>1082</v>
      </c>
      <c r="K495" s="181" t="s">
        <v>1083</v>
      </c>
      <c r="L495" s="181" t="s">
        <v>104</v>
      </c>
      <c r="M495" s="556" t="s">
        <v>4193</v>
      </c>
      <c r="N495" s="214" t="s">
        <v>20</v>
      </c>
      <c r="O495" s="214" t="s">
        <v>15</v>
      </c>
      <c r="P495" s="214" t="s">
        <v>20</v>
      </c>
      <c r="Q495" s="214" t="s">
        <v>20</v>
      </c>
      <c r="R495" s="214" t="s">
        <v>20</v>
      </c>
      <c r="S495" s="214" t="s">
        <v>20</v>
      </c>
      <c r="T495" s="214" t="s">
        <v>20</v>
      </c>
      <c r="U495" s="214" t="s">
        <v>15</v>
      </c>
      <c r="V495" s="214" t="s">
        <v>15</v>
      </c>
      <c r="W495" s="214" t="s">
        <v>15</v>
      </c>
      <c r="X495" s="214" t="s">
        <v>15</v>
      </c>
      <c r="Y495" s="214" t="s">
        <v>15</v>
      </c>
      <c r="Z495" s="234"/>
      <c r="AA495" s="214" t="s">
        <v>1084</v>
      </c>
      <c r="AB495" s="214" t="s">
        <v>292</v>
      </c>
      <c r="AC495" s="214" t="s">
        <v>122</v>
      </c>
      <c r="AD495" s="320" t="s">
        <v>1085</v>
      </c>
      <c r="AE495" s="319"/>
      <c r="AF495" s="162" t="str">
        <f t="shared" si="31"/>
        <v/>
      </c>
      <c r="AG495" s="162" t="str">
        <f t="shared" si="35"/>
        <v/>
      </c>
      <c r="AH495" s="164">
        <f t="shared" si="33"/>
        <v>0.55000000000000004</v>
      </c>
      <c r="AI495" s="164">
        <f t="shared" si="34"/>
        <v>1.2</v>
      </c>
      <c r="AJ495" s="368"/>
      <c r="AK495" s="368"/>
      <c r="AL495" s="368"/>
      <c r="AM495" s="368"/>
      <c r="AN495" s="368"/>
      <c r="AO495" s="368"/>
      <c r="AP495" s="368"/>
      <c r="AQ495" s="368"/>
      <c r="AR495" s="368"/>
      <c r="AS495" s="195"/>
      <c r="AT495" s="195"/>
      <c r="AU495" s="377"/>
      <c r="AV495" s="382"/>
      <c r="AW495" s="359">
        <v>0.55000000000000004</v>
      </c>
      <c r="AX495" s="359">
        <v>0.2</v>
      </c>
      <c r="AY495" s="359">
        <v>0.45</v>
      </c>
      <c r="AZ495" s="359">
        <v>2.3199999999999998</v>
      </c>
      <c r="BA495" s="359">
        <v>0.22</v>
      </c>
      <c r="BB495" s="426"/>
      <c r="BC495" s="426"/>
      <c r="BD495" s="426"/>
      <c r="BE495" s="426"/>
      <c r="BF495" s="482">
        <f>AW495</f>
        <v>0.55000000000000004</v>
      </c>
      <c r="BG495" s="469">
        <v>3.7</v>
      </c>
      <c r="BH495" s="341"/>
      <c r="BI495" s="446" t="s">
        <v>733</v>
      </c>
      <c r="BJ495" s="505"/>
    </row>
    <row r="496" spans="1:62" ht="15.75" customHeight="1" thickBot="1" x14ac:dyDescent="0.25">
      <c r="A496" s="174">
        <v>495</v>
      </c>
      <c r="B496" s="175">
        <v>1</v>
      </c>
      <c r="C496" s="166" t="s">
        <v>975</v>
      </c>
      <c r="D496" s="168" t="s">
        <v>3057</v>
      </c>
      <c r="E496" s="166" t="s">
        <v>1081</v>
      </c>
      <c r="F496" s="168" t="s">
        <v>3232</v>
      </c>
      <c r="G496" s="166" t="s">
        <v>292</v>
      </c>
      <c r="H496" s="166" t="s">
        <v>80</v>
      </c>
      <c r="I496" s="181">
        <v>2011</v>
      </c>
      <c r="J496" s="181" t="s">
        <v>1082</v>
      </c>
      <c r="K496" s="181" t="s">
        <v>1083</v>
      </c>
      <c r="L496" s="181" t="s">
        <v>104</v>
      </c>
      <c r="M496" s="556" t="s">
        <v>4193</v>
      </c>
      <c r="N496" s="214" t="s">
        <v>20</v>
      </c>
      <c r="O496" s="214" t="s">
        <v>15</v>
      </c>
      <c r="P496" s="214" t="s">
        <v>20</v>
      </c>
      <c r="Q496" s="214" t="s">
        <v>20</v>
      </c>
      <c r="R496" s="214" t="s">
        <v>20</v>
      </c>
      <c r="S496" s="214" t="s">
        <v>20</v>
      </c>
      <c r="T496" s="214" t="s">
        <v>20</v>
      </c>
      <c r="U496" s="214" t="s">
        <v>15</v>
      </c>
      <c r="V496" s="214" t="s">
        <v>15</v>
      </c>
      <c r="W496" s="214" t="s">
        <v>15</v>
      </c>
      <c r="X496" s="214" t="s">
        <v>15</v>
      </c>
      <c r="Y496" s="214" t="s">
        <v>15</v>
      </c>
      <c r="Z496" s="234"/>
      <c r="AA496" s="214" t="s">
        <v>1084</v>
      </c>
      <c r="AB496" s="214" t="s">
        <v>292</v>
      </c>
      <c r="AC496" s="214" t="s">
        <v>122</v>
      </c>
      <c r="AD496" s="320" t="s">
        <v>1086</v>
      </c>
      <c r="AE496" s="319"/>
      <c r="AF496" s="162" t="str">
        <f t="shared" si="31"/>
        <v/>
      </c>
      <c r="AG496" s="162" t="str">
        <f t="shared" si="35"/>
        <v/>
      </c>
      <c r="AH496" s="164">
        <f t="shared" si="33"/>
        <v>0.45</v>
      </c>
      <c r="AI496" s="164">
        <f t="shared" si="34"/>
        <v>1.1200000000000001</v>
      </c>
      <c r="AJ496" s="368"/>
      <c r="AK496" s="368"/>
      <c r="AL496" s="368"/>
      <c r="AM496" s="368"/>
      <c r="AN496" s="368"/>
      <c r="AO496" s="368"/>
      <c r="AP496" s="368"/>
      <c r="AQ496" s="368"/>
      <c r="AR496" s="368"/>
      <c r="AS496" s="195"/>
      <c r="AT496" s="195"/>
      <c r="AU496" s="377"/>
      <c r="AV496" s="382"/>
      <c r="AW496" s="359">
        <v>0.45</v>
      </c>
      <c r="AX496" s="359">
        <v>0.22</v>
      </c>
      <c r="AY496" s="359">
        <v>0.45</v>
      </c>
      <c r="AZ496" s="359">
        <v>2.4</v>
      </c>
      <c r="BA496" s="359">
        <v>0.22</v>
      </c>
      <c r="BB496" s="426"/>
      <c r="BC496" s="426"/>
      <c r="BD496" s="426"/>
      <c r="BE496" s="426"/>
      <c r="BF496" s="482">
        <f>AW496</f>
        <v>0.45</v>
      </c>
      <c r="BG496" s="469">
        <v>3.7</v>
      </c>
      <c r="BH496" s="341"/>
      <c r="BI496" s="446" t="s">
        <v>733</v>
      </c>
      <c r="BJ496" s="505"/>
    </row>
    <row r="497" spans="1:62" ht="15.75" customHeight="1" thickBot="1" x14ac:dyDescent="0.25">
      <c r="A497" s="176">
        <v>496</v>
      </c>
      <c r="B497" s="175">
        <v>1</v>
      </c>
      <c r="C497" s="166" t="s">
        <v>975</v>
      </c>
      <c r="D497" s="168" t="s">
        <v>3057</v>
      </c>
      <c r="E497" s="166" t="s">
        <v>1068</v>
      </c>
      <c r="F497" s="294" t="s">
        <v>2385</v>
      </c>
      <c r="G497" s="166" t="s">
        <v>292</v>
      </c>
      <c r="H497" s="166" t="s">
        <v>80</v>
      </c>
      <c r="I497" s="181">
        <v>2011</v>
      </c>
      <c r="J497" s="181" t="s">
        <v>1082</v>
      </c>
      <c r="K497" s="181" t="s">
        <v>1083</v>
      </c>
      <c r="L497" s="181" t="s">
        <v>104</v>
      </c>
      <c r="M497" s="556" t="s">
        <v>4193</v>
      </c>
      <c r="N497" s="214" t="s">
        <v>20</v>
      </c>
      <c r="O497" s="214" t="s">
        <v>15</v>
      </c>
      <c r="P497" s="214" t="s">
        <v>20</v>
      </c>
      <c r="Q497" s="214" t="s">
        <v>20</v>
      </c>
      <c r="R497" s="214" t="s">
        <v>20</v>
      </c>
      <c r="S497" s="214" t="s">
        <v>20</v>
      </c>
      <c r="T497" s="214" t="s">
        <v>20</v>
      </c>
      <c r="U497" s="214" t="s">
        <v>15</v>
      </c>
      <c r="V497" s="214" t="s">
        <v>15</v>
      </c>
      <c r="W497" s="214" t="s">
        <v>15</v>
      </c>
      <c r="X497" s="214" t="s">
        <v>15</v>
      </c>
      <c r="Y497" s="214" t="s">
        <v>15</v>
      </c>
      <c r="Z497" s="234"/>
      <c r="AA497" s="214" t="s">
        <v>1084</v>
      </c>
      <c r="AB497" s="214" t="s">
        <v>292</v>
      </c>
      <c r="AC497" s="214" t="s">
        <v>122</v>
      </c>
      <c r="AD497" s="320" t="s">
        <v>1087</v>
      </c>
      <c r="AE497" s="319"/>
      <c r="AF497" s="162" t="str">
        <f t="shared" si="31"/>
        <v/>
      </c>
      <c r="AG497" s="162" t="str">
        <f t="shared" si="35"/>
        <v/>
      </c>
      <c r="AH497" s="164">
        <f t="shared" si="33"/>
        <v>3.73</v>
      </c>
      <c r="AI497" s="164">
        <f t="shared" si="34"/>
        <v>4.4000000000000004</v>
      </c>
      <c r="AJ497" s="368"/>
      <c r="AK497" s="368"/>
      <c r="AL497" s="368"/>
      <c r="AM497" s="368"/>
      <c r="AN497" s="368"/>
      <c r="AO497" s="368"/>
      <c r="AP497" s="368"/>
      <c r="AQ497" s="368"/>
      <c r="AR497" s="368"/>
      <c r="AS497" s="195"/>
      <c r="AT497" s="195"/>
      <c r="AU497" s="377"/>
      <c r="AV497" s="382"/>
      <c r="AW497" s="359">
        <v>3.73</v>
      </c>
      <c r="AX497" s="359">
        <v>0.22</v>
      </c>
      <c r="AY497" s="359">
        <v>0.45</v>
      </c>
      <c r="AZ497" s="359">
        <v>0.12</v>
      </c>
      <c r="BA497" s="359">
        <v>0.68</v>
      </c>
      <c r="BB497" s="426"/>
      <c r="BC497" s="426"/>
      <c r="BD497" s="426"/>
      <c r="BE497" s="426"/>
      <c r="BF497" s="482">
        <v>3.73</v>
      </c>
      <c r="BG497" s="469">
        <v>5.3</v>
      </c>
      <c r="BH497" s="341"/>
      <c r="BI497" s="446" t="s">
        <v>733</v>
      </c>
      <c r="BJ497" s="505"/>
    </row>
    <row r="498" spans="1:62" ht="15.75" customHeight="1" thickBot="1" x14ac:dyDescent="0.25">
      <c r="A498" s="174">
        <v>497</v>
      </c>
      <c r="B498" s="175">
        <v>1</v>
      </c>
      <c r="C498" s="166" t="s">
        <v>975</v>
      </c>
      <c r="D498" s="168" t="s">
        <v>3056</v>
      </c>
      <c r="E498" s="166" t="s">
        <v>1088</v>
      </c>
      <c r="F498" s="168" t="s">
        <v>2386</v>
      </c>
      <c r="G498" s="166" t="s">
        <v>292</v>
      </c>
      <c r="H498" s="166" t="s">
        <v>1064</v>
      </c>
      <c r="I498" s="181">
        <v>2011</v>
      </c>
      <c r="J498" s="181" t="s">
        <v>1082</v>
      </c>
      <c r="K498" s="181" t="s">
        <v>1083</v>
      </c>
      <c r="L498" s="181" t="s">
        <v>104</v>
      </c>
      <c r="M498" s="556" t="s">
        <v>4193</v>
      </c>
      <c r="N498" s="214" t="s">
        <v>20</v>
      </c>
      <c r="O498" s="214" t="s">
        <v>15</v>
      </c>
      <c r="P498" s="214" t="s">
        <v>20</v>
      </c>
      <c r="Q498" s="214" t="s">
        <v>20</v>
      </c>
      <c r="R498" s="214" t="s">
        <v>20</v>
      </c>
      <c r="S498" s="214" t="s">
        <v>20</v>
      </c>
      <c r="T498" s="214" t="s">
        <v>20</v>
      </c>
      <c r="U498" s="214" t="s">
        <v>15</v>
      </c>
      <c r="V498" s="214" t="s">
        <v>15</v>
      </c>
      <c r="W498" s="214" t="s">
        <v>15</v>
      </c>
      <c r="X498" s="214" t="s">
        <v>15</v>
      </c>
      <c r="Y498" s="214" t="s">
        <v>15</v>
      </c>
      <c r="Z498" s="234"/>
      <c r="AA498" s="313" t="s">
        <v>1089</v>
      </c>
      <c r="AB498" s="214" t="s">
        <v>292</v>
      </c>
      <c r="AC498" s="214" t="s">
        <v>122</v>
      </c>
      <c r="AD498" s="320" t="s">
        <v>1090</v>
      </c>
      <c r="AE498" s="319"/>
      <c r="AF498" s="162" t="str">
        <f t="shared" si="31"/>
        <v/>
      </c>
      <c r="AG498" s="162" t="str">
        <f t="shared" si="35"/>
        <v/>
      </c>
      <c r="AH498" s="164">
        <f t="shared" si="33"/>
        <v>4.5</v>
      </c>
      <c r="AI498" s="164">
        <f t="shared" si="34"/>
        <v>5.0600000000000005</v>
      </c>
      <c r="AJ498" s="368"/>
      <c r="AK498" s="368"/>
      <c r="AL498" s="368"/>
      <c r="AM498" s="368"/>
      <c r="AN498" s="368"/>
      <c r="AO498" s="368"/>
      <c r="AP498" s="368"/>
      <c r="AQ498" s="368"/>
      <c r="AR498" s="368"/>
      <c r="AS498" s="195"/>
      <c r="AT498" s="195"/>
      <c r="AU498" s="377"/>
      <c r="AV498" s="382"/>
      <c r="AW498" s="359">
        <v>4.5</v>
      </c>
      <c r="AX498" s="359">
        <v>0.48</v>
      </c>
      <c r="AY498" s="359">
        <v>0.08</v>
      </c>
      <c r="AZ498" s="359">
        <v>0.45</v>
      </c>
      <c r="BA498" s="359">
        <v>1.0900000000000001</v>
      </c>
      <c r="BB498" s="426"/>
      <c r="BC498" s="426"/>
      <c r="BD498" s="426"/>
      <c r="BE498" s="426"/>
      <c r="BF498" s="482">
        <v>4.5</v>
      </c>
      <c r="BG498" s="469">
        <v>6.6</v>
      </c>
      <c r="BH498" s="341"/>
      <c r="BI498" s="446" t="s">
        <v>733</v>
      </c>
      <c r="BJ498" s="505"/>
    </row>
    <row r="499" spans="1:62" ht="15.75" customHeight="1" thickBot="1" x14ac:dyDescent="0.25">
      <c r="A499" s="176">
        <v>498</v>
      </c>
      <c r="B499" s="175">
        <v>1</v>
      </c>
      <c r="C499" s="166" t="s">
        <v>975</v>
      </c>
      <c r="D499" s="168" t="s">
        <v>3056</v>
      </c>
      <c r="E499" s="166" t="s">
        <v>1063</v>
      </c>
      <c r="F499" s="168" t="s">
        <v>2387</v>
      </c>
      <c r="G499" s="166" t="s">
        <v>122</v>
      </c>
      <c r="H499" s="166" t="s">
        <v>165</v>
      </c>
      <c r="I499" s="181">
        <v>2009</v>
      </c>
      <c r="J499" s="181" t="s">
        <v>1091</v>
      </c>
      <c r="K499" s="181" t="s">
        <v>1092</v>
      </c>
      <c r="L499" s="181" t="s">
        <v>19</v>
      </c>
      <c r="M499" s="556" t="s">
        <v>4194</v>
      </c>
      <c r="N499" s="214" t="s">
        <v>20</v>
      </c>
      <c r="O499" s="214" t="s">
        <v>15</v>
      </c>
      <c r="P499" s="214" t="s">
        <v>15</v>
      </c>
      <c r="Q499" s="214" t="s">
        <v>15</v>
      </c>
      <c r="R499" s="214" t="s">
        <v>15</v>
      </c>
      <c r="S499" s="214" t="s">
        <v>15</v>
      </c>
      <c r="T499" s="214" t="s">
        <v>15</v>
      </c>
      <c r="U499" s="214" t="s">
        <v>15</v>
      </c>
      <c r="V499" s="214" t="s">
        <v>15</v>
      </c>
      <c r="W499" s="214" t="s">
        <v>15</v>
      </c>
      <c r="X499" s="214" t="s">
        <v>15</v>
      </c>
      <c r="Y499" s="214" t="s">
        <v>20</v>
      </c>
      <c r="Z499" s="234"/>
      <c r="AA499" s="214" t="s">
        <v>1093</v>
      </c>
      <c r="AB499" s="214" t="s">
        <v>292</v>
      </c>
      <c r="AC499" s="214" t="s">
        <v>122</v>
      </c>
      <c r="AD499" s="324" t="s">
        <v>1094</v>
      </c>
      <c r="AE499" s="320" t="s">
        <v>2439</v>
      </c>
      <c r="AF499" s="162">
        <f t="shared" si="31"/>
        <v>120.35230769230769</v>
      </c>
      <c r="AG499" s="162" t="str">
        <f t="shared" si="35"/>
        <v/>
      </c>
      <c r="AH499" s="164">
        <f t="shared" si="33"/>
        <v>4.2353846153846151</v>
      </c>
      <c r="AI499" s="164" t="str">
        <f t="shared" si="34"/>
        <v/>
      </c>
      <c r="AJ499" s="368">
        <v>120.35230769230769</v>
      </c>
      <c r="AK499" s="368"/>
      <c r="AL499" s="368"/>
      <c r="AM499" s="368"/>
      <c r="AN499" s="368"/>
      <c r="AO499" s="368"/>
      <c r="AP499" s="368"/>
      <c r="AQ499" s="368"/>
      <c r="AR499" s="368">
        <f>(1354+3470)/1000/0.65</f>
        <v>7.4215384615384608</v>
      </c>
      <c r="AS499" s="195">
        <v>120.35230769230769</v>
      </c>
      <c r="AT499" s="195"/>
      <c r="AU499" s="377"/>
      <c r="AV499" s="403" t="s">
        <v>3097</v>
      </c>
      <c r="AW499" s="427">
        <v>4.2353846153846151</v>
      </c>
      <c r="AX499" s="426"/>
      <c r="AY499" s="426"/>
      <c r="AZ499" s="426"/>
      <c r="BA499" s="426"/>
      <c r="BB499" s="426"/>
      <c r="BC499" s="426"/>
      <c r="BD499" s="359"/>
      <c r="BE499" s="359">
        <f>(33+211)/1000/0.65</f>
        <v>0.37538461538461537</v>
      </c>
      <c r="BF499" s="475">
        <v>4.2353846153846151</v>
      </c>
      <c r="BG499" s="469"/>
      <c r="BH499" s="341"/>
      <c r="BI499" s="447"/>
      <c r="BJ499" s="506" t="s">
        <v>3097</v>
      </c>
    </row>
    <row r="500" spans="1:62" ht="15.75" customHeight="1" thickBot="1" x14ac:dyDescent="0.25">
      <c r="A500" s="174">
        <v>499</v>
      </c>
      <c r="B500" s="175">
        <v>1</v>
      </c>
      <c r="C500" s="166" t="s">
        <v>975</v>
      </c>
      <c r="D500" s="168" t="s">
        <v>3057</v>
      </c>
      <c r="E500" s="166" t="s">
        <v>1063</v>
      </c>
      <c r="F500" s="168" t="s">
        <v>2388</v>
      </c>
      <c r="G500" s="166" t="s">
        <v>122</v>
      </c>
      <c r="H500" s="166" t="s">
        <v>633</v>
      </c>
      <c r="I500" s="181">
        <v>2009</v>
      </c>
      <c r="J500" s="181" t="s">
        <v>1091</v>
      </c>
      <c r="K500" s="181" t="s">
        <v>1092</v>
      </c>
      <c r="L500" s="181" t="s">
        <v>19</v>
      </c>
      <c r="M500" s="556" t="s">
        <v>4194</v>
      </c>
      <c r="N500" s="214" t="s">
        <v>20</v>
      </c>
      <c r="O500" s="214" t="s">
        <v>15</v>
      </c>
      <c r="P500" s="214" t="s">
        <v>15</v>
      </c>
      <c r="Q500" s="214" t="s">
        <v>15</v>
      </c>
      <c r="R500" s="214" t="s">
        <v>15</v>
      </c>
      <c r="S500" s="214" t="s">
        <v>15</v>
      </c>
      <c r="T500" s="214" t="s">
        <v>15</v>
      </c>
      <c r="U500" s="214" t="s">
        <v>15</v>
      </c>
      <c r="V500" s="214" t="s">
        <v>15</v>
      </c>
      <c r="W500" s="214" t="s">
        <v>15</v>
      </c>
      <c r="X500" s="214" t="s">
        <v>15</v>
      </c>
      <c r="Y500" s="214" t="s">
        <v>20</v>
      </c>
      <c r="Z500" s="234"/>
      <c r="AA500" s="214" t="s">
        <v>1093</v>
      </c>
      <c r="AB500" s="214" t="s">
        <v>292</v>
      </c>
      <c r="AC500" s="214" t="s">
        <v>122</v>
      </c>
      <c r="AD500" s="324" t="s">
        <v>1094</v>
      </c>
      <c r="AE500" s="320" t="s">
        <v>2440</v>
      </c>
      <c r="AF500" s="162">
        <f t="shared" si="31"/>
        <v>124.21818181818182</v>
      </c>
      <c r="AG500" s="162" t="str">
        <f t="shared" si="35"/>
        <v/>
      </c>
      <c r="AH500" s="164">
        <f t="shared" si="33"/>
        <v>8.1840909090909086</v>
      </c>
      <c r="AI500" s="164" t="str">
        <f t="shared" si="34"/>
        <v/>
      </c>
      <c r="AJ500" s="368">
        <v>124.21818181818182</v>
      </c>
      <c r="AK500" s="368"/>
      <c r="AL500" s="368"/>
      <c r="AM500" s="368"/>
      <c r="AN500" s="368"/>
      <c r="AO500" s="368"/>
      <c r="AP500" s="368"/>
      <c r="AQ500" s="368"/>
      <c r="AR500" s="368">
        <f>(325+5184)/1000/0.44</f>
        <v>12.520454545454546</v>
      </c>
      <c r="AS500" s="195">
        <v>124.21818181818182</v>
      </c>
      <c r="AT500" s="195"/>
      <c r="AU500" s="377"/>
      <c r="AV500" s="403" t="s">
        <v>3097</v>
      </c>
      <c r="AW500" s="427">
        <v>8.1840909090909086</v>
      </c>
      <c r="AX500" s="426"/>
      <c r="AY500" s="426"/>
      <c r="AZ500" s="426"/>
      <c r="BA500" s="426"/>
      <c r="BB500" s="426"/>
      <c r="BC500" s="426"/>
      <c r="BD500" s="426"/>
      <c r="BE500" s="426">
        <f>(22+286)/1000/0.44</f>
        <v>0.7</v>
      </c>
      <c r="BF500" s="469">
        <v>8.1840909090909086</v>
      </c>
      <c r="BG500" s="469"/>
      <c r="BH500" s="341"/>
      <c r="BI500" s="447"/>
      <c r="BJ500" s="506" t="s">
        <v>3097</v>
      </c>
    </row>
    <row r="501" spans="1:62" ht="15.75" customHeight="1" thickBot="1" x14ac:dyDescent="0.25">
      <c r="A501" s="176">
        <v>500</v>
      </c>
      <c r="B501" s="175">
        <v>1</v>
      </c>
      <c r="C501" s="166" t="s">
        <v>975</v>
      </c>
      <c r="D501" s="168" t="s">
        <v>3057</v>
      </c>
      <c r="E501" s="166" t="s">
        <v>1063</v>
      </c>
      <c r="F501" s="168" t="s">
        <v>2389</v>
      </c>
      <c r="G501" s="166" t="s">
        <v>122</v>
      </c>
      <c r="H501" s="166" t="s">
        <v>165</v>
      </c>
      <c r="I501" s="181">
        <v>2009</v>
      </c>
      <c r="J501" s="181" t="s">
        <v>1091</v>
      </c>
      <c r="K501" s="181" t="s">
        <v>1092</v>
      </c>
      <c r="L501" s="181" t="s">
        <v>19</v>
      </c>
      <c r="M501" s="556" t="s">
        <v>4194</v>
      </c>
      <c r="N501" s="214" t="s">
        <v>20</v>
      </c>
      <c r="O501" s="214" t="s">
        <v>15</v>
      </c>
      <c r="P501" s="214" t="s">
        <v>15</v>
      </c>
      <c r="Q501" s="214" t="s">
        <v>15</v>
      </c>
      <c r="R501" s="214" t="s">
        <v>15</v>
      </c>
      <c r="S501" s="214" t="s">
        <v>15</v>
      </c>
      <c r="T501" s="214" t="s">
        <v>15</v>
      </c>
      <c r="U501" s="214" t="s">
        <v>15</v>
      </c>
      <c r="V501" s="214" t="s">
        <v>15</v>
      </c>
      <c r="W501" s="214" t="s">
        <v>15</v>
      </c>
      <c r="X501" s="214" t="s">
        <v>15</v>
      </c>
      <c r="Y501" s="214" t="s">
        <v>20</v>
      </c>
      <c r="Z501" s="234"/>
      <c r="AA501" s="214" t="s">
        <v>1093</v>
      </c>
      <c r="AB501" s="214" t="s">
        <v>292</v>
      </c>
      <c r="AC501" s="214" t="s">
        <v>122</v>
      </c>
      <c r="AD501" s="324" t="s">
        <v>1094</v>
      </c>
      <c r="AE501" s="320" t="s">
        <v>2441</v>
      </c>
      <c r="AF501" s="162">
        <f t="shared" si="31"/>
        <v>606.2208333333333</v>
      </c>
      <c r="AG501" s="162" t="str">
        <f t="shared" si="35"/>
        <v/>
      </c>
      <c r="AH501" s="164">
        <f t="shared" si="33"/>
        <v>12.535416666666668</v>
      </c>
      <c r="AI501" s="164" t="str">
        <f t="shared" si="34"/>
        <v/>
      </c>
      <c r="AJ501" s="368">
        <v>606.2208333333333</v>
      </c>
      <c r="AK501" s="368"/>
      <c r="AL501" s="368"/>
      <c r="AM501" s="368"/>
      <c r="AN501" s="368"/>
      <c r="AO501" s="368"/>
      <c r="AP501" s="368"/>
      <c r="AQ501" s="368"/>
      <c r="AR501" s="368">
        <f>(3120+4100)/1000/0.48</f>
        <v>15.041666666666666</v>
      </c>
      <c r="AS501" s="195">
        <v>606.2208333333333</v>
      </c>
      <c r="AT501" s="195"/>
      <c r="AU501" s="377"/>
      <c r="AV501" s="403" t="s">
        <v>3097</v>
      </c>
      <c r="AW501" s="427">
        <v>12.535416666666668</v>
      </c>
      <c r="AX501" s="426"/>
      <c r="AY501" s="426"/>
      <c r="AZ501" s="426"/>
      <c r="BA501" s="426"/>
      <c r="BB501" s="426"/>
      <c r="BC501" s="426"/>
      <c r="BD501" s="426"/>
      <c r="BE501" s="426">
        <f>(163+232)/1000/0.48</f>
        <v>0.82291666666666674</v>
      </c>
      <c r="BF501" s="469">
        <v>12.535416666666668</v>
      </c>
      <c r="BG501" s="469"/>
      <c r="BH501" s="341"/>
      <c r="BI501" s="447"/>
      <c r="BJ501" s="506" t="s">
        <v>3097</v>
      </c>
    </row>
    <row r="502" spans="1:62" ht="15.75" customHeight="1" thickBot="1" x14ac:dyDescent="0.25">
      <c r="A502" s="174">
        <v>501</v>
      </c>
      <c r="B502" s="175">
        <v>1</v>
      </c>
      <c r="C502" s="166" t="s">
        <v>975</v>
      </c>
      <c r="D502" s="168" t="s">
        <v>3056</v>
      </c>
      <c r="E502" s="166" t="s">
        <v>1063</v>
      </c>
      <c r="F502" s="166" t="s">
        <v>1095</v>
      </c>
      <c r="G502" s="166" t="s">
        <v>122</v>
      </c>
      <c r="H502" s="166" t="s">
        <v>1064</v>
      </c>
      <c r="I502" s="181">
        <v>2009</v>
      </c>
      <c r="J502" s="181" t="s">
        <v>1096</v>
      </c>
      <c r="K502" s="181" t="s">
        <v>1097</v>
      </c>
      <c r="L502" s="181" t="s">
        <v>19</v>
      </c>
      <c r="M502" s="556" t="s">
        <v>4195</v>
      </c>
      <c r="N502" s="214" t="s">
        <v>20</v>
      </c>
      <c r="O502" s="214" t="s">
        <v>15</v>
      </c>
      <c r="P502" s="214" t="s">
        <v>15</v>
      </c>
      <c r="Q502" s="214" t="s">
        <v>15</v>
      </c>
      <c r="R502" s="214" t="s">
        <v>15</v>
      </c>
      <c r="S502" s="214" t="s">
        <v>15</v>
      </c>
      <c r="T502" s="214" t="s">
        <v>15</v>
      </c>
      <c r="U502" s="214" t="s">
        <v>15</v>
      </c>
      <c r="V502" s="214" t="s">
        <v>15</v>
      </c>
      <c r="W502" s="214" t="s">
        <v>15</v>
      </c>
      <c r="X502" s="214" t="s">
        <v>15</v>
      </c>
      <c r="Y502" s="214" t="s">
        <v>15</v>
      </c>
      <c r="Z502" s="234"/>
      <c r="AA502" s="214" t="s">
        <v>1093</v>
      </c>
      <c r="AB502" s="214" t="s">
        <v>292</v>
      </c>
      <c r="AC502" s="214" t="s">
        <v>292</v>
      </c>
      <c r="AD502" s="323" t="s">
        <v>1098</v>
      </c>
      <c r="AE502" s="323" t="s">
        <v>2435</v>
      </c>
      <c r="AF502" s="162">
        <f t="shared" si="31"/>
        <v>36.388888888888886</v>
      </c>
      <c r="AG502" s="162" t="str">
        <f t="shared" si="35"/>
        <v/>
      </c>
      <c r="AH502" s="164">
        <f t="shared" si="33"/>
        <v>2.4861111111111112</v>
      </c>
      <c r="AI502" s="164" t="str">
        <f t="shared" si="34"/>
        <v/>
      </c>
      <c r="AJ502" s="368"/>
      <c r="AK502" s="368"/>
      <c r="AL502" s="368"/>
      <c r="AM502" s="368"/>
      <c r="AN502" s="368"/>
      <c r="AO502" s="368"/>
      <c r="AP502" s="368"/>
      <c r="AQ502" s="368"/>
      <c r="AR502" s="368"/>
      <c r="AS502" s="194">
        <f>26.2/0.72</f>
        <v>36.388888888888886</v>
      </c>
      <c r="AT502" s="195"/>
      <c r="AU502" s="377"/>
      <c r="AV502" s="382"/>
      <c r="AW502" s="427"/>
      <c r="AX502" s="426"/>
      <c r="AY502" s="426"/>
      <c r="AZ502" s="426"/>
      <c r="BA502" s="426"/>
      <c r="BB502" s="426"/>
      <c r="BC502" s="426"/>
      <c r="BD502" s="426"/>
      <c r="BE502" s="426"/>
      <c r="BF502" s="468">
        <f>1.79/0.72</f>
        <v>2.4861111111111112</v>
      </c>
      <c r="BG502" s="469"/>
      <c r="BH502" s="341"/>
      <c r="BI502" s="447"/>
      <c r="BJ502" s="505"/>
    </row>
    <row r="503" spans="1:62" ht="15.75" customHeight="1" thickBot="1" x14ac:dyDescent="0.25">
      <c r="A503" s="176">
        <v>502</v>
      </c>
      <c r="B503" s="175">
        <v>1</v>
      </c>
      <c r="C503" s="166" t="s">
        <v>975</v>
      </c>
      <c r="D503" s="168" t="s">
        <v>3056</v>
      </c>
      <c r="E503" s="166" t="s">
        <v>1063</v>
      </c>
      <c r="F503" s="166" t="s">
        <v>1095</v>
      </c>
      <c r="G503" s="166" t="s">
        <v>122</v>
      </c>
      <c r="H503" s="166" t="s">
        <v>108</v>
      </c>
      <c r="I503" s="181">
        <v>2009</v>
      </c>
      <c r="J503" s="181" t="s">
        <v>1096</v>
      </c>
      <c r="K503" s="181" t="s">
        <v>1097</v>
      </c>
      <c r="L503" s="181" t="s">
        <v>19</v>
      </c>
      <c r="M503" s="556" t="s">
        <v>4195</v>
      </c>
      <c r="N503" s="214" t="s">
        <v>20</v>
      </c>
      <c r="O503" s="214" t="s">
        <v>15</v>
      </c>
      <c r="P503" s="214" t="s">
        <v>15</v>
      </c>
      <c r="Q503" s="214" t="s">
        <v>15</v>
      </c>
      <c r="R503" s="214" t="s">
        <v>15</v>
      </c>
      <c r="S503" s="214" t="s">
        <v>15</v>
      </c>
      <c r="T503" s="214" t="s">
        <v>15</v>
      </c>
      <c r="U503" s="214" t="s">
        <v>15</v>
      </c>
      <c r="V503" s="214" t="s">
        <v>15</v>
      </c>
      <c r="W503" s="214" t="s">
        <v>15</v>
      </c>
      <c r="X503" s="214" t="s">
        <v>15</v>
      </c>
      <c r="Y503" s="214" t="s">
        <v>15</v>
      </c>
      <c r="Z503" s="234"/>
      <c r="AA503" s="214" t="s">
        <v>1093</v>
      </c>
      <c r="AB503" s="214" t="s">
        <v>292</v>
      </c>
      <c r="AC503" s="214" t="s">
        <v>292</v>
      </c>
      <c r="AD503" s="323" t="s">
        <v>1098</v>
      </c>
      <c r="AE503" s="323" t="s">
        <v>2435</v>
      </c>
      <c r="AF503" s="162">
        <f t="shared" si="31"/>
        <v>66.527777777777771</v>
      </c>
      <c r="AG503" s="162" t="str">
        <f t="shared" si="35"/>
        <v/>
      </c>
      <c r="AH503" s="164">
        <f t="shared" si="33"/>
        <v>4.541666666666667</v>
      </c>
      <c r="AI503" s="164" t="str">
        <f t="shared" si="34"/>
        <v/>
      </c>
      <c r="AJ503" s="368"/>
      <c r="AK503" s="368"/>
      <c r="AL503" s="368"/>
      <c r="AM503" s="368"/>
      <c r="AN503" s="368"/>
      <c r="AO503" s="368"/>
      <c r="AP503" s="368"/>
      <c r="AQ503" s="368"/>
      <c r="AR503" s="368"/>
      <c r="AS503" s="194">
        <f>47.9/0.72</f>
        <v>66.527777777777771</v>
      </c>
      <c r="AT503" s="195"/>
      <c r="AU503" s="377"/>
      <c r="AV503" s="382"/>
      <c r="AW503" s="427"/>
      <c r="AX503" s="426"/>
      <c r="AY503" s="426"/>
      <c r="AZ503" s="426"/>
      <c r="BA503" s="426"/>
      <c r="BB503" s="426"/>
      <c r="BC503" s="426"/>
      <c r="BD503" s="426"/>
      <c r="BE503" s="426"/>
      <c r="BF503" s="468">
        <f>3.27/0.72</f>
        <v>4.541666666666667</v>
      </c>
      <c r="BG503" s="469"/>
      <c r="BH503" s="341"/>
      <c r="BI503" s="447"/>
      <c r="BJ503" s="505"/>
    </row>
    <row r="504" spans="1:62" ht="15.75" customHeight="1" thickBot="1" x14ac:dyDescent="0.25">
      <c r="A504" s="174">
        <v>503</v>
      </c>
      <c r="B504" s="175">
        <v>1</v>
      </c>
      <c r="C504" s="166" t="s">
        <v>975</v>
      </c>
      <c r="D504" s="168" t="s">
        <v>3056</v>
      </c>
      <c r="E504" s="166" t="s">
        <v>1063</v>
      </c>
      <c r="F504" s="166" t="s">
        <v>1095</v>
      </c>
      <c r="G504" s="166" t="s">
        <v>122</v>
      </c>
      <c r="H504" s="166" t="s">
        <v>1099</v>
      </c>
      <c r="I504" s="181">
        <v>2009</v>
      </c>
      <c r="J504" s="181" t="s">
        <v>1096</v>
      </c>
      <c r="K504" s="181" t="s">
        <v>1097</v>
      </c>
      <c r="L504" s="181" t="s">
        <v>19</v>
      </c>
      <c r="M504" s="556" t="s">
        <v>4195</v>
      </c>
      <c r="N504" s="214" t="s">
        <v>20</v>
      </c>
      <c r="O504" s="214" t="s">
        <v>15</v>
      </c>
      <c r="P504" s="214" t="s">
        <v>15</v>
      </c>
      <c r="Q504" s="214" t="s">
        <v>15</v>
      </c>
      <c r="R504" s="214" t="s">
        <v>15</v>
      </c>
      <c r="S504" s="214" t="s">
        <v>15</v>
      </c>
      <c r="T504" s="214" t="s">
        <v>15</v>
      </c>
      <c r="U504" s="214" t="s">
        <v>15</v>
      </c>
      <c r="V504" s="214" t="s">
        <v>15</v>
      </c>
      <c r="W504" s="214" t="s">
        <v>15</v>
      </c>
      <c r="X504" s="214" t="s">
        <v>15</v>
      </c>
      <c r="Y504" s="214" t="s">
        <v>15</v>
      </c>
      <c r="Z504" s="234"/>
      <c r="AA504" s="214" t="s">
        <v>1093</v>
      </c>
      <c r="AB504" s="214" t="s">
        <v>292</v>
      </c>
      <c r="AC504" s="214" t="s">
        <v>292</v>
      </c>
      <c r="AD504" s="323" t="s">
        <v>1098</v>
      </c>
      <c r="AE504" s="323" t="s">
        <v>2435</v>
      </c>
      <c r="AF504" s="162">
        <f t="shared" si="31"/>
        <v>46.111111111111114</v>
      </c>
      <c r="AG504" s="162" t="str">
        <f t="shared" si="35"/>
        <v/>
      </c>
      <c r="AH504" s="164">
        <f t="shared" si="33"/>
        <v>3.1944444444444442</v>
      </c>
      <c r="AI504" s="164" t="str">
        <f t="shared" si="34"/>
        <v/>
      </c>
      <c r="AJ504" s="368"/>
      <c r="AK504" s="368"/>
      <c r="AL504" s="368"/>
      <c r="AM504" s="368"/>
      <c r="AN504" s="368"/>
      <c r="AO504" s="368"/>
      <c r="AP504" s="368"/>
      <c r="AQ504" s="368"/>
      <c r="AR504" s="368"/>
      <c r="AS504" s="194">
        <f>33.2/0.72</f>
        <v>46.111111111111114</v>
      </c>
      <c r="AT504" s="195"/>
      <c r="AU504" s="377"/>
      <c r="AV504" s="382"/>
      <c r="AW504" s="427"/>
      <c r="AX504" s="426"/>
      <c r="AY504" s="426"/>
      <c r="AZ504" s="426"/>
      <c r="BA504" s="426"/>
      <c r="BB504" s="426"/>
      <c r="BC504" s="426"/>
      <c r="BD504" s="426"/>
      <c r="BE504" s="426"/>
      <c r="BF504" s="468">
        <f>2.3/0.72</f>
        <v>3.1944444444444442</v>
      </c>
      <c r="BG504" s="469"/>
      <c r="BH504" s="341"/>
      <c r="BI504" s="447"/>
      <c r="BJ504" s="505"/>
    </row>
    <row r="505" spans="1:62" ht="15.75" customHeight="1" thickBot="1" x14ac:dyDescent="0.25">
      <c r="A505" s="176">
        <v>504</v>
      </c>
      <c r="B505" s="175">
        <v>1</v>
      </c>
      <c r="C505" s="166" t="s">
        <v>975</v>
      </c>
      <c r="D505" s="168" t="s">
        <v>3056</v>
      </c>
      <c r="E505" s="166" t="s">
        <v>1063</v>
      </c>
      <c r="F505" s="168" t="s">
        <v>1095</v>
      </c>
      <c r="G505" s="166" t="s">
        <v>122</v>
      </c>
      <c r="H505" s="166" t="s">
        <v>1100</v>
      </c>
      <c r="I505" s="181">
        <v>2009</v>
      </c>
      <c r="J505" s="181" t="s">
        <v>1096</v>
      </c>
      <c r="K505" s="181" t="s">
        <v>1097</v>
      </c>
      <c r="L505" s="181" t="s">
        <v>19</v>
      </c>
      <c r="M505" s="556" t="s">
        <v>4195</v>
      </c>
      <c r="N505" s="214" t="s">
        <v>20</v>
      </c>
      <c r="O505" s="214" t="s">
        <v>15</v>
      </c>
      <c r="P505" s="214" t="s">
        <v>15</v>
      </c>
      <c r="Q505" s="214" t="s">
        <v>15</v>
      </c>
      <c r="R505" s="214" t="s">
        <v>15</v>
      </c>
      <c r="S505" s="214" t="s">
        <v>15</v>
      </c>
      <c r="T505" s="214" t="s">
        <v>15</v>
      </c>
      <c r="U505" s="214" t="s">
        <v>15</v>
      </c>
      <c r="V505" s="214" t="s">
        <v>15</v>
      </c>
      <c r="W505" s="214" t="s">
        <v>15</v>
      </c>
      <c r="X505" s="214" t="s">
        <v>15</v>
      </c>
      <c r="Y505" s="214" t="s">
        <v>15</v>
      </c>
      <c r="Z505" s="234"/>
      <c r="AA505" s="214" t="s">
        <v>1093</v>
      </c>
      <c r="AB505" s="214" t="s">
        <v>292</v>
      </c>
      <c r="AC505" s="214" t="s">
        <v>292</v>
      </c>
      <c r="AD505" s="323" t="s">
        <v>1098</v>
      </c>
      <c r="AE505" s="323" t="s">
        <v>2435</v>
      </c>
      <c r="AF505" s="162">
        <f t="shared" si="31"/>
        <v>43.333333333333336</v>
      </c>
      <c r="AG505" s="162" t="str">
        <f t="shared" si="35"/>
        <v/>
      </c>
      <c r="AH505" s="164">
        <f t="shared" si="33"/>
        <v>3.291666666666667</v>
      </c>
      <c r="AI505" s="164" t="str">
        <f t="shared" si="34"/>
        <v/>
      </c>
      <c r="AJ505" s="368"/>
      <c r="AK505" s="368"/>
      <c r="AL505" s="368"/>
      <c r="AM505" s="368"/>
      <c r="AN505" s="368"/>
      <c r="AO505" s="368"/>
      <c r="AP505" s="368"/>
      <c r="AQ505" s="368"/>
      <c r="AR505" s="368"/>
      <c r="AS505" s="194">
        <f>31.2/0.72</f>
        <v>43.333333333333336</v>
      </c>
      <c r="AT505" s="195"/>
      <c r="AU505" s="377"/>
      <c r="AV505" s="382"/>
      <c r="AW505" s="427"/>
      <c r="AX505" s="426"/>
      <c r="AY505" s="426"/>
      <c r="AZ505" s="426"/>
      <c r="BA505" s="426"/>
      <c r="BB505" s="426"/>
      <c r="BC505" s="426"/>
      <c r="BD505" s="426"/>
      <c r="BE505" s="426"/>
      <c r="BF505" s="468">
        <f>2.37/0.72</f>
        <v>3.291666666666667</v>
      </c>
      <c r="BG505" s="469"/>
      <c r="BH505" s="341"/>
      <c r="BI505" s="447"/>
      <c r="BJ505" s="505"/>
    </row>
    <row r="506" spans="1:62" ht="15.75" customHeight="1" thickBot="1" x14ac:dyDescent="0.25">
      <c r="A506" s="174">
        <v>505</v>
      </c>
      <c r="B506" s="175">
        <v>1</v>
      </c>
      <c r="C506" s="166" t="s">
        <v>975</v>
      </c>
      <c r="D506" s="168" t="s">
        <v>3056</v>
      </c>
      <c r="E506" s="166" t="s">
        <v>1063</v>
      </c>
      <c r="F506" s="168" t="s">
        <v>2390</v>
      </c>
      <c r="G506" s="166" t="s">
        <v>122</v>
      </c>
      <c r="H506" s="166" t="s">
        <v>1100</v>
      </c>
      <c r="I506" s="181">
        <v>2009</v>
      </c>
      <c r="J506" s="181" t="s">
        <v>1101</v>
      </c>
      <c r="K506" s="181" t="s">
        <v>1102</v>
      </c>
      <c r="L506" s="181" t="s">
        <v>19</v>
      </c>
      <c r="M506" s="556" t="s">
        <v>4196</v>
      </c>
      <c r="N506" s="214" t="s">
        <v>20</v>
      </c>
      <c r="O506" s="214" t="s">
        <v>15</v>
      </c>
      <c r="P506" s="214" t="s">
        <v>15</v>
      </c>
      <c r="Q506" s="214" t="s">
        <v>15</v>
      </c>
      <c r="R506" s="214" t="s">
        <v>15</v>
      </c>
      <c r="S506" s="214" t="s">
        <v>15</v>
      </c>
      <c r="T506" s="214" t="s">
        <v>15</v>
      </c>
      <c r="U506" s="214" t="s">
        <v>15</v>
      </c>
      <c r="V506" s="214" t="s">
        <v>15</v>
      </c>
      <c r="W506" s="214" t="s">
        <v>15</v>
      </c>
      <c r="X506" s="214" t="s">
        <v>15</v>
      </c>
      <c r="Y506" s="214" t="s">
        <v>15</v>
      </c>
      <c r="Z506" s="234"/>
      <c r="AA506" s="214" t="s">
        <v>1093</v>
      </c>
      <c r="AB506" s="214" t="s">
        <v>292</v>
      </c>
      <c r="AC506" s="214" t="s">
        <v>122</v>
      </c>
      <c r="AD506" s="323" t="s">
        <v>1103</v>
      </c>
      <c r="AE506" s="325" t="s">
        <v>2445</v>
      </c>
      <c r="AF506" s="162">
        <f t="shared" si="31"/>
        <v>37.361111111111107</v>
      </c>
      <c r="AG506" s="162" t="str">
        <f t="shared" si="35"/>
        <v/>
      </c>
      <c r="AH506" s="164">
        <f t="shared" si="33"/>
        <v>2.8791666666666669</v>
      </c>
      <c r="AI506" s="164" t="str">
        <f t="shared" si="34"/>
        <v/>
      </c>
      <c r="AJ506" s="368"/>
      <c r="AK506" s="368"/>
      <c r="AL506" s="368"/>
      <c r="AM506" s="368"/>
      <c r="AN506" s="368"/>
      <c r="AO506" s="368"/>
      <c r="AP506" s="368"/>
      <c r="AQ506" s="368"/>
      <c r="AR506" s="368"/>
      <c r="AS506" s="199">
        <f>26900/1000/0.72</f>
        <v>37.361111111111107</v>
      </c>
      <c r="AT506" s="195"/>
      <c r="AU506" s="377"/>
      <c r="AV506" s="382"/>
      <c r="AW506" s="427"/>
      <c r="AX506" s="426"/>
      <c r="AY506" s="426"/>
      <c r="AZ506" s="426"/>
      <c r="BA506" s="426"/>
      <c r="BB506" s="426"/>
      <c r="BC506" s="426"/>
      <c r="BD506" s="426"/>
      <c r="BE506" s="426"/>
      <c r="BF506" s="467">
        <f>2073/1000/0.72</f>
        <v>2.8791666666666669</v>
      </c>
      <c r="BG506" s="469"/>
      <c r="BH506" s="341"/>
      <c r="BI506" s="447"/>
      <c r="BJ506" s="505"/>
    </row>
    <row r="507" spans="1:62" ht="15.75" customHeight="1" thickBot="1" x14ac:dyDescent="0.25">
      <c r="A507" s="176">
        <v>506</v>
      </c>
      <c r="B507" s="175">
        <v>1</v>
      </c>
      <c r="C507" s="166" t="s">
        <v>975</v>
      </c>
      <c r="D507" s="168" t="s">
        <v>3056</v>
      </c>
      <c r="E507" s="166" t="s">
        <v>1063</v>
      </c>
      <c r="F507" s="168" t="s">
        <v>2391</v>
      </c>
      <c r="G507" s="166" t="s">
        <v>122</v>
      </c>
      <c r="H507" s="166" t="s">
        <v>1100</v>
      </c>
      <c r="I507" s="181">
        <v>2009</v>
      </c>
      <c r="J507" s="181" t="s">
        <v>1101</v>
      </c>
      <c r="K507" s="181" t="s">
        <v>1102</v>
      </c>
      <c r="L507" s="181" t="s">
        <v>19</v>
      </c>
      <c r="M507" s="556" t="s">
        <v>4196</v>
      </c>
      <c r="N507" s="214" t="s">
        <v>20</v>
      </c>
      <c r="O507" s="214" t="s">
        <v>15</v>
      </c>
      <c r="P507" s="214" t="s">
        <v>15</v>
      </c>
      <c r="Q507" s="214" t="s">
        <v>15</v>
      </c>
      <c r="R507" s="214" t="s">
        <v>15</v>
      </c>
      <c r="S507" s="214" t="s">
        <v>15</v>
      </c>
      <c r="T507" s="214" t="s">
        <v>15</v>
      </c>
      <c r="U507" s="214" t="s">
        <v>15</v>
      </c>
      <c r="V507" s="214" t="s">
        <v>15</v>
      </c>
      <c r="W507" s="214" t="s">
        <v>15</v>
      </c>
      <c r="X507" s="214" t="s">
        <v>15</v>
      </c>
      <c r="Y507" s="214" t="s">
        <v>15</v>
      </c>
      <c r="Z507" s="234"/>
      <c r="AA507" s="214" t="s">
        <v>1093</v>
      </c>
      <c r="AB507" s="214" t="s">
        <v>292</v>
      </c>
      <c r="AC507" s="214" t="s">
        <v>122</v>
      </c>
      <c r="AD507" s="323" t="s">
        <v>1103</v>
      </c>
      <c r="AE507" s="325" t="s">
        <v>2445</v>
      </c>
      <c r="AF507" s="162">
        <f t="shared" si="31"/>
        <v>45.55555555555555</v>
      </c>
      <c r="AG507" s="162" t="str">
        <f t="shared" si="35"/>
        <v/>
      </c>
      <c r="AH507" s="164">
        <f t="shared" si="33"/>
        <v>2.6388888888888888</v>
      </c>
      <c r="AI507" s="164" t="str">
        <f t="shared" si="34"/>
        <v/>
      </c>
      <c r="AJ507" s="368"/>
      <c r="AK507" s="368"/>
      <c r="AL507" s="368"/>
      <c r="AM507" s="368"/>
      <c r="AN507" s="368"/>
      <c r="AO507" s="368"/>
      <c r="AP507" s="368"/>
      <c r="AQ507" s="368"/>
      <c r="AR507" s="368"/>
      <c r="AS507" s="199">
        <f>32800/1000/0.72</f>
        <v>45.55555555555555</v>
      </c>
      <c r="AT507" s="195"/>
      <c r="AU507" s="377"/>
      <c r="AV507" s="382"/>
      <c r="AW507" s="427"/>
      <c r="AX507" s="426"/>
      <c r="AY507" s="426"/>
      <c r="AZ507" s="426"/>
      <c r="BA507" s="426"/>
      <c r="BB507" s="426"/>
      <c r="BC507" s="426"/>
      <c r="BD507" s="426"/>
      <c r="BE507" s="426"/>
      <c r="BF507" s="467">
        <f>1900/1000/0.72</f>
        <v>2.6388888888888888</v>
      </c>
      <c r="BG507" s="469"/>
      <c r="BH507" s="341"/>
      <c r="BI507" s="447"/>
      <c r="BJ507" s="505"/>
    </row>
    <row r="508" spans="1:62" ht="15.75" customHeight="1" thickBot="1" x14ac:dyDescent="0.25">
      <c r="A508" s="174">
        <v>507</v>
      </c>
      <c r="B508" s="175">
        <v>1</v>
      </c>
      <c r="C508" s="166" t="s">
        <v>975</v>
      </c>
      <c r="D508" s="168" t="s">
        <v>3056</v>
      </c>
      <c r="E508" s="166" t="s">
        <v>1063</v>
      </c>
      <c r="F508" s="168" t="s">
        <v>2392</v>
      </c>
      <c r="G508" s="166" t="s">
        <v>122</v>
      </c>
      <c r="H508" s="166" t="s">
        <v>1100</v>
      </c>
      <c r="I508" s="181">
        <v>2009</v>
      </c>
      <c r="J508" s="181" t="s">
        <v>1101</v>
      </c>
      <c r="K508" s="181" t="s">
        <v>1102</v>
      </c>
      <c r="L508" s="181" t="s">
        <v>19</v>
      </c>
      <c r="M508" s="556" t="s">
        <v>4196</v>
      </c>
      <c r="N508" s="214" t="s">
        <v>20</v>
      </c>
      <c r="O508" s="214" t="s">
        <v>15</v>
      </c>
      <c r="P508" s="214" t="s">
        <v>15</v>
      </c>
      <c r="Q508" s="214" t="s">
        <v>15</v>
      </c>
      <c r="R508" s="214" t="s">
        <v>15</v>
      </c>
      <c r="S508" s="214" t="s">
        <v>15</v>
      </c>
      <c r="T508" s="214" t="s">
        <v>15</v>
      </c>
      <c r="U508" s="214" t="s">
        <v>15</v>
      </c>
      <c r="V508" s="214" t="s">
        <v>15</v>
      </c>
      <c r="W508" s="214" t="s">
        <v>15</v>
      </c>
      <c r="X508" s="214" t="s">
        <v>15</v>
      </c>
      <c r="Y508" s="214" t="s">
        <v>15</v>
      </c>
      <c r="Z508" s="234"/>
      <c r="AA508" s="214" t="s">
        <v>1093</v>
      </c>
      <c r="AB508" s="214" t="s">
        <v>292</v>
      </c>
      <c r="AC508" s="214" t="s">
        <v>122</v>
      </c>
      <c r="AD508" s="323" t="s">
        <v>1103</v>
      </c>
      <c r="AE508" s="325" t="s">
        <v>2445</v>
      </c>
      <c r="AF508" s="162">
        <f t="shared" si="31"/>
        <v>135.97222222222223</v>
      </c>
      <c r="AG508" s="162" t="str">
        <f t="shared" si="35"/>
        <v/>
      </c>
      <c r="AH508" s="164">
        <f t="shared" si="33"/>
        <v>3.8472222222222223</v>
      </c>
      <c r="AI508" s="164" t="str">
        <f t="shared" si="34"/>
        <v/>
      </c>
      <c r="AJ508" s="368"/>
      <c r="AK508" s="368"/>
      <c r="AL508" s="368"/>
      <c r="AM508" s="368"/>
      <c r="AN508" s="368"/>
      <c r="AO508" s="368"/>
      <c r="AP508" s="368"/>
      <c r="AQ508" s="368"/>
      <c r="AR508" s="368"/>
      <c r="AS508" s="199">
        <f>97900/1000/0.72</f>
        <v>135.97222222222223</v>
      </c>
      <c r="AT508" s="195"/>
      <c r="AU508" s="377"/>
      <c r="AV508" s="382"/>
      <c r="AW508" s="427"/>
      <c r="AX508" s="426"/>
      <c r="AY508" s="426"/>
      <c r="AZ508" s="426"/>
      <c r="BA508" s="426"/>
      <c r="BB508" s="426"/>
      <c r="BC508" s="426"/>
      <c r="BD508" s="426"/>
      <c r="BE508" s="426"/>
      <c r="BF508" s="467">
        <f>2770/1000/0.72</f>
        <v>3.8472222222222223</v>
      </c>
      <c r="BG508" s="469"/>
      <c r="BH508" s="341"/>
      <c r="BI508" s="447"/>
      <c r="BJ508" s="505"/>
    </row>
    <row r="509" spans="1:62" ht="15.75" customHeight="1" thickBot="1" x14ac:dyDescent="0.25">
      <c r="A509" s="176">
        <v>508</v>
      </c>
      <c r="B509" s="175">
        <v>1</v>
      </c>
      <c r="C509" s="166" t="s">
        <v>975</v>
      </c>
      <c r="D509" s="168" t="s">
        <v>3056</v>
      </c>
      <c r="E509" s="166" t="s">
        <v>1063</v>
      </c>
      <c r="F509" s="168" t="s">
        <v>2393</v>
      </c>
      <c r="G509" s="166" t="s">
        <v>122</v>
      </c>
      <c r="H509" s="166" t="s">
        <v>1079</v>
      </c>
      <c r="I509" s="181">
        <v>2009</v>
      </c>
      <c r="J509" s="181" t="s">
        <v>1101</v>
      </c>
      <c r="K509" s="181" t="s">
        <v>1102</v>
      </c>
      <c r="L509" s="181" t="s">
        <v>19</v>
      </c>
      <c r="M509" s="556" t="s">
        <v>4196</v>
      </c>
      <c r="N509" s="214" t="s">
        <v>20</v>
      </c>
      <c r="O509" s="214" t="s">
        <v>15</v>
      </c>
      <c r="P509" s="214" t="s">
        <v>15</v>
      </c>
      <c r="Q509" s="214" t="s">
        <v>15</v>
      </c>
      <c r="R509" s="214" t="s">
        <v>15</v>
      </c>
      <c r="S509" s="214" t="s">
        <v>15</v>
      </c>
      <c r="T509" s="214" t="s">
        <v>15</v>
      </c>
      <c r="U509" s="214" t="s">
        <v>15</v>
      </c>
      <c r="V509" s="214" t="s">
        <v>15</v>
      </c>
      <c r="W509" s="214" t="s">
        <v>15</v>
      </c>
      <c r="X509" s="214" t="s">
        <v>15</v>
      </c>
      <c r="Y509" s="214" t="s">
        <v>15</v>
      </c>
      <c r="Z509" s="234"/>
      <c r="AA509" s="214" t="s">
        <v>1093</v>
      </c>
      <c r="AB509" s="214" t="s">
        <v>292</v>
      </c>
      <c r="AC509" s="214" t="s">
        <v>122</v>
      </c>
      <c r="AD509" s="323" t="s">
        <v>1103</v>
      </c>
      <c r="AE509" s="325" t="s">
        <v>2445</v>
      </c>
      <c r="AF509" s="162">
        <f t="shared" si="31"/>
        <v>490.27777777777777</v>
      </c>
      <c r="AG509" s="162" t="str">
        <f t="shared" si="35"/>
        <v/>
      </c>
      <c r="AH509" s="164">
        <f t="shared" si="33"/>
        <v>39.166666666666664</v>
      </c>
      <c r="AI509" s="164" t="str">
        <f t="shared" si="34"/>
        <v/>
      </c>
      <c r="AJ509" s="368"/>
      <c r="AK509" s="368"/>
      <c r="AL509" s="368"/>
      <c r="AM509" s="368"/>
      <c r="AN509" s="368"/>
      <c r="AO509" s="368"/>
      <c r="AP509" s="368"/>
      <c r="AQ509" s="368"/>
      <c r="AR509" s="368"/>
      <c r="AS509" s="199">
        <f>353000/1000/0.72</f>
        <v>490.27777777777777</v>
      </c>
      <c r="AT509" s="195"/>
      <c r="AU509" s="377"/>
      <c r="AV509" s="382"/>
      <c r="AW509" s="427"/>
      <c r="AX509" s="426"/>
      <c r="AY509" s="426"/>
      <c r="AZ509" s="426"/>
      <c r="BA509" s="426"/>
      <c r="BB509" s="426"/>
      <c r="BC509" s="426"/>
      <c r="BD509" s="426"/>
      <c r="BE509" s="426"/>
      <c r="BF509" s="467">
        <f>28200/1000/0.72</f>
        <v>39.166666666666664</v>
      </c>
      <c r="BG509" s="469"/>
      <c r="BH509" s="341"/>
      <c r="BI509" s="447"/>
      <c r="BJ509" s="505"/>
    </row>
    <row r="510" spans="1:62" ht="15.75" customHeight="1" thickBot="1" x14ac:dyDescent="0.25">
      <c r="A510" s="174">
        <v>509</v>
      </c>
      <c r="B510" s="175">
        <v>1</v>
      </c>
      <c r="C510" s="166" t="s">
        <v>975</v>
      </c>
      <c r="D510" s="168" t="s">
        <v>3055</v>
      </c>
      <c r="E510" s="166" t="s">
        <v>1068</v>
      </c>
      <c r="F510" s="168" t="s">
        <v>2394</v>
      </c>
      <c r="G510" s="167"/>
      <c r="H510" s="166" t="s">
        <v>1104</v>
      </c>
      <c r="I510" s="181">
        <v>2010</v>
      </c>
      <c r="J510" s="181" t="s">
        <v>1105</v>
      </c>
      <c r="K510" s="181" t="s">
        <v>1106</v>
      </c>
      <c r="L510" s="181" t="s">
        <v>19</v>
      </c>
      <c r="M510" s="556" t="s">
        <v>4197</v>
      </c>
      <c r="N510" s="214" t="s">
        <v>20</v>
      </c>
      <c r="O510" s="214" t="s">
        <v>15</v>
      </c>
      <c r="P510" s="214" t="s">
        <v>20</v>
      </c>
      <c r="Q510" s="214" t="s">
        <v>20</v>
      </c>
      <c r="R510" s="214" t="s">
        <v>20</v>
      </c>
      <c r="S510" s="214" t="s">
        <v>20</v>
      </c>
      <c r="T510" s="214" t="s">
        <v>15</v>
      </c>
      <c r="U510" s="214" t="s">
        <v>15</v>
      </c>
      <c r="V510" s="214" t="s">
        <v>15</v>
      </c>
      <c r="W510" s="214" t="s">
        <v>15</v>
      </c>
      <c r="X510" s="214" t="s">
        <v>15</v>
      </c>
      <c r="Y510" s="214" t="s">
        <v>15</v>
      </c>
      <c r="Z510" s="234"/>
      <c r="AA510" s="214" t="s">
        <v>1107</v>
      </c>
      <c r="AB510" s="214" t="s">
        <v>292</v>
      </c>
      <c r="AC510" s="214" t="s">
        <v>122</v>
      </c>
      <c r="AD510" s="320" t="s">
        <v>1108</v>
      </c>
      <c r="AE510" s="320" t="s">
        <v>485</v>
      </c>
      <c r="AF510" s="162">
        <f t="shared" si="31"/>
        <v>22.35</v>
      </c>
      <c r="AG510" s="162">
        <f t="shared" si="35"/>
        <v>26.700000000000003</v>
      </c>
      <c r="AH510" s="164">
        <f t="shared" si="33"/>
        <v>1.5708</v>
      </c>
      <c r="AI510" s="164">
        <f t="shared" si="34"/>
        <v>1.9788000000000001</v>
      </c>
      <c r="AJ510" s="368">
        <v>22.35</v>
      </c>
      <c r="AK510" s="368"/>
      <c r="AL510" s="368">
        <v>4.3499999999999996</v>
      </c>
      <c r="AM510" s="368">
        <v>0</v>
      </c>
      <c r="AN510" s="368">
        <v>3.5329999999999999</v>
      </c>
      <c r="AO510" s="368"/>
      <c r="AP510" s="368"/>
      <c r="AQ510" s="368"/>
      <c r="AR510" s="368"/>
      <c r="AS510" s="195">
        <f>(18.2+26.5)/2</f>
        <v>22.35</v>
      </c>
      <c r="AT510" s="195">
        <v>30.3</v>
      </c>
      <c r="AU510" s="377"/>
      <c r="AW510" s="426">
        <v>1.5708</v>
      </c>
      <c r="AX510" s="426"/>
      <c r="AY510" s="426">
        <v>0.40800000000000003</v>
      </c>
      <c r="AZ510" s="426">
        <v>6.1199999999999997E-2</v>
      </c>
      <c r="BA510" s="426">
        <v>0.25190000000000001</v>
      </c>
      <c r="BB510" s="426"/>
      <c r="BC510" s="426"/>
      <c r="BD510" s="426"/>
      <c r="BE510" s="426"/>
      <c r="BF510" s="469">
        <f>AW510</f>
        <v>1.5708</v>
      </c>
      <c r="BG510" s="469">
        <v>2.29</v>
      </c>
      <c r="BH510" s="341"/>
      <c r="BI510" s="447"/>
      <c r="BJ510" s="505"/>
    </row>
    <row r="511" spans="1:62" ht="15.75" customHeight="1" thickBot="1" x14ac:dyDescent="0.25">
      <c r="A511" s="176">
        <v>510</v>
      </c>
      <c r="B511" s="175">
        <v>1</v>
      </c>
      <c r="C511" s="166" t="s">
        <v>975</v>
      </c>
      <c r="D511" s="168" t="s">
        <v>3055</v>
      </c>
      <c r="E511" s="166" t="s">
        <v>1068</v>
      </c>
      <c r="F511" s="168" t="s">
        <v>2395</v>
      </c>
      <c r="G511" s="167"/>
      <c r="H511" s="166" t="s">
        <v>1104</v>
      </c>
      <c r="I511" s="181">
        <v>2010</v>
      </c>
      <c r="J511" s="181" t="s">
        <v>1105</v>
      </c>
      <c r="K511" s="181" t="s">
        <v>1106</v>
      </c>
      <c r="L511" s="181" t="s">
        <v>19</v>
      </c>
      <c r="M511" s="556" t="s">
        <v>4197</v>
      </c>
      <c r="N511" s="214" t="s">
        <v>20</v>
      </c>
      <c r="O511" s="214" t="s">
        <v>15</v>
      </c>
      <c r="P511" s="214" t="s">
        <v>20</v>
      </c>
      <c r="Q511" s="214" t="s">
        <v>20</v>
      </c>
      <c r="R511" s="214" t="s">
        <v>20</v>
      </c>
      <c r="S511" s="214" t="s">
        <v>20</v>
      </c>
      <c r="T511" s="214" t="s">
        <v>15</v>
      </c>
      <c r="U511" s="214" t="s">
        <v>15</v>
      </c>
      <c r="V511" s="214" t="s">
        <v>15</v>
      </c>
      <c r="W511" s="214" t="s">
        <v>15</v>
      </c>
      <c r="X511" s="214" t="s">
        <v>15</v>
      </c>
      <c r="Y511" s="214" t="s">
        <v>15</v>
      </c>
      <c r="Z511" s="234"/>
      <c r="AA511" s="214" t="s">
        <v>1107</v>
      </c>
      <c r="AB511" s="214" t="s">
        <v>292</v>
      </c>
      <c r="AC511" s="214" t="s">
        <v>122</v>
      </c>
      <c r="AD511" s="320" t="s">
        <v>1109</v>
      </c>
      <c r="AE511" s="320" t="s">
        <v>485</v>
      </c>
      <c r="AF511" s="162">
        <f t="shared" si="31"/>
        <v>22.35</v>
      </c>
      <c r="AG511" s="162">
        <f t="shared" si="35"/>
        <v>23.878999999999998</v>
      </c>
      <c r="AH511" s="164">
        <f t="shared" si="33"/>
        <v>1.5708</v>
      </c>
      <c r="AI511" s="164">
        <f t="shared" si="34"/>
        <v>1.9788000000000001</v>
      </c>
      <c r="AJ511" s="368">
        <v>22.15</v>
      </c>
      <c r="AK511" s="368"/>
      <c r="AL511" s="368">
        <v>1.7290000000000001</v>
      </c>
      <c r="AM511" s="368">
        <v>2.1210000000000004</v>
      </c>
      <c r="AN511" s="368">
        <v>3.2230000000000003</v>
      </c>
      <c r="AO511" s="368"/>
      <c r="AP511" s="368"/>
      <c r="AQ511" s="368"/>
      <c r="AR511" s="368"/>
      <c r="AS511" s="195">
        <f>(18.2+26.5)/2</f>
        <v>22.35</v>
      </c>
      <c r="AT511" s="195">
        <v>29.3</v>
      </c>
      <c r="AU511" s="377"/>
      <c r="AW511" s="426">
        <v>1.5708</v>
      </c>
      <c r="AX511" s="426"/>
      <c r="AY511" s="426">
        <v>0.40800000000000003</v>
      </c>
      <c r="AZ511" s="426">
        <v>6.1199999999999997E-2</v>
      </c>
      <c r="BA511" s="426">
        <v>0.17982000000000004</v>
      </c>
      <c r="BB511" s="426"/>
      <c r="BC511" s="426"/>
      <c r="BD511" s="426"/>
      <c r="BE511" s="426"/>
      <c r="BF511" s="469">
        <f>AW511</f>
        <v>1.5708</v>
      </c>
      <c r="BG511" s="469">
        <v>2.2200000000000002</v>
      </c>
      <c r="BH511" s="341"/>
      <c r="BI511" s="447"/>
      <c r="BJ511" s="505"/>
    </row>
    <row r="512" spans="1:62" ht="15.75" customHeight="1" thickBot="1" x14ac:dyDescent="0.25">
      <c r="A512" s="174">
        <v>511</v>
      </c>
      <c r="B512" s="175">
        <v>1</v>
      </c>
      <c r="C512" s="166" t="s">
        <v>1110</v>
      </c>
      <c r="D512" s="166" t="s">
        <v>2198</v>
      </c>
      <c r="E512" s="166" t="s">
        <v>13</v>
      </c>
      <c r="F512" s="166" t="s">
        <v>1111</v>
      </c>
      <c r="G512" s="166" t="s">
        <v>15</v>
      </c>
      <c r="H512" s="166" t="s">
        <v>80</v>
      </c>
      <c r="I512" s="181">
        <v>2011</v>
      </c>
      <c r="J512" s="181" t="s">
        <v>1112</v>
      </c>
      <c r="K512" s="181" t="s">
        <v>1113</v>
      </c>
      <c r="L512" s="181" t="s">
        <v>274</v>
      </c>
      <c r="M512" s="556" t="s">
        <v>4198</v>
      </c>
      <c r="N512" s="214" t="s">
        <v>20</v>
      </c>
      <c r="O512" s="214" t="s">
        <v>15</v>
      </c>
      <c r="P512" s="214" t="s">
        <v>20</v>
      </c>
      <c r="Q512" s="214" t="s">
        <v>20</v>
      </c>
      <c r="R512" s="214" t="s">
        <v>20</v>
      </c>
      <c r="S512" s="214" t="s">
        <v>20</v>
      </c>
      <c r="T512" s="214" t="s">
        <v>15</v>
      </c>
      <c r="U512" s="214" t="s">
        <v>15</v>
      </c>
      <c r="V512" s="214" t="s">
        <v>15</v>
      </c>
      <c r="W512" s="214" t="s">
        <v>15</v>
      </c>
      <c r="X512" s="214" t="s">
        <v>15</v>
      </c>
      <c r="Y512" s="214" t="s">
        <v>15</v>
      </c>
      <c r="Z512" s="234"/>
      <c r="AA512" s="214" t="s">
        <v>1114</v>
      </c>
      <c r="AB512" s="214" t="s">
        <v>292</v>
      </c>
      <c r="AC512" s="214" t="s">
        <v>292</v>
      </c>
      <c r="AD512" s="320" t="s">
        <v>1115</v>
      </c>
      <c r="AE512" s="320" t="s">
        <v>1116</v>
      </c>
      <c r="AF512" s="162">
        <f t="shared" si="31"/>
        <v>5.5</v>
      </c>
      <c r="AG512" s="162">
        <f t="shared" si="35"/>
        <v>19.75</v>
      </c>
      <c r="AH512" s="164">
        <f t="shared" si="33"/>
        <v>1</v>
      </c>
      <c r="AI512" s="164">
        <f t="shared" si="34"/>
        <v>1.9849999999999999</v>
      </c>
      <c r="AJ512" s="368">
        <f>1.1/0.2</f>
        <v>5.5</v>
      </c>
      <c r="AK512" s="368">
        <f>0.45/0.2</f>
        <v>2.25</v>
      </c>
      <c r="AL512" s="368">
        <f>2.4/0.2</f>
        <v>11.999999999999998</v>
      </c>
      <c r="AM512" s="368">
        <f>0.6/0.2</f>
        <v>2.9999999999999996</v>
      </c>
      <c r="AN512" s="368"/>
      <c r="AO512" s="368"/>
      <c r="AP512" s="368"/>
      <c r="AQ512" s="368"/>
      <c r="AR512" s="368"/>
      <c r="AS512" s="195">
        <f>AJ512</f>
        <v>5.5</v>
      </c>
      <c r="AT512" s="194">
        <f>SUM(AJ512:AR512)</f>
        <v>22.75</v>
      </c>
      <c r="AU512" s="377"/>
      <c r="AV512" s="387" t="s">
        <v>3308</v>
      </c>
      <c r="AW512" s="426">
        <f>0.2/0.2</f>
        <v>1</v>
      </c>
      <c r="AX512" s="426">
        <f>0.027/0.2</f>
        <v>0.13499999999999998</v>
      </c>
      <c r="AY512" s="426">
        <f>0.17/0.2</f>
        <v>0.85</v>
      </c>
      <c r="AZ512" s="426">
        <f>0.034/0.2</f>
        <v>0.17</v>
      </c>
      <c r="BA512" s="426"/>
      <c r="BB512" s="426"/>
      <c r="BC512" s="426"/>
      <c r="BD512" s="426"/>
      <c r="BE512" s="426"/>
      <c r="BF512" s="469">
        <f>AW512</f>
        <v>1</v>
      </c>
      <c r="BG512" s="468">
        <f>SUM(AW512:BE512)</f>
        <v>2.1549999999999998</v>
      </c>
      <c r="BH512" s="341"/>
      <c r="BI512" s="447"/>
      <c r="BJ512" s="505"/>
    </row>
    <row r="513" spans="1:62" ht="15.75" customHeight="1" thickBot="1" x14ac:dyDescent="0.25">
      <c r="A513" s="176">
        <v>512</v>
      </c>
      <c r="B513" s="175">
        <v>1</v>
      </c>
      <c r="C513" s="166" t="s">
        <v>1110</v>
      </c>
      <c r="D513" s="166" t="s">
        <v>1117</v>
      </c>
      <c r="E513" s="166" t="s">
        <v>13</v>
      </c>
      <c r="F513" s="166" t="s">
        <v>1118</v>
      </c>
      <c r="G513" s="166" t="s">
        <v>15</v>
      </c>
      <c r="H513" s="166" t="s">
        <v>80</v>
      </c>
      <c r="I513" s="181">
        <v>2011</v>
      </c>
      <c r="J513" s="181" t="s">
        <v>1112</v>
      </c>
      <c r="K513" s="181" t="s">
        <v>1113</v>
      </c>
      <c r="L513" s="181" t="s">
        <v>274</v>
      </c>
      <c r="M513" s="556" t="s">
        <v>4198</v>
      </c>
      <c r="N513" s="214" t="s">
        <v>20</v>
      </c>
      <c r="O513" s="214" t="s">
        <v>15</v>
      </c>
      <c r="P513" s="214" t="s">
        <v>20</v>
      </c>
      <c r="Q513" s="214" t="s">
        <v>20</v>
      </c>
      <c r="R513" s="214" t="s">
        <v>20</v>
      </c>
      <c r="S513" s="214" t="s">
        <v>20</v>
      </c>
      <c r="T513" s="214" t="s">
        <v>15</v>
      </c>
      <c r="U513" s="214" t="s">
        <v>15</v>
      </c>
      <c r="V513" s="214" t="s">
        <v>15</v>
      </c>
      <c r="W513" s="214" t="s">
        <v>15</v>
      </c>
      <c r="X513" s="214" t="s">
        <v>15</v>
      </c>
      <c r="Y513" s="214" t="s">
        <v>15</v>
      </c>
      <c r="Z513" s="234"/>
      <c r="AA513" s="214" t="s">
        <v>1114</v>
      </c>
      <c r="AB513" s="214" t="s">
        <v>292</v>
      </c>
      <c r="AC513" s="214" t="s">
        <v>292</v>
      </c>
      <c r="AD513" s="320" t="s">
        <v>1119</v>
      </c>
      <c r="AE513" s="320" t="s">
        <v>1120</v>
      </c>
      <c r="AF513" s="162" t="str">
        <f t="shared" si="31"/>
        <v/>
      </c>
      <c r="AG513" s="162" t="str">
        <f t="shared" si="35"/>
        <v/>
      </c>
      <c r="AH513" s="164" t="str">
        <f t="shared" si="33"/>
        <v/>
      </c>
      <c r="AI513" s="164" t="str">
        <f t="shared" si="34"/>
        <v/>
      </c>
      <c r="AJ513" s="368"/>
      <c r="AK513" s="368"/>
      <c r="AL513" s="368"/>
      <c r="AM513" s="368"/>
      <c r="AN513" s="368"/>
      <c r="AO513" s="368"/>
      <c r="AP513" s="368"/>
      <c r="AQ513" s="368"/>
      <c r="AR513" s="368"/>
      <c r="AS513" s="195"/>
      <c r="AT513" s="194">
        <f>7.3*8</f>
        <v>58.4</v>
      </c>
      <c r="AU513" s="377"/>
      <c r="AW513" s="426"/>
      <c r="AX513" s="426"/>
      <c r="AY513" s="426"/>
      <c r="AZ513" s="426"/>
      <c r="BA513" s="426"/>
      <c r="BB513" s="426"/>
      <c r="BC513" s="426"/>
      <c r="BD513" s="426"/>
      <c r="BE513" s="426"/>
      <c r="BF513" s="469"/>
      <c r="BG513" s="468">
        <f>0.48*8</f>
        <v>3.84</v>
      </c>
      <c r="BH513" s="341"/>
      <c r="BI513" s="447"/>
      <c r="BJ513" s="505"/>
    </row>
    <row r="514" spans="1:62" ht="15.75" customHeight="1" thickBot="1" x14ac:dyDescent="0.25">
      <c r="A514" s="174">
        <v>513</v>
      </c>
      <c r="B514" s="175">
        <v>1</v>
      </c>
      <c r="C514" s="166" t="s">
        <v>1110</v>
      </c>
      <c r="D514" s="166" t="s">
        <v>1117</v>
      </c>
      <c r="E514" s="166" t="s">
        <v>13</v>
      </c>
      <c r="F514" s="166" t="s">
        <v>1121</v>
      </c>
      <c r="G514" s="166" t="s">
        <v>15</v>
      </c>
      <c r="H514" s="166" t="s">
        <v>80</v>
      </c>
      <c r="I514" s="181">
        <v>2011</v>
      </c>
      <c r="J514" s="181" t="s">
        <v>1112</v>
      </c>
      <c r="K514" s="181" t="s">
        <v>1113</v>
      </c>
      <c r="L514" s="181" t="s">
        <v>274</v>
      </c>
      <c r="M514" s="556" t="s">
        <v>4198</v>
      </c>
      <c r="N514" s="214" t="s">
        <v>20</v>
      </c>
      <c r="O514" s="214" t="s">
        <v>15</v>
      </c>
      <c r="P514" s="214" t="s">
        <v>20</v>
      </c>
      <c r="Q514" s="214" t="s">
        <v>20</v>
      </c>
      <c r="R514" s="214" t="s">
        <v>20</v>
      </c>
      <c r="S514" s="214" t="s">
        <v>20</v>
      </c>
      <c r="T514" s="214" t="s">
        <v>15</v>
      </c>
      <c r="U514" s="214" t="s">
        <v>15</v>
      </c>
      <c r="V514" s="214" t="s">
        <v>15</v>
      </c>
      <c r="W514" s="214" t="s">
        <v>15</v>
      </c>
      <c r="X514" s="214" t="s">
        <v>15</v>
      </c>
      <c r="Y514" s="214" t="s">
        <v>15</v>
      </c>
      <c r="Z514" s="234"/>
      <c r="AA514" s="214" t="s">
        <v>1122</v>
      </c>
      <c r="AB514" s="214" t="s">
        <v>292</v>
      </c>
      <c r="AC514" s="214" t="s">
        <v>292</v>
      </c>
      <c r="AD514" s="320" t="s">
        <v>1123</v>
      </c>
      <c r="AE514" s="320" t="s">
        <v>1124</v>
      </c>
      <c r="AF514" s="162" t="str">
        <f t="shared" ref="AF514:AF577" si="36">IF(AS514&lt;&gt;0,AS514,"")</f>
        <v/>
      </c>
      <c r="AG514" s="162" t="str">
        <f t="shared" si="35"/>
        <v/>
      </c>
      <c r="AH514" s="164" t="str">
        <f t="shared" ref="AH514:AH577" si="37">IF(BF514&lt;&gt;0,BF514,"")</f>
        <v/>
      </c>
      <c r="AI514" s="164" t="str">
        <f t="shared" ref="AI514:AI577" si="38">IF(AND(SUM(AW514:AY514)&lt;&gt;0,SUM(AW514:AY514)&lt;&gt;AW514),SUM(AW514:AY514),"")</f>
        <v/>
      </c>
      <c r="AJ514" s="368"/>
      <c r="AK514" s="368"/>
      <c r="AL514" s="368"/>
      <c r="AM514" s="368"/>
      <c r="AN514" s="368"/>
      <c r="AO514" s="368"/>
      <c r="AP514" s="368"/>
      <c r="AQ514" s="368"/>
      <c r="AR514" s="368"/>
      <c r="AS514" s="195"/>
      <c r="AT514" s="194">
        <f>68/2</f>
        <v>34</v>
      </c>
      <c r="AU514" s="377"/>
      <c r="AW514" s="426"/>
      <c r="AX514" s="426"/>
      <c r="AY514" s="426"/>
      <c r="AZ514" s="426"/>
      <c r="BA514" s="426"/>
      <c r="BB514" s="426"/>
      <c r="BC514" s="426"/>
      <c r="BD514" s="426"/>
      <c r="BE514" s="426"/>
      <c r="BF514" s="469"/>
      <c r="BG514" s="468">
        <f>4.8/2</f>
        <v>2.4</v>
      </c>
      <c r="BH514" s="341"/>
      <c r="BI514" s="447"/>
      <c r="BJ514" s="505"/>
    </row>
    <row r="515" spans="1:62" ht="15.75" customHeight="1" thickBot="1" x14ac:dyDescent="0.25">
      <c r="A515" s="176">
        <v>514</v>
      </c>
      <c r="B515" s="175">
        <v>1</v>
      </c>
      <c r="C515" s="166" t="s">
        <v>596</v>
      </c>
      <c r="D515" s="166" t="s">
        <v>1043</v>
      </c>
      <c r="E515" s="166" t="s">
        <v>13</v>
      </c>
      <c r="F515" s="166" t="s">
        <v>1125</v>
      </c>
      <c r="G515" s="166" t="s">
        <v>15</v>
      </c>
      <c r="H515" s="166" t="s">
        <v>80</v>
      </c>
      <c r="I515" s="181">
        <v>2011</v>
      </c>
      <c r="J515" s="181" t="s">
        <v>1112</v>
      </c>
      <c r="K515" s="181" t="s">
        <v>1113</v>
      </c>
      <c r="L515" s="181" t="s">
        <v>274</v>
      </c>
      <c r="M515" s="556" t="s">
        <v>4198</v>
      </c>
      <c r="N515" s="214" t="s">
        <v>20</v>
      </c>
      <c r="O515" s="214" t="s">
        <v>15</v>
      </c>
      <c r="P515" s="214" t="s">
        <v>20</v>
      </c>
      <c r="Q515" s="214" t="s">
        <v>20</v>
      </c>
      <c r="R515" s="214" t="s">
        <v>20</v>
      </c>
      <c r="S515" s="214" t="s">
        <v>20</v>
      </c>
      <c r="T515" s="214" t="s">
        <v>15</v>
      </c>
      <c r="U515" s="214" t="s">
        <v>15</v>
      </c>
      <c r="V515" s="214" t="s">
        <v>15</v>
      </c>
      <c r="W515" s="214" t="s">
        <v>15</v>
      </c>
      <c r="X515" s="214" t="s">
        <v>15</v>
      </c>
      <c r="Y515" s="214" t="s">
        <v>15</v>
      </c>
      <c r="Z515" s="234"/>
      <c r="AA515" s="214" t="s">
        <v>1114</v>
      </c>
      <c r="AB515" s="214" t="s">
        <v>292</v>
      </c>
      <c r="AC515" s="214" t="s">
        <v>292</v>
      </c>
      <c r="AD515" s="320" t="s">
        <v>1126</v>
      </c>
      <c r="AE515" s="320" t="s">
        <v>1127</v>
      </c>
      <c r="AF515" s="162" t="str">
        <f t="shared" si="36"/>
        <v/>
      </c>
      <c r="AG515" s="162" t="str">
        <f t="shared" si="35"/>
        <v/>
      </c>
      <c r="AH515" s="164" t="str">
        <f t="shared" si="37"/>
        <v/>
      </c>
      <c r="AI515" s="164" t="str">
        <f t="shared" si="38"/>
        <v/>
      </c>
      <c r="AJ515" s="368"/>
      <c r="AK515" s="368"/>
      <c r="AL515" s="368"/>
      <c r="AM515" s="368"/>
      <c r="AN515" s="368"/>
      <c r="AO515" s="368"/>
      <c r="AP515" s="368"/>
      <c r="AQ515" s="368"/>
      <c r="AR515" s="368"/>
      <c r="AS515" s="195"/>
      <c r="AT515" s="194">
        <f>0.59/33*100/1.042</f>
        <v>1.7158145756994125</v>
      </c>
      <c r="AU515" s="377"/>
      <c r="AW515" s="426"/>
      <c r="AX515" s="426"/>
      <c r="AY515" s="426"/>
      <c r="AZ515" s="426"/>
      <c r="BA515" s="426"/>
      <c r="BB515" s="426"/>
      <c r="BC515" s="426"/>
      <c r="BD515" s="426"/>
      <c r="BE515" s="426"/>
      <c r="BF515" s="469"/>
      <c r="BG515" s="468">
        <f>0.04/33*100/1.042</f>
        <v>0.11632641191182458</v>
      </c>
      <c r="BH515" s="341"/>
      <c r="BI515" s="447"/>
      <c r="BJ515" s="505"/>
    </row>
    <row r="516" spans="1:62" ht="15.75" customHeight="1" x14ac:dyDescent="0.2">
      <c r="A516" s="174">
        <v>515</v>
      </c>
      <c r="B516" s="175">
        <v>1</v>
      </c>
      <c r="C516" s="166" t="s">
        <v>1110</v>
      </c>
      <c r="D516" s="166" t="s">
        <v>3051</v>
      </c>
      <c r="E516" s="166" t="s">
        <v>13</v>
      </c>
      <c r="F516" s="166" t="s">
        <v>1128</v>
      </c>
      <c r="G516" s="166" t="s">
        <v>20</v>
      </c>
      <c r="H516" s="166" t="s">
        <v>1104</v>
      </c>
      <c r="I516" s="181">
        <v>2015</v>
      </c>
      <c r="J516" s="181" t="s">
        <v>1129</v>
      </c>
      <c r="K516" s="181" t="s">
        <v>1130</v>
      </c>
      <c r="L516" s="181" t="s">
        <v>19</v>
      </c>
      <c r="M516" s="557" t="s">
        <v>4416</v>
      </c>
      <c r="N516" s="214" t="s">
        <v>20</v>
      </c>
      <c r="O516" s="214" t="s">
        <v>15</v>
      </c>
      <c r="P516" s="214" t="s">
        <v>20</v>
      </c>
      <c r="Q516" s="214" t="s">
        <v>20</v>
      </c>
      <c r="R516" s="214" t="s">
        <v>15</v>
      </c>
      <c r="S516" s="214" t="s">
        <v>15</v>
      </c>
      <c r="T516" s="214" t="s">
        <v>15</v>
      </c>
      <c r="U516" s="214" t="s">
        <v>15</v>
      </c>
      <c r="V516" s="214" t="s">
        <v>15</v>
      </c>
      <c r="W516" s="214" t="s">
        <v>15</v>
      </c>
      <c r="X516" s="214" t="s">
        <v>15</v>
      </c>
      <c r="Y516" s="214" t="s">
        <v>15</v>
      </c>
      <c r="Z516" s="234"/>
      <c r="AA516" s="214" t="s">
        <v>1131</v>
      </c>
      <c r="AB516" s="214" t="s">
        <v>15</v>
      </c>
      <c r="AC516" s="214" t="s">
        <v>15</v>
      </c>
      <c r="AD516" s="320" t="s">
        <v>1132</v>
      </c>
      <c r="AE516" s="320" t="s">
        <v>604</v>
      </c>
      <c r="AF516" s="162" t="str">
        <f t="shared" si="36"/>
        <v/>
      </c>
      <c r="AG516" s="162" t="str">
        <f t="shared" si="35"/>
        <v/>
      </c>
      <c r="AH516" s="164">
        <f t="shared" si="37"/>
        <v>7.0599999999999996E-2</v>
      </c>
      <c r="AI516" s="164" t="str">
        <f t="shared" si="38"/>
        <v/>
      </c>
      <c r="AJ516" s="368"/>
      <c r="AK516" s="368"/>
      <c r="AL516" s="368"/>
      <c r="AM516" s="368"/>
      <c r="AN516" s="368"/>
      <c r="AO516" s="368"/>
      <c r="AP516" s="368"/>
      <c r="AQ516" s="368"/>
      <c r="AR516" s="368"/>
      <c r="AS516" s="195"/>
      <c r="AT516" s="195"/>
      <c r="AU516" s="377"/>
      <c r="AV516" s="382"/>
      <c r="AW516" s="426"/>
      <c r="AX516" s="426"/>
      <c r="AY516" s="426"/>
      <c r="AZ516" s="426"/>
      <c r="BA516" s="426"/>
      <c r="BB516" s="426"/>
      <c r="BC516" s="426"/>
      <c r="BD516" s="426"/>
      <c r="BE516" s="426"/>
      <c r="BF516" s="467">
        <f>70.6/1000</f>
        <v>7.0599999999999996E-2</v>
      </c>
      <c r="BG516" s="469"/>
      <c r="BH516" s="341"/>
      <c r="BI516" s="447"/>
      <c r="BJ516" s="505"/>
    </row>
    <row r="517" spans="1:62" ht="15.75" customHeight="1" x14ac:dyDescent="0.2">
      <c r="A517" s="176">
        <v>516</v>
      </c>
      <c r="B517" s="175">
        <v>1</v>
      </c>
      <c r="C517" s="166" t="s">
        <v>1110</v>
      </c>
      <c r="D517" s="166" t="s">
        <v>3051</v>
      </c>
      <c r="E517" s="166" t="s">
        <v>13</v>
      </c>
      <c r="F517" s="166" t="s">
        <v>1133</v>
      </c>
      <c r="G517" s="166" t="s">
        <v>20</v>
      </c>
      <c r="H517" s="166" t="s">
        <v>1104</v>
      </c>
      <c r="I517" s="181">
        <v>2015</v>
      </c>
      <c r="J517" s="181" t="s">
        <v>1129</v>
      </c>
      <c r="K517" s="181" t="s">
        <v>1130</v>
      </c>
      <c r="L517" s="181" t="s">
        <v>19</v>
      </c>
      <c r="M517" s="557" t="s">
        <v>4416</v>
      </c>
      <c r="N517" s="214" t="s">
        <v>20</v>
      </c>
      <c r="O517" s="214" t="s">
        <v>15</v>
      </c>
      <c r="P517" s="214" t="s">
        <v>20</v>
      </c>
      <c r="Q517" s="214" t="s">
        <v>20</v>
      </c>
      <c r="R517" s="214" t="s">
        <v>15</v>
      </c>
      <c r="S517" s="214" t="s">
        <v>15</v>
      </c>
      <c r="T517" s="214" t="s">
        <v>15</v>
      </c>
      <c r="U517" s="214" t="s">
        <v>15</v>
      </c>
      <c r="V517" s="214" t="s">
        <v>15</v>
      </c>
      <c r="W517" s="214" t="s">
        <v>15</v>
      </c>
      <c r="X517" s="214" t="s">
        <v>15</v>
      </c>
      <c r="Y517" s="214" t="s">
        <v>15</v>
      </c>
      <c r="Z517" s="234"/>
      <c r="AA517" s="214" t="s">
        <v>1131</v>
      </c>
      <c r="AB517" s="214" t="s">
        <v>15</v>
      </c>
      <c r="AC517" s="214" t="s">
        <v>15</v>
      </c>
      <c r="AD517" s="320" t="s">
        <v>1132</v>
      </c>
      <c r="AE517" s="320" t="s">
        <v>604</v>
      </c>
      <c r="AF517" s="162" t="str">
        <f t="shared" si="36"/>
        <v/>
      </c>
      <c r="AG517" s="162" t="str">
        <f t="shared" si="35"/>
        <v/>
      </c>
      <c r="AH517" s="164">
        <f t="shared" si="37"/>
        <v>7.6499999999999999E-2</v>
      </c>
      <c r="AI517" s="164" t="str">
        <f t="shared" si="38"/>
        <v/>
      </c>
      <c r="AJ517" s="368"/>
      <c r="AK517" s="368"/>
      <c r="AL517" s="368"/>
      <c r="AM517" s="368"/>
      <c r="AN517" s="368"/>
      <c r="AO517" s="368"/>
      <c r="AP517" s="368"/>
      <c r="AQ517" s="368"/>
      <c r="AR517" s="368"/>
      <c r="AS517" s="195"/>
      <c r="AT517" s="195"/>
      <c r="AU517" s="377"/>
      <c r="AV517" s="382"/>
      <c r="AW517" s="426"/>
      <c r="AX517" s="426"/>
      <c r="AY517" s="426"/>
      <c r="AZ517" s="426"/>
      <c r="BA517" s="426"/>
      <c r="BB517" s="426"/>
      <c r="BC517" s="426"/>
      <c r="BD517" s="426"/>
      <c r="BE517" s="426"/>
      <c r="BF517" s="467">
        <f>76.5/1000</f>
        <v>7.6499999999999999E-2</v>
      </c>
      <c r="BG517" s="469"/>
      <c r="BH517" s="341"/>
      <c r="BI517" s="447"/>
      <c r="BJ517" s="505"/>
    </row>
    <row r="518" spans="1:62" ht="15.75" customHeight="1" x14ac:dyDescent="0.2">
      <c r="A518" s="174">
        <v>517</v>
      </c>
      <c r="B518" s="175">
        <v>1</v>
      </c>
      <c r="C518" s="166" t="s">
        <v>1110</v>
      </c>
      <c r="D518" s="166" t="s">
        <v>3051</v>
      </c>
      <c r="E518" s="166" t="s">
        <v>13</v>
      </c>
      <c r="F518" s="166" t="s">
        <v>1134</v>
      </c>
      <c r="G518" s="166" t="s">
        <v>20</v>
      </c>
      <c r="H518" s="166" t="s">
        <v>1104</v>
      </c>
      <c r="I518" s="181">
        <v>2015</v>
      </c>
      <c r="J518" s="181" t="s">
        <v>1129</v>
      </c>
      <c r="K518" s="181" t="s">
        <v>1130</v>
      </c>
      <c r="L518" s="181" t="s">
        <v>19</v>
      </c>
      <c r="M518" s="557" t="s">
        <v>4416</v>
      </c>
      <c r="N518" s="214" t="s">
        <v>20</v>
      </c>
      <c r="O518" s="214" t="s">
        <v>15</v>
      </c>
      <c r="P518" s="214" t="s">
        <v>20</v>
      </c>
      <c r="Q518" s="214" t="s">
        <v>20</v>
      </c>
      <c r="R518" s="214" t="s">
        <v>15</v>
      </c>
      <c r="S518" s="214" t="s">
        <v>15</v>
      </c>
      <c r="T518" s="214" t="s">
        <v>15</v>
      </c>
      <c r="U518" s="214" t="s">
        <v>15</v>
      </c>
      <c r="V518" s="214" t="s">
        <v>15</v>
      </c>
      <c r="W518" s="214" t="s">
        <v>15</v>
      </c>
      <c r="X518" s="214" t="s">
        <v>15</v>
      </c>
      <c r="Y518" s="214" t="s">
        <v>15</v>
      </c>
      <c r="Z518" s="234"/>
      <c r="AA518" s="214" t="s">
        <v>1131</v>
      </c>
      <c r="AB518" s="214" t="s">
        <v>15</v>
      </c>
      <c r="AC518" s="214" t="s">
        <v>15</v>
      </c>
      <c r="AD518" s="320" t="s">
        <v>1132</v>
      </c>
      <c r="AE518" s="320" t="s">
        <v>604</v>
      </c>
      <c r="AF518" s="162" t="str">
        <f t="shared" si="36"/>
        <v/>
      </c>
      <c r="AG518" s="162" t="str">
        <f t="shared" si="35"/>
        <v/>
      </c>
      <c r="AH518" s="164">
        <f t="shared" si="37"/>
        <v>3.6700000000000003E-2</v>
      </c>
      <c r="AI518" s="164" t="str">
        <f t="shared" si="38"/>
        <v/>
      </c>
      <c r="AJ518" s="368"/>
      <c r="AK518" s="368"/>
      <c r="AL518" s="368"/>
      <c r="AM518" s="368"/>
      <c r="AN518" s="368"/>
      <c r="AO518" s="368"/>
      <c r="AP518" s="368"/>
      <c r="AQ518" s="368"/>
      <c r="AR518" s="368"/>
      <c r="AS518" s="195"/>
      <c r="AT518" s="195"/>
      <c r="AU518" s="377"/>
      <c r="AV518" s="382"/>
      <c r="AW518" s="426"/>
      <c r="AX518" s="426"/>
      <c r="AY518" s="426"/>
      <c r="AZ518" s="426"/>
      <c r="BA518" s="426"/>
      <c r="BB518" s="426"/>
      <c r="BC518" s="426"/>
      <c r="BD518" s="426"/>
      <c r="BE518" s="426"/>
      <c r="BF518" s="467">
        <f>36.7/1000</f>
        <v>3.6700000000000003E-2</v>
      </c>
      <c r="BG518" s="469"/>
      <c r="BH518" s="341"/>
      <c r="BI518" s="447"/>
      <c r="BJ518" s="505"/>
    </row>
    <row r="519" spans="1:62" ht="15.75" customHeight="1" thickBot="1" x14ac:dyDescent="0.25">
      <c r="A519" s="176">
        <v>518</v>
      </c>
      <c r="B519" s="175">
        <v>1</v>
      </c>
      <c r="C519" s="166" t="s">
        <v>975</v>
      </c>
      <c r="D519" s="168" t="s">
        <v>3057</v>
      </c>
      <c r="E519" s="166" t="s">
        <v>1068</v>
      </c>
      <c r="F519" s="168" t="s">
        <v>2396</v>
      </c>
      <c r="G519" s="166" t="s">
        <v>292</v>
      </c>
      <c r="H519" s="166" t="s">
        <v>1135</v>
      </c>
      <c r="I519" s="181">
        <v>2010</v>
      </c>
      <c r="J519" s="181" t="s">
        <v>1136</v>
      </c>
      <c r="K519" s="181" t="s">
        <v>718</v>
      </c>
      <c r="L519" s="181" t="s">
        <v>9</v>
      </c>
      <c r="M519" s="556" t="s">
        <v>4199</v>
      </c>
      <c r="N519" s="214" t="s">
        <v>20</v>
      </c>
      <c r="O519" s="214" t="s">
        <v>15</v>
      </c>
      <c r="P519" s="214" t="s">
        <v>20</v>
      </c>
      <c r="Q519" s="214" t="s">
        <v>20</v>
      </c>
      <c r="R519" s="214" t="s">
        <v>20</v>
      </c>
      <c r="S519" s="214" t="s">
        <v>20</v>
      </c>
      <c r="T519" s="214" t="s">
        <v>15</v>
      </c>
      <c r="U519" s="214" t="s">
        <v>15</v>
      </c>
      <c r="V519" s="214" t="s">
        <v>15</v>
      </c>
      <c r="W519" s="214" t="s">
        <v>15</v>
      </c>
      <c r="X519" s="214" t="s">
        <v>15</v>
      </c>
      <c r="Y519" s="214" t="s">
        <v>15</v>
      </c>
      <c r="Z519" s="234"/>
      <c r="AA519" s="214" t="s">
        <v>1137</v>
      </c>
      <c r="AB519" s="214" t="s">
        <v>292</v>
      </c>
      <c r="AC519" s="214" t="s">
        <v>122</v>
      </c>
      <c r="AD519" s="320" t="s">
        <v>1138</v>
      </c>
      <c r="AE519" s="319"/>
      <c r="AF519" s="162">
        <f t="shared" si="36"/>
        <v>8.15</v>
      </c>
      <c r="AG519" s="162">
        <f t="shared" si="35"/>
        <v>9.83</v>
      </c>
      <c r="AH519" s="164">
        <f t="shared" si="37"/>
        <v>0.56799999999999995</v>
      </c>
      <c r="AI519" s="164" t="str">
        <f t="shared" si="38"/>
        <v/>
      </c>
      <c r="AJ519" s="368">
        <v>8.25</v>
      </c>
      <c r="AK519" s="368"/>
      <c r="AL519" s="369">
        <v>1.58</v>
      </c>
      <c r="AM519" s="369">
        <v>1.1599999999999999</v>
      </c>
      <c r="AN519" s="368">
        <f>1.65+0.29</f>
        <v>1.94</v>
      </c>
      <c r="AO519" s="368"/>
      <c r="AP519" s="368"/>
      <c r="AQ519" s="368"/>
      <c r="AR519" s="368"/>
      <c r="AS519" s="195">
        <v>8.15</v>
      </c>
      <c r="AT519" s="195">
        <v>13</v>
      </c>
      <c r="AU519" s="378" t="s">
        <v>1139</v>
      </c>
      <c r="AV519" s="401"/>
      <c r="AW519" s="426">
        <v>0.56799999999999995</v>
      </c>
      <c r="AX519" s="426"/>
      <c r="AY519" s="426"/>
      <c r="AZ519" s="359">
        <v>2.7E-2</v>
      </c>
      <c r="BA519" s="426">
        <f>0.092+0.018</f>
        <v>0.11</v>
      </c>
      <c r="BB519" s="426"/>
      <c r="BC519" s="426"/>
      <c r="BD519" s="426"/>
      <c r="BE519" s="426"/>
      <c r="BF519" s="469">
        <v>0.56799999999999995</v>
      </c>
      <c r="BG519" s="469">
        <v>0.7</v>
      </c>
      <c r="BH519" s="341"/>
      <c r="BI519" s="446" t="s">
        <v>733</v>
      </c>
      <c r="BJ519" s="505"/>
    </row>
    <row r="520" spans="1:62" ht="15.75" customHeight="1" thickBot="1" x14ac:dyDescent="0.25">
      <c r="A520" s="174">
        <v>519</v>
      </c>
      <c r="B520" s="175">
        <v>1</v>
      </c>
      <c r="C520" s="166" t="s">
        <v>975</v>
      </c>
      <c r="D520" s="166" t="s">
        <v>3057</v>
      </c>
      <c r="E520" s="166" t="s">
        <v>13</v>
      </c>
      <c r="F520" s="168" t="s">
        <v>2397</v>
      </c>
      <c r="G520" s="166" t="s">
        <v>292</v>
      </c>
      <c r="H520" s="166" t="s">
        <v>1135</v>
      </c>
      <c r="I520" s="181">
        <v>2010</v>
      </c>
      <c r="J520" s="181" t="s">
        <v>1136</v>
      </c>
      <c r="K520" s="181" t="s">
        <v>718</v>
      </c>
      <c r="L520" s="181" t="s">
        <v>9</v>
      </c>
      <c r="M520" s="556" t="s">
        <v>4199</v>
      </c>
      <c r="N520" s="214" t="s">
        <v>20</v>
      </c>
      <c r="O520" s="214" t="s">
        <v>15</v>
      </c>
      <c r="P520" s="214" t="s">
        <v>20</v>
      </c>
      <c r="Q520" s="214" t="s">
        <v>20</v>
      </c>
      <c r="R520" s="214" t="s">
        <v>20</v>
      </c>
      <c r="S520" s="214" t="s">
        <v>20</v>
      </c>
      <c r="T520" s="214" t="s">
        <v>15</v>
      </c>
      <c r="U520" s="214" t="s">
        <v>15</v>
      </c>
      <c r="V520" s="214" t="s">
        <v>15</v>
      </c>
      <c r="W520" s="214" t="s">
        <v>15</v>
      </c>
      <c r="X520" s="214" t="s">
        <v>15</v>
      </c>
      <c r="Y520" s="214" t="s">
        <v>15</v>
      </c>
      <c r="Z520" s="234"/>
      <c r="AA520" s="214" t="s">
        <v>1137</v>
      </c>
      <c r="AB520" s="214" t="s">
        <v>292</v>
      </c>
      <c r="AC520" s="214" t="s">
        <v>122</v>
      </c>
      <c r="AD520" s="320" t="s">
        <v>1138</v>
      </c>
      <c r="AE520" s="319"/>
      <c r="AF520" s="162">
        <f t="shared" si="36"/>
        <v>8.15</v>
      </c>
      <c r="AG520" s="162">
        <f t="shared" si="35"/>
        <v>9.5</v>
      </c>
      <c r="AH520" s="164">
        <f t="shared" si="37"/>
        <v>0.56799999999999995</v>
      </c>
      <c r="AI520" s="164" t="str">
        <f t="shared" si="38"/>
        <v/>
      </c>
      <c r="AJ520" s="368">
        <v>8.0500000000000007</v>
      </c>
      <c r="AK520" s="368"/>
      <c r="AL520" s="369">
        <v>1.45</v>
      </c>
      <c r="AM520" s="369">
        <v>1.05</v>
      </c>
      <c r="AN520" s="369">
        <v>31.51</v>
      </c>
      <c r="AO520" s="368"/>
      <c r="AP520" s="368"/>
      <c r="AQ520" s="368"/>
      <c r="AR520" s="368"/>
      <c r="AS520" s="195">
        <v>8.15</v>
      </c>
      <c r="AT520" s="195">
        <v>42</v>
      </c>
      <c r="AU520" s="378" t="s">
        <v>1139</v>
      </c>
      <c r="AV520" s="401"/>
      <c r="AW520" s="426">
        <v>0.56799999999999995</v>
      </c>
      <c r="AX520" s="426"/>
      <c r="AY520" s="426"/>
      <c r="AZ520" s="359">
        <v>2.7E-2</v>
      </c>
      <c r="BA520" s="426">
        <f>0.092+1.9</f>
        <v>1.992</v>
      </c>
      <c r="BB520" s="426"/>
      <c r="BC520" s="426"/>
      <c r="BD520" s="426"/>
      <c r="BE520" s="426"/>
      <c r="BF520" s="475">
        <v>0.56799999999999995</v>
      </c>
      <c r="BG520" s="469">
        <v>2.6</v>
      </c>
      <c r="BH520" s="341"/>
      <c r="BI520" s="446" t="s">
        <v>733</v>
      </c>
      <c r="BJ520" s="505"/>
    </row>
    <row r="521" spans="1:62" ht="15.75" customHeight="1" thickBot="1" x14ac:dyDescent="0.25">
      <c r="A521" s="176">
        <v>520</v>
      </c>
      <c r="B521" s="175">
        <v>1</v>
      </c>
      <c r="C521" s="166" t="s">
        <v>975</v>
      </c>
      <c r="D521" s="168" t="s">
        <v>3057</v>
      </c>
      <c r="E521" s="166" t="s">
        <v>1068</v>
      </c>
      <c r="F521" s="168" t="s">
        <v>2398</v>
      </c>
      <c r="G521" s="166" t="s">
        <v>122</v>
      </c>
      <c r="H521" s="166" t="s">
        <v>1140</v>
      </c>
      <c r="I521" s="181">
        <v>2010</v>
      </c>
      <c r="J521" s="181" t="s">
        <v>1136</v>
      </c>
      <c r="K521" s="181" t="s">
        <v>718</v>
      </c>
      <c r="L521" s="181" t="s">
        <v>9</v>
      </c>
      <c r="M521" s="556" t="s">
        <v>4199</v>
      </c>
      <c r="N521" s="214" t="s">
        <v>20</v>
      </c>
      <c r="O521" s="214" t="s">
        <v>15</v>
      </c>
      <c r="P521" s="214" t="s">
        <v>20</v>
      </c>
      <c r="Q521" s="214" t="s">
        <v>20</v>
      </c>
      <c r="R521" s="214" t="s">
        <v>20</v>
      </c>
      <c r="S521" s="214" t="s">
        <v>20</v>
      </c>
      <c r="T521" s="214" t="s">
        <v>15</v>
      </c>
      <c r="U521" s="214" t="s">
        <v>15</v>
      </c>
      <c r="V521" s="214" t="s">
        <v>15</v>
      </c>
      <c r="W521" s="214" t="s">
        <v>15</v>
      </c>
      <c r="X521" s="214" t="s">
        <v>15</v>
      </c>
      <c r="Y521" s="214" t="s">
        <v>15</v>
      </c>
      <c r="Z521" s="234"/>
      <c r="AA521" s="214" t="s">
        <v>1137</v>
      </c>
      <c r="AB521" s="214" t="s">
        <v>292</v>
      </c>
      <c r="AC521" s="214" t="s">
        <v>122</v>
      </c>
      <c r="AD521" s="320" t="s">
        <v>1138</v>
      </c>
      <c r="AE521" s="319"/>
      <c r="AF521" s="162">
        <f t="shared" si="36"/>
        <v>7.64</v>
      </c>
      <c r="AG521" s="162">
        <f t="shared" si="35"/>
        <v>11.27</v>
      </c>
      <c r="AH521" s="164">
        <f t="shared" si="37"/>
        <v>0.5</v>
      </c>
      <c r="AI521" s="164">
        <f t="shared" si="38"/>
        <v>0.76800000000000002</v>
      </c>
      <c r="AJ521" s="368">
        <v>7.84</v>
      </c>
      <c r="AK521" s="369">
        <v>1.35</v>
      </c>
      <c r="AL521" s="369">
        <v>2.08</v>
      </c>
      <c r="AM521" s="369">
        <v>1.1000000000000001</v>
      </c>
      <c r="AN521" s="369">
        <v>4.0999999999999996</v>
      </c>
      <c r="AO521" s="368"/>
      <c r="AP521" s="368"/>
      <c r="AQ521" s="368"/>
      <c r="AR521" s="368"/>
      <c r="AS521" s="195">
        <v>7.64</v>
      </c>
      <c r="AT521" s="195">
        <v>16.5</v>
      </c>
      <c r="AU521" s="378" t="s">
        <v>1139</v>
      </c>
      <c r="AV521" s="401"/>
      <c r="AW521" s="426">
        <v>0.5</v>
      </c>
      <c r="AX521" s="359">
        <v>8.7999999999999995E-2</v>
      </c>
      <c r="AY521" s="359">
        <v>0.18</v>
      </c>
      <c r="AZ521" s="359">
        <v>2.7E-2</v>
      </c>
      <c r="BA521" s="426">
        <f>0.18+0.092</f>
        <v>0.27200000000000002</v>
      </c>
      <c r="BB521" s="426"/>
      <c r="BC521" s="426"/>
      <c r="BD521" s="426"/>
      <c r="BE521" s="426"/>
      <c r="BF521" s="469">
        <v>0.5</v>
      </c>
      <c r="BG521" s="469">
        <v>1.1000000000000001</v>
      </c>
      <c r="BH521" s="341"/>
      <c r="BI521" s="446" t="s">
        <v>733</v>
      </c>
      <c r="BJ521" s="505"/>
    </row>
    <row r="522" spans="1:62" ht="15.75" customHeight="1" thickBot="1" x14ac:dyDescent="0.25">
      <c r="A522" s="174">
        <v>521</v>
      </c>
      <c r="B522" s="175">
        <v>1</v>
      </c>
      <c r="C522" s="166" t="s">
        <v>975</v>
      </c>
      <c r="D522" s="168" t="s">
        <v>3057</v>
      </c>
      <c r="E522" s="166" t="s">
        <v>1068</v>
      </c>
      <c r="F522" s="168" t="s">
        <v>2399</v>
      </c>
      <c r="G522" s="166" t="s">
        <v>122</v>
      </c>
      <c r="H522" s="166" t="s">
        <v>1140</v>
      </c>
      <c r="I522" s="181">
        <v>2010</v>
      </c>
      <c r="J522" s="181" t="s">
        <v>1136</v>
      </c>
      <c r="K522" s="181" t="s">
        <v>718</v>
      </c>
      <c r="L522" s="181" t="s">
        <v>9</v>
      </c>
      <c r="M522" s="556" t="s">
        <v>4199</v>
      </c>
      <c r="N522" s="214" t="s">
        <v>20</v>
      </c>
      <c r="O522" s="214" t="s">
        <v>15</v>
      </c>
      <c r="P522" s="214" t="s">
        <v>20</v>
      </c>
      <c r="Q522" s="214" t="s">
        <v>20</v>
      </c>
      <c r="R522" s="214" t="s">
        <v>20</v>
      </c>
      <c r="S522" s="214" t="s">
        <v>20</v>
      </c>
      <c r="T522" s="214" t="s">
        <v>15</v>
      </c>
      <c r="U522" s="214" t="s">
        <v>15</v>
      </c>
      <c r="V522" s="214" t="s">
        <v>15</v>
      </c>
      <c r="W522" s="214" t="s">
        <v>15</v>
      </c>
      <c r="X522" s="214" t="s">
        <v>15</v>
      </c>
      <c r="Y522" s="214" t="s">
        <v>15</v>
      </c>
      <c r="Z522" s="234"/>
      <c r="AA522" s="214" t="s">
        <v>1137</v>
      </c>
      <c r="AB522" s="214" t="s">
        <v>292</v>
      </c>
      <c r="AC522" s="214" t="s">
        <v>122</v>
      </c>
      <c r="AD522" s="320" t="s">
        <v>1138</v>
      </c>
      <c r="AE522" s="319"/>
      <c r="AF522" s="162">
        <f t="shared" si="36"/>
        <v>5.46</v>
      </c>
      <c r="AG522" s="162" t="str">
        <f t="shared" si="35"/>
        <v/>
      </c>
      <c r="AH522" s="164">
        <f t="shared" si="37"/>
        <v>0.31</v>
      </c>
      <c r="AI522" s="164" t="str">
        <f t="shared" si="38"/>
        <v/>
      </c>
      <c r="AJ522" s="368">
        <v>5.16</v>
      </c>
      <c r="AK522" s="368"/>
      <c r="AL522" s="368"/>
      <c r="AM522" s="369">
        <v>0.8</v>
      </c>
      <c r="AN522" s="369">
        <v>3.7</v>
      </c>
      <c r="AO522" s="368"/>
      <c r="AP522" s="368"/>
      <c r="AQ522" s="368"/>
      <c r="AR522" s="368"/>
      <c r="AS522" s="195">
        <v>5.46</v>
      </c>
      <c r="AT522" s="195">
        <v>9.6</v>
      </c>
      <c r="AU522" s="378" t="s">
        <v>1139</v>
      </c>
      <c r="AV522" s="401"/>
      <c r="AW522" s="426">
        <v>0.31</v>
      </c>
      <c r="AX522" s="426"/>
      <c r="AY522" s="426"/>
      <c r="AZ522" s="359">
        <v>2.7E-2</v>
      </c>
      <c r="BA522" s="426">
        <f>0.16+0.092</f>
        <v>0.252</v>
      </c>
      <c r="BB522" s="426"/>
      <c r="BC522" s="426"/>
      <c r="BD522" s="426"/>
      <c r="BE522" s="426"/>
      <c r="BF522" s="469">
        <v>0.31</v>
      </c>
      <c r="BG522" s="469">
        <v>0.59</v>
      </c>
      <c r="BH522" s="341"/>
      <c r="BI522" s="446" t="s">
        <v>733</v>
      </c>
      <c r="BJ522" s="505"/>
    </row>
    <row r="523" spans="1:62" ht="15.75" customHeight="1" thickBot="1" x14ac:dyDescent="0.25">
      <c r="A523" s="176">
        <v>522</v>
      </c>
      <c r="B523" s="175">
        <v>1</v>
      </c>
      <c r="C523" s="166" t="s">
        <v>975</v>
      </c>
      <c r="D523" s="168" t="s">
        <v>3057</v>
      </c>
      <c r="E523" s="166" t="s">
        <v>1068</v>
      </c>
      <c r="F523" s="168" t="s">
        <v>2400</v>
      </c>
      <c r="G523" s="166" t="s">
        <v>122</v>
      </c>
      <c r="H523" s="166" t="s">
        <v>1140</v>
      </c>
      <c r="I523" s="181">
        <v>2010</v>
      </c>
      <c r="J523" s="181" t="s">
        <v>1136</v>
      </c>
      <c r="K523" s="181" t="s">
        <v>718</v>
      </c>
      <c r="L523" s="181" t="s">
        <v>9</v>
      </c>
      <c r="M523" s="556" t="s">
        <v>4199</v>
      </c>
      <c r="N523" s="214" t="s">
        <v>20</v>
      </c>
      <c r="O523" s="214" t="s">
        <v>15</v>
      </c>
      <c r="P523" s="214" t="s">
        <v>20</v>
      </c>
      <c r="Q523" s="214" t="s">
        <v>20</v>
      </c>
      <c r="R523" s="214" t="s">
        <v>20</v>
      </c>
      <c r="S523" s="214" t="s">
        <v>20</v>
      </c>
      <c r="T523" s="214" t="s">
        <v>15</v>
      </c>
      <c r="U523" s="214" t="s">
        <v>15</v>
      </c>
      <c r="V523" s="214" t="s">
        <v>15</v>
      </c>
      <c r="W523" s="214" t="s">
        <v>15</v>
      </c>
      <c r="X523" s="214" t="s">
        <v>15</v>
      </c>
      <c r="Y523" s="214" t="s">
        <v>15</v>
      </c>
      <c r="Z523" s="234"/>
      <c r="AA523" s="214" t="s">
        <v>1137</v>
      </c>
      <c r="AB523" s="214" t="s">
        <v>292</v>
      </c>
      <c r="AC523" s="214" t="s">
        <v>122</v>
      </c>
      <c r="AD523" s="320" t="s">
        <v>1138</v>
      </c>
      <c r="AE523" s="319"/>
      <c r="AF523" s="162">
        <f t="shared" si="36"/>
        <v>2.5299999999999998</v>
      </c>
      <c r="AG523" s="162">
        <f t="shared" si="35"/>
        <v>4.2799999999999994</v>
      </c>
      <c r="AH523" s="164">
        <f t="shared" si="37"/>
        <v>0.182</v>
      </c>
      <c r="AI523" s="164">
        <f t="shared" si="38"/>
        <v>0.28259999999999996</v>
      </c>
      <c r="AJ523" s="368">
        <v>2.5299999999999998</v>
      </c>
      <c r="AK523" s="368"/>
      <c r="AL523" s="369">
        <v>1.75</v>
      </c>
      <c r="AM523" s="369">
        <v>1.1000000000000001</v>
      </c>
      <c r="AN523" s="369">
        <v>2.86</v>
      </c>
      <c r="AO523" s="368"/>
      <c r="AP523" s="368"/>
      <c r="AQ523" s="368"/>
      <c r="AR523" s="368"/>
      <c r="AS523" s="195">
        <v>2.5299999999999998</v>
      </c>
      <c r="AT523" s="195">
        <v>8.1999999999999993</v>
      </c>
      <c r="AU523" s="378" t="s">
        <v>1139</v>
      </c>
      <c r="AV523" s="404"/>
      <c r="AW523" s="426">
        <v>0.182</v>
      </c>
      <c r="AX523" s="426"/>
      <c r="AY523" s="359">
        <f>0.092+0.0086</f>
        <v>0.10059999999999999</v>
      </c>
      <c r="AZ523" s="359">
        <v>2.7E-2</v>
      </c>
      <c r="BA523" s="359">
        <v>0.17499999999999999</v>
      </c>
      <c r="BB523" s="426"/>
      <c r="BC523" s="426"/>
      <c r="BD523" s="426"/>
      <c r="BE523" s="426"/>
      <c r="BF523" s="469">
        <v>0.182</v>
      </c>
      <c r="BG523" s="469">
        <v>0.48</v>
      </c>
      <c r="BH523" s="341"/>
      <c r="BI523" s="446" t="s">
        <v>733</v>
      </c>
      <c r="BJ523" s="505"/>
    </row>
    <row r="524" spans="1:62" ht="15.75" customHeight="1" thickBot="1" x14ac:dyDescent="0.25">
      <c r="A524" s="174">
        <v>523</v>
      </c>
      <c r="B524" s="175">
        <v>1</v>
      </c>
      <c r="C524" s="166" t="s">
        <v>975</v>
      </c>
      <c r="D524" s="168" t="s">
        <v>3057</v>
      </c>
      <c r="E524" s="166" t="s">
        <v>1068</v>
      </c>
      <c r="F524" s="168" t="s">
        <v>2401</v>
      </c>
      <c r="G524" s="166" t="s">
        <v>122</v>
      </c>
      <c r="H524" s="166" t="s">
        <v>1140</v>
      </c>
      <c r="I524" s="181">
        <v>2010</v>
      </c>
      <c r="J524" s="181" t="s">
        <v>1136</v>
      </c>
      <c r="K524" s="181" t="s">
        <v>718</v>
      </c>
      <c r="L524" s="181" t="s">
        <v>9</v>
      </c>
      <c r="M524" s="556" t="s">
        <v>4199</v>
      </c>
      <c r="N524" s="214" t="s">
        <v>20</v>
      </c>
      <c r="O524" s="214" t="s">
        <v>15</v>
      </c>
      <c r="P524" s="214" t="s">
        <v>20</v>
      </c>
      <c r="Q524" s="214" t="s">
        <v>20</v>
      </c>
      <c r="R524" s="214" t="s">
        <v>20</v>
      </c>
      <c r="S524" s="214" t="s">
        <v>20</v>
      </c>
      <c r="T524" s="214" t="s">
        <v>15</v>
      </c>
      <c r="U524" s="214" t="s">
        <v>15</v>
      </c>
      <c r="V524" s="214" t="s">
        <v>15</v>
      </c>
      <c r="W524" s="214" t="s">
        <v>15</v>
      </c>
      <c r="X524" s="214" t="s">
        <v>15</v>
      </c>
      <c r="Y524" s="214" t="s">
        <v>15</v>
      </c>
      <c r="Z524" s="234"/>
      <c r="AA524" s="214" t="s">
        <v>1137</v>
      </c>
      <c r="AB524" s="214" t="s">
        <v>292</v>
      </c>
      <c r="AC524" s="214" t="s">
        <v>122</v>
      </c>
      <c r="AD524" s="320" t="s">
        <v>1138</v>
      </c>
      <c r="AE524" s="319"/>
      <c r="AF524" s="162">
        <f t="shared" si="36"/>
        <v>2.5299999999999998</v>
      </c>
      <c r="AG524" s="162">
        <f t="shared" si="35"/>
        <v>4.66</v>
      </c>
      <c r="AH524" s="164">
        <f t="shared" si="37"/>
        <v>0.182</v>
      </c>
      <c r="AI524" s="164">
        <f t="shared" si="38"/>
        <v>0.374</v>
      </c>
      <c r="AJ524" s="368">
        <v>2.5299999999999998</v>
      </c>
      <c r="AK524" s="368"/>
      <c r="AL524" s="369">
        <v>2.13</v>
      </c>
      <c r="AM524" s="369">
        <v>1.1000000000000001</v>
      </c>
      <c r="AN524" s="368">
        <f>0.58+1.6+3</f>
        <v>5.18</v>
      </c>
      <c r="AO524" s="368"/>
      <c r="AP524" s="368"/>
      <c r="AQ524" s="368"/>
      <c r="AR524" s="368"/>
      <c r="AS524" s="195">
        <v>2.5299999999999998</v>
      </c>
      <c r="AT524" s="195">
        <v>11</v>
      </c>
      <c r="AU524" s="378" t="s">
        <v>1139</v>
      </c>
      <c r="AV524" s="404"/>
      <c r="AW524" s="426">
        <v>0.182</v>
      </c>
      <c r="AX524" s="426"/>
      <c r="AY524" s="359">
        <v>0.192</v>
      </c>
      <c r="AZ524" s="359">
        <v>2.7E-2</v>
      </c>
      <c r="BA524" s="426">
        <f>0.036+0.092+0.19</f>
        <v>0.318</v>
      </c>
      <c r="BB524" s="426"/>
      <c r="BC524" s="426"/>
      <c r="BD524" s="426"/>
      <c r="BE524" s="426"/>
      <c r="BF524" s="469">
        <v>0.182</v>
      </c>
      <c r="BG524" s="469">
        <v>0.72</v>
      </c>
      <c r="BH524" s="341"/>
      <c r="BI524" s="446" t="s">
        <v>733</v>
      </c>
      <c r="BJ524" s="505"/>
    </row>
    <row r="525" spans="1:62" ht="15.75" customHeight="1" thickBot="1" x14ac:dyDescent="0.25">
      <c r="A525" s="176">
        <v>524</v>
      </c>
      <c r="B525" s="175">
        <v>1</v>
      </c>
      <c r="C525" s="166" t="s">
        <v>975</v>
      </c>
      <c r="D525" s="168" t="s">
        <v>3059</v>
      </c>
      <c r="E525" s="166" t="s">
        <v>1063</v>
      </c>
      <c r="F525" s="168" t="s">
        <v>2402</v>
      </c>
      <c r="G525" s="166" t="s">
        <v>122</v>
      </c>
      <c r="H525" s="166" t="s">
        <v>1141</v>
      </c>
      <c r="I525" s="181">
        <v>2011</v>
      </c>
      <c r="J525" s="184" t="s">
        <v>1142</v>
      </c>
      <c r="K525" s="181" t="s">
        <v>1143</v>
      </c>
      <c r="L525" s="181" t="s">
        <v>19</v>
      </c>
      <c r="M525" s="556" t="s">
        <v>4200</v>
      </c>
      <c r="N525" s="214" t="s">
        <v>20</v>
      </c>
      <c r="O525" s="214" t="s">
        <v>15</v>
      </c>
      <c r="P525" s="214" t="s">
        <v>15</v>
      </c>
      <c r="Q525" s="214" t="s">
        <v>15</v>
      </c>
      <c r="R525" s="214" t="s">
        <v>15</v>
      </c>
      <c r="S525" s="214" t="s">
        <v>15</v>
      </c>
      <c r="T525" s="214" t="s">
        <v>15</v>
      </c>
      <c r="U525" s="214" t="s">
        <v>15</v>
      </c>
      <c r="V525" s="214" t="s">
        <v>15</v>
      </c>
      <c r="W525" s="214" t="s">
        <v>15</v>
      </c>
      <c r="X525" s="214" t="s">
        <v>15</v>
      </c>
      <c r="Y525" s="214" t="s">
        <v>15</v>
      </c>
      <c r="Z525" s="234"/>
      <c r="AA525" s="214" t="s">
        <v>1144</v>
      </c>
      <c r="AB525" s="214" t="s">
        <v>292</v>
      </c>
      <c r="AC525" s="214" t="s">
        <v>122</v>
      </c>
      <c r="AD525" s="323" t="s">
        <v>1145</v>
      </c>
      <c r="AE525" s="320" t="s">
        <v>2438</v>
      </c>
      <c r="AF525" s="162">
        <f t="shared" si="36"/>
        <v>107.89473684210527</v>
      </c>
      <c r="AG525" s="162" t="str">
        <f t="shared" si="35"/>
        <v/>
      </c>
      <c r="AH525" s="164">
        <f t="shared" si="37"/>
        <v>9.2631578947368425</v>
      </c>
      <c r="AI525" s="164" t="str">
        <f t="shared" si="38"/>
        <v/>
      </c>
      <c r="AJ525" s="368"/>
      <c r="AK525" s="368"/>
      <c r="AL525" s="369"/>
      <c r="AM525" s="369"/>
      <c r="AN525" s="368"/>
      <c r="AO525" s="368"/>
      <c r="AP525" s="368"/>
      <c r="AQ525" s="368"/>
      <c r="AR525" s="368"/>
      <c r="AS525" s="198">
        <f>61.5/0.57</f>
        <v>107.89473684210527</v>
      </c>
      <c r="AT525" s="195"/>
      <c r="AU525" s="378" t="s">
        <v>1139</v>
      </c>
      <c r="AV525" s="382"/>
      <c r="AW525" s="426"/>
      <c r="AX525" s="426"/>
      <c r="AY525" s="359"/>
      <c r="AZ525" s="359"/>
      <c r="BA525" s="426"/>
      <c r="BB525" s="426"/>
      <c r="BC525" s="426"/>
      <c r="BD525" s="426"/>
      <c r="BE525" s="426"/>
      <c r="BF525" s="474">
        <f>5.28/0.57</f>
        <v>9.2631578947368425</v>
      </c>
      <c r="BG525" s="469"/>
      <c r="BH525" s="341"/>
      <c r="BI525" s="447"/>
      <c r="BJ525" s="505"/>
    </row>
    <row r="526" spans="1:62" ht="15.75" customHeight="1" thickBot="1" x14ac:dyDescent="0.25">
      <c r="A526" s="174">
        <v>525</v>
      </c>
      <c r="B526" s="175">
        <v>1</v>
      </c>
      <c r="C526" s="166" t="s">
        <v>975</v>
      </c>
      <c r="D526" s="168" t="s">
        <v>3059</v>
      </c>
      <c r="E526" s="166" t="s">
        <v>1063</v>
      </c>
      <c r="F526" s="168" t="s">
        <v>2403</v>
      </c>
      <c r="G526" s="166" t="s">
        <v>122</v>
      </c>
      <c r="H526" s="166" t="s">
        <v>1141</v>
      </c>
      <c r="I526" s="181">
        <v>2011</v>
      </c>
      <c r="J526" s="184" t="s">
        <v>1142</v>
      </c>
      <c r="K526" s="181" t="s">
        <v>1143</v>
      </c>
      <c r="L526" s="181" t="s">
        <v>19</v>
      </c>
      <c r="M526" s="556" t="s">
        <v>4200</v>
      </c>
      <c r="N526" s="214" t="s">
        <v>20</v>
      </c>
      <c r="O526" s="214" t="s">
        <v>15</v>
      </c>
      <c r="P526" s="214" t="s">
        <v>15</v>
      </c>
      <c r="Q526" s="214" t="s">
        <v>15</v>
      </c>
      <c r="R526" s="214" t="s">
        <v>15</v>
      </c>
      <c r="S526" s="214" t="s">
        <v>15</v>
      </c>
      <c r="T526" s="214" t="s">
        <v>15</v>
      </c>
      <c r="U526" s="214" t="s">
        <v>15</v>
      </c>
      <c r="V526" s="214" t="s">
        <v>15</v>
      </c>
      <c r="W526" s="214" t="s">
        <v>15</v>
      </c>
      <c r="X526" s="214" t="s">
        <v>15</v>
      </c>
      <c r="Y526" s="214" t="s">
        <v>15</v>
      </c>
      <c r="Z526" s="234"/>
      <c r="AA526" s="214" t="s">
        <v>1144</v>
      </c>
      <c r="AB526" s="214" t="s">
        <v>292</v>
      </c>
      <c r="AC526" s="214" t="s">
        <v>122</v>
      </c>
      <c r="AD526" s="323" t="s">
        <v>1145</v>
      </c>
      <c r="AE526" s="320" t="s">
        <v>2438</v>
      </c>
      <c r="AF526" s="162">
        <f t="shared" si="36"/>
        <v>60.000000000000007</v>
      </c>
      <c r="AG526" s="162" t="str">
        <f t="shared" si="35"/>
        <v/>
      </c>
      <c r="AH526" s="164">
        <f t="shared" si="37"/>
        <v>4.8245614035087723</v>
      </c>
      <c r="AI526" s="164" t="str">
        <f t="shared" si="38"/>
        <v/>
      </c>
      <c r="AJ526" s="368"/>
      <c r="AK526" s="368"/>
      <c r="AL526" s="369"/>
      <c r="AM526" s="369"/>
      <c r="AN526" s="368"/>
      <c r="AO526" s="368"/>
      <c r="AP526" s="368"/>
      <c r="AQ526" s="368"/>
      <c r="AR526" s="368"/>
      <c r="AS526" s="194">
        <f>34.2/0.57</f>
        <v>60.000000000000007</v>
      </c>
      <c r="AT526" s="195"/>
      <c r="AU526" s="378" t="s">
        <v>1139</v>
      </c>
      <c r="AV526" s="382"/>
      <c r="AW526" s="426"/>
      <c r="AX526" s="426"/>
      <c r="AY526" s="359"/>
      <c r="AZ526" s="359"/>
      <c r="BA526" s="426"/>
      <c r="BB526" s="426"/>
      <c r="BC526" s="426"/>
      <c r="BD526" s="426"/>
      <c r="BE526" s="426"/>
      <c r="BF526" s="468">
        <f>2.75/0.57</f>
        <v>4.8245614035087723</v>
      </c>
      <c r="BG526" s="469"/>
      <c r="BH526" s="341"/>
      <c r="BI526" s="447"/>
      <c r="BJ526" s="505"/>
    </row>
    <row r="527" spans="1:62" ht="15.75" customHeight="1" thickBot="1" x14ac:dyDescent="0.25">
      <c r="A527" s="176">
        <v>526</v>
      </c>
      <c r="B527" s="175">
        <v>1</v>
      </c>
      <c r="C527" s="166" t="s">
        <v>975</v>
      </c>
      <c r="D527" s="168" t="s">
        <v>3057</v>
      </c>
      <c r="E527" s="166" t="s">
        <v>1068</v>
      </c>
      <c r="F527" s="168" t="s">
        <v>2404</v>
      </c>
      <c r="G527" s="166" t="s">
        <v>292</v>
      </c>
      <c r="H527" s="166" t="s">
        <v>1064</v>
      </c>
      <c r="I527" s="181">
        <v>2011</v>
      </c>
      <c r="J527" s="184" t="s">
        <v>1146</v>
      </c>
      <c r="K527" s="181" t="s">
        <v>1147</v>
      </c>
      <c r="L527" s="181" t="s">
        <v>19</v>
      </c>
      <c r="M527" s="556" t="s">
        <v>4201</v>
      </c>
      <c r="N527" s="214" t="s">
        <v>20</v>
      </c>
      <c r="O527" s="214" t="s">
        <v>15</v>
      </c>
      <c r="P527" s="214" t="s">
        <v>20</v>
      </c>
      <c r="Q527" s="214" t="s">
        <v>20</v>
      </c>
      <c r="R527" s="214" t="s">
        <v>20</v>
      </c>
      <c r="S527" s="214" t="s">
        <v>20</v>
      </c>
      <c r="T527" s="214" t="s">
        <v>15</v>
      </c>
      <c r="U527" s="214" t="s">
        <v>15</v>
      </c>
      <c r="V527" s="214" t="s">
        <v>15</v>
      </c>
      <c r="W527" s="214" t="s">
        <v>15</v>
      </c>
      <c r="X527" s="214" t="s">
        <v>15</v>
      </c>
      <c r="Y527" s="214" t="s">
        <v>15</v>
      </c>
      <c r="Z527" s="234"/>
      <c r="AA527" s="214" t="s">
        <v>1148</v>
      </c>
      <c r="AB527" s="214" t="s">
        <v>292</v>
      </c>
      <c r="AC527" s="214" t="s">
        <v>122</v>
      </c>
      <c r="AD527" s="320" t="s">
        <v>1149</v>
      </c>
      <c r="AE527" s="319"/>
      <c r="AF527" s="162">
        <f t="shared" si="36"/>
        <v>20.100000000000001</v>
      </c>
      <c r="AG527" s="162">
        <f t="shared" si="35"/>
        <v>22.540000000000003</v>
      </c>
      <c r="AH527" s="164">
        <f t="shared" si="37"/>
        <v>1.43</v>
      </c>
      <c r="AI527" s="164">
        <f t="shared" si="38"/>
        <v>1.49</v>
      </c>
      <c r="AJ527" s="368">
        <f>18.5+1.5+0.1</f>
        <v>20.100000000000001</v>
      </c>
      <c r="AK527" s="368"/>
      <c r="AL527" s="368">
        <f>2.44</f>
        <v>2.44</v>
      </c>
      <c r="AM527" s="368">
        <f>2.4</f>
        <v>2.4</v>
      </c>
      <c r="AN527" s="369">
        <v>7</v>
      </c>
      <c r="AO527" s="369">
        <v>7</v>
      </c>
      <c r="AP527" s="368"/>
      <c r="AQ527" s="368"/>
      <c r="AR527" s="368"/>
      <c r="AS527" s="195">
        <f>AJ527</f>
        <v>20.100000000000001</v>
      </c>
      <c r="AT527" s="195">
        <v>39</v>
      </c>
      <c r="AU527" s="378" t="s">
        <v>1139</v>
      </c>
      <c r="AW527" s="359">
        <v>1.43</v>
      </c>
      <c r="AX527" s="426"/>
      <c r="AY527" s="359">
        <v>0.06</v>
      </c>
      <c r="AZ527" s="359">
        <v>0.12</v>
      </c>
      <c r="BA527" s="359">
        <v>0.53</v>
      </c>
      <c r="BB527" s="426"/>
      <c r="BC527" s="426"/>
      <c r="BD527" s="426"/>
      <c r="BE527" s="426"/>
      <c r="BF527" s="483">
        <v>1.43</v>
      </c>
      <c r="BG527" s="469">
        <v>2.2000000000000002</v>
      </c>
      <c r="BH527" s="341"/>
      <c r="BI527" s="446" t="s">
        <v>1150</v>
      </c>
      <c r="BJ527" s="505"/>
    </row>
    <row r="528" spans="1:62" ht="15.75" customHeight="1" thickBot="1" x14ac:dyDescent="0.25">
      <c r="A528" s="174">
        <v>527</v>
      </c>
      <c r="B528" s="175">
        <v>1</v>
      </c>
      <c r="C528" s="166" t="s">
        <v>975</v>
      </c>
      <c r="D528" s="168" t="s">
        <v>3057</v>
      </c>
      <c r="E528" s="166" t="s">
        <v>1068</v>
      </c>
      <c r="F528" s="168" t="s">
        <v>2405</v>
      </c>
      <c r="G528" s="166" t="s">
        <v>292</v>
      </c>
      <c r="H528" s="166" t="s">
        <v>1064</v>
      </c>
      <c r="I528" s="181">
        <v>2011</v>
      </c>
      <c r="J528" s="184" t="s">
        <v>1146</v>
      </c>
      <c r="K528" s="181" t="s">
        <v>1147</v>
      </c>
      <c r="L528" s="181" t="s">
        <v>19</v>
      </c>
      <c r="M528" s="556" t="s">
        <v>4201</v>
      </c>
      <c r="N528" s="214" t="s">
        <v>20</v>
      </c>
      <c r="O528" s="214" t="s">
        <v>15</v>
      </c>
      <c r="P528" s="214" t="s">
        <v>20</v>
      </c>
      <c r="Q528" s="214" t="s">
        <v>20</v>
      </c>
      <c r="R528" s="214" t="s">
        <v>20</v>
      </c>
      <c r="S528" s="214" t="s">
        <v>20</v>
      </c>
      <c r="T528" s="214" t="s">
        <v>15</v>
      </c>
      <c r="U528" s="214" t="s">
        <v>15</v>
      </c>
      <c r="V528" s="214" t="s">
        <v>15</v>
      </c>
      <c r="W528" s="214" t="s">
        <v>15</v>
      </c>
      <c r="X528" s="214" t="s">
        <v>15</v>
      </c>
      <c r="Y528" s="214" t="s">
        <v>15</v>
      </c>
      <c r="Z528" s="234"/>
      <c r="AA528" s="214" t="s">
        <v>1151</v>
      </c>
      <c r="AB528" s="214" t="s">
        <v>292</v>
      </c>
      <c r="AC528" s="214" t="s">
        <v>122</v>
      </c>
      <c r="AD528" s="320" t="s">
        <v>1152</v>
      </c>
      <c r="AE528" s="319"/>
      <c r="AF528" s="162" t="str">
        <f t="shared" si="36"/>
        <v/>
      </c>
      <c r="AG528" s="162" t="str">
        <f t="shared" si="35"/>
        <v/>
      </c>
      <c r="AH528" s="164">
        <f t="shared" si="37"/>
        <v>0.98699999999999999</v>
      </c>
      <c r="AI528" s="164">
        <f t="shared" si="38"/>
        <v>1.347</v>
      </c>
      <c r="AJ528" s="368"/>
      <c r="AK528" s="368"/>
      <c r="AL528" s="368"/>
      <c r="AM528" s="368"/>
      <c r="AN528" s="368"/>
      <c r="AO528" s="368"/>
      <c r="AP528" s="368"/>
      <c r="AQ528" s="368"/>
      <c r="AR528" s="368"/>
      <c r="AS528" s="195"/>
      <c r="AT528" s="195">
        <v>27</v>
      </c>
      <c r="AU528" s="378" t="s">
        <v>1139</v>
      </c>
      <c r="AW528" s="359">
        <v>0.98699999999999999</v>
      </c>
      <c r="AX528" s="426"/>
      <c r="AY528" s="359">
        <f>0.06+0.3</f>
        <v>0.36</v>
      </c>
      <c r="AZ528" s="359">
        <v>0.12</v>
      </c>
      <c r="BA528" s="359">
        <v>0.38</v>
      </c>
      <c r="BB528" s="426"/>
      <c r="BC528" s="426"/>
      <c r="BD528" s="426"/>
      <c r="BE528" s="426"/>
      <c r="BF528" s="483">
        <v>0.98699999999999999</v>
      </c>
      <c r="BG528" s="469">
        <v>1.8</v>
      </c>
      <c r="BH528" s="341"/>
      <c r="BI528" s="446" t="s">
        <v>1150</v>
      </c>
      <c r="BJ528" s="505"/>
    </row>
    <row r="529" spans="1:62" ht="15.75" customHeight="1" thickBot="1" x14ac:dyDescent="0.25">
      <c r="A529" s="176">
        <v>528</v>
      </c>
      <c r="B529" s="175">
        <v>1</v>
      </c>
      <c r="C529" s="166" t="s">
        <v>975</v>
      </c>
      <c r="D529" s="168" t="s">
        <v>3057</v>
      </c>
      <c r="E529" s="166" t="s">
        <v>13</v>
      </c>
      <c r="F529" s="168" t="s">
        <v>2406</v>
      </c>
      <c r="G529" s="166" t="s">
        <v>292</v>
      </c>
      <c r="H529" s="166" t="s">
        <v>1064</v>
      </c>
      <c r="I529" s="181">
        <v>2011</v>
      </c>
      <c r="J529" s="184" t="s">
        <v>1146</v>
      </c>
      <c r="K529" s="181" t="s">
        <v>1147</v>
      </c>
      <c r="L529" s="181" t="s">
        <v>19</v>
      </c>
      <c r="M529" s="556" t="s">
        <v>4201</v>
      </c>
      <c r="N529" s="214" t="s">
        <v>20</v>
      </c>
      <c r="O529" s="214" t="s">
        <v>15</v>
      </c>
      <c r="P529" s="214" t="s">
        <v>20</v>
      </c>
      <c r="Q529" s="214" t="s">
        <v>20</v>
      </c>
      <c r="R529" s="214" t="s">
        <v>20</v>
      </c>
      <c r="S529" s="214" t="s">
        <v>20</v>
      </c>
      <c r="T529" s="214" t="s">
        <v>15</v>
      </c>
      <c r="U529" s="214" t="s">
        <v>15</v>
      </c>
      <c r="V529" s="214" t="s">
        <v>15</v>
      </c>
      <c r="W529" s="214" t="s">
        <v>15</v>
      </c>
      <c r="X529" s="214" t="s">
        <v>15</v>
      </c>
      <c r="Y529" s="214" t="s">
        <v>15</v>
      </c>
      <c r="Z529" s="234"/>
      <c r="AA529" s="214" t="s">
        <v>1153</v>
      </c>
      <c r="AB529" s="214" t="s">
        <v>292</v>
      </c>
      <c r="AC529" s="214" t="s">
        <v>122</v>
      </c>
      <c r="AD529" s="320" t="s">
        <v>1154</v>
      </c>
      <c r="AE529" s="319"/>
      <c r="AF529" s="162" t="str">
        <f t="shared" si="36"/>
        <v/>
      </c>
      <c r="AG529" s="162" t="str">
        <f t="shared" si="35"/>
        <v/>
      </c>
      <c r="AH529" s="164">
        <f t="shared" si="37"/>
        <v>1.43</v>
      </c>
      <c r="AI529" s="164">
        <f t="shared" si="38"/>
        <v>4.03</v>
      </c>
      <c r="AJ529" s="368"/>
      <c r="AK529" s="368"/>
      <c r="AL529" s="368"/>
      <c r="AM529" s="368"/>
      <c r="AN529" s="368"/>
      <c r="AO529" s="368"/>
      <c r="AP529" s="368"/>
      <c r="AQ529" s="368"/>
      <c r="AR529" s="368"/>
      <c r="AS529" s="195"/>
      <c r="AT529" s="195">
        <v>68</v>
      </c>
      <c r="AU529" s="378" t="s">
        <v>1139</v>
      </c>
      <c r="AW529" s="359">
        <v>1.43</v>
      </c>
      <c r="AX529" s="426">
        <v>1.56</v>
      </c>
      <c r="AY529" s="359">
        <v>1.04</v>
      </c>
      <c r="AZ529" s="359">
        <v>0.19</v>
      </c>
      <c r="BA529" s="359">
        <v>0.08</v>
      </c>
      <c r="BB529" s="426"/>
      <c r="BC529" s="426"/>
      <c r="BD529" s="426"/>
      <c r="BE529" s="426"/>
      <c r="BF529" s="483">
        <v>1.43</v>
      </c>
      <c r="BG529" s="469">
        <v>4.4000000000000004</v>
      </c>
      <c r="BH529" s="341"/>
      <c r="BI529" s="446" t="s">
        <v>1150</v>
      </c>
      <c r="BJ529" s="505"/>
    </row>
    <row r="530" spans="1:62" ht="15.75" customHeight="1" thickBot="1" x14ac:dyDescent="0.25">
      <c r="A530" s="174">
        <v>529</v>
      </c>
      <c r="B530" s="175">
        <v>1</v>
      </c>
      <c r="C530" s="166" t="s">
        <v>975</v>
      </c>
      <c r="D530" s="168" t="s">
        <v>3057</v>
      </c>
      <c r="E530" s="166" t="s">
        <v>1063</v>
      </c>
      <c r="F530" s="168" t="s">
        <v>2407</v>
      </c>
      <c r="G530" s="166" t="s">
        <v>122</v>
      </c>
      <c r="H530" s="166" t="s">
        <v>1155</v>
      </c>
      <c r="I530" s="181">
        <v>2012</v>
      </c>
      <c r="J530" s="184" t="s">
        <v>1156</v>
      </c>
      <c r="K530" s="181" t="s">
        <v>1157</v>
      </c>
      <c r="L530" s="181" t="s">
        <v>19</v>
      </c>
      <c r="M530" s="556" t="s">
        <v>4202</v>
      </c>
      <c r="N530" s="214" t="s">
        <v>20</v>
      </c>
      <c r="O530" s="214" t="s">
        <v>15</v>
      </c>
      <c r="P530" s="214" t="s">
        <v>15</v>
      </c>
      <c r="Q530" s="214" t="s">
        <v>15</v>
      </c>
      <c r="R530" s="214" t="s">
        <v>15</v>
      </c>
      <c r="S530" s="214" t="s">
        <v>15</v>
      </c>
      <c r="T530" s="214" t="s">
        <v>15</v>
      </c>
      <c r="U530" s="214" t="s">
        <v>15</v>
      </c>
      <c r="V530" s="214" t="s">
        <v>15</v>
      </c>
      <c r="W530" s="214" t="s">
        <v>15</v>
      </c>
      <c r="X530" s="214" t="s">
        <v>15</v>
      </c>
      <c r="Y530" s="214" t="s">
        <v>15</v>
      </c>
      <c r="Z530" s="234"/>
      <c r="AA530" s="234"/>
      <c r="AB530" s="214" t="s">
        <v>292</v>
      </c>
      <c r="AC530" s="214" t="s">
        <v>122</v>
      </c>
      <c r="AD530" s="323" t="s">
        <v>1158</v>
      </c>
      <c r="AE530" s="320" t="s">
        <v>2440</v>
      </c>
      <c r="AF530" s="162">
        <f t="shared" si="36"/>
        <v>397.72727272727275</v>
      </c>
      <c r="AG530" s="162" t="str">
        <f t="shared" si="35"/>
        <v/>
      </c>
      <c r="AH530" s="164">
        <f t="shared" si="37"/>
        <v>25.197727272727271</v>
      </c>
      <c r="AI530" s="164" t="str">
        <f t="shared" si="38"/>
        <v/>
      </c>
      <c r="AJ530" s="368"/>
      <c r="AK530" s="368"/>
      <c r="AL530" s="368"/>
      <c r="AM530" s="368"/>
      <c r="AN530" s="368"/>
      <c r="AO530" s="368"/>
      <c r="AP530" s="368"/>
      <c r="AQ530" s="368"/>
      <c r="AR530" s="368"/>
      <c r="AS530" s="194">
        <f>175/0.44</f>
        <v>397.72727272727275</v>
      </c>
      <c r="AT530" s="195"/>
      <c r="AU530" s="377"/>
      <c r="AV530" s="382"/>
      <c r="AW530" s="359"/>
      <c r="AX530" s="426"/>
      <c r="AY530" s="359"/>
      <c r="AZ530" s="359"/>
      <c r="BA530" s="359"/>
      <c r="BB530" s="426"/>
      <c r="BC530" s="426"/>
      <c r="BD530" s="426"/>
      <c r="BE530" s="426"/>
      <c r="BF530" s="467">
        <f>11087/1000/0.44</f>
        <v>25.197727272727271</v>
      </c>
      <c r="BG530" s="469"/>
      <c r="BH530" s="341"/>
      <c r="BI530" s="446" t="s">
        <v>1150</v>
      </c>
      <c r="BJ530" s="505"/>
    </row>
    <row r="531" spans="1:62" ht="15.75" customHeight="1" thickBot="1" x14ac:dyDescent="0.25">
      <c r="A531" s="176">
        <v>530</v>
      </c>
      <c r="B531" s="175">
        <v>1</v>
      </c>
      <c r="C531" s="166" t="s">
        <v>975</v>
      </c>
      <c r="D531" s="168" t="s">
        <v>3057</v>
      </c>
      <c r="E531" s="166" t="s">
        <v>1063</v>
      </c>
      <c r="F531" s="168" t="s">
        <v>2408</v>
      </c>
      <c r="G531" s="166" t="s">
        <v>122</v>
      </c>
      <c r="H531" s="166" t="s">
        <v>1155</v>
      </c>
      <c r="I531" s="181">
        <v>2012</v>
      </c>
      <c r="J531" s="184" t="s">
        <v>1156</v>
      </c>
      <c r="K531" s="181" t="s">
        <v>1157</v>
      </c>
      <c r="L531" s="181" t="s">
        <v>19</v>
      </c>
      <c r="M531" s="556" t="s">
        <v>4202</v>
      </c>
      <c r="N531" s="214" t="s">
        <v>20</v>
      </c>
      <c r="O531" s="214" t="s">
        <v>15</v>
      </c>
      <c r="P531" s="214" t="s">
        <v>15</v>
      </c>
      <c r="Q531" s="214" t="s">
        <v>15</v>
      </c>
      <c r="R531" s="214" t="s">
        <v>15</v>
      </c>
      <c r="S531" s="214" t="s">
        <v>15</v>
      </c>
      <c r="T531" s="214" t="s">
        <v>15</v>
      </c>
      <c r="U531" s="214" t="s">
        <v>15</v>
      </c>
      <c r="V531" s="214" t="s">
        <v>15</v>
      </c>
      <c r="W531" s="214" t="s">
        <v>15</v>
      </c>
      <c r="X531" s="214" t="s">
        <v>15</v>
      </c>
      <c r="Y531" s="214" t="s">
        <v>15</v>
      </c>
      <c r="Z531" s="234"/>
      <c r="AA531" s="234"/>
      <c r="AB531" s="214" t="s">
        <v>292</v>
      </c>
      <c r="AC531" s="214" t="s">
        <v>122</v>
      </c>
      <c r="AD531" s="323" t="s">
        <v>1158</v>
      </c>
      <c r="AE531" s="326" t="s">
        <v>2440</v>
      </c>
      <c r="AF531" s="162">
        <f t="shared" si="36"/>
        <v>636.36363636363637</v>
      </c>
      <c r="AG531" s="162" t="str">
        <f t="shared" ref="AG531:AG594" si="39">IF(AND(SUM(AJ531:AL531)&lt;&gt;0,SUM(AJ531:AL531)&lt;&gt;AJ531),SUM(AJ531:AL531),"")</f>
        <v/>
      </c>
      <c r="AH531" s="164">
        <f t="shared" si="37"/>
        <v>39.656818181818188</v>
      </c>
      <c r="AI531" s="164" t="str">
        <f t="shared" si="38"/>
        <v/>
      </c>
      <c r="AJ531" s="368"/>
      <c r="AK531" s="368"/>
      <c r="AL531" s="368"/>
      <c r="AM531" s="368"/>
      <c r="AN531" s="368"/>
      <c r="AO531" s="368"/>
      <c r="AP531" s="368"/>
      <c r="AQ531" s="368"/>
      <c r="AR531" s="368"/>
      <c r="AS531" s="194">
        <f>280/0.44</f>
        <v>636.36363636363637</v>
      </c>
      <c r="AT531" s="195"/>
      <c r="AU531" s="377"/>
      <c r="AV531" s="382"/>
      <c r="AW531" s="359"/>
      <c r="AX531" s="426"/>
      <c r="AY531" s="359"/>
      <c r="AZ531" s="359"/>
      <c r="BA531" s="359"/>
      <c r="BB531" s="426"/>
      <c r="BC531" s="426"/>
      <c r="BD531" s="426"/>
      <c r="BE531" s="426"/>
      <c r="BF531" s="467">
        <f>17449/1000/0.44</f>
        <v>39.656818181818188</v>
      </c>
      <c r="BG531" s="469"/>
      <c r="BH531" s="341"/>
      <c r="BI531" s="446" t="s">
        <v>1150</v>
      </c>
      <c r="BJ531" s="505"/>
    </row>
    <row r="532" spans="1:62" ht="15.75" customHeight="1" thickBot="1" x14ac:dyDescent="0.25">
      <c r="A532" s="174">
        <v>531</v>
      </c>
      <c r="B532" s="175">
        <v>1</v>
      </c>
      <c r="C532" s="166" t="s">
        <v>760</v>
      </c>
      <c r="D532" s="166" t="s">
        <v>2140</v>
      </c>
      <c r="E532" s="166" t="s">
        <v>13</v>
      </c>
      <c r="F532" s="166" t="s">
        <v>1160</v>
      </c>
      <c r="G532" s="166" t="s">
        <v>15</v>
      </c>
      <c r="H532" s="166" t="s">
        <v>1161</v>
      </c>
      <c r="I532" s="181">
        <v>2014</v>
      </c>
      <c r="J532" s="181" t="s">
        <v>1162</v>
      </c>
      <c r="K532" s="181" t="s">
        <v>1163</v>
      </c>
      <c r="L532" s="181" t="s">
        <v>19</v>
      </c>
      <c r="M532" s="556" t="s">
        <v>4203</v>
      </c>
      <c r="N532" s="214" t="s">
        <v>20</v>
      </c>
      <c r="O532" s="214" t="s">
        <v>15</v>
      </c>
      <c r="P532" s="214" t="s">
        <v>15</v>
      </c>
      <c r="Q532" s="214" t="s">
        <v>15</v>
      </c>
      <c r="R532" s="214" t="s">
        <v>15</v>
      </c>
      <c r="S532" s="214" t="s">
        <v>15</v>
      </c>
      <c r="T532" s="214" t="s">
        <v>15</v>
      </c>
      <c r="U532" s="214" t="s">
        <v>15</v>
      </c>
      <c r="V532" s="214" t="s">
        <v>15</v>
      </c>
      <c r="W532" s="214" t="s">
        <v>15</v>
      </c>
      <c r="X532" s="214" t="s">
        <v>15</v>
      </c>
      <c r="Y532" s="214" t="s">
        <v>15</v>
      </c>
      <c r="Z532" s="234"/>
      <c r="AA532" s="214" t="s">
        <v>1164</v>
      </c>
      <c r="AB532" s="214" t="s">
        <v>15</v>
      </c>
      <c r="AC532" s="214" t="s">
        <v>15</v>
      </c>
      <c r="AD532" s="323" t="s">
        <v>1165</v>
      </c>
      <c r="AE532" s="320" t="s">
        <v>485</v>
      </c>
      <c r="AF532" s="162" t="str">
        <f t="shared" si="36"/>
        <v/>
      </c>
      <c r="AG532" s="162" t="str">
        <f t="shared" si="39"/>
        <v/>
      </c>
      <c r="AH532" s="164">
        <f t="shared" si="37"/>
        <v>0.32700000000000001</v>
      </c>
      <c r="AI532" s="164" t="str">
        <f t="shared" si="38"/>
        <v/>
      </c>
      <c r="AJ532" s="368"/>
      <c r="AK532" s="368"/>
      <c r="AL532" s="368"/>
      <c r="AM532" s="368"/>
      <c r="AN532" s="368"/>
      <c r="AO532" s="368"/>
      <c r="AP532" s="368"/>
      <c r="AQ532" s="368"/>
      <c r="AR532" s="368"/>
      <c r="AS532" s="195"/>
      <c r="AT532" s="195"/>
      <c r="AU532" s="377"/>
      <c r="AV532" s="382"/>
      <c r="AW532" s="359"/>
      <c r="AX532" s="426"/>
      <c r="AY532" s="359"/>
      <c r="AZ532" s="359"/>
      <c r="BA532" s="359"/>
      <c r="BB532" s="426"/>
      <c r="BC532" s="426"/>
      <c r="BD532" s="426"/>
      <c r="BE532" s="426"/>
      <c r="BF532" s="468">
        <v>0.32700000000000001</v>
      </c>
      <c r="BG532" s="469"/>
      <c r="BH532" s="341"/>
      <c r="BI532" s="447"/>
      <c r="BJ532" s="505"/>
    </row>
    <row r="533" spans="1:62" ht="15.75" customHeight="1" thickBot="1" x14ac:dyDescent="0.25">
      <c r="A533" s="176">
        <v>532</v>
      </c>
      <c r="B533" s="175">
        <v>1</v>
      </c>
      <c r="C533" s="166" t="s">
        <v>760</v>
      </c>
      <c r="D533" s="166" t="s">
        <v>2140</v>
      </c>
      <c r="E533" s="166" t="s">
        <v>13</v>
      </c>
      <c r="F533" s="166" t="s">
        <v>1166</v>
      </c>
      <c r="G533" s="166" t="s">
        <v>15</v>
      </c>
      <c r="H533" s="166" t="s">
        <v>1161</v>
      </c>
      <c r="I533" s="181">
        <v>2014</v>
      </c>
      <c r="J533" s="181" t="s">
        <v>1162</v>
      </c>
      <c r="K533" s="181" t="s">
        <v>1163</v>
      </c>
      <c r="L533" s="181" t="s">
        <v>19</v>
      </c>
      <c r="M533" s="556" t="s">
        <v>4203</v>
      </c>
      <c r="N533" s="214" t="s">
        <v>20</v>
      </c>
      <c r="O533" s="214" t="s">
        <v>15</v>
      </c>
      <c r="P533" s="214" t="s">
        <v>15</v>
      </c>
      <c r="Q533" s="214" t="s">
        <v>15</v>
      </c>
      <c r="R533" s="214" t="s">
        <v>15</v>
      </c>
      <c r="S533" s="214" t="s">
        <v>15</v>
      </c>
      <c r="T533" s="214" t="s">
        <v>15</v>
      </c>
      <c r="U533" s="214" t="s">
        <v>15</v>
      </c>
      <c r="V533" s="214" t="s">
        <v>15</v>
      </c>
      <c r="W533" s="214" t="s">
        <v>15</v>
      </c>
      <c r="X533" s="214" t="s">
        <v>15</v>
      </c>
      <c r="Y533" s="214" t="s">
        <v>15</v>
      </c>
      <c r="Z533" s="234"/>
      <c r="AA533" s="214" t="s">
        <v>1164</v>
      </c>
      <c r="AB533" s="214" t="s">
        <v>15</v>
      </c>
      <c r="AC533" s="214" t="s">
        <v>15</v>
      </c>
      <c r="AD533" s="323" t="s">
        <v>1165</v>
      </c>
      <c r="AE533" s="320" t="s">
        <v>485</v>
      </c>
      <c r="AF533" s="162" t="str">
        <f t="shared" si="36"/>
        <v/>
      </c>
      <c r="AG533" s="162" t="str">
        <f t="shared" si="39"/>
        <v/>
      </c>
      <c r="AH533" s="164">
        <f t="shared" si="37"/>
        <v>0.30099999999999999</v>
      </c>
      <c r="AI533" s="164" t="str">
        <f t="shared" si="38"/>
        <v/>
      </c>
      <c r="AJ533" s="368"/>
      <c r="AK533" s="368"/>
      <c r="AL533" s="368"/>
      <c r="AM533" s="368"/>
      <c r="AN533" s="368"/>
      <c r="AO533" s="368"/>
      <c r="AP533" s="368"/>
      <c r="AQ533" s="368"/>
      <c r="AR533" s="368"/>
      <c r="AS533" s="195"/>
      <c r="AT533" s="195"/>
      <c r="AU533" s="377"/>
      <c r="AV533" s="382"/>
      <c r="AW533" s="359"/>
      <c r="AX533" s="426"/>
      <c r="AY533" s="359"/>
      <c r="AZ533" s="359"/>
      <c r="BA533" s="359"/>
      <c r="BB533" s="426"/>
      <c r="BC533" s="426"/>
      <c r="BD533" s="426"/>
      <c r="BE533" s="426"/>
      <c r="BF533" s="468">
        <v>0.30099999999999999</v>
      </c>
      <c r="BG533" s="469"/>
      <c r="BH533" s="341"/>
      <c r="BI533" s="447"/>
      <c r="BJ533" s="505"/>
    </row>
    <row r="534" spans="1:62" ht="15.75" customHeight="1" thickBot="1" x14ac:dyDescent="0.25">
      <c r="A534" s="174">
        <v>533</v>
      </c>
      <c r="B534" s="175">
        <v>1</v>
      </c>
      <c r="C534" s="166" t="s">
        <v>760</v>
      </c>
      <c r="D534" s="166" t="s">
        <v>2140</v>
      </c>
      <c r="E534" s="166" t="s">
        <v>13</v>
      </c>
      <c r="F534" s="166" t="s">
        <v>1167</v>
      </c>
      <c r="G534" s="166" t="s">
        <v>15</v>
      </c>
      <c r="H534" s="166" t="s">
        <v>1161</v>
      </c>
      <c r="I534" s="181">
        <v>2014</v>
      </c>
      <c r="J534" s="181" t="s">
        <v>1162</v>
      </c>
      <c r="K534" s="181" t="s">
        <v>1163</v>
      </c>
      <c r="L534" s="181" t="s">
        <v>19</v>
      </c>
      <c r="M534" s="556" t="s">
        <v>4203</v>
      </c>
      <c r="N534" s="214" t="s">
        <v>20</v>
      </c>
      <c r="O534" s="214" t="s">
        <v>15</v>
      </c>
      <c r="P534" s="214" t="s">
        <v>15</v>
      </c>
      <c r="Q534" s="214" t="s">
        <v>15</v>
      </c>
      <c r="R534" s="214" t="s">
        <v>15</v>
      </c>
      <c r="S534" s="214" t="s">
        <v>15</v>
      </c>
      <c r="T534" s="214" t="s">
        <v>15</v>
      </c>
      <c r="U534" s="214" t="s">
        <v>15</v>
      </c>
      <c r="V534" s="214" t="s">
        <v>15</v>
      </c>
      <c r="W534" s="214" t="s">
        <v>15</v>
      </c>
      <c r="X534" s="214" t="s">
        <v>15</v>
      </c>
      <c r="Y534" s="214" t="s">
        <v>15</v>
      </c>
      <c r="Z534" s="234"/>
      <c r="AA534" s="214" t="s">
        <v>1164</v>
      </c>
      <c r="AB534" s="214" t="s">
        <v>15</v>
      </c>
      <c r="AC534" s="214" t="s">
        <v>15</v>
      </c>
      <c r="AD534" s="323" t="s">
        <v>1165</v>
      </c>
      <c r="AE534" s="320" t="s">
        <v>485</v>
      </c>
      <c r="AF534" s="162" t="str">
        <f t="shared" si="36"/>
        <v/>
      </c>
      <c r="AG534" s="162" t="str">
        <f t="shared" si="39"/>
        <v/>
      </c>
      <c r="AH534" s="164">
        <f t="shared" si="37"/>
        <v>0.30199999999999999</v>
      </c>
      <c r="AI534" s="164" t="str">
        <f t="shared" si="38"/>
        <v/>
      </c>
      <c r="AJ534" s="368"/>
      <c r="AK534" s="368"/>
      <c r="AL534" s="368"/>
      <c r="AM534" s="368"/>
      <c r="AN534" s="368"/>
      <c r="AO534" s="368"/>
      <c r="AP534" s="368"/>
      <c r="AQ534" s="368"/>
      <c r="AR534" s="368"/>
      <c r="AS534" s="195"/>
      <c r="AT534" s="195"/>
      <c r="AU534" s="377"/>
      <c r="AV534" s="382"/>
      <c r="AW534" s="359"/>
      <c r="AX534" s="426"/>
      <c r="AY534" s="359"/>
      <c r="AZ534" s="359"/>
      <c r="BA534" s="359"/>
      <c r="BB534" s="426"/>
      <c r="BC534" s="426"/>
      <c r="BD534" s="426"/>
      <c r="BE534" s="426"/>
      <c r="BF534" s="468">
        <v>0.30199999999999999</v>
      </c>
      <c r="BG534" s="469"/>
      <c r="BH534" s="341"/>
      <c r="BI534" s="447"/>
      <c r="BJ534" s="505"/>
    </row>
    <row r="535" spans="1:62" ht="15.75" customHeight="1" thickBot="1" x14ac:dyDescent="0.25">
      <c r="A535" s="176">
        <v>534</v>
      </c>
      <c r="B535" s="175">
        <v>1</v>
      </c>
      <c r="C535" s="166" t="s">
        <v>760</v>
      </c>
      <c r="D535" s="166" t="s">
        <v>1867</v>
      </c>
      <c r="E535" s="166" t="s">
        <v>13</v>
      </c>
      <c r="F535" s="166" t="s">
        <v>1168</v>
      </c>
      <c r="G535" s="166" t="s">
        <v>20</v>
      </c>
      <c r="H535" s="166" t="s">
        <v>375</v>
      </c>
      <c r="I535" s="181">
        <v>2015</v>
      </c>
      <c r="J535" s="181" t="s">
        <v>1169</v>
      </c>
      <c r="K535" s="181" t="s">
        <v>1170</v>
      </c>
      <c r="L535" s="181" t="s">
        <v>19</v>
      </c>
      <c r="M535" s="556" t="s">
        <v>4204</v>
      </c>
      <c r="N535" s="214" t="s">
        <v>20</v>
      </c>
      <c r="O535" s="214" t="s">
        <v>15</v>
      </c>
      <c r="P535" s="214" t="s">
        <v>15</v>
      </c>
      <c r="Q535" s="214" t="s">
        <v>15</v>
      </c>
      <c r="R535" s="214" t="s">
        <v>15</v>
      </c>
      <c r="S535" s="214" t="s">
        <v>15</v>
      </c>
      <c r="T535" s="214" t="s">
        <v>15</v>
      </c>
      <c r="U535" s="214" t="s">
        <v>15</v>
      </c>
      <c r="V535" s="214" t="s">
        <v>15</v>
      </c>
      <c r="W535" s="214" t="s">
        <v>15</v>
      </c>
      <c r="X535" s="214" t="s">
        <v>15</v>
      </c>
      <c r="Y535" s="214" t="s">
        <v>15</v>
      </c>
      <c r="Z535" s="234"/>
      <c r="AA535" s="214" t="s">
        <v>1171</v>
      </c>
      <c r="AB535" s="214" t="s">
        <v>15</v>
      </c>
      <c r="AC535" s="214" t="s">
        <v>15</v>
      </c>
      <c r="AD535" s="320" t="s">
        <v>837</v>
      </c>
      <c r="AE535" s="320"/>
      <c r="AF535" s="162" t="str">
        <f t="shared" si="36"/>
        <v/>
      </c>
      <c r="AG535" s="162" t="str">
        <f t="shared" si="39"/>
        <v/>
      </c>
      <c r="AH535" s="164">
        <f t="shared" si="37"/>
        <v>4.1900000000000004</v>
      </c>
      <c r="AI535" s="164" t="str">
        <f t="shared" si="38"/>
        <v/>
      </c>
      <c r="AJ535" s="368"/>
      <c r="AK535" s="368"/>
      <c r="AL535" s="368"/>
      <c r="AM535" s="368"/>
      <c r="AN535" s="368"/>
      <c r="AO535" s="368"/>
      <c r="AP535" s="368"/>
      <c r="AQ535" s="368"/>
      <c r="AR535" s="368"/>
      <c r="AS535" s="195"/>
      <c r="AT535" s="195"/>
      <c r="AU535" s="377"/>
      <c r="AV535" s="382"/>
      <c r="AW535" s="359"/>
      <c r="AX535" s="426"/>
      <c r="AY535" s="359"/>
      <c r="AZ535" s="359"/>
      <c r="BA535" s="359"/>
      <c r="BB535" s="426"/>
      <c r="BC535" s="426"/>
      <c r="BD535" s="426"/>
      <c r="BE535" s="426"/>
      <c r="BF535" s="468">
        <v>4.1900000000000004</v>
      </c>
      <c r="BG535" s="469"/>
      <c r="BH535" s="341"/>
      <c r="BI535" s="446" t="s">
        <v>1172</v>
      </c>
      <c r="BJ535" s="505"/>
    </row>
    <row r="536" spans="1:62" ht="15.75" customHeight="1" thickBot="1" x14ac:dyDescent="0.25">
      <c r="A536" s="174">
        <v>535</v>
      </c>
      <c r="B536" s="175">
        <v>1</v>
      </c>
      <c r="C536" s="166" t="s">
        <v>760</v>
      </c>
      <c r="D536" s="166" t="s">
        <v>1867</v>
      </c>
      <c r="E536" s="166" t="s">
        <v>13</v>
      </c>
      <c r="F536" s="166" t="s">
        <v>1173</v>
      </c>
      <c r="G536" s="166" t="s">
        <v>20</v>
      </c>
      <c r="H536" s="166" t="s">
        <v>375</v>
      </c>
      <c r="I536" s="181">
        <v>2015</v>
      </c>
      <c r="J536" s="181" t="s">
        <v>1169</v>
      </c>
      <c r="K536" s="181" t="s">
        <v>1170</v>
      </c>
      <c r="L536" s="181" t="s">
        <v>19</v>
      </c>
      <c r="M536" s="556" t="s">
        <v>4204</v>
      </c>
      <c r="N536" s="214" t="s">
        <v>20</v>
      </c>
      <c r="O536" s="214" t="s">
        <v>15</v>
      </c>
      <c r="P536" s="214" t="s">
        <v>15</v>
      </c>
      <c r="Q536" s="214" t="s">
        <v>15</v>
      </c>
      <c r="R536" s="214" t="s">
        <v>15</v>
      </c>
      <c r="S536" s="214" t="s">
        <v>15</v>
      </c>
      <c r="T536" s="214" t="s">
        <v>15</v>
      </c>
      <c r="U536" s="214" t="s">
        <v>15</v>
      </c>
      <c r="V536" s="214" t="s">
        <v>15</v>
      </c>
      <c r="W536" s="214" t="s">
        <v>15</v>
      </c>
      <c r="X536" s="214" t="s">
        <v>15</v>
      </c>
      <c r="Y536" s="214" t="s">
        <v>15</v>
      </c>
      <c r="Z536" s="234"/>
      <c r="AA536" s="214" t="s">
        <v>1171</v>
      </c>
      <c r="AB536" s="214" t="s">
        <v>15</v>
      </c>
      <c r="AC536" s="214" t="s">
        <v>15</v>
      </c>
      <c r="AD536" s="320" t="s">
        <v>837</v>
      </c>
      <c r="AE536" s="320"/>
      <c r="AF536" s="162" t="str">
        <f t="shared" si="36"/>
        <v/>
      </c>
      <c r="AG536" s="162" t="str">
        <f t="shared" si="39"/>
        <v/>
      </c>
      <c r="AH536" s="164">
        <f t="shared" si="37"/>
        <v>8.94</v>
      </c>
      <c r="AI536" s="164" t="str">
        <f t="shared" si="38"/>
        <v/>
      </c>
      <c r="AJ536" s="368"/>
      <c r="AK536" s="368"/>
      <c r="AL536" s="368"/>
      <c r="AM536" s="368"/>
      <c r="AN536" s="368"/>
      <c r="AO536" s="368"/>
      <c r="AP536" s="368"/>
      <c r="AQ536" s="368"/>
      <c r="AR536" s="368"/>
      <c r="AS536" s="195"/>
      <c r="AT536" s="195"/>
      <c r="AU536" s="377"/>
      <c r="AV536" s="382"/>
      <c r="AW536" s="359"/>
      <c r="AX536" s="426"/>
      <c r="AY536" s="359"/>
      <c r="AZ536" s="359"/>
      <c r="BA536" s="359"/>
      <c r="BB536" s="426"/>
      <c r="BC536" s="426"/>
      <c r="BD536" s="426"/>
      <c r="BE536" s="426"/>
      <c r="BF536" s="468">
        <v>8.94</v>
      </c>
      <c r="BG536" s="469"/>
      <c r="BH536" s="341"/>
      <c r="BI536" s="446" t="s">
        <v>1172</v>
      </c>
      <c r="BJ536" s="505"/>
    </row>
    <row r="537" spans="1:62" ht="15.75" customHeight="1" thickBot="1" x14ac:dyDescent="0.25">
      <c r="A537" s="176">
        <v>536</v>
      </c>
      <c r="B537" s="175">
        <v>1</v>
      </c>
      <c r="C537" s="166" t="s">
        <v>236</v>
      </c>
      <c r="D537" s="166" t="s">
        <v>2452</v>
      </c>
      <c r="E537" s="166" t="s">
        <v>13</v>
      </c>
      <c r="F537" s="166" t="s">
        <v>1174</v>
      </c>
      <c r="G537" s="166" t="s">
        <v>20</v>
      </c>
      <c r="H537" s="166" t="s">
        <v>375</v>
      </c>
      <c r="I537" s="181">
        <v>2015</v>
      </c>
      <c r="J537" s="181" t="s">
        <v>1169</v>
      </c>
      <c r="K537" s="181" t="s">
        <v>1170</v>
      </c>
      <c r="L537" s="181" t="s">
        <v>19</v>
      </c>
      <c r="M537" s="556" t="s">
        <v>4204</v>
      </c>
      <c r="N537" s="214" t="s">
        <v>20</v>
      </c>
      <c r="O537" s="214" t="s">
        <v>15</v>
      </c>
      <c r="P537" s="214" t="s">
        <v>15</v>
      </c>
      <c r="Q537" s="214" t="s">
        <v>15</v>
      </c>
      <c r="R537" s="214" t="s">
        <v>15</v>
      </c>
      <c r="S537" s="214" t="s">
        <v>15</v>
      </c>
      <c r="T537" s="214" t="s">
        <v>15</v>
      </c>
      <c r="U537" s="214" t="s">
        <v>15</v>
      </c>
      <c r="V537" s="214" t="s">
        <v>15</v>
      </c>
      <c r="W537" s="214" t="s">
        <v>15</v>
      </c>
      <c r="X537" s="214" t="s">
        <v>15</v>
      </c>
      <c r="Y537" s="214" t="s">
        <v>15</v>
      </c>
      <c r="Z537" s="234"/>
      <c r="AA537" s="214" t="s">
        <v>1171</v>
      </c>
      <c r="AB537" s="214" t="s">
        <v>15</v>
      </c>
      <c r="AC537" s="214" t="s">
        <v>15</v>
      </c>
      <c r="AD537" s="320" t="s">
        <v>837</v>
      </c>
      <c r="AE537" s="320"/>
      <c r="AF537" s="162" t="str">
        <f t="shared" si="36"/>
        <v/>
      </c>
      <c r="AG537" s="162" t="str">
        <f t="shared" si="39"/>
        <v/>
      </c>
      <c r="AH537" s="164">
        <f t="shared" si="37"/>
        <v>2.09</v>
      </c>
      <c r="AI537" s="164" t="str">
        <f t="shared" si="38"/>
        <v/>
      </c>
      <c r="AJ537" s="368"/>
      <c r="AK537" s="368"/>
      <c r="AL537" s="368"/>
      <c r="AM537" s="368"/>
      <c r="AN537" s="368"/>
      <c r="AO537" s="368"/>
      <c r="AP537" s="368"/>
      <c r="AQ537" s="368"/>
      <c r="AR537" s="368"/>
      <c r="AS537" s="195"/>
      <c r="AT537" s="195"/>
      <c r="AU537" s="377"/>
      <c r="AV537" s="382"/>
      <c r="AW537" s="359"/>
      <c r="AX537" s="426"/>
      <c r="AY537" s="359"/>
      <c r="AZ537" s="359"/>
      <c r="BA537" s="359"/>
      <c r="BB537" s="426"/>
      <c r="BC537" s="426"/>
      <c r="BD537" s="426"/>
      <c r="BE537" s="426"/>
      <c r="BF537" s="468">
        <v>2.09</v>
      </c>
      <c r="BG537" s="469"/>
      <c r="BH537" s="341"/>
      <c r="BI537" s="446" t="s">
        <v>1172</v>
      </c>
      <c r="BJ537" s="505"/>
    </row>
    <row r="538" spans="1:62" ht="15.75" customHeight="1" thickBot="1" x14ac:dyDescent="0.25">
      <c r="A538" s="174">
        <v>537</v>
      </c>
      <c r="B538" s="175">
        <v>1</v>
      </c>
      <c r="C538" s="166" t="s">
        <v>236</v>
      </c>
      <c r="D538" s="166" t="s">
        <v>2452</v>
      </c>
      <c r="E538" s="166" t="s">
        <v>13</v>
      </c>
      <c r="F538" s="166" t="s">
        <v>1175</v>
      </c>
      <c r="G538" s="166" t="s">
        <v>20</v>
      </c>
      <c r="H538" s="166" t="s">
        <v>375</v>
      </c>
      <c r="I538" s="181">
        <v>2015</v>
      </c>
      <c r="J538" s="181" t="s">
        <v>1169</v>
      </c>
      <c r="K538" s="181" t="s">
        <v>1170</v>
      </c>
      <c r="L538" s="181" t="s">
        <v>19</v>
      </c>
      <c r="M538" s="556" t="s">
        <v>4204</v>
      </c>
      <c r="N538" s="214" t="s">
        <v>20</v>
      </c>
      <c r="O538" s="214" t="s">
        <v>15</v>
      </c>
      <c r="P538" s="214" t="s">
        <v>15</v>
      </c>
      <c r="Q538" s="214" t="s">
        <v>15</v>
      </c>
      <c r="R538" s="214" t="s">
        <v>15</v>
      </c>
      <c r="S538" s="214" t="s">
        <v>15</v>
      </c>
      <c r="T538" s="214" t="s">
        <v>15</v>
      </c>
      <c r="U538" s="214" t="s">
        <v>15</v>
      </c>
      <c r="V538" s="214" t="s">
        <v>15</v>
      </c>
      <c r="W538" s="214" t="s">
        <v>15</v>
      </c>
      <c r="X538" s="214" t="s">
        <v>15</v>
      </c>
      <c r="Y538" s="214" t="s">
        <v>15</v>
      </c>
      <c r="Z538" s="234"/>
      <c r="AA538" s="214" t="s">
        <v>1171</v>
      </c>
      <c r="AB538" s="214" t="s">
        <v>15</v>
      </c>
      <c r="AC538" s="214" t="s">
        <v>15</v>
      </c>
      <c r="AD538" s="320" t="s">
        <v>837</v>
      </c>
      <c r="AE538" s="320"/>
      <c r="AF538" s="162" t="str">
        <f t="shared" si="36"/>
        <v/>
      </c>
      <c r="AG538" s="162" t="str">
        <f t="shared" si="39"/>
        <v/>
      </c>
      <c r="AH538" s="164">
        <f t="shared" si="37"/>
        <v>4.47</v>
      </c>
      <c r="AI538" s="164" t="str">
        <f t="shared" si="38"/>
        <v/>
      </c>
      <c r="AJ538" s="368"/>
      <c r="AK538" s="368"/>
      <c r="AL538" s="368"/>
      <c r="AM538" s="368"/>
      <c r="AN538" s="368"/>
      <c r="AO538" s="368"/>
      <c r="AP538" s="368"/>
      <c r="AQ538" s="368"/>
      <c r="AR538" s="368"/>
      <c r="AS538" s="195"/>
      <c r="AT538" s="195"/>
      <c r="AU538" s="377"/>
      <c r="AV538" s="382"/>
      <c r="AW538" s="359"/>
      <c r="AX538" s="426"/>
      <c r="AY538" s="359"/>
      <c r="AZ538" s="359"/>
      <c r="BA538" s="359"/>
      <c r="BB538" s="426"/>
      <c r="BC538" s="426"/>
      <c r="BD538" s="426"/>
      <c r="BE538" s="426"/>
      <c r="BF538" s="468">
        <v>4.47</v>
      </c>
      <c r="BG538" s="469"/>
      <c r="BH538" s="341"/>
      <c r="BI538" s="446" t="s">
        <v>1172</v>
      </c>
      <c r="BJ538" s="505"/>
    </row>
    <row r="539" spans="1:62" ht="15.75" customHeight="1" thickBot="1" x14ac:dyDescent="0.25">
      <c r="A539" s="176">
        <v>538</v>
      </c>
      <c r="B539" s="175">
        <v>1</v>
      </c>
      <c r="C539" s="166" t="s">
        <v>760</v>
      </c>
      <c r="D539" s="166" t="s">
        <v>1728</v>
      </c>
      <c r="E539" s="166" t="s">
        <v>13</v>
      </c>
      <c r="F539" s="166" t="s">
        <v>817</v>
      </c>
      <c r="G539" s="166" t="s">
        <v>15</v>
      </c>
      <c r="H539" s="166" t="s">
        <v>1176</v>
      </c>
      <c r="I539" s="181">
        <v>2015</v>
      </c>
      <c r="J539" s="181" t="s">
        <v>1177</v>
      </c>
      <c r="K539" s="181" t="s">
        <v>1178</v>
      </c>
      <c r="L539" s="181" t="s">
        <v>19</v>
      </c>
      <c r="M539" s="556" t="s">
        <v>4205</v>
      </c>
      <c r="N539" s="214" t="s">
        <v>20</v>
      </c>
      <c r="O539" s="214" t="s">
        <v>15</v>
      </c>
      <c r="P539" s="214" t="s">
        <v>20</v>
      </c>
      <c r="Q539" s="214" t="s">
        <v>20</v>
      </c>
      <c r="R539" s="214" t="s">
        <v>15</v>
      </c>
      <c r="S539" s="214" t="s">
        <v>15</v>
      </c>
      <c r="T539" s="214" t="s">
        <v>15</v>
      </c>
      <c r="U539" s="214" t="s">
        <v>15</v>
      </c>
      <c r="V539" s="214" t="s">
        <v>15</v>
      </c>
      <c r="W539" s="214" t="s">
        <v>15</v>
      </c>
      <c r="X539" s="214" t="s">
        <v>15</v>
      </c>
      <c r="Y539" s="214" t="s">
        <v>15</v>
      </c>
      <c r="Z539" s="214" t="s">
        <v>1179</v>
      </c>
      <c r="AA539" s="214" t="s">
        <v>1180</v>
      </c>
      <c r="AB539" s="214" t="s">
        <v>15</v>
      </c>
      <c r="AC539" s="214" t="s">
        <v>20</v>
      </c>
      <c r="AD539" s="320" t="s">
        <v>1181</v>
      </c>
      <c r="AE539" s="319"/>
      <c r="AF539" s="162">
        <f t="shared" si="36"/>
        <v>24</v>
      </c>
      <c r="AG539" s="162">
        <f t="shared" si="39"/>
        <v>29</v>
      </c>
      <c r="AH539" s="164">
        <f t="shared" si="37"/>
        <v>0.79625000000000001</v>
      </c>
      <c r="AI539" s="164">
        <f t="shared" si="38"/>
        <v>0.91</v>
      </c>
      <c r="AJ539" s="368">
        <f>29.5-((1-((35-29.5)/35))*6)</f>
        <v>24.442857142857143</v>
      </c>
      <c r="AK539" s="368"/>
      <c r="AL539" s="368">
        <f>5.5-((1-((35-5.5)/35))*6)</f>
        <v>4.5571428571428569</v>
      </c>
      <c r="AM539" s="368"/>
      <c r="AN539" s="368"/>
      <c r="AO539" s="368"/>
      <c r="AP539" s="368"/>
      <c r="AQ539" s="368"/>
      <c r="AR539" s="368"/>
      <c r="AS539" s="195">
        <v>24</v>
      </c>
      <c r="AT539" s="195">
        <v>29</v>
      </c>
      <c r="AU539" s="377"/>
      <c r="AW539" s="426">
        <f>1.4-((1-((1.6-1.4)/1.6))*0.69)</f>
        <v>0.79625000000000001</v>
      </c>
      <c r="AX539" s="426"/>
      <c r="AY539" s="426">
        <f>0.2-((1-((1.6-0.2)/1.6))*0.69)</f>
        <v>0.11375000000000002</v>
      </c>
      <c r="AZ539" s="426"/>
      <c r="BA539" s="426"/>
      <c r="BB539" s="426"/>
      <c r="BC539" s="426"/>
      <c r="BD539" s="426"/>
      <c r="BE539" s="426"/>
      <c r="BF539" s="475">
        <f>AW539</f>
        <v>0.79625000000000001</v>
      </c>
      <c r="BG539" s="469">
        <f>SUM(AW539:BE539)</f>
        <v>0.91</v>
      </c>
      <c r="BH539" s="341"/>
      <c r="BI539" s="446" t="s">
        <v>638</v>
      </c>
      <c r="BJ539" s="505"/>
    </row>
    <row r="540" spans="1:62" ht="15.75" customHeight="1" thickBot="1" x14ac:dyDescent="0.25">
      <c r="A540" s="174">
        <v>539</v>
      </c>
      <c r="B540" s="175">
        <v>1</v>
      </c>
      <c r="C540" s="166" t="s">
        <v>1110</v>
      </c>
      <c r="D540" s="166" t="s">
        <v>3051</v>
      </c>
      <c r="E540" s="166" t="s">
        <v>13</v>
      </c>
      <c r="F540" s="166" t="s">
        <v>1182</v>
      </c>
      <c r="G540" s="166" t="s">
        <v>15</v>
      </c>
      <c r="H540" s="166" t="s">
        <v>708</v>
      </c>
      <c r="I540" s="183">
        <v>2009</v>
      </c>
      <c r="J540" s="181" t="s">
        <v>1020</v>
      </c>
      <c r="K540" s="181" t="s">
        <v>1183</v>
      </c>
      <c r="L540" s="181" t="s">
        <v>9</v>
      </c>
      <c r="M540" s="556" t="s">
        <v>4206</v>
      </c>
      <c r="N540" s="214" t="s">
        <v>20</v>
      </c>
      <c r="O540" s="214" t="s">
        <v>15</v>
      </c>
      <c r="P540" s="214" t="s">
        <v>20</v>
      </c>
      <c r="Q540" s="214" t="s">
        <v>20</v>
      </c>
      <c r="R540" s="214" t="s">
        <v>20</v>
      </c>
      <c r="S540" s="214" t="s">
        <v>20</v>
      </c>
      <c r="T540" s="214" t="s">
        <v>20</v>
      </c>
      <c r="U540" s="214" t="s">
        <v>20</v>
      </c>
      <c r="V540" s="214" t="s">
        <v>15</v>
      </c>
      <c r="W540" s="214" t="s">
        <v>15</v>
      </c>
      <c r="X540" s="214" t="s">
        <v>15</v>
      </c>
      <c r="Y540" s="214" t="s">
        <v>15</v>
      </c>
      <c r="Z540" s="214"/>
      <c r="AA540" s="214" t="s">
        <v>243</v>
      </c>
      <c r="AB540" s="214" t="s">
        <v>15</v>
      </c>
      <c r="AC540" s="214" t="s">
        <v>15</v>
      </c>
      <c r="AD540" s="320" t="s">
        <v>1184</v>
      </c>
      <c r="AE540" s="320" t="s">
        <v>92</v>
      </c>
      <c r="AF540" s="162" t="str">
        <f t="shared" si="36"/>
        <v/>
      </c>
      <c r="AG540" s="162" t="str">
        <f t="shared" si="39"/>
        <v/>
      </c>
      <c r="AH540" s="164" t="str">
        <f t="shared" si="37"/>
        <v/>
      </c>
      <c r="AI540" s="164" t="str">
        <f t="shared" si="38"/>
        <v/>
      </c>
      <c r="AJ540" s="368"/>
      <c r="AK540" s="368"/>
      <c r="AL540" s="368"/>
      <c r="AM540" s="368"/>
      <c r="AN540" s="368"/>
      <c r="AO540" s="368"/>
      <c r="AP540" s="368"/>
      <c r="AQ540" s="368"/>
      <c r="AR540" s="368"/>
      <c r="AS540" s="195"/>
      <c r="AT540" s="195"/>
      <c r="AU540" s="378"/>
      <c r="AW540" s="426"/>
      <c r="AX540" s="426"/>
      <c r="AY540" s="426"/>
      <c r="AZ540" s="426"/>
      <c r="BA540" s="426"/>
      <c r="BB540" s="426"/>
      <c r="BC540" s="426"/>
      <c r="BD540" s="426"/>
      <c r="BE540" s="426"/>
      <c r="BF540" s="479"/>
      <c r="BG540" s="471">
        <v>3.6</v>
      </c>
      <c r="BH540" s="335"/>
      <c r="BI540" s="446"/>
      <c r="BJ540" s="505"/>
    </row>
    <row r="541" spans="1:62" ht="15.75" customHeight="1" thickBot="1" x14ac:dyDescent="0.25">
      <c r="A541" s="176">
        <v>540</v>
      </c>
      <c r="B541" s="175">
        <v>1</v>
      </c>
      <c r="C541" s="166" t="s">
        <v>1110</v>
      </c>
      <c r="D541" s="166" t="s">
        <v>3051</v>
      </c>
      <c r="E541" s="166" t="s">
        <v>13</v>
      </c>
      <c r="F541" s="166" t="s">
        <v>1185</v>
      </c>
      <c r="G541" s="166" t="s">
        <v>15</v>
      </c>
      <c r="H541" s="166" t="s">
        <v>708</v>
      </c>
      <c r="I541" s="183">
        <v>2009</v>
      </c>
      <c r="J541" s="181" t="s">
        <v>1020</v>
      </c>
      <c r="K541" s="181" t="s">
        <v>1183</v>
      </c>
      <c r="L541" s="181" t="s">
        <v>9</v>
      </c>
      <c r="M541" s="556" t="s">
        <v>4206</v>
      </c>
      <c r="N541" s="214" t="s">
        <v>20</v>
      </c>
      <c r="O541" s="214" t="s">
        <v>15</v>
      </c>
      <c r="P541" s="214" t="s">
        <v>20</v>
      </c>
      <c r="Q541" s="214" t="s">
        <v>20</v>
      </c>
      <c r="R541" s="214" t="s">
        <v>20</v>
      </c>
      <c r="S541" s="214" t="s">
        <v>20</v>
      </c>
      <c r="T541" s="214" t="s">
        <v>20</v>
      </c>
      <c r="U541" s="214" t="s">
        <v>20</v>
      </c>
      <c r="V541" s="214" t="s">
        <v>15</v>
      </c>
      <c r="W541" s="214" t="s">
        <v>15</v>
      </c>
      <c r="X541" s="214" t="s">
        <v>15</v>
      </c>
      <c r="Y541" s="214" t="s">
        <v>15</v>
      </c>
      <c r="Z541" s="214"/>
      <c r="AA541" s="214" t="s">
        <v>243</v>
      </c>
      <c r="AB541" s="214" t="s">
        <v>15</v>
      </c>
      <c r="AC541" s="214" t="s">
        <v>15</v>
      </c>
      <c r="AD541" s="320" t="s">
        <v>1184</v>
      </c>
      <c r="AE541" s="320" t="s">
        <v>92</v>
      </c>
      <c r="AF541" s="162" t="str">
        <f t="shared" si="36"/>
        <v/>
      </c>
      <c r="AG541" s="162" t="str">
        <f t="shared" si="39"/>
        <v/>
      </c>
      <c r="AH541" s="164" t="str">
        <f t="shared" si="37"/>
        <v/>
      </c>
      <c r="AI541" s="164" t="str">
        <f t="shared" si="38"/>
        <v/>
      </c>
      <c r="AJ541" s="368"/>
      <c r="AK541" s="368"/>
      <c r="AL541" s="368"/>
      <c r="AM541" s="368"/>
      <c r="AN541" s="368"/>
      <c r="AO541" s="368"/>
      <c r="AP541" s="368"/>
      <c r="AQ541" s="368"/>
      <c r="AR541" s="368"/>
      <c r="AS541" s="195"/>
      <c r="AT541" s="195"/>
      <c r="AU541" s="378"/>
      <c r="AW541" s="426"/>
      <c r="AX541" s="426"/>
      <c r="AY541" s="426"/>
      <c r="AZ541" s="426"/>
      <c r="BA541" s="426"/>
      <c r="BB541" s="426"/>
      <c r="BC541" s="426"/>
      <c r="BD541" s="426"/>
      <c r="BE541" s="426"/>
      <c r="BF541" s="479"/>
      <c r="BG541" s="471">
        <v>2.1</v>
      </c>
      <c r="BH541" s="335"/>
      <c r="BI541" s="446"/>
      <c r="BJ541" s="505"/>
    </row>
    <row r="542" spans="1:62" ht="15.75" customHeight="1" thickBot="1" x14ac:dyDescent="0.25">
      <c r="A542" s="174">
        <v>541</v>
      </c>
      <c r="B542" s="175">
        <v>1</v>
      </c>
      <c r="C542" s="166" t="s">
        <v>1110</v>
      </c>
      <c r="D542" s="166" t="s">
        <v>3051</v>
      </c>
      <c r="E542" s="166" t="s">
        <v>13</v>
      </c>
      <c r="F542" s="166" t="s">
        <v>1186</v>
      </c>
      <c r="G542" s="166" t="s">
        <v>15</v>
      </c>
      <c r="H542" s="166" t="s">
        <v>708</v>
      </c>
      <c r="I542" s="183">
        <v>2009</v>
      </c>
      <c r="J542" s="181" t="s">
        <v>1020</v>
      </c>
      <c r="K542" s="181" t="s">
        <v>1183</v>
      </c>
      <c r="L542" s="181" t="s">
        <v>9</v>
      </c>
      <c r="M542" s="556" t="s">
        <v>4206</v>
      </c>
      <c r="N542" s="214" t="s">
        <v>20</v>
      </c>
      <c r="O542" s="214" t="s">
        <v>15</v>
      </c>
      <c r="P542" s="214" t="s">
        <v>20</v>
      </c>
      <c r="Q542" s="214" t="s">
        <v>20</v>
      </c>
      <c r="R542" s="214" t="s">
        <v>20</v>
      </c>
      <c r="S542" s="214" t="s">
        <v>20</v>
      </c>
      <c r="T542" s="214" t="s">
        <v>20</v>
      </c>
      <c r="U542" s="214" t="s">
        <v>20</v>
      </c>
      <c r="V542" s="214" t="s">
        <v>15</v>
      </c>
      <c r="W542" s="214" t="s">
        <v>15</v>
      </c>
      <c r="X542" s="214" t="s">
        <v>15</v>
      </c>
      <c r="Y542" s="214" t="s">
        <v>15</v>
      </c>
      <c r="Z542" s="214"/>
      <c r="AA542" s="214" t="s">
        <v>243</v>
      </c>
      <c r="AB542" s="214" t="s">
        <v>15</v>
      </c>
      <c r="AC542" s="214" t="s">
        <v>15</v>
      </c>
      <c r="AD542" s="320" t="s">
        <v>1184</v>
      </c>
      <c r="AE542" s="320" t="s">
        <v>92</v>
      </c>
      <c r="AF542" s="162" t="str">
        <f t="shared" si="36"/>
        <v/>
      </c>
      <c r="AG542" s="162" t="str">
        <f t="shared" si="39"/>
        <v/>
      </c>
      <c r="AH542" s="164" t="str">
        <f t="shared" si="37"/>
        <v/>
      </c>
      <c r="AI542" s="164" t="str">
        <f t="shared" si="38"/>
        <v/>
      </c>
      <c r="AJ542" s="368"/>
      <c r="AK542" s="368"/>
      <c r="AL542" s="368"/>
      <c r="AM542" s="368"/>
      <c r="AN542" s="368"/>
      <c r="AO542" s="368"/>
      <c r="AP542" s="368"/>
      <c r="AQ542" s="368"/>
      <c r="AR542" s="368"/>
      <c r="AS542" s="195"/>
      <c r="AT542" s="195"/>
      <c r="AU542" s="378"/>
      <c r="AW542" s="426"/>
      <c r="AX542" s="426"/>
      <c r="AY542" s="426"/>
      <c r="AZ542" s="426"/>
      <c r="BA542" s="426"/>
      <c r="BB542" s="426"/>
      <c r="BC542" s="426"/>
      <c r="BD542" s="426"/>
      <c r="BE542" s="426"/>
      <c r="BF542" s="479"/>
      <c r="BG542" s="471">
        <v>4.0999999999999996</v>
      </c>
      <c r="BH542" s="335"/>
      <c r="BI542" s="446"/>
      <c r="BJ542" s="505"/>
    </row>
    <row r="543" spans="1:62" ht="15.75" customHeight="1" thickBot="1" x14ac:dyDescent="0.25">
      <c r="A543" s="176">
        <v>542</v>
      </c>
      <c r="B543" s="175">
        <v>1</v>
      </c>
      <c r="C543" s="166" t="s">
        <v>1110</v>
      </c>
      <c r="D543" s="166" t="s">
        <v>3051</v>
      </c>
      <c r="E543" s="166" t="s">
        <v>13</v>
      </c>
      <c r="F543" s="166" t="s">
        <v>1187</v>
      </c>
      <c r="G543" s="166" t="s">
        <v>15</v>
      </c>
      <c r="H543" s="166" t="s">
        <v>708</v>
      </c>
      <c r="I543" s="183">
        <v>2009</v>
      </c>
      <c r="J543" s="181" t="s">
        <v>1020</v>
      </c>
      <c r="K543" s="181" t="s">
        <v>1183</v>
      </c>
      <c r="L543" s="181" t="s">
        <v>9</v>
      </c>
      <c r="M543" s="556" t="s">
        <v>4206</v>
      </c>
      <c r="N543" s="214" t="s">
        <v>20</v>
      </c>
      <c r="O543" s="214" t="s">
        <v>15</v>
      </c>
      <c r="P543" s="214" t="s">
        <v>20</v>
      </c>
      <c r="Q543" s="214" t="s">
        <v>20</v>
      </c>
      <c r="R543" s="214" t="s">
        <v>20</v>
      </c>
      <c r="S543" s="214" t="s">
        <v>20</v>
      </c>
      <c r="T543" s="214" t="s">
        <v>20</v>
      </c>
      <c r="U543" s="214" t="s">
        <v>20</v>
      </c>
      <c r="V543" s="214" t="s">
        <v>15</v>
      </c>
      <c r="W543" s="214" t="s">
        <v>15</v>
      </c>
      <c r="X543" s="214" t="s">
        <v>15</v>
      </c>
      <c r="Y543" s="214" t="s">
        <v>15</v>
      </c>
      <c r="Z543" s="214"/>
      <c r="AA543" s="214" t="s">
        <v>243</v>
      </c>
      <c r="AB543" s="214" t="s">
        <v>15</v>
      </c>
      <c r="AC543" s="214" t="s">
        <v>15</v>
      </c>
      <c r="AD543" s="320" t="s">
        <v>1184</v>
      </c>
      <c r="AE543" s="320" t="s">
        <v>92</v>
      </c>
      <c r="AF543" s="162" t="str">
        <f t="shared" si="36"/>
        <v/>
      </c>
      <c r="AG543" s="162" t="str">
        <f t="shared" si="39"/>
        <v/>
      </c>
      <c r="AH543" s="164" t="str">
        <f t="shared" si="37"/>
        <v/>
      </c>
      <c r="AI543" s="164" t="str">
        <f t="shared" si="38"/>
        <v/>
      </c>
      <c r="AJ543" s="368"/>
      <c r="AK543" s="368"/>
      <c r="AL543" s="368"/>
      <c r="AM543" s="368"/>
      <c r="AN543" s="368"/>
      <c r="AO543" s="368"/>
      <c r="AP543" s="368"/>
      <c r="AQ543" s="368"/>
      <c r="AR543" s="368"/>
      <c r="AS543" s="195"/>
      <c r="AT543" s="195"/>
      <c r="AU543" s="378"/>
      <c r="AW543" s="426"/>
      <c r="AX543" s="426"/>
      <c r="AY543" s="426"/>
      <c r="AZ543" s="426"/>
      <c r="BA543" s="426"/>
      <c r="BB543" s="426"/>
      <c r="BC543" s="426"/>
      <c r="BD543" s="426"/>
      <c r="BE543" s="426"/>
      <c r="BF543" s="479"/>
      <c r="BG543" s="471">
        <v>2.5</v>
      </c>
      <c r="BH543" s="335"/>
      <c r="BI543" s="446"/>
      <c r="BJ543" s="505"/>
    </row>
    <row r="544" spans="1:62" ht="15.75" customHeight="1" thickBot="1" x14ac:dyDescent="0.25">
      <c r="A544" s="174">
        <v>543</v>
      </c>
      <c r="B544" s="175">
        <v>1</v>
      </c>
      <c r="C544" s="166" t="s">
        <v>1110</v>
      </c>
      <c r="D544" s="166" t="s">
        <v>1188</v>
      </c>
      <c r="E544" s="166" t="s">
        <v>13</v>
      </c>
      <c r="F544" s="166" t="s">
        <v>1189</v>
      </c>
      <c r="G544" s="166" t="s">
        <v>15</v>
      </c>
      <c r="H544" s="166" t="s">
        <v>55</v>
      </c>
      <c r="I544" s="183">
        <v>2006</v>
      </c>
      <c r="J544" s="181" t="s">
        <v>1190</v>
      </c>
      <c r="K544" s="181" t="s">
        <v>1191</v>
      </c>
      <c r="L544" s="181" t="s">
        <v>168</v>
      </c>
      <c r="M544" s="556" t="s">
        <v>4207</v>
      </c>
      <c r="N544" s="214" t="s">
        <v>20</v>
      </c>
      <c r="O544" s="214" t="s">
        <v>15</v>
      </c>
      <c r="P544" s="214" t="s">
        <v>20</v>
      </c>
      <c r="Q544" s="214" t="s">
        <v>122</v>
      </c>
      <c r="R544" s="214" t="s">
        <v>122</v>
      </c>
      <c r="S544" s="214" t="s">
        <v>20</v>
      </c>
      <c r="T544" s="214" t="s">
        <v>15</v>
      </c>
      <c r="U544" s="214" t="s">
        <v>15</v>
      </c>
      <c r="V544" s="214" t="s">
        <v>15</v>
      </c>
      <c r="W544" s="214" t="s">
        <v>15</v>
      </c>
      <c r="X544" s="214" t="s">
        <v>15</v>
      </c>
      <c r="Y544" s="214" t="s">
        <v>15</v>
      </c>
      <c r="Z544" s="214"/>
      <c r="AA544" s="214" t="s">
        <v>243</v>
      </c>
      <c r="AB544" s="214" t="s">
        <v>15</v>
      </c>
      <c r="AC544" s="214" t="s">
        <v>15</v>
      </c>
      <c r="AD544" s="320" t="s">
        <v>1192</v>
      </c>
      <c r="AE544" s="320" t="s">
        <v>1193</v>
      </c>
      <c r="AF544" s="162" t="str">
        <f t="shared" si="36"/>
        <v/>
      </c>
      <c r="AG544" s="162" t="str">
        <f t="shared" si="39"/>
        <v/>
      </c>
      <c r="AH544" s="164" t="str">
        <f t="shared" si="37"/>
        <v/>
      </c>
      <c r="AI544" s="164" t="str">
        <f t="shared" si="38"/>
        <v/>
      </c>
      <c r="AJ544" s="368"/>
      <c r="AK544" s="368"/>
      <c r="AL544" s="368"/>
      <c r="AM544" s="368"/>
      <c r="AN544" s="368"/>
      <c r="AO544" s="368"/>
      <c r="AP544" s="368"/>
      <c r="AQ544" s="368"/>
      <c r="AR544" s="368"/>
      <c r="AS544" s="195"/>
      <c r="AT544" s="195"/>
      <c r="AU544" s="378"/>
      <c r="AW544" s="426"/>
      <c r="AX544" s="426"/>
      <c r="AY544" s="426"/>
      <c r="AZ544" s="426"/>
      <c r="BA544" s="426"/>
      <c r="BB544" s="426"/>
      <c r="BC544" s="426"/>
      <c r="BD544" s="426"/>
      <c r="BE544" s="426"/>
      <c r="BF544" s="479"/>
      <c r="BG544" s="471">
        <v>1.325</v>
      </c>
      <c r="BH544" s="335"/>
      <c r="BI544" s="446"/>
      <c r="BJ544" s="505"/>
    </row>
    <row r="545" spans="1:62" ht="15.75" customHeight="1" thickBot="1" x14ac:dyDescent="0.25">
      <c r="A545" s="176">
        <v>544</v>
      </c>
      <c r="B545" s="175">
        <v>1</v>
      </c>
      <c r="C545" s="166" t="s">
        <v>1110</v>
      </c>
      <c r="D545" s="166" t="s">
        <v>1194</v>
      </c>
      <c r="E545" s="166" t="s">
        <v>13</v>
      </c>
      <c r="F545" s="166" t="s">
        <v>1195</v>
      </c>
      <c r="G545" s="166" t="s">
        <v>15</v>
      </c>
      <c r="H545" s="166" t="s">
        <v>239</v>
      </c>
      <c r="I545" s="183">
        <v>2015</v>
      </c>
      <c r="J545" s="181" t="s">
        <v>1196</v>
      </c>
      <c r="K545" s="181" t="s">
        <v>1197</v>
      </c>
      <c r="L545" s="181" t="s">
        <v>19</v>
      </c>
      <c r="M545" s="556" t="s">
        <v>4208</v>
      </c>
      <c r="N545" s="214" t="s">
        <v>20</v>
      </c>
      <c r="O545" s="214" t="s">
        <v>15</v>
      </c>
      <c r="P545" s="214" t="s">
        <v>20</v>
      </c>
      <c r="Q545" s="214" t="s">
        <v>122</v>
      </c>
      <c r="R545" s="214" t="s">
        <v>20</v>
      </c>
      <c r="S545" s="214" t="s">
        <v>122</v>
      </c>
      <c r="T545" s="214" t="s">
        <v>15</v>
      </c>
      <c r="U545" s="214" t="s">
        <v>15</v>
      </c>
      <c r="V545" s="214" t="s">
        <v>15</v>
      </c>
      <c r="W545" s="214" t="s">
        <v>15</v>
      </c>
      <c r="X545" s="214" t="s">
        <v>15</v>
      </c>
      <c r="Y545" s="214" t="s">
        <v>15</v>
      </c>
      <c r="Z545" s="214"/>
      <c r="AA545" s="214" t="s">
        <v>626</v>
      </c>
      <c r="AB545" s="214" t="s">
        <v>15</v>
      </c>
      <c r="AC545" s="214" t="s">
        <v>15</v>
      </c>
      <c r="AD545" s="320" t="s">
        <v>1198</v>
      </c>
      <c r="AE545" s="320" t="s">
        <v>92</v>
      </c>
      <c r="AF545" s="162">
        <f t="shared" si="36"/>
        <v>22.9</v>
      </c>
      <c r="AG545" s="162" t="str">
        <f t="shared" si="39"/>
        <v/>
      </c>
      <c r="AH545" s="164" t="str">
        <f t="shared" si="37"/>
        <v/>
      </c>
      <c r="AI545" s="164" t="str">
        <f t="shared" si="38"/>
        <v/>
      </c>
      <c r="AJ545" s="368"/>
      <c r="AK545" s="368"/>
      <c r="AL545" s="368"/>
      <c r="AM545" s="368"/>
      <c r="AN545" s="368"/>
      <c r="AO545" s="368"/>
      <c r="AP545" s="368"/>
      <c r="AQ545" s="368"/>
      <c r="AR545" s="368"/>
      <c r="AS545" s="194">
        <v>22.9</v>
      </c>
      <c r="AT545" s="197">
        <v>36.700000000000003</v>
      </c>
      <c r="AU545" s="378"/>
      <c r="AW545" s="426"/>
      <c r="AX545" s="426"/>
      <c r="AY545" s="426"/>
      <c r="AZ545" s="426"/>
      <c r="BA545" s="426"/>
      <c r="BB545" s="426"/>
      <c r="BC545" s="426"/>
      <c r="BD545" s="426"/>
      <c r="BE545" s="426"/>
      <c r="BF545" s="479"/>
      <c r="BG545" s="471">
        <v>2.4900000000000002</v>
      </c>
      <c r="BH545" s="335"/>
      <c r="BI545" s="446" t="s">
        <v>47</v>
      </c>
      <c r="BJ545" s="505"/>
    </row>
    <row r="546" spans="1:62" ht="15.75" customHeight="1" thickBot="1" x14ac:dyDescent="0.25">
      <c r="A546" s="174">
        <v>545</v>
      </c>
      <c r="B546" s="175">
        <v>1</v>
      </c>
      <c r="C546" s="166" t="s">
        <v>1110</v>
      </c>
      <c r="D546" s="166" t="s">
        <v>1194</v>
      </c>
      <c r="E546" s="166" t="s">
        <v>13</v>
      </c>
      <c r="F546" s="166" t="s">
        <v>1199</v>
      </c>
      <c r="G546" s="166" t="s">
        <v>15</v>
      </c>
      <c r="H546" s="166" t="s">
        <v>239</v>
      </c>
      <c r="I546" s="183">
        <v>2015</v>
      </c>
      <c r="J546" s="181" t="s">
        <v>1196</v>
      </c>
      <c r="K546" s="181" t="s">
        <v>1197</v>
      </c>
      <c r="L546" s="181" t="s">
        <v>19</v>
      </c>
      <c r="M546" s="556" t="s">
        <v>4208</v>
      </c>
      <c r="N546" s="214" t="s">
        <v>20</v>
      </c>
      <c r="O546" s="214" t="s">
        <v>15</v>
      </c>
      <c r="P546" s="214" t="s">
        <v>20</v>
      </c>
      <c r="Q546" s="214" t="s">
        <v>122</v>
      </c>
      <c r="R546" s="214" t="s">
        <v>20</v>
      </c>
      <c r="S546" s="214" t="s">
        <v>122</v>
      </c>
      <c r="T546" s="214" t="s">
        <v>15</v>
      </c>
      <c r="U546" s="214" t="s">
        <v>15</v>
      </c>
      <c r="V546" s="214" t="s">
        <v>15</v>
      </c>
      <c r="W546" s="214" t="s">
        <v>15</v>
      </c>
      <c r="X546" s="214" t="s">
        <v>15</v>
      </c>
      <c r="Y546" s="214" t="s">
        <v>15</v>
      </c>
      <c r="Z546" s="214"/>
      <c r="AA546" s="214" t="s">
        <v>626</v>
      </c>
      <c r="AB546" s="214" t="s">
        <v>15</v>
      </c>
      <c r="AC546" s="214" t="s">
        <v>15</v>
      </c>
      <c r="AD546" s="320" t="s">
        <v>1198</v>
      </c>
      <c r="AE546" s="320" t="s">
        <v>92</v>
      </c>
      <c r="AF546" s="162" t="str">
        <f t="shared" si="36"/>
        <v/>
      </c>
      <c r="AG546" s="162" t="str">
        <f t="shared" si="39"/>
        <v/>
      </c>
      <c r="AH546" s="164" t="str">
        <f t="shared" si="37"/>
        <v/>
      </c>
      <c r="AI546" s="164" t="str">
        <f t="shared" si="38"/>
        <v/>
      </c>
      <c r="AJ546" s="368"/>
      <c r="AK546" s="368"/>
      <c r="AL546" s="368"/>
      <c r="AM546" s="368"/>
      <c r="AN546" s="368"/>
      <c r="AO546" s="368"/>
      <c r="AP546" s="368"/>
      <c r="AQ546" s="368"/>
      <c r="AR546" s="368"/>
      <c r="AS546" s="195"/>
      <c r="AT546" s="197">
        <v>40.700000000000003</v>
      </c>
      <c r="AU546" s="378"/>
      <c r="AW546" s="426"/>
      <c r="AX546" s="426"/>
      <c r="AY546" s="426"/>
      <c r="AZ546" s="426"/>
      <c r="BA546" s="426"/>
      <c r="BB546" s="426"/>
      <c r="BC546" s="426"/>
      <c r="BD546" s="426"/>
      <c r="BE546" s="426"/>
      <c r="BF546" s="479"/>
      <c r="BG546" s="471">
        <v>2.82</v>
      </c>
      <c r="BH546" s="335"/>
      <c r="BI546" s="446" t="s">
        <v>47</v>
      </c>
      <c r="BJ546" s="505"/>
    </row>
    <row r="547" spans="1:62" ht="15.75" customHeight="1" thickBot="1" x14ac:dyDescent="0.25">
      <c r="A547" s="176">
        <v>546</v>
      </c>
      <c r="B547" s="175">
        <v>1</v>
      </c>
      <c r="C547" s="166" t="s">
        <v>259</v>
      </c>
      <c r="D547" s="166" t="s">
        <v>1200</v>
      </c>
      <c r="E547" s="166" t="s">
        <v>13</v>
      </c>
      <c r="F547" s="166" t="s">
        <v>1201</v>
      </c>
      <c r="G547" s="166"/>
      <c r="H547" s="166" t="s">
        <v>108</v>
      </c>
      <c r="I547" s="183">
        <v>2015</v>
      </c>
      <c r="J547" s="181" t="s">
        <v>1202</v>
      </c>
      <c r="K547" s="181" t="s">
        <v>1203</v>
      </c>
      <c r="L547" s="181" t="s">
        <v>19</v>
      </c>
      <c r="M547" s="556" t="s">
        <v>4209</v>
      </c>
      <c r="N547" s="214" t="s">
        <v>20</v>
      </c>
      <c r="O547" s="214" t="s">
        <v>20</v>
      </c>
      <c r="P547" s="214" t="s">
        <v>20</v>
      </c>
      <c r="Q547" s="214" t="s">
        <v>20</v>
      </c>
      <c r="R547" s="214" t="s">
        <v>20</v>
      </c>
      <c r="S547" s="214" t="s">
        <v>20</v>
      </c>
      <c r="T547" s="214" t="s">
        <v>15</v>
      </c>
      <c r="U547" s="214" t="s">
        <v>15</v>
      </c>
      <c r="V547" s="214" t="s">
        <v>15</v>
      </c>
      <c r="W547" s="214" t="s">
        <v>15</v>
      </c>
      <c r="X547" s="214" t="s">
        <v>15</v>
      </c>
      <c r="Y547" s="214" t="s">
        <v>15</v>
      </c>
      <c r="Z547" s="214"/>
      <c r="AA547" s="214" t="s">
        <v>626</v>
      </c>
      <c r="AB547" s="214" t="s">
        <v>20</v>
      </c>
      <c r="AC547" s="214" t="s">
        <v>15</v>
      </c>
      <c r="AD547" s="320" t="s">
        <v>1204</v>
      </c>
      <c r="AE547" s="320" t="s">
        <v>92</v>
      </c>
      <c r="AF547" s="162" t="str">
        <f t="shared" si="36"/>
        <v/>
      </c>
      <c r="AG547" s="162" t="str">
        <f t="shared" si="39"/>
        <v/>
      </c>
      <c r="AH547" s="164" t="str">
        <f t="shared" si="37"/>
        <v/>
      </c>
      <c r="AI547" s="164" t="str">
        <f t="shared" si="38"/>
        <v/>
      </c>
      <c r="AJ547" s="368"/>
      <c r="AK547" s="368"/>
      <c r="AL547" s="368"/>
      <c r="AM547" s="368"/>
      <c r="AN547" s="368"/>
      <c r="AO547" s="368"/>
      <c r="AP547" s="368"/>
      <c r="AQ547" s="368"/>
      <c r="AR547" s="368"/>
      <c r="AS547" s="195"/>
      <c r="AT547" s="197">
        <v>32.39</v>
      </c>
      <c r="AU547" s="378" t="s">
        <v>1205</v>
      </c>
      <c r="AW547" s="426"/>
      <c r="AX547" s="426"/>
      <c r="AY547" s="426"/>
      <c r="AZ547" s="426"/>
      <c r="BA547" s="426"/>
      <c r="BB547" s="426"/>
      <c r="BC547" s="426"/>
      <c r="BD547" s="426"/>
      <c r="BE547" s="426"/>
      <c r="BF547" s="479"/>
      <c r="BG547" s="471">
        <v>2.64</v>
      </c>
      <c r="BH547" s="335"/>
      <c r="BI547" s="446" t="s">
        <v>1205</v>
      </c>
      <c r="BJ547" s="505"/>
    </row>
    <row r="548" spans="1:62" ht="15.75" customHeight="1" thickBot="1" x14ac:dyDescent="0.25">
      <c r="A548" s="174">
        <v>547</v>
      </c>
      <c r="B548" s="175">
        <v>1</v>
      </c>
      <c r="C548" s="166" t="s">
        <v>259</v>
      </c>
      <c r="D548" s="166" t="s">
        <v>1200</v>
      </c>
      <c r="E548" s="166" t="s">
        <v>13</v>
      </c>
      <c r="F548" s="166" t="s">
        <v>1206</v>
      </c>
      <c r="G548" s="166"/>
      <c r="H548" s="166" t="s">
        <v>108</v>
      </c>
      <c r="I548" s="183">
        <v>2015</v>
      </c>
      <c r="J548" s="181" t="s">
        <v>1202</v>
      </c>
      <c r="K548" s="181" t="s">
        <v>1203</v>
      </c>
      <c r="L548" s="181" t="s">
        <v>19</v>
      </c>
      <c r="M548" s="556" t="s">
        <v>4209</v>
      </c>
      <c r="N548" s="214" t="s">
        <v>20</v>
      </c>
      <c r="O548" s="214" t="s">
        <v>20</v>
      </c>
      <c r="P548" s="214" t="s">
        <v>20</v>
      </c>
      <c r="Q548" s="214" t="s">
        <v>20</v>
      </c>
      <c r="R548" s="214" t="s">
        <v>20</v>
      </c>
      <c r="S548" s="214" t="s">
        <v>20</v>
      </c>
      <c r="T548" s="214" t="s">
        <v>20</v>
      </c>
      <c r="U548" s="214" t="s">
        <v>20</v>
      </c>
      <c r="V548" s="214" t="s">
        <v>15</v>
      </c>
      <c r="W548" s="214" t="s">
        <v>15</v>
      </c>
      <c r="X548" s="214" t="s">
        <v>20</v>
      </c>
      <c r="Y548" s="214" t="s">
        <v>15</v>
      </c>
      <c r="Z548" s="214"/>
      <c r="AA548" s="214" t="s">
        <v>243</v>
      </c>
      <c r="AB548" s="214" t="s">
        <v>20</v>
      </c>
      <c r="AC548" s="214" t="s">
        <v>15</v>
      </c>
      <c r="AD548" s="320" t="s">
        <v>1204</v>
      </c>
      <c r="AE548" s="320" t="s">
        <v>92</v>
      </c>
      <c r="AF548" s="162" t="str">
        <f t="shared" si="36"/>
        <v/>
      </c>
      <c r="AG548" s="162" t="str">
        <f t="shared" si="39"/>
        <v/>
      </c>
      <c r="AH548" s="164" t="str">
        <f t="shared" si="37"/>
        <v/>
      </c>
      <c r="AI548" s="164" t="str">
        <f t="shared" si="38"/>
        <v/>
      </c>
      <c r="AJ548" s="368"/>
      <c r="AK548" s="368"/>
      <c r="AL548" s="368"/>
      <c r="AM548" s="368"/>
      <c r="AN548" s="368"/>
      <c r="AO548" s="368"/>
      <c r="AP548" s="368"/>
      <c r="AQ548" s="368"/>
      <c r="AR548" s="368"/>
      <c r="AS548" s="195"/>
      <c r="AT548" s="197">
        <v>77.489999999999995</v>
      </c>
      <c r="AU548" s="378" t="s">
        <v>1205</v>
      </c>
      <c r="AW548" s="426"/>
      <c r="AX548" s="426"/>
      <c r="AY548" s="426"/>
      <c r="AZ548" s="426"/>
      <c r="BA548" s="426"/>
      <c r="BB548" s="426"/>
      <c r="BC548" s="426"/>
      <c r="BD548" s="426"/>
      <c r="BE548" s="426"/>
      <c r="BF548" s="479"/>
      <c r="BG548" s="471">
        <v>8.84</v>
      </c>
      <c r="BH548" s="335"/>
      <c r="BI548" s="446" t="s">
        <v>1205</v>
      </c>
      <c r="BJ548" s="505"/>
    </row>
    <row r="549" spans="1:62" ht="15.75" customHeight="1" thickBot="1" x14ac:dyDescent="0.25">
      <c r="A549" s="176">
        <v>548</v>
      </c>
      <c r="B549" s="175">
        <v>1</v>
      </c>
      <c r="C549" s="166" t="s">
        <v>398</v>
      </c>
      <c r="D549" s="166" t="s">
        <v>406</v>
      </c>
      <c r="E549" s="166" t="s">
        <v>13</v>
      </c>
      <c r="F549" s="166" t="s">
        <v>406</v>
      </c>
      <c r="G549" s="166" t="s">
        <v>15</v>
      </c>
      <c r="H549" s="166" t="s">
        <v>1104</v>
      </c>
      <c r="I549" s="183">
        <v>2014</v>
      </c>
      <c r="J549" s="181" t="s">
        <v>1207</v>
      </c>
      <c r="K549" s="181" t="s">
        <v>1208</v>
      </c>
      <c r="L549" s="181" t="s">
        <v>168</v>
      </c>
      <c r="M549" s="556" t="s">
        <v>4210</v>
      </c>
      <c r="N549" s="214" t="s">
        <v>20</v>
      </c>
      <c r="O549" s="214" t="s">
        <v>15</v>
      </c>
      <c r="P549" s="214" t="s">
        <v>20</v>
      </c>
      <c r="Q549" s="214" t="s">
        <v>20</v>
      </c>
      <c r="R549" s="214" t="s">
        <v>15</v>
      </c>
      <c r="S549" s="214" t="s">
        <v>15</v>
      </c>
      <c r="T549" s="214" t="s">
        <v>15</v>
      </c>
      <c r="U549" s="214" t="s">
        <v>15</v>
      </c>
      <c r="V549" s="214" t="s">
        <v>15</v>
      </c>
      <c r="W549" s="214" t="s">
        <v>15</v>
      </c>
      <c r="X549" s="214" t="s">
        <v>15</v>
      </c>
      <c r="Y549" s="214" t="s">
        <v>15</v>
      </c>
      <c r="Z549" s="214"/>
      <c r="AA549" s="214" t="s">
        <v>1209</v>
      </c>
      <c r="AB549" s="214" t="s">
        <v>15</v>
      </c>
      <c r="AC549" s="214" t="s">
        <v>15</v>
      </c>
      <c r="AD549" s="320" t="s">
        <v>1210</v>
      </c>
      <c r="AE549" s="320" t="s">
        <v>92</v>
      </c>
      <c r="AF549" s="162" t="str">
        <f t="shared" si="36"/>
        <v/>
      </c>
      <c r="AG549" s="162" t="str">
        <f t="shared" si="39"/>
        <v/>
      </c>
      <c r="AH549" s="164" t="str">
        <f t="shared" si="37"/>
        <v/>
      </c>
      <c r="AI549" s="164" t="str">
        <f t="shared" si="38"/>
        <v/>
      </c>
      <c r="AJ549" s="368"/>
      <c r="AK549" s="368"/>
      <c r="AL549" s="368"/>
      <c r="AM549" s="368"/>
      <c r="AN549" s="368"/>
      <c r="AO549" s="368"/>
      <c r="AP549" s="368"/>
      <c r="AQ549" s="368"/>
      <c r="AR549" s="368"/>
      <c r="AS549" s="195"/>
      <c r="AT549" s="197">
        <v>11.44</v>
      </c>
      <c r="AU549" s="378"/>
      <c r="AW549" s="426"/>
      <c r="AX549" s="426"/>
      <c r="AY549" s="426"/>
      <c r="AZ549" s="426"/>
      <c r="BA549" s="426"/>
      <c r="BB549" s="426"/>
      <c r="BC549" s="426"/>
      <c r="BD549" s="426"/>
      <c r="BE549" s="426"/>
      <c r="BF549" s="479"/>
      <c r="BG549" s="471">
        <v>1.6995199999999999</v>
      </c>
      <c r="BH549" s="335"/>
      <c r="BI549" s="446" t="s">
        <v>47</v>
      </c>
      <c r="BJ549" s="505"/>
    </row>
    <row r="550" spans="1:62" ht="15.75" customHeight="1" thickBot="1" x14ac:dyDescent="0.25">
      <c r="A550" s="174">
        <v>549</v>
      </c>
      <c r="B550" s="175">
        <v>1</v>
      </c>
      <c r="C550" s="166" t="s">
        <v>398</v>
      </c>
      <c r="D550" s="166" t="s">
        <v>1211</v>
      </c>
      <c r="E550" s="166" t="s">
        <v>13</v>
      </c>
      <c r="F550" s="166" t="s">
        <v>1211</v>
      </c>
      <c r="G550" s="166" t="s">
        <v>15</v>
      </c>
      <c r="H550" s="166" t="s">
        <v>42</v>
      </c>
      <c r="I550" s="183">
        <v>2011</v>
      </c>
      <c r="J550" s="181" t="s">
        <v>1212</v>
      </c>
      <c r="K550" s="181" t="s">
        <v>1213</v>
      </c>
      <c r="L550" s="181" t="s">
        <v>19</v>
      </c>
      <c r="M550" s="556" t="s">
        <v>4211</v>
      </c>
      <c r="N550" s="214" t="s">
        <v>20</v>
      </c>
      <c r="O550" s="214" t="s">
        <v>15</v>
      </c>
      <c r="P550" s="214" t="s">
        <v>20</v>
      </c>
      <c r="Q550" s="214" t="s">
        <v>20</v>
      </c>
      <c r="R550" s="214" t="s">
        <v>20</v>
      </c>
      <c r="S550" s="214" t="s">
        <v>15</v>
      </c>
      <c r="T550" s="214" t="s">
        <v>15</v>
      </c>
      <c r="U550" s="214" t="s">
        <v>15</v>
      </c>
      <c r="V550" s="214" t="s">
        <v>15</v>
      </c>
      <c r="W550" s="214" t="s">
        <v>15</v>
      </c>
      <c r="X550" s="214" t="s">
        <v>15</v>
      </c>
      <c r="Y550" s="214" t="s">
        <v>15</v>
      </c>
      <c r="Z550" s="214"/>
      <c r="AA550" s="214" t="s">
        <v>1209</v>
      </c>
      <c r="AB550" s="214" t="s">
        <v>15</v>
      </c>
      <c r="AC550" s="214" t="s">
        <v>15</v>
      </c>
      <c r="AD550" s="320" t="s">
        <v>1214</v>
      </c>
      <c r="AE550" s="320" t="s">
        <v>1215</v>
      </c>
      <c r="AF550" s="162" t="str">
        <f t="shared" si="36"/>
        <v/>
      </c>
      <c r="AG550" s="162" t="str">
        <f t="shared" si="39"/>
        <v/>
      </c>
      <c r="AH550" s="164" t="str">
        <f t="shared" si="37"/>
        <v/>
      </c>
      <c r="AI550" s="164" t="str">
        <f t="shared" si="38"/>
        <v/>
      </c>
      <c r="AJ550" s="368"/>
      <c r="AK550" s="368"/>
      <c r="AL550" s="368"/>
      <c r="AM550" s="368"/>
      <c r="AN550" s="368"/>
      <c r="AO550" s="368"/>
      <c r="AP550" s="368"/>
      <c r="AQ550" s="368"/>
      <c r="AR550" s="368"/>
      <c r="AS550" s="195"/>
      <c r="AT550" s="195"/>
      <c r="AU550" s="378"/>
      <c r="AW550" s="426"/>
      <c r="AX550" s="426"/>
      <c r="AY550" s="426"/>
      <c r="AZ550" s="426"/>
      <c r="BA550" s="426"/>
      <c r="BB550" s="426"/>
      <c r="BC550" s="426"/>
      <c r="BD550" s="426"/>
      <c r="BE550" s="426"/>
      <c r="BF550" s="479"/>
      <c r="BG550" s="469"/>
      <c r="BH550" s="335"/>
      <c r="BI550" s="446"/>
      <c r="BJ550" s="505"/>
    </row>
    <row r="551" spans="1:62" ht="15.75" customHeight="1" thickBot="1" x14ac:dyDescent="0.25">
      <c r="A551" s="176">
        <v>550</v>
      </c>
      <c r="B551" s="175">
        <v>1</v>
      </c>
      <c r="C551" s="166" t="s">
        <v>596</v>
      </c>
      <c r="D551" s="159" t="s">
        <v>2272</v>
      </c>
      <c r="E551" s="166" t="s">
        <v>13</v>
      </c>
      <c r="F551" s="166" t="s">
        <v>1216</v>
      </c>
      <c r="G551" s="166" t="s">
        <v>15</v>
      </c>
      <c r="H551" s="166" t="s">
        <v>42</v>
      </c>
      <c r="I551" s="183">
        <v>2011</v>
      </c>
      <c r="J551" s="181" t="s">
        <v>1212</v>
      </c>
      <c r="K551" s="181" t="s">
        <v>1213</v>
      </c>
      <c r="L551" s="181" t="s">
        <v>19</v>
      </c>
      <c r="M551" s="556" t="s">
        <v>4211</v>
      </c>
      <c r="N551" s="214" t="s">
        <v>20</v>
      </c>
      <c r="O551" s="214" t="s">
        <v>15</v>
      </c>
      <c r="P551" s="214" t="s">
        <v>20</v>
      </c>
      <c r="Q551" s="214" t="s">
        <v>20</v>
      </c>
      <c r="R551" s="214" t="s">
        <v>20</v>
      </c>
      <c r="S551" s="214" t="s">
        <v>15</v>
      </c>
      <c r="T551" s="214" t="s">
        <v>15</v>
      </c>
      <c r="U551" s="214" t="s">
        <v>15</v>
      </c>
      <c r="V551" s="214" t="s">
        <v>15</v>
      </c>
      <c r="W551" s="214" t="s">
        <v>15</v>
      </c>
      <c r="X551" s="214" t="s">
        <v>15</v>
      </c>
      <c r="Y551" s="214" t="s">
        <v>15</v>
      </c>
      <c r="Z551" s="214"/>
      <c r="AA551" s="214" t="s">
        <v>1209</v>
      </c>
      <c r="AB551" s="214" t="s">
        <v>15</v>
      </c>
      <c r="AC551" s="214" t="s">
        <v>15</v>
      </c>
      <c r="AD551" s="320" t="s">
        <v>1217</v>
      </c>
      <c r="AE551" s="320" t="s">
        <v>1218</v>
      </c>
      <c r="AF551" s="162" t="str">
        <f t="shared" si="36"/>
        <v/>
      </c>
      <c r="AG551" s="162" t="str">
        <f t="shared" si="39"/>
        <v/>
      </c>
      <c r="AH551" s="164" t="str">
        <f t="shared" si="37"/>
        <v/>
      </c>
      <c r="AI551" s="164" t="str">
        <f t="shared" si="38"/>
        <v/>
      </c>
      <c r="AJ551" s="368"/>
      <c r="AK551" s="368"/>
      <c r="AL551" s="368"/>
      <c r="AM551" s="368"/>
      <c r="AN551" s="368"/>
      <c r="AO551" s="368"/>
      <c r="AP551" s="368"/>
      <c r="AQ551" s="368"/>
      <c r="AR551" s="368"/>
      <c r="AS551" s="195"/>
      <c r="AT551" s="195"/>
      <c r="AU551" s="378"/>
      <c r="AW551" s="426"/>
      <c r="AX551" s="426"/>
      <c r="AY551" s="426"/>
      <c r="AZ551" s="426"/>
      <c r="BA551" s="426"/>
      <c r="BB551" s="426"/>
      <c r="BC551" s="426"/>
      <c r="BD551" s="426"/>
      <c r="BE551" s="426"/>
      <c r="BF551" s="479"/>
      <c r="BG551" s="469"/>
      <c r="BH551" s="335"/>
      <c r="BI551" s="446"/>
      <c r="BJ551" s="505"/>
    </row>
    <row r="552" spans="1:62" ht="15.75" customHeight="1" thickBot="1" x14ac:dyDescent="0.25">
      <c r="A552" s="174">
        <v>551</v>
      </c>
      <c r="B552" s="175">
        <v>1</v>
      </c>
      <c r="C552" s="166" t="s">
        <v>259</v>
      </c>
      <c r="D552" s="166" t="s">
        <v>2351</v>
      </c>
      <c r="E552" s="166" t="s">
        <v>13</v>
      </c>
      <c r="F552" s="166" t="s">
        <v>1219</v>
      </c>
      <c r="G552" s="166" t="s">
        <v>20</v>
      </c>
      <c r="H552" s="166" t="s">
        <v>1220</v>
      </c>
      <c r="I552" s="183">
        <v>2015</v>
      </c>
      <c r="J552" s="181" t="s">
        <v>1221</v>
      </c>
      <c r="K552" s="181" t="s">
        <v>1222</v>
      </c>
      <c r="L552" s="181" t="s">
        <v>168</v>
      </c>
      <c r="M552" s="556" t="s">
        <v>4212</v>
      </c>
      <c r="N552" s="214" t="s">
        <v>20</v>
      </c>
      <c r="O552" s="214" t="s">
        <v>20</v>
      </c>
      <c r="P552" s="214" t="s">
        <v>15</v>
      </c>
      <c r="Q552" s="214" t="s">
        <v>15</v>
      </c>
      <c r="R552" s="214" t="s">
        <v>15</v>
      </c>
      <c r="S552" s="214" t="s">
        <v>15</v>
      </c>
      <c r="T552" s="214" t="s">
        <v>15</v>
      </c>
      <c r="U552" s="214" t="s">
        <v>15</v>
      </c>
      <c r="V552" s="214" t="s">
        <v>15</v>
      </c>
      <c r="W552" s="214" t="s">
        <v>15</v>
      </c>
      <c r="X552" s="214" t="s">
        <v>15</v>
      </c>
      <c r="Y552" s="214" t="s">
        <v>15</v>
      </c>
      <c r="Z552" s="214"/>
      <c r="AA552" s="214" t="s">
        <v>1131</v>
      </c>
      <c r="AB552" s="214" t="s">
        <v>15</v>
      </c>
      <c r="AC552" s="214" t="s">
        <v>15</v>
      </c>
      <c r="AD552" s="320" t="s">
        <v>1223</v>
      </c>
      <c r="AE552" s="320" t="s">
        <v>604</v>
      </c>
      <c r="AF552" s="162" t="str">
        <f t="shared" si="36"/>
        <v/>
      </c>
      <c r="AG552" s="162" t="str">
        <f t="shared" si="39"/>
        <v/>
      </c>
      <c r="AH552" s="164">
        <f t="shared" si="37"/>
        <v>0.20499999999999999</v>
      </c>
      <c r="AI552" s="164" t="str">
        <f t="shared" si="38"/>
        <v/>
      </c>
      <c r="AJ552" s="368"/>
      <c r="AK552" s="368"/>
      <c r="AL552" s="368"/>
      <c r="AM552" s="368"/>
      <c r="AN552" s="368"/>
      <c r="AO552" s="368"/>
      <c r="AP552" s="368"/>
      <c r="AQ552" s="368"/>
      <c r="AR552" s="368"/>
      <c r="AS552" s="195"/>
      <c r="AT552" s="195"/>
      <c r="AU552" s="378"/>
      <c r="AW552" s="426"/>
      <c r="AX552" s="426"/>
      <c r="AY552" s="426"/>
      <c r="AZ552" s="426"/>
      <c r="BA552" s="426"/>
      <c r="BB552" s="426"/>
      <c r="BC552" s="426"/>
      <c r="BD552" s="426"/>
      <c r="BE552" s="426"/>
      <c r="BF552" s="471">
        <v>0.20499999999999999</v>
      </c>
      <c r="BG552" s="469"/>
      <c r="BH552" s="335"/>
      <c r="BI552" s="446" t="s">
        <v>733</v>
      </c>
      <c r="BJ552" s="505"/>
    </row>
    <row r="553" spans="1:62" ht="15.75" customHeight="1" thickBot="1" x14ac:dyDescent="0.25">
      <c r="A553" s="176">
        <v>552</v>
      </c>
      <c r="B553" s="175">
        <v>1</v>
      </c>
      <c r="C553" s="166" t="s">
        <v>259</v>
      </c>
      <c r="D553" s="166" t="s">
        <v>2351</v>
      </c>
      <c r="E553" s="166" t="s">
        <v>13</v>
      </c>
      <c r="F553" s="166" t="s">
        <v>1224</v>
      </c>
      <c r="G553" s="166" t="s">
        <v>20</v>
      </c>
      <c r="H553" s="166" t="s">
        <v>1220</v>
      </c>
      <c r="I553" s="183">
        <v>2015</v>
      </c>
      <c r="J553" s="181" t="s">
        <v>1221</v>
      </c>
      <c r="K553" s="181" t="s">
        <v>1222</v>
      </c>
      <c r="L553" s="181" t="s">
        <v>168</v>
      </c>
      <c r="M553" s="556" t="s">
        <v>4212</v>
      </c>
      <c r="N553" s="214" t="s">
        <v>20</v>
      </c>
      <c r="O553" s="214" t="s">
        <v>20</v>
      </c>
      <c r="P553" s="214" t="s">
        <v>15</v>
      </c>
      <c r="Q553" s="214" t="s">
        <v>15</v>
      </c>
      <c r="R553" s="214" t="s">
        <v>15</v>
      </c>
      <c r="S553" s="214" t="s">
        <v>15</v>
      </c>
      <c r="T553" s="214" t="s">
        <v>15</v>
      </c>
      <c r="U553" s="214" t="s">
        <v>15</v>
      </c>
      <c r="V553" s="214" t="s">
        <v>15</v>
      </c>
      <c r="W553" s="214" t="s">
        <v>15</v>
      </c>
      <c r="X553" s="214" t="s">
        <v>15</v>
      </c>
      <c r="Y553" s="214" t="s">
        <v>15</v>
      </c>
      <c r="Z553" s="214"/>
      <c r="AA553" s="214" t="s">
        <v>1131</v>
      </c>
      <c r="AB553" s="214" t="s">
        <v>15</v>
      </c>
      <c r="AC553" s="214" t="s">
        <v>15</v>
      </c>
      <c r="AD553" s="320" t="s">
        <v>1223</v>
      </c>
      <c r="AE553" s="320" t="s">
        <v>604</v>
      </c>
      <c r="AF553" s="162" t="str">
        <f t="shared" si="36"/>
        <v/>
      </c>
      <c r="AG553" s="162" t="str">
        <f t="shared" si="39"/>
        <v/>
      </c>
      <c r="AH553" s="164">
        <f t="shared" si="37"/>
        <v>0.17899999999999999</v>
      </c>
      <c r="AI553" s="164" t="str">
        <f t="shared" si="38"/>
        <v/>
      </c>
      <c r="AJ553" s="368"/>
      <c r="AK553" s="368"/>
      <c r="AL553" s="368"/>
      <c r="AM553" s="368"/>
      <c r="AN553" s="368"/>
      <c r="AO553" s="368"/>
      <c r="AP553" s="368"/>
      <c r="AQ553" s="368"/>
      <c r="AR553" s="368"/>
      <c r="AS553" s="195"/>
      <c r="AT553" s="195"/>
      <c r="AU553" s="378"/>
      <c r="AW553" s="426"/>
      <c r="AX553" s="426"/>
      <c r="AY553" s="426"/>
      <c r="AZ553" s="426"/>
      <c r="BA553" s="426"/>
      <c r="BB553" s="426"/>
      <c r="BC553" s="426"/>
      <c r="BD553" s="426"/>
      <c r="BE553" s="426"/>
      <c r="BF553" s="471">
        <v>0.17899999999999999</v>
      </c>
      <c r="BG553" s="469"/>
      <c r="BH553" s="335"/>
      <c r="BI553" s="446" t="s">
        <v>733</v>
      </c>
      <c r="BJ553" s="505"/>
    </row>
    <row r="554" spans="1:62" ht="15.75" customHeight="1" thickBot="1" x14ac:dyDescent="0.25">
      <c r="A554" s="174">
        <v>553</v>
      </c>
      <c r="B554" s="175">
        <v>1</v>
      </c>
      <c r="C554" s="166" t="s">
        <v>259</v>
      </c>
      <c r="D554" s="166" t="s">
        <v>2351</v>
      </c>
      <c r="E554" s="166" t="s">
        <v>13</v>
      </c>
      <c r="F554" s="166" t="s">
        <v>1225</v>
      </c>
      <c r="G554" s="166" t="s">
        <v>20</v>
      </c>
      <c r="H554" s="166" t="s">
        <v>1220</v>
      </c>
      <c r="I554" s="183">
        <v>2015</v>
      </c>
      <c r="J554" s="181" t="s">
        <v>1221</v>
      </c>
      <c r="K554" s="181" t="s">
        <v>1222</v>
      </c>
      <c r="L554" s="181" t="s">
        <v>168</v>
      </c>
      <c r="M554" s="556" t="s">
        <v>4212</v>
      </c>
      <c r="N554" s="214" t="s">
        <v>20</v>
      </c>
      <c r="O554" s="214" t="s">
        <v>20</v>
      </c>
      <c r="P554" s="214" t="s">
        <v>15</v>
      </c>
      <c r="Q554" s="214" t="s">
        <v>15</v>
      </c>
      <c r="R554" s="214" t="s">
        <v>15</v>
      </c>
      <c r="S554" s="214" t="s">
        <v>15</v>
      </c>
      <c r="T554" s="214" t="s">
        <v>15</v>
      </c>
      <c r="U554" s="214" t="s">
        <v>15</v>
      </c>
      <c r="V554" s="214" t="s">
        <v>15</v>
      </c>
      <c r="W554" s="214" t="s">
        <v>15</v>
      </c>
      <c r="X554" s="214" t="s">
        <v>15</v>
      </c>
      <c r="Y554" s="214" t="s">
        <v>15</v>
      </c>
      <c r="Z554" s="214"/>
      <c r="AA554" s="214" t="s">
        <v>1131</v>
      </c>
      <c r="AB554" s="214" t="s">
        <v>15</v>
      </c>
      <c r="AC554" s="214" t="s">
        <v>15</v>
      </c>
      <c r="AD554" s="320" t="s">
        <v>1223</v>
      </c>
      <c r="AE554" s="320" t="s">
        <v>604</v>
      </c>
      <c r="AF554" s="162" t="str">
        <f t="shared" si="36"/>
        <v/>
      </c>
      <c r="AG554" s="162" t="str">
        <f t="shared" si="39"/>
        <v/>
      </c>
      <c r="AH554" s="164">
        <f t="shared" si="37"/>
        <v>0.154</v>
      </c>
      <c r="AI554" s="164" t="str">
        <f t="shared" si="38"/>
        <v/>
      </c>
      <c r="AJ554" s="368"/>
      <c r="AK554" s="368"/>
      <c r="AL554" s="368"/>
      <c r="AM554" s="368"/>
      <c r="AN554" s="368"/>
      <c r="AO554" s="368"/>
      <c r="AP554" s="368"/>
      <c r="AQ554" s="368"/>
      <c r="AR554" s="368"/>
      <c r="AS554" s="195"/>
      <c r="AT554" s="195"/>
      <c r="AU554" s="378"/>
      <c r="AW554" s="426"/>
      <c r="AX554" s="426"/>
      <c r="AY554" s="426"/>
      <c r="AZ554" s="426"/>
      <c r="BA554" s="426"/>
      <c r="BB554" s="426"/>
      <c r="BC554" s="426"/>
      <c r="BD554" s="426"/>
      <c r="BE554" s="426"/>
      <c r="BF554" s="471">
        <v>0.154</v>
      </c>
      <c r="BG554" s="469"/>
      <c r="BH554" s="335"/>
      <c r="BI554" s="446" t="s">
        <v>733</v>
      </c>
      <c r="BJ554" s="505"/>
    </row>
    <row r="555" spans="1:62" ht="15.75" customHeight="1" thickBot="1" x14ac:dyDescent="0.25">
      <c r="A555" s="176">
        <v>554</v>
      </c>
      <c r="B555" s="175">
        <v>1</v>
      </c>
      <c r="C555" s="166" t="s">
        <v>259</v>
      </c>
      <c r="D555" s="166" t="s">
        <v>2351</v>
      </c>
      <c r="E555" s="166" t="s">
        <v>13</v>
      </c>
      <c r="F555" s="166" t="s">
        <v>1219</v>
      </c>
      <c r="G555" s="166" t="s">
        <v>20</v>
      </c>
      <c r="H555" s="166" t="s">
        <v>1226</v>
      </c>
      <c r="I555" s="183">
        <v>2015</v>
      </c>
      <c r="J555" s="181" t="s">
        <v>1221</v>
      </c>
      <c r="K555" s="181" t="s">
        <v>1222</v>
      </c>
      <c r="L555" s="181" t="s">
        <v>168</v>
      </c>
      <c r="M555" s="556" t="s">
        <v>4212</v>
      </c>
      <c r="N555" s="214" t="s">
        <v>20</v>
      </c>
      <c r="O555" s="214" t="s">
        <v>20</v>
      </c>
      <c r="P555" s="214" t="s">
        <v>15</v>
      </c>
      <c r="Q555" s="214" t="s">
        <v>15</v>
      </c>
      <c r="R555" s="214" t="s">
        <v>15</v>
      </c>
      <c r="S555" s="214" t="s">
        <v>15</v>
      </c>
      <c r="T555" s="214" t="s">
        <v>15</v>
      </c>
      <c r="U555" s="214" t="s">
        <v>15</v>
      </c>
      <c r="V555" s="214" t="s">
        <v>15</v>
      </c>
      <c r="W555" s="214" t="s">
        <v>15</v>
      </c>
      <c r="X555" s="214" t="s">
        <v>15</v>
      </c>
      <c r="Y555" s="214" t="s">
        <v>15</v>
      </c>
      <c r="Z555" s="214"/>
      <c r="AA555" s="214" t="s">
        <v>1131</v>
      </c>
      <c r="AB555" s="214" t="s">
        <v>15</v>
      </c>
      <c r="AC555" s="214" t="s">
        <v>15</v>
      </c>
      <c r="AD555" s="320" t="s">
        <v>1223</v>
      </c>
      <c r="AE555" s="320" t="s">
        <v>604</v>
      </c>
      <c r="AF555" s="162" t="str">
        <f t="shared" si="36"/>
        <v/>
      </c>
      <c r="AG555" s="162" t="str">
        <f t="shared" si="39"/>
        <v/>
      </c>
      <c r="AH555" s="164">
        <f t="shared" si="37"/>
        <v>0.2404</v>
      </c>
      <c r="AI555" s="164" t="str">
        <f t="shared" si="38"/>
        <v/>
      </c>
      <c r="AJ555" s="368"/>
      <c r="AK555" s="368"/>
      <c r="AL555" s="368"/>
      <c r="AM555" s="368"/>
      <c r="AN555" s="368"/>
      <c r="AO555" s="368"/>
      <c r="AP555" s="368"/>
      <c r="AQ555" s="368"/>
      <c r="AR555" s="368"/>
      <c r="AS555" s="195"/>
      <c r="AT555" s="195"/>
      <c r="AU555" s="378"/>
      <c r="AW555" s="426"/>
      <c r="AX555" s="426"/>
      <c r="AY555" s="426"/>
      <c r="AZ555" s="426"/>
      <c r="BA555" s="426"/>
      <c r="BB555" s="426"/>
      <c r="BC555" s="426"/>
      <c r="BD555" s="426"/>
      <c r="BE555" s="426"/>
      <c r="BF555" s="471">
        <v>0.2404</v>
      </c>
      <c r="BG555" s="469"/>
      <c r="BH555" s="335"/>
      <c r="BI555" s="446" t="s">
        <v>733</v>
      </c>
      <c r="BJ555" s="505"/>
    </row>
    <row r="556" spans="1:62" ht="15.75" customHeight="1" thickBot="1" x14ac:dyDescent="0.25">
      <c r="A556" s="174">
        <v>555</v>
      </c>
      <c r="B556" s="175">
        <v>1</v>
      </c>
      <c r="C556" s="166" t="s">
        <v>259</v>
      </c>
      <c r="D556" s="166" t="s">
        <v>2351</v>
      </c>
      <c r="E556" s="166" t="s">
        <v>13</v>
      </c>
      <c r="F556" s="166" t="s">
        <v>1224</v>
      </c>
      <c r="G556" s="166" t="s">
        <v>20</v>
      </c>
      <c r="H556" s="166" t="s">
        <v>1226</v>
      </c>
      <c r="I556" s="183">
        <v>2015</v>
      </c>
      <c r="J556" s="181" t="s">
        <v>1221</v>
      </c>
      <c r="K556" s="181" t="s">
        <v>1222</v>
      </c>
      <c r="L556" s="181" t="s">
        <v>168</v>
      </c>
      <c r="M556" s="556" t="s">
        <v>4212</v>
      </c>
      <c r="N556" s="214" t="s">
        <v>20</v>
      </c>
      <c r="O556" s="214" t="s">
        <v>20</v>
      </c>
      <c r="P556" s="214" t="s">
        <v>15</v>
      </c>
      <c r="Q556" s="214" t="s">
        <v>15</v>
      </c>
      <c r="R556" s="214" t="s">
        <v>15</v>
      </c>
      <c r="S556" s="214" t="s">
        <v>15</v>
      </c>
      <c r="T556" s="214" t="s">
        <v>15</v>
      </c>
      <c r="U556" s="214" t="s">
        <v>15</v>
      </c>
      <c r="V556" s="214" t="s">
        <v>15</v>
      </c>
      <c r="W556" s="214" t="s">
        <v>15</v>
      </c>
      <c r="X556" s="214" t="s">
        <v>15</v>
      </c>
      <c r="Y556" s="214" t="s">
        <v>15</v>
      </c>
      <c r="Z556" s="214"/>
      <c r="AA556" s="214" t="s">
        <v>1131</v>
      </c>
      <c r="AB556" s="214" t="s">
        <v>15</v>
      </c>
      <c r="AC556" s="214" t="s">
        <v>15</v>
      </c>
      <c r="AD556" s="320" t="s">
        <v>1223</v>
      </c>
      <c r="AE556" s="320" t="s">
        <v>604</v>
      </c>
      <c r="AF556" s="162" t="str">
        <f t="shared" si="36"/>
        <v/>
      </c>
      <c r="AG556" s="162" t="str">
        <f t="shared" si="39"/>
        <v/>
      </c>
      <c r="AH556" s="164">
        <f t="shared" si="37"/>
        <v>0.214</v>
      </c>
      <c r="AI556" s="164" t="str">
        <f t="shared" si="38"/>
        <v/>
      </c>
      <c r="AJ556" s="368"/>
      <c r="AK556" s="368"/>
      <c r="AL556" s="368"/>
      <c r="AM556" s="368"/>
      <c r="AN556" s="368"/>
      <c r="AO556" s="368"/>
      <c r="AP556" s="368"/>
      <c r="AQ556" s="368"/>
      <c r="AR556" s="368"/>
      <c r="AS556" s="195"/>
      <c r="AT556" s="195"/>
      <c r="AU556" s="378"/>
      <c r="AW556" s="426"/>
      <c r="AX556" s="426"/>
      <c r="AY556" s="426"/>
      <c r="AZ556" s="426"/>
      <c r="BA556" s="426"/>
      <c r="BB556" s="426"/>
      <c r="BC556" s="426"/>
      <c r="BD556" s="426"/>
      <c r="BE556" s="426"/>
      <c r="BF556" s="471">
        <v>0.214</v>
      </c>
      <c r="BG556" s="469"/>
      <c r="BH556" s="335"/>
      <c r="BI556" s="446" t="s">
        <v>733</v>
      </c>
      <c r="BJ556" s="505"/>
    </row>
    <row r="557" spans="1:62" ht="15.75" customHeight="1" thickBot="1" x14ac:dyDescent="0.25">
      <c r="A557" s="176">
        <v>556</v>
      </c>
      <c r="B557" s="175">
        <v>1</v>
      </c>
      <c r="C557" s="166" t="s">
        <v>259</v>
      </c>
      <c r="D557" s="166" t="s">
        <v>2351</v>
      </c>
      <c r="E557" s="166" t="s">
        <v>13</v>
      </c>
      <c r="F557" s="166" t="s">
        <v>1227</v>
      </c>
      <c r="G557" s="166" t="s">
        <v>20</v>
      </c>
      <c r="H557" s="166" t="s">
        <v>1226</v>
      </c>
      <c r="I557" s="183">
        <v>2015</v>
      </c>
      <c r="J557" s="181" t="s">
        <v>1221</v>
      </c>
      <c r="K557" s="181" t="s">
        <v>1222</v>
      </c>
      <c r="L557" s="181" t="s">
        <v>168</v>
      </c>
      <c r="M557" s="556" t="s">
        <v>4212</v>
      </c>
      <c r="N557" s="214" t="s">
        <v>20</v>
      </c>
      <c r="O557" s="214" t="s">
        <v>20</v>
      </c>
      <c r="P557" s="214" t="s">
        <v>15</v>
      </c>
      <c r="Q557" s="214" t="s">
        <v>15</v>
      </c>
      <c r="R557" s="214" t="s">
        <v>15</v>
      </c>
      <c r="S557" s="214" t="s">
        <v>15</v>
      </c>
      <c r="T557" s="214" t="s">
        <v>15</v>
      </c>
      <c r="U557" s="214" t="s">
        <v>15</v>
      </c>
      <c r="V557" s="214" t="s">
        <v>15</v>
      </c>
      <c r="W557" s="214" t="s">
        <v>15</v>
      </c>
      <c r="X557" s="214" t="s">
        <v>15</v>
      </c>
      <c r="Y557" s="214" t="s">
        <v>15</v>
      </c>
      <c r="Z557" s="214"/>
      <c r="AA557" s="214" t="s">
        <v>1131</v>
      </c>
      <c r="AB557" s="214" t="s">
        <v>15</v>
      </c>
      <c r="AC557" s="214" t="s">
        <v>15</v>
      </c>
      <c r="AD557" s="320" t="s">
        <v>1223</v>
      </c>
      <c r="AE557" s="320" t="s">
        <v>604</v>
      </c>
      <c r="AF557" s="162" t="str">
        <f t="shared" si="36"/>
        <v/>
      </c>
      <c r="AG557" s="162" t="str">
        <f t="shared" si="39"/>
        <v/>
      </c>
      <c r="AH557" s="164">
        <f t="shared" si="37"/>
        <v>0.17799999999999999</v>
      </c>
      <c r="AI557" s="164" t="str">
        <f t="shared" si="38"/>
        <v/>
      </c>
      <c r="AJ557" s="368"/>
      <c r="AK557" s="368"/>
      <c r="AL557" s="368"/>
      <c r="AM557" s="368"/>
      <c r="AN557" s="368"/>
      <c r="AO557" s="368"/>
      <c r="AP557" s="368"/>
      <c r="AQ557" s="368"/>
      <c r="AR557" s="368"/>
      <c r="AS557" s="195"/>
      <c r="AT557" s="195"/>
      <c r="AU557" s="378"/>
      <c r="AW557" s="426"/>
      <c r="AX557" s="426"/>
      <c r="AY557" s="426"/>
      <c r="AZ557" s="426"/>
      <c r="BA557" s="426"/>
      <c r="BB557" s="426"/>
      <c r="BC557" s="426"/>
      <c r="BD557" s="426"/>
      <c r="BE557" s="426"/>
      <c r="BF557" s="471">
        <v>0.17799999999999999</v>
      </c>
      <c r="BG557" s="469"/>
      <c r="BH557" s="335"/>
      <c r="BI557" s="446" t="s">
        <v>733</v>
      </c>
      <c r="BJ557" s="505"/>
    </row>
    <row r="558" spans="1:62" ht="15.75" customHeight="1" thickBot="1" x14ac:dyDescent="0.25">
      <c r="A558" s="174">
        <v>557</v>
      </c>
      <c r="B558" s="175">
        <v>1</v>
      </c>
      <c r="C558" s="166" t="s">
        <v>259</v>
      </c>
      <c r="D558" s="166" t="s">
        <v>2236</v>
      </c>
      <c r="E558" s="166" t="s">
        <v>13</v>
      </c>
      <c r="F558" s="166" t="s">
        <v>1229</v>
      </c>
      <c r="G558" s="166" t="s">
        <v>15</v>
      </c>
      <c r="H558" s="166" t="s">
        <v>1230</v>
      </c>
      <c r="I558" s="183">
        <v>2014</v>
      </c>
      <c r="J558" s="181" t="s">
        <v>1231</v>
      </c>
      <c r="K558" s="181" t="s">
        <v>1232</v>
      </c>
      <c r="L558" s="181" t="s">
        <v>19</v>
      </c>
      <c r="M558" s="556" t="s">
        <v>4213</v>
      </c>
      <c r="N558" s="214" t="s">
        <v>20</v>
      </c>
      <c r="O558" s="214" t="s">
        <v>15</v>
      </c>
      <c r="P558" s="214" t="s">
        <v>20</v>
      </c>
      <c r="Q558" s="214" t="s">
        <v>20</v>
      </c>
      <c r="R558" s="214" t="s">
        <v>15</v>
      </c>
      <c r="S558" s="214" t="s">
        <v>15</v>
      </c>
      <c r="T558" s="214" t="s">
        <v>15</v>
      </c>
      <c r="U558" s="214" t="s">
        <v>15</v>
      </c>
      <c r="V558" s="214" t="s">
        <v>15</v>
      </c>
      <c r="W558" s="214" t="s">
        <v>15</v>
      </c>
      <c r="X558" s="214" t="s">
        <v>15</v>
      </c>
      <c r="Y558" s="214" t="s">
        <v>15</v>
      </c>
      <c r="Z558" s="214"/>
      <c r="AA558" s="214" t="s">
        <v>1233</v>
      </c>
      <c r="AB558" s="214" t="s">
        <v>15</v>
      </c>
      <c r="AC558" s="214" t="s">
        <v>20</v>
      </c>
      <c r="AD558" s="320" t="s">
        <v>1234</v>
      </c>
      <c r="AE558" s="320" t="s">
        <v>92</v>
      </c>
      <c r="AF558" s="162" t="str">
        <f t="shared" si="36"/>
        <v/>
      </c>
      <c r="AG558" s="162">
        <f t="shared" si="39"/>
        <v>0.13930000000000001</v>
      </c>
      <c r="AH558" s="164">
        <f t="shared" si="37"/>
        <v>1.4993100000000001</v>
      </c>
      <c r="AI558" s="164" t="str">
        <f t="shared" si="38"/>
        <v/>
      </c>
      <c r="AJ558" s="368"/>
      <c r="AK558" s="369">
        <v>5.7700000000000001E-2</v>
      </c>
      <c r="AL558" s="369">
        <v>8.1600000000000006E-2</v>
      </c>
      <c r="AM558" s="368"/>
      <c r="AN558" s="368"/>
      <c r="AO558" s="368"/>
      <c r="AP558" s="368"/>
      <c r="AQ558" s="368"/>
      <c r="AR558" s="368"/>
      <c r="AS558" s="195"/>
      <c r="AT558" s="195"/>
      <c r="AU558" s="378"/>
      <c r="AV558" s="401" t="s">
        <v>3238</v>
      </c>
      <c r="AW558" s="426">
        <f>0.0624+0.284+0.0298+0.0161+0.00861+1.02+0.0784</f>
        <v>1.4993100000000001</v>
      </c>
      <c r="AX558" s="426"/>
      <c r="AY558" s="426"/>
      <c r="AZ558" s="426"/>
      <c r="BA558" s="426"/>
      <c r="BB558" s="426"/>
      <c r="BC558" s="426"/>
      <c r="BD558" s="426"/>
      <c r="BE558" s="426"/>
      <c r="BF558" s="472">
        <f>AW558</f>
        <v>1.4993100000000001</v>
      </c>
      <c r="BG558" s="472">
        <v>1.55</v>
      </c>
      <c r="BH558" s="335"/>
      <c r="BI558" s="446" t="s">
        <v>47</v>
      </c>
      <c r="BJ558" s="505"/>
    </row>
    <row r="559" spans="1:62" ht="15.75" customHeight="1" thickBot="1" x14ac:dyDescent="0.25">
      <c r="A559" s="174">
        <v>559</v>
      </c>
      <c r="B559" s="175">
        <v>1</v>
      </c>
      <c r="C559" s="166" t="s">
        <v>542</v>
      </c>
      <c r="D559" s="166" t="s">
        <v>1939</v>
      </c>
      <c r="E559" s="167"/>
      <c r="F559" s="167"/>
      <c r="G559" s="166" t="s">
        <v>292</v>
      </c>
      <c r="H559" s="166" t="s">
        <v>351</v>
      </c>
      <c r="I559" s="181">
        <v>2002</v>
      </c>
      <c r="J559" s="181" t="s">
        <v>1235</v>
      </c>
      <c r="K559" s="181" t="s">
        <v>1236</v>
      </c>
      <c r="L559" s="181" t="s">
        <v>19</v>
      </c>
      <c r="M559" s="556" t="s">
        <v>4214</v>
      </c>
      <c r="N559" s="214" t="s">
        <v>20</v>
      </c>
      <c r="O559" s="214" t="s">
        <v>15</v>
      </c>
      <c r="P559" s="214" t="s">
        <v>15</v>
      </c>
      <c r="Q559" s="214" t="s">
        <v>20</v>
      </c>
      <c r="R559" s="214" t="s">
        <v>15</v>
      </c>
      <c r="S559" s="214" t="s">
        <v>15</v>
      </c>
      <c r="T559" s="214" t="s">
        <v>15</v>
      </c>
      <c r="U559" s="214" t="s">
        <v>15</v>
      </c>
      <c r="V559" s="214" t="s">
        <v>15</v>
      </c>
      <c r="W559" s="214" t="s">
        <v>15</v>
      </c>
      <c r="X559" s="214" t="s">
        <v>15</v>
      </c>
      <c r="Y559" s="214" t="s">
        <v>15</v>
      </c>
      <c r="Z559" s="234"/>
      <c r="AA559" s="214" t="s">
        <v>1237</v>
      </c>
      <c r="AB559" s="214" t="s">
        <v>292</v>
      </c>
      <c r="AC559" s="214" t="s">
        <v>292</v>
      </c>
      <c r="AD559" s="320" t="s">
        <v>1238</v>
      </c>
      <c r="AE559" s="319"/>
      <c r="AF559" s="162" t="str">
        <f t="shared" si="36"/>
        <v/>
      </c>
      <c r="AG559" s="162" t="str">
        <f t="shared" si="39"/>
        <v/>
      </c>
      <c r="AH559" s="164" t="str">
        <f t="shared" si="37"/>
        <v/>
      </c>
      <c r="AI559" s="164" t="str">
        <f t="shared" si="38"/>
        <v/>
      </c>
      <c r="AJ559" s="368"/>
      <c r="AK559" s="369"/>
      <c r="AL559" s="369"/>
      <c r="AM559" s="368"/>
      <c r="AN559" s="368"/>
      <c r="AO559" s="368"/>
      <c r="AP559" s="368"/>
      <c r="AQ559" s="368"/>
      <c r="AR559" s="368"/>
      <c r="AS559" s="195"/>
      <c r="AT559" s="198">
        <v>12.5</v>
      </c>
      <c r="AU559" s="378" t="s">
        <v>1239</v>
      </c>
      <c r="AW559" s="426"/>
      <c r="AX559" s="426"/>
      <c r="AY559" s="426"/>
      <c r="AZ559" s="426"/>
      <c r="BA559" s="426"/>
      <c r="BB559" s="426"/>
      <c r="BC559" s="426"/>
      <c r="BD559" s="426"/>
      <c r="BE559" s="426"/>
      <c r="BF559" s="472"/>
      <c r="BG559" s="472"/>
      <c r="BH559" s="341"/>
      <c r="BI559" s="447"/>
      <c r="BJ559" s="505"/>
    </row>
    <row r="560" spans="1:62" ht="15.75" customHeight="1" thickBot="1" x14ac:dyDescent="0.25">
      <c r="A560" s="176">
        <v>560</v>
      </c>
      <c r="B560" s="175">
        <v>1</v>
      </c>
      <c r="C560" s="166" t="s">
        <v>259</v>
      </c>
      <c r="D560" s="166" t="s">
        <v>1936</v>
      </c>
      <c r="E560" s="167"/>
      <c r="F560" s="167"/>
      <c r="G560" s="166" t="s">
        <v>292</v>
      </c>
      <c r="H560" s="166" t="s">
        <v>351</v>
      </c>
      <c r="I560" s="181">
        <v>2002</v>
      </c>
      <c r="J560" s="181" t="s">
        <v>1235</v>
      </c>
      <c r="K560" s="181" t="s">
        <v>1236</v>
      </c>
      <c r="L560" s="181" t="s">
        <v>19</v>
      </c>
      <c r="M560" s="556" t="s">
        <v>4214</v>
      </c>
      <c r="N560" s="214" t="s">
        <v>20</v>
      </c>
      <c r="O560" s="214" t="s">
        <v>15</v>
      </c>
      <c r="P560" s="214" t="s">
        <v>15</v>
      </c>
      <c r="Q560" s="214" t="s">
        <v>20</v>
      </c>
      <c r="R560" s="214" t="s">
        <v>15</v>
      </c>
      <c r="S560" s="214" t="s">
        <v>15</v>
      </c>
      <c r="T560" s="214" t="s">
        <v>15</v>
      </c>
      <c r="U560" s="214" t="s">
        <v>15</v>
      </c>
      <c r="V560" s="214" t="s">
        <v>15</v>
      </c>
      <c r="W560" s="214" t="s">
        <v>15</v>
      </c>
      <c r="X560" s="214" t="s">
        <v>15</v>
      </c>
      <c r="Y560" s="214" t="s">
        <v>15</v>
      </c>
      <c r="Z560" s="234"/>
      <c r="AA560" s="214" t="s">
        <v>1237</v>
      </c>
      <c r="AB560" s="214" t="s">
        <v>292</v>
      </c>
      <c r="AC560" s="214" t="s">
        <v>292</v>
      </c>
      <c r="AD560" s="320" t="s">
        <v>1240</v>
      </c>
      <c r="AE560" s="319"/>
      <c r="AF560" s="162" t="str">
        <f t="shared" si="36"/>
        <v/>
      </c>
      <c r="AG560" s="162" t="str">
        <f t="shared" si="39"/>
        <v/>
      </c>
      <c r="AH560" s="164" t="str">
        <f t="shared" si="37"/>
        <v/>
      </c>
      <c r="AI560" s="164" t="str">
        <f t="shared" si="38"/>
        <v/>
      </c>
      <c r="AJ560" s="368"/>
      <c r="AK560" s="369"/>
      <c r="AL560" s="369"/>
      <c r="AM560" s="368"/>
      <c r="AN560" s="368"/>
      <c r="AO560" s="368"/>
      <c r="AP560" s="368"/>
      <c r="AQ560" s="368"/>
      <c r="AR560" s="368"/>
      <c r="AS560" s="195"/>
      <c r="AT560" s="194">
        <v>4.2</v>
      </c>
      <c r="AU560" s="378" t="s">
        <v>1239</v>
      </c>
      <c r="AW560" s="426"/>
      <c r="AX560" s="426"/>
      <c r="AY560" s="426"/>
      <c r="AZ560" s="426"/>
      <c r="BA560" s="426"/>
      <c r="BB560" s="426"/>
      <c r="BC560" s="426"/>
      <c r="BD560" s="426"/>
      <c r="BE560" s="426"/>
      <c r="BF560" s="472"/>
      <c r="BG560" s="472"/>
      <c r="BH560" s="341"/>
      <c r="BI560" s="447"/>
      <c r="BJ560" s="505"/>
    </row>
    <row r="561" spans="1:62" ht="15.75" customHeight="1" thickBot="1" x14ac:dyDescent="0.25">
      <c r="A561" s="174">
        <v>561</v>
      </c>
      <c r="B561" s="175">
        <v>1</v>
      </c>
      <c r="C561" s="166" t="s">
        <v>542</v>
      </c>
      <c r="D561" s="159" t="s">
        <v>2969</v>
      </c>
      <c r="E561" s="166" t="s">
        <v>13</v>
      </c>
      <c r="F561" s="166" t="s">
        <v>1241</v>
      </c>
      <c r="G561" s="166" t="s">
        <v>292</v>
      </c>
      <c r="H561" s="166" t="s">
        <v>351</v>
      </c>
      <c r="I561" s="181">
        <v>2009</v>
      </c>
      <c r="J561" s="181" t="s">
        <v>1242</v>
      </c>
      <c r="K561" s="181" t="s">
        <v>1236</v>
      </c>
      <c r="L561" s="181" t="s">
        <v>19</v>
      </c>
      <c r="M561" s="556" t="s">
        <v>4215</v>
      </c>
      <c r="N561" s="214" t="s">
        <v>20</v>
      </c>
      <c r="O561" s="214" t="s">
        <v>20</v>
      </c>
      <c r="P561" s="214" t="s">
        <v>15</v>
      </c>
      <c r="Q561" s="214" t="s">
        <v>20</v>
      </c>
      <c r="R561" s="214" t="s">
        <v>15</v>
      </c>
      <c r="S561" s="214" t="s">
        <v>15</v>
      </c>
      <c r="T561" s="214" t="s">
        <v>15</v>
      </c>
      <c r="U561" s="214" t="s">
        <v>15</v>
      </c>
      <c r="V561" s="214" t="s">
        <v>15</v>
      </c>
      <c r="W561" s="214" t="s">
        <v>15</v>
      </c>
      <c r="X561" s="214" t="s">
        <v>15</v>
      </c>
      <c r="Y561" s="214" t="s">
        <v>15</v>
      </c>
      <c r="Z561" s="234"/>
      <c r="AA561" s="214" t="s">
        <v>1243</v>
      </c>
      <c r="AB561" s="214" t="s">
        <v>292</v>
      </c>
      <c r="AC561" s="214" t="s">
        <v>292</v>
      </c>
      <c r="AD561" s="320" t="s">
        <v>1244</v>
      </c>
      <c r="AE561" s="319"/>
      <c r="AF561" s="162" t="str">
        <f t="shared" si="36"/>
        <v/>
      </c>
      <c r="AG561" s="162" t="str">
        <f t="shared" si="39"/>
        <v/>
      </c>
      <c r="AH561" s="164" t="str">
        <f t="shared" si="37"/>
        <v/>
      </c>
      <c r="AI561" s="164" t="str">
        <f t="shared" si="38"/>
        <v/>
      </c>
      <c r="AJ561" s="368"/>
      <c r="AK561" s="369"/>
      <c r="AL561" s="369"/>
      <c r="AM561" s="368"/>
      <c r="AN561" s="368"/>
      <c r="AO561" s="368"/>
      <c r="AP561" s="368"/>
      <c r="AQ561" s="368"/>
      <c r="AR561" s="368"/>
      <c r="AS561" s="195"/>
      <c r="AT561" s="199"/>
      <c r="AU561" s="377"/>
      <c r="AV561" s="382"/>
      <c r="AW561" s="426"/>
      <c r="AX561" s="426"/>
      <c r="AY561" s="426"/>
      <c r="AZ561" s="426"/>
      <c r="BA561" s="426"/>
      <c r="BB561" s="426"/>
      <c r="BC561" s="426"/>
      <c r="BD561" s="426"/>
      <c r="BE561" s="426"/>
      <c r="BF561" s="472"/>
      <c r="BG561" s="474">
        <v>1.2</v>
      </c>
      <c r="BH561" s="335" t="s">
        <v>1245</v>
      </c>
      <c r="BI561" s="447"/>
      <c r="BJ561" s="505"/>
    </row>
    <row r="562" spans="1:62" ht="15.75" customHeight="1" thickBot="1" x14ac:dyDescent="0.25">
      <c r="A562" s="176">
        <v>562</v>
      </c>
      <c r="B562" s="175">
        <v>1</v>
      </c>
      <c r="C562" s="166" t="s">
        <v>975</v>
      </c>
      <c r="D562" s="168" t="s">
        <v>3057</v>
      </c>
      <c r="E562" s="166" t="s">
        <v>1246</v>
      </c>
      <c r="F562" s="168" t="s">
        <v>2409</v>
      </c>
      <c r="G562" s="166" t="s">
        <v>292</v>
      </c>
      <c r="H562" s="166" t="s">
        <v>1247</v>
      </c>
      <c r="I562" s="181">
        <v>2015</v>
      </c>
      <c r="J562" s="181" t="s">
        <v>1248</v>
      </c>
      <c r="K562" s="181" t="s">
        <v>1249</v>
      </c>
      <c r="L562" s="181" t="s">
        <v>19</v>
      </c>
      <c r="M562" s="556" t="s">
        <v>4216</v>
      </c>
      <c r="N562" s="214" t="s">
        <v>122</v>
      </c>
      <c r="O562" s="214" t="s">
        <v>292</v>
      </c>
      <c r="P562" s="214" t="s">
        <v>122</v>
      </c>
      <c r="Q562" s="214" t="s">
        <v>122</v>
      </c>
      <c r="R562" s="214" t="s">
        <v>122</v>
      </c>
      <c r="S562" s="214" t="s">
        <v>122</v>
      </c>
      <c r="T562" s="214" t="s">
        <v>122</v>
      </c>
      <c r="U562" s="214" t="s">
        <v>292</v>
      </c>
      <c r="V562" s="214" t="s">
        <v>292</v>
      </c>
      <c r="W562" s="214" t="s">
        <v>292</v>
      </c>
      <c r="X562" s="214" t="s">
        <v>292</v>
      </c>
      <c r="Y562" s="214" t="s">
        <v>292</v>
      </c>
      <c r="Z562" s="234"/>
      <c r="AA562" s="214" t="s">
        <v>1250</v>
      </c>
      <c r="AB562" s="214" t="s">
        <v>122</v>
      </c>
      <c r="AC562" s="214" t="s">
        <v>122</v>
      </c>
      <c r="AD562" s="320" t="s">
        <v>1251</v>
      </c>
      <c r="AE562" s="319"/>
      <c r="AF562" s="162">
        <f t="shared" si="36"/>
        <v>8.76</v>
      </c>
      <c r="AG562" s="162" t="str">
        <f t="shared" si="39"/>
        <v/>
      </c>
      <c r="AH562" s="164">
        <f t="shared" si="37"/>
        <v>1.4169</v>
      </c>
      <c r="AI562" s="164">
        <f t="shared" si="38"/>
        <v>2.0179999999999998</v>
      </c>
      <c r="AJ562" s="369">
        <v>8.76</v>
      </c>
      <c r="AK562" s="369"/>
      <c r="AL562" s="368"/>
      <c r="AM562" s="368">
        <f>28.6+3.9+9.34</f>
        <v>41.84</v>
      </c>
      <c r="AN562" s="369">
        <v>0.34</v>
      </c>
      <c r="AO562" s="369"/>
      <c r="AP562" s="369"/>
      <c r="AQ562" s="368"/>
      <c r="AR562" s="368"/>
      <c r="AS562" s="195">
        <f>AJ562</f>
        <v>8.76</v>
      </c>
      <c r="AT562" s="198">
        <v>51</v>
      </c>
      <c r="AU562" s="377"/>
      <c r="AW562" s="359">
        <v>1.4169</v>
      </c>
      <c r="AX562" s="359"/>
      <c r="AY562" s="359">
        <v>0.60109999999999997</v>
      </c>
      <c r="AZ562" s="359">
        <v>5.5175000000000001</v>
      </c>
      <c r="BA562" s="359">
        <v>2.4E-2</v>
      </c>
      <c r="BB562" s="359"/>
      <c r="BC562" s="359"/>
      <c r="BD562" s="426"/>
      <c r="BE562" s="426"/>
      <c r="BF562" s="469">
        <f>AW562</f>
        <v>1.4169</v>
      </c>
      <c r="BG562" s="468">
        <v>7.6</v>
      </c>
      <c r="BH562" s="341"/>
      <c r="BI562" s="446" t="s">
        <v>1252</v>
      </c>
      <c r="BJ562" s="505"/>
    </row>
    <row r="563" spans="1:62" ht="15.75" customHeight="1" thickBot="1" x14ac:dyDescent="0.25">
      <c r="A563" s="174">
        <v>563</v>
      </c>
      <c r="B563" s="175">
        <v>1</v>
      </c>
      <c r="C563" s="166" t="s">
        <v>975</v>
      </c>
      <c r="D563" s="168" t="s">
        <v>3057</v>
      </c>
      <c r="E563" s="166" t="s">
        <v>13</v>
      </c>
      <c r="F563" s="168" t="s">
        <v>2410</v>
      </c>
      <c r="G563" s="166" t="s">
        <v>292</v>
      </c>
      <c r="H563" s="166" t="s">
        <v>1247</v>
      </c>
      <c r="I563" s="181">
        <v>2015</v>
      </c>
      <c r="J563" s="181" t="s">
        <v>1248</v>
      </c>
      <c r="K563" s="181" t="s">
        <v>1249</v>
      </c>
      <c r="L563" s="181" t="s">
        <v>19</v>
      </c>
      <c r="M563" s="556" t="s">
        <v>4216</v>
      </c>
      <c r="N563" s="214" t="s">
        <v>122</v>
      </c>
      <c r="O563" s="214" t="s">
        <v>292</v>
      </c>
      <c r="P563" s="214" t="s">
        <v>122</v>
      </c>
      <c r="Q563" s="214" t="s">
        <v>122</v>
      </c>
      <c r="R563" s="214" t="s">
        <v>122</v>
      </c>
      <c r="S563" s="214" t="s">
        <v>122</v>
      </c>
      <c r="T563" s="214" t="s">
        <v>122</v>
      </c>
      <c r="U563" s="214" t="s">
        <v>292</v>
      </c>
      <c r="V563" s="214" t="s">
        <v>292</v>
      </c>
      <c r="W563" s="214" t="s">
        <v>292</v>
      </c>
      <c r="X563" s="214" t="s">
        <v>292</v>
      </c>
      <c r="Y563" s="214" t="s">
        <v>292</v>
      </c>
      <c r="Z563" s="234"/>
      <c r="AA563" s="214" t="s">
        <v>1250</v>
      </c>
      <c r="AB563" s="214" t="s">
        <v>122</v>
      </c>
      <c r="AC563" s="214" t="s">
        <v>292</v>
      </c>
      <c r="AD563" s="320" t="s">
        <v>1251</v>
      </c>
      <c r="AE563" s="319"/>
      <c r="AF563" s="162" t="str">
        <f t="shared" si="36"/>
        <v/>
      </c>
      <c r="AG563" s="162" t="str">
        <f t="shared" si="39"/>
        <v/>
      </c>
      <c r="AH563" s="164" t="str">
        <f t="shared" si="37"/>
        <v/>
      </c>
      <c r="AI563" s="164" t="str">
        <f t="shared" si="38"/>
        <v/>
      </c>
      <c r="AJ563" s="369"/>
      <c r="AK563" s="369"/>
      <c r="AL563" s="368"/>
      <c r="AM563" s="368"/>
      <c r="AN563" s="369"/>
      <c r="AO563" s="369"/>
      <c r="AP563" s="369"/>
      <c r="AQ563" s="368"/>
      <c r="AR563" s="368"/>
      <c r="AS563" s="195"/>
      <c r="AT563" s="198">
        <v>13</v>
      </c>
      <c r="AU563" s="377"/>
      <c r="AW563" s="359"/>
      <c r="AX563" s="359"/>
      <c r="AY563" s="359"/>
      <c r="AZ563" s="359"/>
      <c r="BA563" s="359"/>
      <c r="BB563" s="359"/>
      <c r="BC563" s="359"/>
      <c r="BD563" s="426"/>
      <c r="BE563" s="426"/>
      <c r="BF563" s="469"/>
      <c r="BG563" s="474">
        <v>0.8</v>
      </c>
      <c r="BH563" s="341"/>
      <c r="BI563" s="446" t="s">
        <v>1252</v>
      </c>
      <c r="BJ563" s="505"/>
    </row>
    <row r="564" spans="1:62" ht="15.75" customHeight="1" thickBot="1" x14ac:dyDescent="0.25">
      <c r="A564" s="176">
        <v>564</v>
      </c>
      <c r="B564" s="175">
        <v>1</v>
      </c>
      <c r="C564" s="166" t="s">
        <v>975</v>
      </c>
      <c r="D564" s="168" t="s">
        <v>3057</v>
      </c>
      <c r="E564" s="166" t="s">
        <v>1068</v>
      </c>
      <c r="F564" s="168" t="s">
        <v>2411</v>
      </c>
      <c r="G564" s="166" t="s">
        <v>292</v>
      </c>
      <c r="H564" s="166" t="s">
        <v>1247</v>
      </c>
      <c r="I564" s="181">
        <v>2015</v>
      </c>
      <c r="J564" s="181" t="s">
        <v>1248</v>
      </c>
      <c r="K564" s="181" t="s">
        <v>1249</v>
      </c>
      <c r="L564" s="181" t="s">
        <v>19</v>
      </c>
      <c r="M564" s="556" t="s">
        <v>4216</v>
      </c>
      <c r="N564" s="214" t="s">
        <v>122</v>
      </c>
      <c r="O564" s="214" t="s">
        <v>292</v>
      </c>
      <c r="P564" s="214" t="s">
        <v>122</v>
      </c>
      <c r="Q564" s="214" t="s">
        <v>122</v>
      </c>
      <c r="R564" s="214" t="s">
        <v>122</v>
      </c>
      <c r="S564" s="214" t="s">
        <v>122</v>
      </c>
      <c r="T564" s="214" t="s">
        <v>122</v>
      </c>
      <c r="U564" s="214" t="s">
        <v>292</v>
      </c>
      <c r="V564" s="214" t="s">
        <v>292</v>
      </c>
      <c r="W564" s="214" t="s">
        <v>292</v>
      </c>
      <c r="X564" s="214" t="s">
        <v>292</v>
      </c>
      <c r="Y564" s="214" t="s">
        <v>292</v>
      </c>
      <c r="Z564" s="234"/>
      <c r="AA564" s="214" t="s">
        <v>1250</v>
      </c>
      <c r="AB564" s="214" t="s">
        <v>122</v>
      </c>
      <c r="AC564" s="214" t="s">
        <v>292</v>
      </c>
      <c r="AD564" s="320" t="s">
        <v>1251</v>
      </c>
      <c r="AE564" s="319"/>
      <c r="AF564" s="162" t="str">
        <f t="shared" si="36"/>
        <v/>
      </c>
      <c r="AG564" s="162" t="str">
        <f t="shared" si="39"/>
        <v/>
      </c>
      <c r="AH564" s="164" t="str">
        <f t="shared" si="37"/>
        <v/>
      </c>
      <c r="AI564" s="164" t="str">
        <f t="shared" si="38"/>
        <v/>
      </c>
      <c r="AJ564" s="369"/>
      <c r="AK564" s="369"/>
      <c r="AL564" s="368"/>
      <c r="AM564" s="368"/>
      <c r="AN564" s="369"/>
      <c r="AO564" s="369"/>
      <c r="AP564" s="369"/>
      <c r="AQ564" s="368"/>
      <c r="AR564" s="368"/>
      <c r="AS564" s="195"/>
      <c r="AT564" s="194">
        <v>17</v>
      </c>
      <c r="AU564" s="377"/>
      <c r="AW564" s="359"/>
      <c r="AX564" s="359"/>
      <c r="AY564" s="359"/>
      <c r="AZ564" s="359"/>
      <c r="BA564" s="359"/>
      <c r="BB564" s="359"/>
      <c r="BC564" s="359"/>
      <c r="BD564" s="426"/>
      <c r="BE564" s="426"/>
      <c r="BF564" s="469"/>
      <c r="BG564" s="468">
        <v>0.99</v>
      </c>
      <c r="BH564" s="341"/>
      <c r="BI564" s="446" t="s">
        <v>1252</v>
      </c>
      <c r="BJ564" s="505"/>
    </row>
    <row r="565" spans="1:62" ht="15.75" customHeight="1" thickBot="1" x14ac:dyDescent="0.25">
      <c r="A565" s="174">
        <v>565</v>
      </c>
      <c r="B565" s="175">
        <v>1</v>
      </c>
      <c r="C565" s="166" t="s">
        <v>975</v>
      </c>
      <c r="D565" s="166" t="s">
        <v>3056</v>
      </c>
      <c r="E565" s="166" t="s">
        <v>1069</v>
      </c>
      <c r="F565" s="168" t="s">
        <v>2412</v>
      </c>
      <c r="G565" s="166" t="s">
        <v>122</v>
      </c>
      <c r="H565" s="166" t="s">
        <v>1099</v>
      </c>
      <c r="I565" s="181">
        <v>2015</v>
      </c>
      <c r="J565" s="181" t="s">
        <v>1253</v>
      </c>
      <c r="K565" s="181" t="s">
        <v>1254</v>
      </c>
      <c r="L565" s="181" t="s">
        <v>19</v>
      </c>
      <c r="M565" s="556" t="s">
        <v>4217</v>
      </c>
      <c r="N565" s="214" t="s">
        <v>122</v>
      </c>
      <c r="O565" s="214" t="s">
        <v>292</v>
      </c>
      <c r="P565" s="214" t="s">
        <v>292</v>
      </c>
      <c r="Q565" s="214" t="s">
        <v>292</v>
      </c>
      <c r="R565" s="214" t="s">
        <v>292</v>
      </c>
      <c r="S565" s="214" t="s">
        <v>292</v>
      </c>
      <c r="T565" s="214" t="s">
        <v>292</v>
      </c>
      <c r="U565" s="214" t="s">
        <v>292</v>
      </c>
      <c r="V565" s="214" t="s">
        <v>292</v>
      </c>
      <c r="W565" s="214" t="s">
        <v>292</v>
      </c>
      <c r="X565" s="214" t="s">
        <v>292</v>
      </c>
      <c r="Y565" s="214" t="s">
        <v>292</v>
      </c>
      <c r="Z565" s="234"/>
      <c r="AA565" s="234"/>
      <c r="AB565" s="214" t="s">
        <v>292</v>
      </c>
      <c r="AC565" s="214" t="s">
        <v>122</v>
      </c>
      <c r="AD565" s="320" t="s">
        <v>1255</v>
      </c>
      <c r="AE565" s="323" t="s">
        <v>2435</v>
      </c>
      <c r="AF565" s="162">
        <f t="shared" si="36"/>
        <v>43.888888888888893</v>
      </c>
      <c r="AG565" s="162" t="str">
        <f t="shared" si="39"/>
        <v/>
      </c>
      <c r="AH565" s="164">
        <f t="shared" si="37"/>
        <v>3.0694444444444446</v>
      </c>
      <c r="AI565" s="164" t="str">
        <f t="shared" si="38"/>
        <v/>
      </c>
      <c r="AJ565" s="369"/>
      <c r="AK565" s="369"/>
      <c r="AL565" s="368"/>
      <c r="AM565" s="368"/>
      <c r="AN565" s="369"/>
      <c r="AO565" s="369"/>
      <c r="AP565" s="369"/>
      <c r="AQ565" s="368"/>
      <c r="AR565" s="368"/>
      <c r="AS565" s="198">
        <f>31.6/0.72</f>
        <v>43.888888888888893</v>
      </c>
      <c r="AT565" s="194"/>
      <c r="AU565" s="377"/>
      <c r="AV565" s="382"/>
      <c r="AW565" s="359"/>
      <c r="AX565" s="359"/>
      <c r="AY565" s="359"/>
      <c r="AZ565" s="359"/>
      <c r="BA565" s="359"/>
      <c r="BB565" s="359"/>
      <c r="BC565" s="359"/>
      <c r="BD565" s="426"/>
      <c r="BE565" s="426"/>
      <c r="BF565" s="474">
        <f>2.21/0.72</f>
        <v>3.0694444444444446</v>
      </c>
      <c r="BG565" s="468"/>
      <c r="BH565" s="341"/>
      <c r="BI565" s="446" t="s">
        <v>1256</v>
      </c>
      <c r="BJ565" s="505"/>
    </row>
    <row r="566" spans="1:62" ht="15.75" customHeight="1" thickBot="1" x14ac:dyDescent="0.25">
      <c r="A566" s="176">
        <v>566</v>
      </c>
      <c r="B566" s="175">
        <v>1</v>
      </c>
      <c r="C566" s="166" t="s">
        <v>975</v>
      </c>
      <c r="D566" s="166" t="s">
        <v>3056</v>
      </c>
      <c r="E566" s="166" t="s">
        <v>1069</v>
      </c>
      <c r="F566" s="168" t="s">
        <v>2413</v>
      </c>
      <c r="G566" s="166" t="s">
        <v>122</v>
      </c>
      <c r="H566" s="166" t="s">
        <v>1099</v>
      </c>
      <c r="I566" s="181">
        <v>2015</v>
      </c>
      <c r="J566" s="181" t="s">
        <v>1253</v>
      </c>
      <c r="K566" s="181" t="s">
        <v>1254</v>
      </c>
      <c r="L566" s="181" t="s">
        <v>19</v>
      </c>
      <c r="M566" s="556" t="s">
        <v>4217</v>
      </c>
      <c r="N566" s="214" t="s">
        <v>122</v>
      </c>
      <c r="O566" s="214" t="s">
        <v>292</v>
      </c>
      <c r="P566" s="214" t="s">
        <v>292</v>
      </c>
      <c r="Q566" s="214" t="s">
        <v>292</v>
      </c>
      <c r="R566" s="214" t="s">
        <v>292</v>
      </c>
      <c r="S566" s="214" t="s">
        <v>292</v>
      </c>
      <c r="T566" s="214" t="s">
        <v>292</v>
      </c>
      <c r="U566" s="214" t="s">
        <v>292</v>
      </c>
      <c r="V566" s="214" t="s">
        <v>292</v>
      </c>
      <c r="W566" s="214" t="s">
        <v>292</v>
      </c>
      <c r="X566" s="214" t="s">
        <v>292</v>
      </c>
      <c r="Y566" s="214" t="s">
        <v>292</v>
      </c>
      <c r="Z566" s="234"/>
      <c r="AA566" s="234"/>
      <c r="AB566" s="214" t="s">
        <v>292</v>
      </c>
      <c r="AC566" s="214" t="s">
        <v>122</v>
      </c>
      <c r="AD566" s="320" t="s">
        <v>1255</v>
      </c>
      <c r="AE566" s="323" t="s">
        <v>2435</v>
      </c>
      <c r="AF566" s="162">
        <f t="shared" si="36"/>
        <v>53.472222222222221</v>
      </c>
      <c r="AG566" s="162" t="str">
        <f t="shared" si="39"/>
        <v/>
      </c>
      <c r="AH566" s="164">
        <f t="shared" si="37"/>
        <v>3.6944444444444446</v>
      </c>
      <c r="AI566" s="164" t="str">
        <f t="shared" si="38"/>
        <v/>
      </c>
      <c r="AJ566" s="369"/>
      <c r="AK566" s="369"/>
      <c r="AL566" s="368"/>
      <c r="AM566" s="368"/>
      <c r="AN566" s="369"/>
      <c r="AO566" s="369"/>
      <c r="AP566" s="369"/>
      <c r="AQ566" s="368"/>
      <c r="AR566" s="368"/>
      <c r="AS566" s="194">
        <f>38.5/0.72</f>
        <v>53.472222222222221</v>
      </c>
      <c r="AT566" s="198"/>
      <c r="AU566" s="377"/>
      <c r="AV566" s="382"/>
      <c r="AW566" s="359"/>
      <c r="AX566" s="359"/>
      <c r="AY566" s="359"/>
      <c r="AZ566" s="359"/>
      <c r="BA566" s="359"/>
      <c r="BB566" s="359"/>
      <c r="BC566" s="359"/>
      <c r="BD566" s="426"/>
      <c r="BE566" s="426"/>
      <c r="BF566" s="468">
        <f>2.66/0.72</f>
        <v>3.6944444444444446</v>
      </c>
      <c r="BG566" s="474"/>
      <c r="BH566" s="341"/>
      <c r="BI566" s="446" t="s">
        <v>1256</v>
      </c>
      <c r="BJ566" s="505"/>
    </row>
    <row r="567" spans="1:62" ht="15.75" customHeight="1" thickBot="1" x14ac:dyDescent="0.25">
      <c r="A567" s="174">
        <v>567</v>
      </c>
      <c r="B567" s="175">
        <v>1</v>
      </c>
      <c r="C567" s="166" t="s">
        <v>975</v>
      </c>
      <c r="D567" s="168" t="s">
        <v>3059</v>
      </c>
      <c r="E567" s="166" t="s">
        <v>1068</v>
      </c>
      <c r="F567" s="168" t="s">
        <v>2414</v>
      </c>
      <c r="G567" s="166" t="s">
        <v>292</v>
      </c>
      <c r="H567" s="166" t="s">
        <v>55</v>
      </c>
      <c r="I567" s="181">
        <v>2016</v>
      </c>
      <c r="J567" s="181" t="s">
        <v>1257</v>
      </c>
      <c r="K567" s="181" t="s">
        <v>1258</v>
      </c>
      <c r="L567" s="181" t="s">
        <v>19</v>
      </c>
      <c r="M567" s="556" t="s">
        <v>4218</v>
      </c>
      <c r="N567" s="214" t="s">
        <v>20</v>
      </c>
      <c r="O567" s="214" t="s">
        <v>15</v>
      </c>
      <c r="P567" s="214" t="s">
        <v>20</v>
      </c>
      <c r="Q567" s="214" t="s">
        <v>20</v>
      </c>
      <c r="R567" s="214" t="s">
        <v>20</v>
      </c>
      <c r="S567" s="214" t="s">
        <v>20</v>
      </c>
      <c r="T567" s="214" t="s">
        <v>15</v>
      </c>
      <c r="U567" s="214" t="s">
        <v>15</v>
      </c>
      <c r="V567" s="214" t="s">
        <v>15</v>
      </c>
      <c r="W567" s="214" t="s">
        <v>15</v>
      </c>
      <c r="X567" s="214" t="s">
        <v>15</v>
      </c>
      <c r="Y567" s="214" t="s">
        <v>15</v>
      </c>
      <c r="Z567" s="234"/>
      <c r="AA567" s="214" t="s">
        <v>1259</v>
      </c>
      <c r="AB567" s="214" t="s">
        <v>292</v>
      </c>
      <c r="AC567" s="214" t="s">
        <v>122</v>
      </c>
      <c r="AD567" s="320" t="s">
        <v>1260</v>
      </c>
      <c r="AE567" s="319"/>
      <c r="AF567" s="162">
        <f t="shared" si="36"/>
        <v>244.72</v>
      </c>
      <c r="AG567" s="162">
        <f t="shared" si="39"/>
        <v>246.05</v>
      </c>
      <c r="AH567" s="164">
        <f t="shared" si="37"/>
        <v>18.308</v>
      </c>
      <c r="AI567" s="164">
        <f t="shared" si="38"/>
        <v>18.407499999999999</v>
      </c>
      <c r="AJ567" s="368">
        <f>0.92*AT567</f>
        <v>244.72</v>
      </c>
      <c r="AK567" s="368"/>
      <c r="AL567" s="368">
        <f>0.005*AT567</f>
        <v>1.33</v>
      </c>
      <c r="AM567" s="368">
        <f>0.005*AT567</f>
        <v>1.33</v>
      </c>
      <c r="AN567" s="368">
        <f>0.07*AT567</f>
        <v>18.62</v>
      </c>
      <c r="AO567" s="368"/>
      <c r="AP567" s="368"/>
      <c r="AQ567" s="368"/>
      <c r="AR567" s="368"/>
      <c r="AS567" s="199">
        <f>AJ567</f>
        <v>244.72</v>
      </c>
      <c r="AT567" s="195">
        <v>266</v>
      </c>
      <c r="AU567" s="377"/>
      <c r="AW567" s="426">
        <f>0.92*BG567</f>
        <v>18.308</v>
      </c>
      <c r="AX567" s="426"/>
      <c r="AY567" s="426">
        <f>0.005*BG567</f>
        <v>9.9499999999999991E-2</v>
      </c>
      <c r="AZ567" s="426">
        <f>0.005*BG567</f>
        <v>9.9499999999999991E-2</v>
      </c>
      <c r="BA567" s="426">
        <f>0.07*BG567</f>
        <v>1.393</v>
      </c>
      <c r="BB567" s="426"/>
      <c r="BC567" s="426"/>
      <c r="BD567" s="426"/>
      <c r="BE567" s="426"/>
      <c r="BF567" s="467">
        <v>18.308</v>
      </c>
      <c r="BG567" s="469">
        <v>19.899999999999999</v>
      </c>
      <c r="BH567" s="341"/>
      <c r="BI567" s="446" t="s">
        <v>1261</v>
      </c>
      <c r="BJ567" s="505"/>
    </row>
    <row r="568" spans="1:62" ht="15.75" customHeight="1" thickBot="1" x14ac:dyDescent="0.25">
      <c r="A568" s="176">
        <v>568</v>
      </c>
      <c r="B568" s="175">
        <v>1</v>
      </c>
      <c r="C568" s="166" t="s">
        <v>975</v>
      </c>
      <c r="D568" s="168" t="s">
        <v>3056</v>
      </c>
      <c r="E568" s="166" t="s">
        <v>1069</v>
      </c>
      <c r="F568" s="168" t="s">
        <v>2415</v>
      </c>
      <c r="G568" s="166" t="s">
        <v>122</v>
      </c>
      <c r="H568" s="166" t="s">
        <v>1161</v>
      </c>
      <c r="I568" s="181">
        <v>2015</v>
      </c>
      <c r="J568" s="181" t="s">
        <v>1262</v>
      </c>
      <c r="K568" s="181" t="s">
        <v>1263</v>
      </c>
      <c r="L568" s="181" t="s">
        <v>19</v>
      </c>
      <c r="M568" s="556" t="s">
        <v>4219</v>
      </c>
      <c r="N568" s="214" t="s">
        <v>20</v>
      </c>
      <c r="O568" s="214" t="s">
        <v>15</v>
      </c>
      <c r="P568" s="214" t="s">
        <v>15</v>
      </c>
      <c r="Q568" s="214" t="s">
        <v>15</v>
      </c>
      <c r="R568" s="214" t="s">
        <v>15</v>
      </c>
      <c r="S568" s="214" t="s">
        <v>15</v>
      </c>
      <c r="T568" s="214" t="s">
        <v>15</v>
      </c>
      <c r="U568" s="214" t="s">
        <v>15</v>
      </c>
      <c r="V568" s="214" t="s">
        <v>15</v>
      </c>
      <c r="W568" s="214" t="s">
        <v>15</v>
      </c>
      <c r="X568" s="214" t="s">
        <v>15</v>
      </c>
      <c r="Y568" s="214" t="s">
        <v>15</v>
      </c>
      <c r="Z568" s="234"/>
      <c r="AA568" s="214" t="s">
        <v>303</v>
      </c>
      <c r="AB568" s="214" t="s">
        <v>292</v>
      </c>
      <c r="AC568" s="214" t="s">
        <v>292</v>
      </c>
      <c r="AD568" s="320" t="s">
        <v>1264</v>
      </c>
      <c r="AE568" s="320" t="s">
        <v>2439</v>
      </c>
      <c r="AF568" s="162" t="str">
        <f t="shared" si="36"/>
        <v/>
      </c>
      <c r="AG568" s="162" t="str">
        <f t="shared" si="39"/>
        <v/>
      </c>
      <c r="AH568" s="164">
        <f t="shared" si="37"/>
        <v>1.7846153846153845</v>
      </c>
      <c r="AI568" s="164" t="str">
        <f t="shared" si="38"/>
        <v/>
      </c>
      <c r="AJ568" s="368"/>
      <c r="AK568" s="368"/>
      <c r="AL568" s="368"/>
      <c r="AM568" s="368"/>
      <c r="AN568" s="368"/>
      <c r="AO568" s="368"/>
      <c r="AP568" s="368"/>
      <c r="AQ568" s="368"/>
      <c r="AR568" s="368"/>
      <c r="AS568" s="195"/>
      <c r="AT568" s="195"/>
      <c r="AU568" s="377"/>
      <c r="AV568" s="382"/>
      <c r="AW568" s="426"/>
      <c r="AX568" s="426"/>
      <c r="AY568" s="426"/>
      <c r="AZ568" s="426"/>
      <c r="BA568" s="426"/>
      <c r="BB568" s="426"/>
      <c r="BC568" s="426"/>
      <c r="BD568" s="426"/>
      <c r="BE568" s="426"/>
      <c r="BF568" s="474">
        <f>1.16/0.65</f>
        <v>1.7846153846153845</v>
      </c>
      <c r="BG568" s="469"/>
      <c r="BH568" s="341"/>
      <c r="BI568" s="446" t="s">
        <v>1265</v>
      </c>
      <c r="BJ568" s="505"/>
    </row>
    <row r="569" spans="1:62" ht="15.75" customHeight="1" thickBot="1" x14ac:dyDescent="0.25">
      <c r="A569" s="174">
        <v>569</v>
      </c>
      <c r="B569" s="175">
        <v>1</v>
      </c>
      <c r="C569" s="166" t="s">
        <v>975</v>
      </c>
      <c r="D569" s="168" t="s">
        <v>3056</v>
      </c>
      <c r="E569" s="166" t="s">
        <v>1069</v>
      </c>
      <c r="F569" s="168" t="s">
        <v>2416</v>
      </c>
      <c r="G569" s="166" t="s">
        <v>122</v>
      </c>
      <c r="H569" s="166" t="s">
        <v>1161</v>
      </c>
      <c r="I569" s="181">
        <v>2015</v>
      </c>
      <c r="J569" s="181" t="s">
        <v>1262</v>
      </c>
      <c r="K569" s="181" t="s">
        <v>1263</v>
      </c>
      <c r="L569" s="181" t="s">
        <v>19</v>
      </c>
      <c r="M569" s="556" t="s">
        <v>4219</v>
      </c>
      <c r="N569" s="214" t="s">
        <v>20</v>
      </c>
      <c r="O569" s="214" t="s">
        <v>15</v>
      </c>
      <c r="P569" s="214" t="s">
        <v>15</v>
      </c>
      <c r="Q569" s="214" t="s">
        <v>15</v>
      </c>
      <c r="R569" s="214" t="s">
        <v>15</v>
      </c>
      <c r="S569" s="214" t="s">
        <v>15</v>
      </c>
      <c r="T569" s="214" t="s">
        <v>15</v>
      </c>
      <c r="U569" s="214" t="s">
        <v>15</v>
      </c>
      <c r="V569" s="214" t="s">
        <v>15</v>
      </c>
      <c r="W569" s="214" t="s">
        <v>15</v>
      </c>
      <c r="X569" s="214" t="s">
        <v>15</v>
      </c>
      <c r="Y569" s="214" t="s">
        <v>15</v>
      </c>
      <c r="Z569" s="234"/>
      <c r="AA569" s="214" t="s">
        <v>303</v>
      </c>
      <c r="AB569" s="214" t="s">
        <v>292</v>
      </c>
      <c r="AC569" s="214" t="s">
        <v>292</v>
      </c>
      <c r="AD569" s="320" t="s">
        <v>1264</v>
      </c>
      <c r="AE569" s="320" t="s">
        <v>2439</v>
      </c>
      <c r="AF569" s="162" t="str">
        <f t="shared" si="36"/>
        <v/>
      </c>
      <c r="AG569" s="162" t="str">
        <f t="shared" si="39"/>
        <v/>
      </c>
      <c r="AH569" s="164">
        <f t="shared" si="37"/>
        <v>9.8153846153846143</v>
      </c>
      <c r="AI569" s="164" t="str">
        <f t="shared" si="38"/>
        <v/>
      </c>
      <c r="AJ569" s="368"/>
      <c r="AK569" s="368"/>
      <c r="AL569" s="368"/>
      <c r="AM569" s="368"/>
      <c r="AN569" s="368"/>
      <c r="AO569" s="368"/>
      <c r="AP569" s="368"/>
      <c r="AQ569" s="368"/>
      <c r="AR569" s="368"/>
      <c r="AS569" s="195"/>
      <c r="AT569" s="195"/>
      <c r="AU569" s="377"/>
      <c r="AV569" s="382"/>
      <c r="AW569" s="426"/>
      <c r="AX569" s="426"/>
      <c r="AY569" s="426"/>
      <c r="AZ569" s="426"/>
      <c r="BA569" s="426"/>
      <c r="BB569" s="426"/>
      <c r="BC569" s="426"/>
      <c r="BD569" s="426"/>
      <c r="BE569" s="426"/>
      <c r="BF569" s="468">
        <f>6.38/0.65</f>
        <v>9.8153846153846143</v>
      </c>
      <c r="BG569" s="469"/>
      <c r="BH569" s="341"/>
      <c r="BI569" s="446" t="s">
        <v>1265</v>
      </c>
      <c r="BJ569" s="505"/>
    </row>
    <row r="570" spans="1:62" ht="15.75" customHeight="1" thickBot="1" x14ac:dyDescent="0.25">
      <c r="A570" s="176">
        <v>570</v>
      </c>
      <c r="B570" s="175">
        <v>1</v>
      </c>
      <c r="C570" s="166" t="s">
        <v>975</v>
      </c>
      <c r="D570" s="168" t="s">
        <v>3056</v>
      </c>
      <c r="E570" s="166" t="s">
        <v>1069</v>
      </c>
      <c r="F570" s="168" t="s">
        <v>2417</v>
      </c>
      <c r="G570" s="166" t="s">
        <v>122</v>
      </c>
      <c r="H570" s="166" t="s">
        <v>1161</v>
      </c>
      <c r="I570" s="181">
        <v>2015</v>
      </c>
      <c r="J570" s="181" t="s">
        <v>1262</v>
      </c>
      <c r="K570" s="181" t="s">
        <v>1263</v>
      </c>
      <c r="L570" s="181" t="s">
        <v>19</v>
      </c>
      <c r="M570" s="556" t="s">
        <v>4219</v>
      </c>
      <c r="N570" s="214" t="s">
        <v>20</v>
      </c>
      <c r="O570" s="214" t="s">
        <v>15</v>
      </c>
      <c r="P570" s="214" t="s">
        <v>15</v>
      </c>
      <c r="Q570" s="214" t="s">
        <v>15</v>
      </c>
      <c r="R570" s="214" t="s">
        <v>15</v>
      </c>
      <c r="S570" s="214" t="s">
        <v>15</v>
      </c>
      <c r="T570" s="214" t="s">
        <v>15</v>
      </c>
      <c r="U570" s="214" t="s">
        <v>15</v>
      </c>
      <c r="V570" s="214" t="s">
        <v>15</v>
      </c>
      <c r="W570" s="214" t="s">
        <v>15</v>
      </c>
      <c r="X570" s="214" t="s">
        <v>15</v>
      </c>
      <c r="Y570" s="214" t="s">
        <v>15</v>
      </c>
      <c r="Z570" s="234"/>
      <c r="AA570" s="214" t="s">
        <v>303</v>
      </c>
      <c r="AB570" s="214" t="s">
        <v>292</v>
      </c>
      <c r="AC570" s="214" t="s">
        <v>292</v>
      </c>
      <c r="AD570" s="320" t="s">
        <v>1264</v>
      </c>
      <c r="AE570" s="320" t="s">
        <v>2439</v>
      </c>
      <c r="AF570" s="162" t="str">
        <f t="shared" si="36"/>
        <v/>
      </c>
      <c r="AG570" s="162" t="str">
        <f t="shared" si="39"/>
        <v/>
      </c>
      <c r="AH570" s="164">
        <f t="shared" si="37"/>
        <v>9.3846153846153832</v>
      </c>
      <c r="AI570" s="164" t="str">
        <f t="shared" si="38"/>
        <v/>
      </c>
      <c r="AJ570" s="368"/>
      <c r="AK570" s="368"/>
      <c r="AL570" s="368"/>
      <c r="AM570" s="368"/>
      <c r="AN570" s="368"/>
      <c r="AO570" s="368"/>
      <c r="AP570" s="368"/>
      <c r="AQ570" s="368"/>
      <c r="AR570" s="368"/>
      <c r="AS570" s="195"/>
      <c r="AT570" s="195"/>
      <c r="AU570" s="377"/>
      <c r="AV570" s="382"/>
      <c r="AW570" s="426"/>
      <c r="AX570" s="426"/>
      <c r="AY570" s="426"/>
      <c r="AZ570" s="426"/>
      <c r="BA570" s="426"/>
      <c r="BB570" s="426"/>
      <c r="BC570" s="426"/>
      <c r="BD570" s="426"/>
      <c r="BE570" s="426"/>
      <c r="BF570" s="468">
        <f>6.1/0.65</f>
        <v>9.3846153846153832</v>
      </c>
      <c r="BG570" s="469"/>
      <c r="BH570" s="341"/>
      <c r="BI570" s="446" t="s">
        <v>1265</v>
      </c>
      <c r="BJ570" s="505"/>
    </row>
    <row r="571" spans="1:62" ht="15.75" customHeight="1" thickBot="1" x14ac:dyDescent="0.25">
      <c r="A571" s="174">
        <v>571</v>
      </c>
      <c r="B571" s="175">
        <v>1</v>
      </c>
      <c r="C571" s="166" t="s">
        <v>259</v>
      </c>
      <c r="D571" s="166" t="s">
        <v>2351</v>
      </c>
      <c r="E571" s="166" t="s">
        <v>1266</v>
      </c>
      <c r="F571" s="166" t="s">
        <v>1267</v>
      </c>
      <c r="G571" s="166" t="s">
        <v>292</v>
      </c>
      <c r="H571" s="166" t="s">
        <v>351</v>
      </c>
      <c r="I571" s="181">
        <v>2006</v>
      </c>
      <c r="J571" s="181" t="s">
        <v>1268</v>
      </c>
      <c r="K571" s="181" t="s">
        <v>1269</v>
      </c>
      <c r="L571" s="181" t="s">
        <v>19</v>
      </c>
      <c r="M571" s="556" t="s">
        <v>4220</v>
      </c>
      <c r="N571" s="214" t="s">
        <v>20</v>
      </c>
      <c r="O571" s="214" t="s">
        <v>15</v>
      </c>
      <c r="P571" s="214" t="s">
        <v>15</v>
      </c>
      <c r="Q571" s="214" t="s">
        <v>15</v>
      </c>
      <c r="R571" s="214" t="s">
        <v>15</v>
      </c>
      <c r="S571" s="214" t="s">
        <v>15</v>
      </c>
      <c r="T571" s="214" t="s">
        <v>15</v>
      </c>
      <c r="U571" s="214" t="s">
        <v>15</v>
      </c>
      <c r="V571" s="214" t="s">
        <v>15</v>
      </c>
      <c r="W571" s="214" t="s">
        <v>15</v>
      </c>
      <c r="X571" s="214" t="s">
        <v>15</v>
      </c>
      <c r="Y571" s="214" t="s">
        <v>15</v>
      </c>
      <c r="Z571" s="234"/>
      <c r="AA571" s="214" t="s">
        <v>303</v>
      </c>
      <c r="AB571" s="214" t="s">
        <v>292</v>
      </c>
      <c r="AC571" s="214" t="s">
        <v>292</v>
      </c>
      <c r="AD571" s="320" t="s">
        <v>1270</v>
      </c>
      <c r="AE571" s="319"/>
      <c r="AF571" s="162">
        <f t="shared" si="36"/>
        <v>3.8849999999999998</v>
      </c>
      <c r="AG571" s="162" t="str">
        <f t="shared" si="39"/>
        <v/>
      </c>
      <c r="AH571" s="164" t="str">
        <f t="shared" si="37"/>
        <v/>
      </c>
      <c r="AI571" s="164" t="str">
        <f t="shared" si="38"/>
        <v/>
      </c>
      <c r="AJ571" s="368"/>
      <c r="AK571" s="368"/>
      <c r="AL571" s="368"/>
      <c r="AM571" s="368"/>
      <c r="AN571" s="368"/>
      <c r="AO571" s="368"/>
      <c r="AP571" s="368"/>
      <c r="AQ571" s="368"/>
      <c r="AR571" s="368"/>
      <c r="AS571" s="198">
        <v>3.8849999999999998</v>
      </c>
      <c r="AT571" s="195"/>
      <c r="AU571" s="377"/>
      <c r="AV571" s="382"/>
      <c r="AW571" s="426"/>
      <c r="AX571" s="426"/>
      <c r="AY571" s="426"/>
      <c r="AZ571" s="426"/>
      <c r="BA571" s="426"/>
      <c r="BB571" s="426"/>
      <c r="BC571" s="426"/>
      <c r="BD571" s="426"/>
      <c r="BE571" s="426"/>
      <c r="BF571" s="467"/>
      <c r="BG571" s="469"/>
      <c r="BH571" s="341"/>
      <c r="BI571" s="447"/>
      <c r="BJ571" s="505"/>
    </row>
    <row r="572" spans="1:62" ht="15.75" customHeight="1" thickBot="1" x14ac:dyDescent="0.25">
      <c r="A572" s="176">
        <v>572</v>
      </c>
      <c r="B572" s="175">
        <v>1</v>
      </c>
      <c r="C572" s="166" t="s">
        <v>259</v>
      </c>
      <c r="D572" s="166" t="s">
        <v>1271</v>
      </c>
      <c r="E572" s="166" t="s">
        <v>1266</v>
      </c>
      <c r="F572" s="166" t="s">
        <v>378</v>
      </c>
      <c r="G572" s="166" t="s">
        <v>122</v>
      </c>
      <c r="H572" s="166" t="s">
        <v>183</v>
      </c>
      <c r="I572" s="181">
        <v>2008</v>
      </c>
      <c r="J572" s="181" t="s">
        <v>1272</v>
      </c>
      <c r="K572" s="181" t="s">
        <v>1273</v>
      </c>
      <c r="L572" s="181" t="s">
        <v>19</v>
      </c>
      <c r="M572" s="556" t="s">
        <v>4221</v>
      </c>
      <c r="N572" s="214" t="s">
        <v>20</v>
      </c>
      <c r="O572" s="214" t="s">
        <v>15</v>
      </c>
      <c r="P572" s="214" t="s">
        <v>15</v>
      </c>
      <c r="Q572" s="214" t="s">
        <v>15</v>
      </c>
      <c r="R572" s="214" t="s">
        <v>15</v>
      </c>
      <c r="S572" s="214" t="s">
        <v>15</v>
      </c>
      <c r="T572" s="214" t="s">
        <v>15</v>
      </c>
      <c r="U572" s="214" t="s">
        <v>15</v>
      </c>
      <c r="V572" s="214" t="s">
        <v>15</v>
      </c>
      <c r="W572" s="214" t="s">
        <v>15</v>
      </c>
      <c r="X572" s="214" t="s">
        <v>15</v>
      </c>
      <c r="Y572" s="214" t="s">
        <v>15</v>
      </c>
      <c r="Z572" s="234"/>
      <c r="AA572" s="214" t="s">
        <v>303</v>
      </c>
      <c r="AB572" s="214" t="s">
        <v>292</v>
      </c>
      <c r="AC572" s="214" t="s">
        <v>292</v>
      </c>
      <c r="AD572" s="320" t="s">
        <v>1274</v>
      </c>
      <c r="AE572" s="319"/>
      <c r="AF572" s="162">
        <f t="shared" si="36"/>
        <v>5.2</v>
      </c>
      <c r="AG572" s="162" t="str">
        <f t="shared" si="39"/>
        <v/>
      </c>
      <c r="AH572" s="164">
        <f t="shared" si="37"/>
        <v>0.69599999999999995</v>
      </c>
      <c r="AI572" s="164" t="str">
        <f t="shared" si="38"/>
        <v/>
      </c>
      <c r="AJ572" s="368"/>
      <c r="AK572" s="368"/>
      <c r="AL572" s="368"/>
      <c r="AM572" s="368"/>
      <c r="AN572" s="368"/>
      <c r="AO572" s="368"/>
      <c r="AP572" s="368"/>
      <c r="AQ572" s="368"/>
      <c r="AR572" s="368"/>
      <c r="AS572" s="194">
        <v>5.2</v>
      </c>
      <c r="AT572" s="195"/>
      <c r="AU572" s="378" t="s">
        <v>1275</v>
      </c>
      <c r="AV572" s="382"/>
      <c r="AW572" s="426"/>
      <c r="AX572" s="426"/>
      <c r="AY572" s="426"/>
      <c r="AZ572" s="426"/>
      <c r="BA572" s="426"/>
      <c r="BB572" s="426"/>
      <c r="BC572" s="426"/>
      <c r="BD572" s="426"/>
      <c r="BE572" s="426"/>
      <c r="BF572" s="468">
        <v>0.69599999999999995</v>
      </c>
      <c r="BG572" s="469"/>
      <c r="BH572" s="341"/>
      <c r="BI572" s="446" t="s">
        <v>1276</v>
      </c>
      <c r="BJ572" s="505"/>
    </row>
    <row r="573" spans="1:62" ht="15.75" customHeight="1" thickBot="1" x14ac:dyDescent="0.25">
      <c r="A573" s="174">
        <v>573</v>
      </c>
      <c r="B573" s="175">
        <v>1</v>
      </c>
      <c r="C573" s="166" t="s">
        <v>259</v>
      </c>
      <c r="D573" s="166" t="s">
        <v>1271</v>
      </c>
      <c r="E573" s="166" t="s">
        <v>1266</v>
      </c>
      <c r="F573" s="166" t="s">
        <v>379</v>
      </c>
      <c r="G573" s="166" t="s">
        <v>122</v>
      </c>
      <c r="H573" s="166" t="s">
        <v>183</v>
      </c>
      <c r="I573" s="181">
        <v>2008</v>
      </c>
      <c r="J573" s="181" t="s">
        <v>1272</v>
      </c>
      <c r="K573" s="181" t="s">
        <v>1273</v>
      </c>
      <c r="L573" s="181" t="s">
        <v>19</v>
      </c>
      <c r="M573" s="556" t="s">
        <v>4221</v>
      </c>
      <c r="N573" s="214" t="s">
        <v>20</v>
      </c>
      <c r="O573" s="214" t="s">
        <v>15</v>
      </c>
      <c r="P573" s="214" t="s">
        <v>15</v>
      </c>
      <c r="Q573" s="214" t="s">
        <v>15</v>
      </c>
      <c r="R573" s="214" t="s">
        <v>15</v>
      </c>
      <c r="S573" s="214" t="s">
        <v>15</v>
      </c>
      <c r="T573" s="214" t="s">
        <v>15</v>
      </c>
      <c r="U573" s="214" t="s">
        <v>15</v>
      </c>
      <c r="V573" s="214" t="s">
        <v>15</v>
      </c>
      <c r="W573" s="214" t="s">
        <v>15</v>
      </c>
      <c r="X573" s="214" t="s">
        <v>15</v>
      </c>
      <c r="Y573" s="214" t="s">
        <v>15</v>
      </c>
      <c r="Z573" s="234"/>
      <c r="AA573" s="214" t="s">
        <v>303</v>
      </c>
      <c r="AB573" s="214" t="s">
        <v>292</v>
      </c>
      <c r="AC573" s="214" t="s">
        <v>292</v>
      </c>
      <c r="AD573" s="320" t="s">
        <v>1274</v>
      </c>
      <c r="AE573" s="319"/>
      <c r="AF573" s="162">
        <f t="shared" si="36"/>
        <v>2.2000000000000002</v>
      </c>
      <c r="AG573" s="162" t="str">
        <f t="shared" si="39"/>
        <v/>
      </c>
      <c r="AH573" s="164">
        <f t="shared" si="37"/>
        <v>0.54100000000000004</v>
      </c>
      <c r="AI573" s="164" t="str">
        <f t="shared" si="38"/>
        <v/>
      </c>
      <c r="AJ573" s="368"/>
      <c r="AK573" s="368"/>
      <c r="AL573" s="368"/>
      <c r="AM573" s="368"/>
      <c r="AN573" s="368"/>
      <c r="AO573" s="368"/>
      <c r="AP573" s="368"/>
      <c r="AQ573" s="368"/>
      <c r="AR573" s="368"/>
      <c r="AS573" s="194">
        <v>2.2000000000000002</v>
      </c>
      <c r="AT573" s="195"/>
      <c r="AU573" s="378" t="s">
        <v>1275</v>
      </c>
      <c r="AV573" s="382"/>
      <c r="AW573" s="426"/>
      <c r="AX573" s="426"/>
      <c r="AY573" s="426"/>
      <c r="AZ573" s="426"/>
      <c r="BA573" s="426"/>
      <c r="BB573" s="426"/>
      <c r="BC573" s="426"/>
      <c r="BD573" s="426"/>
      <c r="BE573" s="426"/>
      <c r="BF573" s="468">
        <v>0.54100000000000004</v>
      </c>
      <c r="BG573" s="469"/>
      <c r="BH573" s="341"/>
      <c r="BI573" s="446" t="s">
        <v>1276</v>
      </c>
      <c r="BJ573" s="505"/>
    </row>
    <row r="574" spans="1:62" ht="15.75" customHeight="1" thickBot="1" x14ac:dyDescent="0.25">
      <c r="A574" s="176">
        <v>574</v>
      </c>
      <c r="B574" s="175">
        <v>1</v>
      </c>
      <c r="C574" s="166" t="s">
        <v>259</v>
      </c>
      <c r="D574" s="169" t="s">
        <v>2430</v>
      </c>
      <c r="E574" s="166" t="s">
        <v>1266</v>
      </c>
      <c r="F574" s="169" t="s">
        <v>2419</v>
      </c>
      <c r="G574" s="166" t="s">
        <v>122</v>
      </c>
      <c r="H574" s="166" t="s">
        <v>183</v>
      </c>
      <c r="I574" s="181">
        <v>2008</v>
      </c>
      <c r="J574" s="181" t="s">
        <v>1272</v>
      </c>
      <c r="K574" s="181" t="s">
        <v>1273</v>
      </c>
      <c r="L574" s="181" t="s">
        <v>19</v>
      </c>
      <c r="M574" s="556" t="s">
        <v>4221</v>
      </c>
      <c r="N574" s="214" t="s">
        <v>20</v>
      </c>
      <c r="O574" s="214" t="s">
        <v>15</v>
      </c>
      <c r="P574" s="214" t="s">
        <v>15</v>
      </c>
      <c r="Q574" s="214" t="s">
        <v>15</v>
      </c>
      <c r="R574" s="214" t="s">
        <v>15</v>
      </c>
      <c r="S574" s="214" t="s">
        <v>15</v>
      </c>
      <c r="T574" s="214" t="s">
        <v>15</v>
      </c>
      <c r="U574" s="214" t="s">
        <v>15</v>
      </c>
      <c r="V574" s="214" t="s">
        <v>15</v>
      </c>
      <c r="W574" s="214" t="s">
        <v>15</v>
      </c>
      <c r="X574" s="214" t="s">
        <v>15</v>
      </c>
      <c r="Y574" s="214" t="s">
        <v>15</v>
      </c>
      <c r="Z574" s="234"/>
      <c r="AA574" s="214" t="s">
        <v>303</v>
      </c>
      <c r="AB574" s="214" t="s">
        <v>292</v>
      </c>
      <c r="AC574" s="214" t="s">
        <v>292</v>
      </c>
      <c r="AD574" s="320" t="s">
        <v>1274</v>
      </c>
      <c r="AE574" s="319"/>
      <c r="AF574" s="162">
        <f t="shared" si="36"/>
        <v>2.4</v>
      </c>
      <c r="AG574" s="162" t="str">
        <f t="shared" si="39"/>
        <v/>
      </c>
      <c r="AH574" s="164">
        <f t="shared" si="37"/>
        <v>0.33</v>
      </c>
      <c r="AI574" s="164" t="str">
        <f t="shared" si="38"/>
        <v/>
      </c>
      <c r="AJ574" s="368"/>
      <c r="AK574" s="368"/>
      <c r="AL574" s="368"/>
      <c r="AM574" s="368"/>
      <c r="AN574" s="368"/>
      <c r="AO574" s="368"/>
      <c r="AP574" s="368"/>
      <c r="AQ574" s="368"/>
      <c r="AR574" s="368"/>
      <c r="AS574" s="194">
        <v>2.4</v>
      </c>
      <c r="AT574" s="195"/>
      <c r="AU574" s="378" t="s">
        <v>1275</v>
      </c>
      <c r="AV574" s="382"/>
      <c r="AW574" s="426"/>
      <c r="AX574" s="426"/>
      <c r="AY574" s="426"/>
      <c r="AZ574" s="426"/>
      <c r="BA574" s="426"/>
      <c r="BB574" s="426"/>
      <c r="BC574" s="426"/>
      <c r="BD574" s="426"/>
      <c r="BE574" s="426"/>
      <c r="BF574" s="468">
        <v>0.33</v>
      </c>
      <c r="BG574" s="469"/>
      <c r="BH574" s="341"/>
      <c r="BI574" s="446" t="s">
        <v>1276</v>
      </c>
      <c r="BJ574" s="505"/>
    </row>
    <row r="575" spans="1:62" ht="15.75" customHeight="1" thickBot="1" x14ac:dyDescent="0.25">
      <c r="A575" s="174">
        <v>575</v>
      </c>
      <c r="B575" s="175">
        <v>1</v>
      </c>
      <c r="C575" s="166" t="s">
        <v>259</v>
      </c>
      <c r="D575" s="169" t="s">
        <v>2430</v>
      </c>
      <c r="E575" s="166" t="s">
        <v>1266</v>
      </c>
      <c r="F575" s="169" t="s">
        <v>2420</v>
      </c>
      <c r="G575" s="166" t="s">
        <v>122</v>
      </c>
      <c r="H575" s="166" t="s">
        <v>183</v>
      </c>
      <c r="I575" s="181">
        <v>2008</v>
      </c>
      <c r="J575" s="181" t="s">
        <v>1272</v>
      </c>
      <c r="K575" s="181" t="s">
        <v>1273</v>
      </c>
      <c r="L575" s="181" t="s">
        <v>19</v>
      </c>
      <c r="M575" s="556" t="s">
        <v>4221</v>
      </c>
      <c r="N575" s="214" t="s">
        <v>20</v>
      </c>
      <c r="O575" s="214" t="s">
        <v>15</v>
      </c>
      <c r="P575" s="214" t="s">
        <v>15</v>
      </c>
      <c r="Q575" s="214" t="s">
        <v>15</v>
      </c>
      <c r="R575" s="214" t="s">
        <v>15</v>
      </c>
      <c r="S575" s="214" t="s">
        <v>15</v>
      </c>
      <c r="T575" s="214" t="s">
        <v>15</v>
      </c>
      <c r="U575" s="214" t="s">
        <v>15</v>
      </c>
      <c r="V575" s="214" t="s">
        <v>15</v>
      </c>
      <c r="W575" s="214" t="s">
        <v>15</v>
      </c>
      <c r="X575" s="214" t="s">
        <v>15</v>
      </c>
      <c r="Y575" s="214" t="s">
        <v>15</v>
      </c>
      <c r="Z575" s="234"/>
      <c r="AA575" s="214" t="s">
        <v>303</v>
      </c>
      <c r="AB575" s="214" t="s">
        <v>292</v>
      </c>
      <c r="AC575" s="214" t="s">
        <v>292</v>
      </c>
      <c r="AD575" s="320" t="s">
        <v>1274</v>
      </c>
      <c r="AE575" s="319"/>
      <c r="AF575" s="162">
        <f t="shared" si="36"/>
        <v>1.3</v>
      </c>
      <c r="AG575" s="162" t="str">
        <f t="shared" si="39"/>
        <v/>
      </c>
      <c r="AH575" s="164">
        <f t="shared" si="37"/>
        <v>0.25600000000000001</v>
      </c>
      <c r="AI575" s="164" t="str">
        <f t="shared" si="38"/>
        <v/>
      </c>
      <c r="AJ575" s="368"/>
      <c r="AK575" s="368"/>
      <c r="AL575" s="368"/>
      <c r="AM575" s="368"/>
      <c r="AN575" s="368"/>
      <c r="AO575" s="368"/>
      <c r="AP575" s="368"/>
      <c r="AQ575" s="368"/>
      <c r="AR575" s="368"/>
      <c r="AS575" s="194">
        <v>1.3</v>
      </c>
      <c r="AT575" s="195"/>
      <c r="AU575" s="378" t="s">
        <v>1275</v>
      </c>
      <c r="AV575" s="382"/>
      <c r="AW575" s="426"/>
      <c r="AX575" s="426"/>
      <c r="AY575" s="426"/>
      <c r="AZ575" s="426"/>
      <c r="BA575" s="426"/>
      <c r="BB575" s="426"/>
      <c r="BC575" s="426"/>
      <c r="BD575" s="426"/>
      <c r="BE575" s="426"/>
      <c r="BF575" s="468">
        <v>0.25600000000000001</v>
      </c>
      <c r="BG575" s="469"/>
      <c r="BH575" s="341"/>
      <c r="BI575" s="446" t="s">
        <v>1276</v>
      </c>
      <c r="BJ575" s="505"/>
    </row>
    <row r="576" spans="1:62" ht="15.75" customHeight="1" thickBot="1" x14ac:dyDescent="0.25">
      <c r="A576" s="176">
        <v>576</v>
      </c>
      <c r="B576" s="175">
        <v>1</v>
      </c>
      <c r="C576" s="166" t="s">
        <v>760</v>
      </c>
      <c r="D576" s="166" t="s">
        <v>2270</v>
      </c>
      <c r="E576" s="166" t="s">
        <v>1266</v>
      </c>
      <c r="F576" s="166" t="s">
        <v>378</v>
      </c>
      <c r="G576" s="166" t="s">
        <v>122</v>
      </c>
      <c r="H576" s="166" t="s">
        <v>183</v>
      </c>
      <c r="I576" s="181">
        <v>2008</v>
      </c>
      <c r="J576" s="181" t="s">
        <v>1272</v>
      </c>
      <c r="K576" s="181" t="s">
        <v>1273</v>
      </c>
      <c r="L576" s="181" t="s">
        <v>19</v>
      </c>
      <c r="M576" s="556" t="s">
        <v>4221</v>
      </c>
      <c r="N576" s="214" t="s">
        <v>20</v>
      </c>
      <c r="O576" s="214" t="s">
        <v>15</v>
      </c>
      <c r="P576" s="214" t="s">
        <v>15</v>
      </c>
      <c r="Q576" s="214" t="s">
        <v>15</v>
      </c>
      <c r="R576" s="214" t="s">
        <v>15</v>
      </c>
      <c r="S576" s="214" t="s">
        <v>15</v>
      </c>
      <c r="T576" s="214" t="s">
        <v>15</v>
      </c>
      <c r="U576" s="214" t="s">
        <v>15</v>
      </c>
      <c r="V576" s="214" t="s">
        <v>15</v>
      </c>
      <c r="W576" s="214" t="s">
        <v>15</v>
      </c>
      <c r="X576" s="214" t="s">
        <v>15</v>
      </c>
      <c r="Y576" s="214" t="s">
        <v>15</v>
      </c>
      <c r="Z576" s="234"/>
      <c r="AA576" s="214" t="s">
        <v>303</v>
      </c>
      <c r="AB576" s="214" t="s">
        <v>292</v>
      </c>
      <c r="AC576" s="214" t="s">
        <v>292</v>
      </c>
      <c r="AD576" s="320" t="s">
        <v>1274</v>
      </c>
      <c r="AE576" s="319"/>
      <c r="AF576" s="162">
        <f t="shared" si="36"/>
        <v>2.2999999999999998</v>
      </c>
      <c r="AG576" s="162" t="str">
        <f t="shared" si="39"/>
        <v/>
      </c>
      <c r="AH576" s="164">
        <f t="shared" si="37"/>
        <v>0.24759999999999999</v>
      </c>
      <c r="AI576" s="164" t="str">
        <f t="shared" si="38"/>
        <v/>
      </c>
      <c r="AJ576" s="368"/>
      <c r="AK576" s="368"/>
      <c r="AL576" s="368"/>
      <c r="AM576" s="368"/>
      <c r="AN576" s="368"/>
      <c r="AO576" s="368"/>
      <c r="AP576" s="368"/>
      <c r="AQ576" s="368"/>
      <c r="AR576" s="368"/>
      <c r="AS576" s="194">
        <v>2.2999999999999998</v>
      </c>
      <c r="AT576" s="195"/>
      <c r="AU576" s="378" t="s">
        <v>1275</v>
      </c>
      <c r="AV576" s="382"/>
      <c r="AW576" s="426"/>
      <c r="AX576" s="426"/>
      <c r="AY576" s="426"/>
      <c r="AZ576" s="426"/>
      <c r="BA576" s="426"/>
      <c r="BB576" s="426"/>
      <c r="BC576" s="426"/>
      <c r="BD576" s="426"/>
      <c r="BE576" s="426"/>
      <c r="BF576" s="468">
        <v>0.24759999999999999</v>
      </c>
      <c r="BG576" s="469"/>
      <c r="BH576" s="341"/>
      <c r="BI576" s="446" t="s">
        <v>1276</v>
      </c>
      <c r="BJ576" s="505"/>
    </row>
    <row r="577" spans="1:62" ht="15.75" customHeight="1" thickBot="1" x14ac:dyDescent="0.25">
      <c r="A577" s="174">
        <v>577</v>
      </c>
      <c r="B577" s="175">
        <v>1</v>
      </c>
      <c r="C577" s="166" t="s">
        <v>760</v>
      </c>
      <c r="D577" s="166" t="s">
        <v>2270</v>
      </c>
      <c r="E577" s="166" t="s">
        <v>1266</v>
      </c>
      <c r="F577" s="166" t="s">
        <v>379</v>
      </c>
      <c r="G577" s="166" t="s">
        <v>122</v>
      </c>
      <c r="H577" s="166" t="s">
        <v>183</v>
      </c>
      <c r="I577" s="181">
        <v>2008</v>
      </c>
      <c r="J577" s="181" t="s">
        <v>1272</v>
      </c>
      <c r="K577" s="181" t="s">
        <v>1273</v>
      </c>
      <c r="L577" s="181" t="s">
        <v>19</v>
      </c>
      <c r="M577" s="556" t="s">
        <v>4221</v>
      </c>
      <c r="N577" s="214" t="s">
        <v>20</v>
      </c>
      <c r="O577" s="214" t="s">
        <v>15</v>
      </c>
      <c r="P577" s="214" t="s">
        <v>15</v>
      </c>
      <c r="Q577" s="214" t="s">
        <v>15</v>
      </c>
      <c r="R577" s="214" t="s">
        <v>15</v>
      </c>
      <c r="S577" s="214" t="s">
        <v>15</v>
      </c>
      <c r="T577" s="214" t="s">
        <v>15</v>
      </c>
      <c r="U577" s="214" t="s">
        <v>15</v>
      </c>
      <c r="V577" s="214" t="s">
        <v>15</v>
      </c>
      <c r="W577" s="214" t="s">
        <v>15</v>
      </c>
      <c r="X577" s="214" t="s">
        <v>15</v>
      </c>
      <c r="Y577" s="214" t="s">
        <v>15</v>
      </c>
      <c r="Z577" s="234"/>
      <c r="AA577" s="214" t="s">
        <v>303</v>
      </c>
      <c r="AB577" s="214" t="s">
        <v>292</v>
      </c>
      <c r="AC577" s="214" t="s">
        <v>292</v>
      </c>
      <c r="AD577" s="320" t="s">
        <v>1274</v>
      </c>
      <c r="AE577" s="319"/>
      <c r="AF577" s="162">
        <f t="shared" si="36"/>
        <v>1.5</v>
      </c>
      <c r="AG577" s="162" t="str">
        <f t="shared" si="39"/>
        <v/>
      </c>
      <c r="AH577" s="164">
        <f t="shared" si="37"/>
        <v>0.19</v>
      </c>
      <c r="AI577" s="164" t="str">
        <f t="shared" si="38"/>
        <v/>
      </c>
      <c r="AJ577" s="368"/>
      <c r="AK577" s="368"/>
      <c r="AL577" s="368"/>
      <c r="AM577" s="368"/>
      <c r="AN577" s="368"/>
      <c r="AO577" s="368"/>
      <c r="AP577" s="368"/>
      <c r="AQ577" s="368"/>
      <c r="AR577" s="368"/>
      <c r="AS577" s="194">
        <v>1.5</v>
      </c>
      <c r="AT577" s="195"/>
      <c r="AU577" s="378" t="s">
        <v>1275</v>
      </c>
      <c r="AV577" s="382"/>
      <c r="AW577" s="426"/>
      <c r="AX577" s="426"/>
      <c r="AY577" s="426"/>
      <c r="AZ577" s="426"/>
      <c r="BA577" s="426"/>
      <c r="BB577" s="426"/>
      <c r="BC577" s="426"/>
      <c r="BD577" s="426"/>
      <c r="BE577" s="426"/>
      <c r="BF577" s="468">
        <v>0.19</v>
      </c>
      <c r="BG577" s="469"/>
      <c r="BH577" s="341"/>
      <c r="BI577" s="446" t="s">
        <v>1276</v>
      </c>
      <c r="BJ577" s="505"/>
    </row>
    <row r="578" spans="1:62" ht="15.75" customHeight="1" thickBot="1" x14ac:dyDescent="0.25">
      <c r="A578" s="176">
        <v>578</v>
      </c>
      <c r="B578" s="175">
        <v>1</v>
      </c>
      <c r="C578" s="166" t="s">
        <v>259</v>
      </c>
      <c r="D578" s="166" t="s">
        <v>2351</v>
      </c>
      <c r="E578" s="166" t="s">
        <v>1266</v>
      </c>
      <c r="F578" s="166" t="s">
        <v>378</v>
      </c>
      <c r="G578" s="166" t="s">
        <v>122</v>
      </c>
      <c r="H578" s="166" t="s">
        <v>183</v>
      </c>
      <c r="I578" s="181">
        <v>2008</v>
      </c>
      <c r="J578" s="181" t="s">
        <v>1272</v>
      </c>
      <c r="K578" s="181" t="s">
        <v>1273</v>
      </c>
      <c r="L578" s="181" t="s">
        <v>19</v>
      </c>
      <c r="M578" s="556" t="s">
        <v>4221</v>
      </c>
      <c r="N578" s="214" t="s">
        <v>20</v>
      </c>
      <c r="O578" s="214" t="s">
        <v>15</v>
      </c>
      <c r="P578" s="214" t="s">
        <v>15</v>
      </c>
      <c r="Q578" s="214" t="s">
        <v>15</v>
      </c>
      <c r="R578" s="214" t="s">
        <v>15</v>
      </c>
      <c r="S578" s="214" t="s">
        <v>15</v>
      </c>
      <c r="T578" s="214" t="s">
        <v>15</v>
      </c>
      <c r="U578" s="214" t="s">
        <v>15</v>
      </c>
      <c r="V578" s="214" t="s">
        <v>15</v>
      </c>
      <c r="W578" s="214" t="s">
        <v>15</v>
      </c>
      <c r="X578" s="214" t="s">
        <v>15</v>
      </c>
      <c r="Y578" s="214" t="s">
        <v>15</v>
      </c>
      <c r="Z578" s="234"/>
      <c r="AA578" s="214" t="s">
        <v>303</v>
      </c>
      <c r="AB578" s="214" t="s">
        <v>292</v>
      </c>
      <c r="AC578" s="214" t="s">
        <v>292</v>
      </c>
      <c r="AD578" s="320" t="s">
        <v>1274</v>
      </c>
      <c r="AE578" s="319"/>
      <c r="AF578" s="162">
        <f t="shared" ref="AF578:AF641" si="40">IF(AS578&lt;&gt;0,AS578,"")</f>
        <v>2.7</v>
      </c>
      <c r="AG578" s="162" t="str">
        <f t="shared" si="39"/>
        <v/>
      </c>
      <c r="AH578" s="164">
        <f t="shared" ref="AH578:AH641" si="41">IF(BF578&lt;&gt;0,BF578,"")</f>
        <v>0.38200000000000001</v>
      </c>
      <c r="AI578" s="164" t="str">
        <f t="shared" ref="AI578:AI641" si="42">IF(AND(SUM(AW578:AY578)&lt;&gt;0,SUM(AW578:AY578)&lt;&gt;AW578),SUM(AW578:AY578),"")</f>
        <v/>
      </c>
      <c r="AJ578" s="368"/>
      <c r="AK578" s="368"/>
      <c r="AL578" s="368"/>
      <c r="AM578" s="368"/>
      <c r="AN578" s="368"/>
      <c r="AO578" s="368"/>
      <c r="AP578" s="368"/>
      <c r="AQ578" s="368"/>
      <c r="AR578" s="368"/>
      <c r="AS578" s="194">
        <v>2.7</v>
      </c>
      <c r="AT578" s="195"/>
      <c r="AU578" s="378" t="s">
        <v>1275</v>
      </c>
      <c r="AV578" s="382"/>
      <c r="AW578" s="426"/>
      <c r="AX578" s="426"/>
      <c r="AY578" s="426"/>
      <c r="AZ578" s="426"/>
      <c r="BA578" s="426"/>
      <c r="BB578" s="426"/>
      <c r="BC578" s="426"/>
      <c r="BD578" s="426"/>
      <c r="BE578" s="426"/>
      <c r="BF578" s="468">
        <v>0.38200000000000001</v>
      </c>
      <c r="BG578" s="469"/>
      <c r="BH578" s="341"/>
      <c r="BI578" s="446" t="s">
        <v>1276</v>
      </c>
      <c r="BJ578" s="505"/>
    </row>
    <row r="579" spans="1:62" ht="15.75" customHeight="1" thickBot="1" x14ac:dyDescent="0.25">
      <c r="A579" s="174">
        <v>579</v>
      </c>
      <c r="B579" s="175">
        <v>1</v>
      </c>
      <c r="C579" s="166" t="s">
        <v>259</v>
      </c>
      <c r="D579" s="166" t="s">
        <v>2351</v>
      </c>
      <c r="E579" s="166" t="s">
        <v>1266</v>
      </c>
      <c r="F579" s="166" t="s">
        <v>379</v>
      </c>
      <c r="G579" s="166" t="s">
        <v>122</v>
      </c>
      <c r="H579" s="166" t="s">
        <v>183</v>
      </c>
      <c r="I579" s="181">
        <v>2008</v>
      </c>
      <c r="J579" s="181" t="s">
        <v>1272</v>
      </c>
      <c r="K579" s="181" t="s">
        <v>1273</v>
      </c>
      <c r="L579" s="181" t="s">
        <v>19</v>
      </c>
      <c r="M579" s="556" t="s">
        <v>4221</v>
      </c>
      <c r="N579" s="214" t="s">
        <v>20</v>
      </c>
      <c r="O579" s="214" t="s">
        <v>15</v>
      </c>
      <c r="P579" s="214" t="s">
        <v>15</v>
      </c>
      <c r="Q579" s="214" t="s">
        <v>15</v>
      </c>
      <c r="R579" s="214" t="s">
        <v>15</v>
      </c>
      <c r="S579" s="214" t="s">
        <v>15</v>
      </c>
      <c r="T579" s="214" t="s">
        <v>15</v>
      </c>
      <c r="U579" s="214" t="s">
        <v>15</v>
      </c>
      <c r="V579" s="214" t="s">
        <v>15</v>
      </c>
      <c r="W579" s="214" t="s">
        <v>15</v>
      </c>
      <c r="X579" s="214" t="s">
        <v>15</v>
      </c>
      <c r="Y579" s="214" t="s">
        <v>15</v>
      </c>
      <c r="Z579" s="234"/>
      <c r="AA579" s="214" t="s">
        <v>303</v>
      </c>
      <c r="AB579" s="214" t="s">
        <v>292</v>
      </c>
      <c r="AC579" s="214" t="s">
        <v>292</v>
      </c>
      <c r="AD579" s="320" t="s">
        <v>1274</v>
      </c>
      <c r="AE579" s="319"/>
      <c r="AF579" s="162">
        <f t="shared" si="40"/>
        <v>0.8</v>
      </c>
      <c r="AG579" s="162" t="str">
        <f t="shared" si="39"/>
        <v/>
      </c>
      <c r="AH579" s="164">
        <f t="shared" si="41"/>
        <v>0.29099999999999998</v>
      </c>
      <c r="AI579" s="164" t="str">
        <f t="shared" si="42"/>
        <v/>
      </c>
      <c r="AJ579" s="368"/>
      <c r="AK579" s="368"/>
      <c r="AL579" s="368"/>
      <c r="AM579" s="368"/>
      <c r="AN579" s="368"/>
      <c r="AO579" s="368"/>
      <c r="AP579" s="368"/>
      <c r="AQ579" s="368"/>
      <c r="AR579" s="368"/>
      <c r="AS579" s="194">
        <v>0.8</v>
      </c>
      <c r="AT579" s="195"/>
      <c r="AU579" s="378" t="s">
        <v>1275</v>
      </c>
      <c r="AV579" s="382"/>
      <c r="AW579" s="426"/>
      <c r="AX579" s="426"/>
      <c r="AY579" s="426"/>
      <c r="AZ579" s="426"/>
      <c r="BA579" s="426"/>
      <c r="BB579" s="426"/>
      <c r="BC579" s="426"/>
      <c r="BD579" s="426"/>
      <c r="BE579" s="426"/>
      <c r="BF579" s="468">
        <v>0.29099999999999998</v>
      </c>
      <c r="BG579" s="469"/>
      <c r="BH579" s="341"/>
      <c r="BI579" s="446" t="s">
        <v>1276</v>
      </c>
      <c r="BJ579" s="505"/>
    </row>
    <row r="580" spans="1:62" ht="15.75" customHeight="1" thickBot="1" x14ac:dyDescent="0.25">
      <c r="A580" s="176">
        <v>580</v>
      </c>
      <c r="B580" s="175">
        <v>1</v>
      </c>
      <c r="C580" s="166" t="s">
        <v>259</v>
      </c>
      <c r="D580" s="159" t="s">
        <v>2348</v>
      </c>
      <c r="E580" s="167"/>
      <c r="F580" s="166" t="s">
        <v>378</v>
      </c>
      <c r="G580" s="166" t="s">
        <v>122</v>
      </c>
      <c r="H580" s="166" t="s">
        <v>351</v>
      </c>
      <c r="I580" s="181">
        <v>2009</v>
      </c>
      <c r="J580" s="181" t="s">
        <v>1277</v>
      </c>
      <c r="K580" s="181" t="s">
        <v>1278</v>
      </c>
      <c r="L580" s="181" t="s">
        <v>19</v>
      </c>
      <c r="M580" s="556" t="s">
        <v>4222</v>
      </c>
      <c r="N580" s="214" t="s">
        <v>20</v>
      </c>
      <c r="O580" s="214" t="s">
        <v>15</v>
      </c>
      <c r="P580" s="214" t="s">
        <v>20</v>
      </c>
      <c r="Q580" s="214" t="s">
        <v>20</v>
      </c>
      <c r="R580" s="214" t="s">
        <v>15</v>
      </c>
      <c r="S580" s="214" t="s">
        <v>122</v>
      </c>
      <c r="T580" s="214" t="s">
        <v>15</v>
      </c>
      <c r="U580" s="214" t="s">
        <v>15</v>
      </c>
      <c r="V580" s="214" t="s">
        <v>15</v>
      </c>
      <c r="W580" s="214" t="s">
        <v>15</v>
      </c>
      <c r="X580" s="214" t="s">
        <v>15</v>
      </c>
      <c r="Y580" s="214" t="s">
        <v>15</v>
      </c>
      <c r="Z580" s="234"/>
      <c r="AA580" s="234"/>
      <c r="AB580" s="214" t="s">
        <v>292</v>
      </c>
      <c r="AC580" s="214" t="s">
        <v>292</v>
      </c>
      <c r="AD580" s="320" t="s">
        <v>1279</v>
      </c>
      <c r="AE580" s="320" t="s">
        <v>1280</v>
      </c>
      <c r="AF580" s="162" t="str">
        <f t="shared" si="40"/>
        <v/>
      </c>
      <c r="AG580" s="162" t="str">
        <f t="shared" si="39"/>
        <v/>
      </c>
      <c r="AH580" s="164">
        <f t="shared" si="41"/>
        <v>0.28358208955223879</v>
      </c>
      <c r="AI580" s="164" t="str">
        <f t="shared" si="42"/>
        <v/>
      </c>
      <c r="AJ580" s="368"/>
      <c r="AK580" s="368"/>
      <c r="AL580" s="368"/>
      <c r="AM580" s="368"/>
      <c r="AN580" s="368"/>
      <c r="AO580" s="368"/>
      <c r="AP580" s="368"/>
      <c r="AQ580" s="368"/>
      <c r="AR580" s="368"/>
      <c r="AS580" s="199"/>
      <c r="AT580" s="198">
        <f>0.0033/0.67</f>
        <v>4.9253731343283577E-3</v>
      </c>
      <c r="AU580" s="377"/>
      <c r="AW580" s="426"/>
      <c r="AX580" s="426"/>
      <c r="AY580" s="426"/>
      <c r="AZ580" s="426"/>
      <c r="BA580" s="426"/>
      <c r="BB580" s="426"/>
      <c r="BC580" s="426"/>
      <c r="BD580" s="426"/>
      <c r="BE580" s="426"/>
      <c r="BF580" s="468">
        <f>0.19/0.67</f>
        <v>0.28358208955223879</v>
      </c>
      <c r="BG580" s="474">
        <f>0.33/0.67</f>
        <v>0.4925373134328358</v>
      </c>
      <c r="BH580" s="341"/>
      <c r="BI580" s="446" t="s">
        <v>1281</v>
      </c>
      <c r="BJ580" s="505"/>
    </row>
    <row r="581" spans="1:62" ht="15.75" customHeight="1" thickBot="1" x14ac:dyDescent="0.25">
      <c r="A581" s="174">
        <v>581</v>
      </c>
      <c r="B581" s="175">
        <v>1</v>
      </c>
      <c r="C581" s="166" t="s">
        <v>259</v>
      </c>
      <c r="D581" s="159" t="s">
        <v>2348</v>
      </c>
      <c r="E581" s="167"/>
      <c r="F581" s="166" t="s">
        <v>379</v>
      </c>
      <c r="G581" s="166" t="s">
        <v>122</v>
      </c>
      <c r="H581" s="166" t="s">
        <v>351</v>
      </c>
      <c r="I581" s="181">
        <v>2009</v>
      </c>
      <c r="J581" s="181" t="s">
        <v>1277</v>
      </c>
      <c r="K581" s="181" t="s">
        <v>1278</v>
      </c>
      <c r="L581" s="181" t="s">
        <v>19</v>
      </c>
      <c r="M581" s="556" t="s">
        <v>4222</v>
      </c>
      <c r="N581" s="214" t="s">
        <v>20</v>
      </c>
      <c r="O581" s="214" t="s">
        <v>15</v>
      </c>
      <c r="P581" s="214" t="s">
        <v>20</v>
      </c>
      <c r="Q581" s="214" t="s">
        <v>20</v>
      </c>
      <c r="R581" s="214" t="s">
        <v>15</v>
      </c>
      <c r="S581" s="214" t="s">
        <v>122</v>
      </c>
      <c r="T581" s="214" t="s">
        <v>15</v>
      </c>
      <c r="U581" s="214" t="s">
        <v>15</v>
      </c>
      <c r="V581" s="214" t="s">
        <v>15</v>
      </c>
      <c r="W581" s="214" t="s">
        <v>15</v>
      </c>
      <c r="X581" s="214" t="s">
        <v>15</v>
      </c>
      <c r="Y581" s="214" t="s">
        <v>15</v>
      </c>
      <c r="Z581" s="234"/>
      <c r="AA581" s="234"/>
      <c r="AB581" s="214" t="s">
        <v>292</v>
      </c>
      <c r="AC581" s="214" t="s">
        <v>292</v>
      </c>
      <c r="AD581" s="320" t="s">
        <v>1279</v>
      </c>
      <c r="AE581" s="320" t="s">
        <v>1280</v>
      </c>
      <c r="AF581" s="162" t="str">
        <f t="shared" si="40"/>
        <v/>
      </c>
      <c r="AG581" s="162" t="str">
        <f t="shared" si="39"/>
        <v/>
      </c>
      <c r="AH581" s="164">
        <f t="shared" si="41"/>
        <v>0.23880597014925373</v>
      </c>
      <c r="AI581" s="164" t="str">
        <f t="shared" si="42"/>
        <v/>
      </c>
      <c r="AJ581" s="368"/>
      <c r="AK581" s="368"/>
      <c r="AL581" s="368"/>
      <c r="AM581" s="368"/>
      <c r="AN581" s="368"/>
      <c r="AO581" s="368"/>
      <c r="AP581" s="368"/>
      <c r="AQ581" s="368"/>
      <c r="AR581" s="368"/>
      <c r="AS581" s="195"/>
      <c r="AT581" s="199">
        <f>0.0027/0.67</f>
        <v>4.0298507462686569E-3</v>
      </c>
      <c r="AU581" s="377"/>
      <c r="AW581" s="426"/>
      <c r="AX581" s="426"/>
      <c r="AY581" s="426"/>
      <c r="AZ581" s="426"/>
      <c r="BA581" s="426"/>
      <c r="BB581" s="426"/>
      <c r="BC581" s="426"/>
      <c r="BD581" s="426"/>
      <c r="BE581" s="426"/>
      <c r="BF581" s="468">
        <f>0.16/0.67</f>
        <v>0.23880597014925373</v>
      </c>
      <c r="BG581" s="468">
        <f>0.3/0.67</f>
        <v>0.44776119402985071</v>
      </c>
      <c r="BH581" s="341"/>
      <c r="BI581" s="446" t="s">
        <v>1281</v>
      </c>
      <c r="BJ581" s="505"/>
    </row>
    <row r="582" spans="1:62" ht="15.75" customHeight="1" thickBot="1" x14ac:dyDescent="0.25">
      <c r="A582" s="176">
        <v>582</v>
      </c>
      <c r="B582" s="175">
        <v>1</v>
      </c>
      <c r="C582" s="166" t="s">
        <v>259</v>
      </c>
      <c r="D582" s="166" t="s">
        <v>2239</v>
      </c>
      <c r="E582" s="166" t="s">
        <v>1282</v>
      </c>
      <c r="F582" s="166" t="s">
        <v>1283</v>
      </c>
      <c r="G582" s="166" t="s">
        <v>292</v>
      </c>
      <c r="H582" s="166" t="s">
        <v>1284</v>
      </c>
      <c r="I582" s="181">
        <v>2009</v>
      </c>
      <c r="J582" s="181" t="s">
        <v>1285</v>
      </c>
      <c r="K582" s="181" t="s">
        <v>1286</v>
      </c>
      <c r="L582" s="181" t="s">
        <v>19</v>
      </c>
      <c r="M582" s="556" t="s">
        <v>4223</v>
      </c>
      <c r="N582" s="214" t="s">
        <v>20</v>
      </c>
      <c r="O582" s="214" t="s">
        <v>15</v>
      </c>
      <c r="P582" s="214" t="s">
        <v>20</v>
      </c>
      <c r="Q582" s="214" t="s">
        <v>20</v>
      </c>
      <c r="R582" s="214" t="s">
        <v>20</v>
      </c>
      <c r="S582" s="214" t="s">
        <v>20</v>
      </c>
      <c r="T582" s="214" t="s">
        <v>20</v>
      </c>
      <c r="U582" s="214" t="s">
        <v>20</v>
      </c>
      <c r="V582" s="214" t="s">
        <v>15</v>
      </c>
      <c r="W582" s="214" t="s">
        <v>20</v>
      </c>
      <c r="X582" s="214" t="s">
        <v>15</v>
      </c>
      <c r="Y582" s="214" t="s">
        <v>15</v>
      </c>
      <c r="Z582" s="234"/>
      <c r="AA582" s="214" t="s">
        <v>1287</v>
      </c>
      <c r="AB582" s="214" t="s">
        <v>122</v>
      </c>
      <c r="AC582" s="214" t="s">
        <v>122</v>
      </c>
      <c r="AD582" s="323" t="s">
        <v>1288</v>
      </c>
      <c r="AE582" s="319" t="s">
        <v>2847</v>
      </c>
      <c r="AF582" s="162" t="str">
        <f t="shared" si="40"/>
        <v/>
      </c>
      <c r="AG582" s="162" t="str">
        <f t="shared" si="39"/>
        <v/>
      </c>
      <c r="AH582" s="164">
        <f t="shared" si="41"/>
        <v>0.23066722408026757</v>
      </c>
      <c r="AI582" s="164">
        <f t="shared" si="42"/>
        <v>0.3213026755852843</v>
      </c>
      <c r="AJ582" s="368"/>
      <c r="AK582" s="368"/>
      <c r="AL582" s="368"/>
      <c r="AM582" s="368"/>
      <c r="AN582" s="368"/>
      <c r="AO582" s="368"/>
      <c r="AP582" s="368"/>
      <c r="AQ582" s="368"/>
      <c r="AR582" s="368"/>
      <c r="AS582" s="195"/>
      <c r="AT582" s="199"/>
      <c r="AU582" s="377"/>
      <c r="AV582" s="382"/>
      <c r="AW582" s="426">
        <v>0.23066722408026757</v>
      </c>
      <c r="AX582" s="426">
        <f t="shared" ref="AX582:AX587" si="43">0.2*BG582</f>
        <v>9.0635451505016729E-2</v>
      </c>
      <c r="AY582" s="426"/>
      <c r="AZ582" s="426">
        <f t="shared" ref="AZ582:AZ587" si="44">0.014*BG582</f>
        <v>6.344481605351171E-3</v>
      </c>
      <c r="BA582" s="426"/>
      <c r="BB582" s="426">
        <f t="shared" ref="BB582:BB587" si="45">0.055*BG582</f>
        <v>2.49247491638796E-2</v>
      </c>
      <c r="BC582" s="426">
        <f t="shared" ref="BC582:BC587" si="46">0.25*BG582</f>
        <v>0.11329431438127091</v>
      </c>
      <c r="BD582" s="426"/>
      <c r="BE582" s="426"/>
      <c r="BF582" s="467">
        <f t="shared" ref="BF582:BF587" si="47">BG582*0.509</f>
        <v>0.23066722408026757</v>
      </c>
      <c r="BG582" s="467">
        <f>0.271/0.598</f>
        <v>0.45317725752508364</v>
      </c>
      <c r="BH582" s="341"/>
      <c r="BI582" s="447"/>
      <c r="BJ582" s="505"/>
    </row>
    <row r="583" spans="1:62" ht="15.75" customHeight="1" thickBot="1" x14ac:dyDescent="0.25">
      <c r="A583" s="174">
        <v>583</v>
      </c>
      <c r="B583" s="175">
        <v>1</v>
      </c>
      <c r="C583" s="166" t="s">
        <v>259</v>
      </c>
      <c r="D583" s="166" t="s">
        <v>2239</v>
      </c>
      <c r="E583" s="166" t="s">
        <v>1282</v>
      </c>
      <c r="F583" s="166" t="s">
        <v>1289</v>
      </c>
      <c r="G583" s="166" t="s">
        <v>292</v>
      </c>
      <c r="H583" s="166" t="s">
        <v>1284</v>
      </c>
      <c r="I583" s="181">
        <v>2009</v>
      </c>
      <c r="J583" s="181" t="s">
        <v>1285</v>
      </c>
      <c r="K583" s="181" t="s">
        <v>1286</v>
      </c>
      <c r="L583" s="181" t="s">
        <v>19</v>
      </c>
      <c r="M583" s="556" t="s">
        <v>4223</v>
      </c>
      <c r="N583" s="214" t="s">
        <v>20</v>
      </c>
      <c r="O583" s="214" t="s">
        <v>15</v>
      </c>
      <c r="P583" s="214" t="s">
        <v>20</v>
      </c>
      <c r="Q583" s="214" t="s">
        <v>20</v>
      </c>
      <c r="R583" s="214" t="s">
        <v>20</v>
      </c>
      <c r="S583" s="214" t="s">
        <v>20</v>
      </c>
      <c r="T583" s="214" t="s">
        <v>20</v>
      </c>
      <c r="U583" s="214" t="s">
        <v>20</v>
      </c>
      <c r="V583" s="214" t="s">
        <v>15</v>
      </c>
      <c r="W583" s="214" t="s">
        <v>20</v>
      </c>
      <c r="X583" s="214" t="s">
        <v>15</v>
      </c>
      <c r="Y583" s="214" t="s">
        <v>15</v>
      </c>
      <c r="Z583" s="234"/>
      <c r="AA583" s="214" t="s">
        <v>1287</v>
      </c>
      <c r="AB583" s="214" t="s">
        <v>122</v>
      </c>
      <c r="AC583" s="214" t="s">
        <v>122</v>
      </c>
      <c r="AD583" s="323" t="s">
        <v>1288</v>
      </c>
      <c r="AE583" s="319" t="s">
        <v>2848</v>
      </c>
      <c r="AF583" s="162" t="str">
        <f t="shared" si="40"/>
        <v/>
      </c>
      <c r="AG583" s="162" t="str">
        <f t="shared" si="39"/>
        <v/>
      </c>
      <c r="AH583" s="164">
        <f t="shared" si="41"/>
        <v>0.17907765451664026</v>
      </c>
      <c r="AI583" s="164">
        <f t="shared" si="42"/>
        <v>0.2494421553090333</v>
      </c>
      <c r="AJ583" s="368"/>
      <c r="AK583" s="368"/>
      <c r="AL583" s="368"/>
      <c r="AM583" s="368"/>
      <c r="AN583" s="368"/>
      <c r="AO583" s="368"/>
      <c r="AP583" s="368"/>
      <c r="AQ583" s="368"/>
      <c r="AR583" s="368"/>
      <c r="AS583" s="195"/>
      <c r="AT583" s="195"/>
      <c r="AU583" s="377"/>
      <c r="AV583" s="382"/>
      <c r="AW583" s="426">
        <v>0.17907765451664026</v>
      </c>
      <c r="AX583" s="426">
        <f t="shared" si="43"/>
        <v>7.0364500792393023E-2</v>
      </c>
      <c r="AY583" s="426"/>
      <c r="AZ583" s="426">
        <f t="shared" si="44"/>
        <v>4.9255150554675118E-3</v>
      </c>
      <c r="BA583" s="426"/>
      <c r="BB583" s="426">
        <f t="shared" si="45"/>
        <v>1.9350237717908083E-2</v>
      </c>
      <c r="BC583" s="426">
        <f t="shared" si="46"/>
        <v>8.7955625990491282E-2</v>
      </c>
      <c r="BD583" s="426"/>
      <c r="BE583" s="426"/>
      <c r="BF583" s="469">
        <f t="shared" si="47"/>
        <v>0.17907765451664026</v>
      </c>
      <c r="BG583" s="469">
        <f>0.222/0.631</f>
        <v>0.35182250396196513</v>
      </c>
      <c r="BH583" s="341"/>
      <c r="BI583" s="447"/>
      <c r="BJ583" s="505"/>
    </row>
    <row r="584" spans="1:62" ht="15.75" customHeight="1" thickBot="1" x14ac:dyDescent="0.25">
      <c r="A584" s="176">
        <v>584</v>
      </c>
      <c r="B584" s="175">
        <v>1</v>
      </c>
      <c r="C584" s="166" t="s">
        <v>259</v>
      </c>
      <c r="D584" s="166" t="s">
        <v>2239</v>
      </c>
      <c r="E584" s="166" t="s">
        <v>1282</v>
      </c>
      <c r="F584" s="166" t="s">
        <v>1290</v>
      </c>
      <c r="G584" s="166" t="s">
        <v>292</v>
      </c>
      <c r="H584" s="166" t="s">
        <v>1284</v>
      </c>
      <c r="I584" s="181">
        <v>2009</v>
      </c>
      <c r="J584" s="181" t="s">
        <v>1285</v>
      </c>
      <c r="K584" s="181" t="s">
        <v>1286</v>
      </c>
      <c r="L584" s="181" t="s">
        <v>19</v>
      </c>
      <c r="M584" s="556" t="s">
        <v>4223</v>
      </c>
      <c r="N584" s="214" t="s">
        <v>20</v>
      </c>
      <c r="O584" s="214" t="s">
        <v>15</v>
      </c>
      <c r="P584" s="214" t="s">
        <v>20</v>
      </c>
      <c r="Q584" s="214" t="s">
        <v>20</v>
      </c>
      <c r="R584" s="214" t="s">
        <v>20</v>
      </c>
      <c r="S584" s="214" t="s">
        <v>20</v>
      </c>
      <c r="T584" s="214" t="s">
        <v>20</v>
      </c>
      <c r="U584" s="214" t="s">
        <v>20</v>
      </c>
      <c r="V584" s="214" t="s">
        <v>15</v>
      </c>
      <c r="W584" s="214" t="s">
        <v>20</v>
      </c>
      <c r="X584" s="214" t="s">
        <v>15</v>
      </c>
      <c r="Y584" s="214" t="s">
        <v>15</v>
      </c>
      <c r="Z584" s="234"/>
      <c r="AA584" s="214" t="s">
        <v>1287</v>
      </c>
      <c r="AB584" s="214" t="s">
        <v>122</v>
      </c>
      <c r="AC584" s="214" t="s">
        <v>122</v>
      </c>
      <c r="AD584" s="323" t="s">
        <v>1288</v>
      </c>
      <c r="AE584" s="319" t="s">
        <v>2849</v>
      </c>
      <c r="AF584" s="162" t="str">
        <f t="shared" si="40"/>
        <v/>
      </c>
      <c r="AG584" s="162" t="str">
        <f t="shared" si="39"/>
        <v/>
      </c>
      <c r="AH584" s="164">
        <f t="shared" si="41"/>
        <v>0.1889890795631825</v>
      </c>
      <c r="AI584" s="164">
        <f t="shared" si="42"/>
        <v>0.26324804992199685</v>
      </c>
      <c r="AJ584" s="368"/>
      <c r="AK584" s="368"/>
      <c r="AL584" s="368"/>
      <c r="AM584" s="368"/>
      <c r="AN584" s="368"/>
      <c r="AO584" s="368"/>
      <c r="AP584" s="368"/>
      <c r="AQ584" s="368"/>
      <c r="AR584" s="368"/>
      <c r="AS584" s="195"/>
      <c r="AT584" s="195"/>
      <c r="AU584" s="377"/>
      <c r="AV584" s="382"/>
      <c r="AW584" s="426">
        <v>0.1889890795631825</v>
      </c>
      <c r="AX584" s="426">
        <f t="shared" si="43"/>
        <v>7.4258970358814347E-2</v>
      </c>
      <c r="AY584" s="426"/>
      <c r="AZ584" s="426">
        <f t="shared" si="44"/>
        <v>5.1981279251170041E-3</v>
      </c>
      <c r="BA584" s="426"/>
      <c r="BB584" s="426">
        <f t="shared" si="45"/>
        <v>2.0421216848673946E-2</v>
      </c>
      <c r="BC584" s="426">
        <f t="shared" si="46"/>
        <v>9.2823712948517934E-2</v>
      </c>
      <c r="BD584" s="426"/>
      <c r="BE584" s="426"/>
      <c r="BF584" s="469">
        <f t="shared" si="47"/>
        <v>0.1889890795631825</v>
      </c>
      <c r="BG584" s="469">
        <f>0.238/0.641</f>
        <v>0.37129485179407173</v>
      </c>
      <c r="BH584" s="341"/>
      <c r="BI584" s="447"/>
      <c r="BJ584" s="505"/>
    </row>
    <row r="585" spans="1:62" ht="15.75" customHeight="1" thickBot="1" x14ac:dyDescent="0.25">
      <c r="A585" s="174">
        <v>585</v>
      </c>
      <c r="B585" s="175">
        <v>1</v>
      </c>
      <c r="C585" s="166" t="s">
        <v>259</v>
      </c>
      <c r="D585" s="166" t="s">
        <v>2747</v>
      </c>
      <c r="E585" s="166" t="s">
        <v>1282</v>
      </c>
      <c r="F585" s="166" t="s">
        <v>1291</v>
      </c>
      <c r="G585" s="166" t="s">
        <v>292</v>
      </c>
      <c r="H585" s="166" t="s">
        <v>1284</v>
      </c>
      <c r="I585" s="181">
        <v>2009</v>
      </c>
      <c r="J585" s="181" t="s">
        <v>1285</v>
      </c>
      <c r="K585" s="181" t="s">
        <v>1286</v>
      </c>
      <c r="L585" s="181" t="s">
        <v>19</v>
      </c>
      <c r="M585" s="556" t="s">
        <v>4223</v>
      </c>
      <c r="N585" s="214" t="s">
        <v>20</v>
      </c>
      <c r="O585" s="214" t="s">
        <v>15</v>
      </c>
      <c r="P585" s="214" t="s">
        <v>20</v>
      </c>
      <c r="Q585" s="214" t="s">
        <v>20</v>
      </c>
      <c r="R585" s="214" t="s">
        <v>20</v>
      </c>
      <c r="S585" s="214" t="s">
        <v>20</v>
      </c>
      <c r="T585" s="214" t="s">
        <v>20</v>
      </c>
      <c r="U585" s="214" t="s">
        <v>20</v>
      </c>
      <c r="V585" s="214" t="s">
        <v>15</v>
      </c>
      <c r="W585" s="214" t="s">
        <v>20</v>
      </c>
      <c r="X585" s="214" t="s">
        <v>15</v>
      </c>
      <c r="Y585" s="214" t="s">
        <v>15</v>
      </c>
      <c r="Z585" s="234"/>
      <c r="AA585" s="214" t="s">
        <v>1287</v>
      </c>
      <c r="AB585" s="214" t="s">
        <v>122</v>
      </c>
      <c r="AC585" s="214" t="s">
        <v>122</v>
      </c>
      <c r="AD585" s="323" t="s">
        <v>1288</v>
      </c>
      <c r="AE585" s="319" t="s">
        <v>2846</v>
      </c>
      <c r="AF585" s="162" t="str">
        <f t="shared" si="40"/>
        <v/>
      </c>
      <c r="AG585" s="162" t="str">
        <f t="shared" si="39"/>
        <v/>
      </c>
      <c r="AH585" s="164">
        <f t="shared" si="41"/>
        <v>0.15426615384615386</v>
      </c>
      <c r="AI585" s="164">
        <f t="shared" si="42"/>
        <v>0.21488153846153848</v>
      </c>
      <c r="AJ585" s="368"/>
      <c r="AK585" s="368"/>
      <c r="AL585" s="368"/>
      <c r="AM585" s="368"/>
      <c r="AN585" s="368"/>
      <c r="AO585" s="368"/>
      <c r="AP585" s="368"/>
      <c r="AQ585" s="368"/>
      <c r="AR585" s="368"/>
      <c r="AS585" s="195"/>
      <c r="AT585" s="195"/>
      <c r="AU585" s="377"/>
      <c r="AV585" s="382"/>
      <c r="AW585" s="426">
        <v>0.15426615384615386</v>
      </c>
      <c r="AX585" s="426">
        <f t="shared" si="43"/>
        <v>6.061538461538462E-2</v>
      </c>
      <c r="AY585" s="426"/>
      <c r="AZ585" s="426">
        <f t="shared" si="44"/>
        <v>4.2430769230769232E-3</v>
      </c>
      <c r="BA585" s="426"/>
      <c r="BB585" s="426">
        <f t="shared" si="45"/>
        <v>1.666923076923077E-2</v>
      </c>
      <c r="BC585" s="426">
        <f t="shared" si="46"/>
        <v>7.5769230769230769E-2</v>
      </c>
      <c r="BD585" s="426"/>
      <c r="BE585" s="426"/>
      <c r="BF585" s="469">
        <f t="shared" si="47"/>
        <v>0.15426615384615386</v>
      </c>
      <c r="BG585" s="469">
        <f>0.197/0.65</f>
        <v>0.30307692307692308</v>
      </c>
      <c r="BH585" s="341"/>
      <c r="BI585" s="447"/>
      <c r="BJ585" s="505"/>
    </row>
    <row r="586" spans="1:62" ht="15.75" customHeight="1" thickBot="1" x14ac:dyDescent="0.25">
      <c r="A586" s="176">
        <v>586</v>
      </c>
      <c r="B586" s="175">
        <v>1</v>
      </c>
      <c r="C586" s="166" t="s">
        <v>259</v>
      </c>
      <c r="D586" s="166" t="s">
        <v>3068</v>
      </c>
      <c r="E586" s="166" t="s">
        <v>1282</v>
      </c>
      <c r="F586" s="166" t="s">
        <v>1292</v>
      </c>
      <c r="G586" s="166" t="s">
        <v>292</v>
      </c>
      <c r="H586" s="166" t="s">
        <v>1284</v>
      </c>
      <c r="I586" s="181">
        <v>2009</v>
      </c>
      <c r="J586" s="181" t="s">
        <v>1285</v>
      </c>
      <c r="K586" s="181" t="s">
        <v>1286</v>
      </c>
      <c r="L586" s="181" t="s">
        <v>19</v>
      </c>
      <c r="M586" s="556" t="s">
        <v>4223</v>
      </c>
      <c r="N586" s="214" t="s">
        <v>20</v>
      </c>
      <c r="O586" s="214" t="s">
        <v>15</v>
      </c>
      <c r="P586" s="214" t="s">
        <v>20</v>
      </c>
      <c r="Q586" s="214" t="s">
        <v>20</v>
      </c>
      <c r="R586" s="214" t="s">
        <v>20</v>
      </c>
      <c r="S586" s="214" t="s">
        <v>20</v>
      </c>
      <c r="T586" s="214" t="s">
        <v>20</v>
      </c>
      <c r="U586" s="214" t="s">
        <v>20</v>
      </c>
      <c r="V586" s="214" t="s">
        <v>15</v>
      </c>
      <c r="W586" s="214" t="s">
        <v>20</v>
      </c>
      <c r="X586" s="214" t="s">
        <v>15</v>
      </c>
      <c r="Y586" s="214" t="s">
        <v>15</v>
      </c>
      <c r="Z586" s="234"/>
      <c r="AA586" s="214" t="s">
        <v>1287</v>
      </c>
      <c r="AB586" s="214" t="s">
        <v>122</v>
      </c>
      <c r="AC586" s="214" t="s">
        <v>122</v>
      </c>
      <c r="AD586" s="323" t="s">
        <v>1288</v>
      </c>
      <c r="AE586" s="319" t="s">
        <v>2850</v>
      </c>
      <c r="AF586" s="162" t="str">
        <f t="shared" si="40"/>
        <v/>
      </c>
      <c r="AG586" s="162" t="str">
        <f t="shared" si="39"/>
        <v/>
      </c>
      <c r="AH586" s="164">
        <f t="shared" si="41"/>
        <v>0.20129943502824862</v>
      </c>
      <c r="AI586" s="164">
        <f t="shared" si="42"/>
        <v>0.28039548022598876</v>
      </c>
      <c r="AJ586" s="368"/>
      <c r="AK586" s="368"/>
      <c r="AL586" s="368"/>
      <c r="AM586" s="368"/>
      <c r="AN586" s="368"/>
      <c r="AO586" s="368"/>
      <c r="AP586" s="368"/>
      <c r="AQ586" s="368"/>
      <c r="AR586" s="368"/>
      <c r="AS586" s="195"/>
      <c r="AT586" s="195"/>
      <c r="AU586" s="377"/>
      <c r="AV586" s="382"/>
      <c r="AW586" s="426">
        <v>0.20129943502824862</v>
      </c>
      <c r="AX586" s="426">
        <f t="shared" si="43"/>
        <v>7.9096045197740134E-2</v>
      </c>
      <c r="AY586" s="426"/>
      <c r="AZ586" s="426">
        <f t="shared" si="44"/>
        <v>5.5367231638418094E-3</v>
      </c>
      <c r="BA586" s="426"/>
      <c r="BB586" s="426">
        <f t="shared" si="45"/>
        <v>2.1751412429378534E-2</v>
      </c>
      <c r="BC586" s="426">
        <f t="shared" si="46"/>
        <v>9.887005649717516E-2</v>
      </c>
      <c r="BD586" s="426"/>
      <c r="BE586" s="426"/>
      <c r="BF586" s="469">
        <f t="shared" si="47"/>
        <v>0.20129943502824862</v>
      </c>
      <c r="BG586" s="469">
        <f>0.28/0.708</f>
        <v>0.39548022598870064</v>
      </c>
      <c r="BH586" s="341"/>
      <c r="BI586" s="447"/>
      <c r="BJ586" s="505"/>
    </row>
    <row r="587" spans="1:62" ht="15.75" customHeight="1" thickBot="1" x14ac:dyDescent="0.25">
      <c r="A587" s="174">
        <v>587</v>
      </c>
      <c r="B587" s="175">
        <v>1</v>
      </c>
      <c r="C587" s="166" t="s">
        <v>259</v>
      </c>
      <c r="D587" s="166" t="s">
        <v>2747</v>
      </c>
      <c r="E587" s="166" t="s">
        <v>1282</v>
      </c>
      <c r="F587" s="166" t="s">
        <v>1293</v>
      </c>
      <c r="G587" s="166" t="s">
        <v>292</v>
      </c>
      <c r="H587" s="166" t="s">
        <v>1284</v>
      </c>
      <c r="I587" s="181">
        <v>2009</v>
      </c>
      <c r="J587" s="181" t="s">
        <v>1285</v>
      </c>
      <c r="K587" s="181" t="s">
        <v>1286</v>
      </c>
      <c r="L587" s="181" t="s">
        <v>19</v>
      </c>
      <c r="M587" s="556" t="s">
        <v>4223</v>
      </c>
      <c r="N587" s="214" t="s">
        <v>20</v>
      </c>
      <c r="O587" s="214" t="s">
        <v>15</v>
      </c>
      <c r="P587" s="214" t="s">
        <v>20</v>
      </c>
      <c r="Q587" s="214" t="s">
        <v>20</v>
      </c>
      <c r="R587" s="214" t="s">
        <v>20</v>
      </c>
      <c r="S587" s="214" t="s">
        <v>20</v>
      </c>
      <c r="T587" s="214" t="s">
        <v>20</v>
      </c>
      <c r="U587" s="214" t="s">
        <v>20</v>
      </c>
      <c r="V587" s="214" t="s">
        <v>15</v>
      </c>
      <c r="W587" s="214" t="s">
        <v>20</v>
      </c>
      <c r="X587" s="214" t="s">
        <v>15</v>
      </c>
      <c r="Y587" s="214" t="s">
        <v>15</v>
      </c>
      <c r="Z587" s="234"/>
      <c r="AA587" s="214" t="s">
        <v>1287</v>
      </c>
      <c r="AB587" s="214" t="s">
        <v>122</v>
      </c>
      <c r="AC587" s="214" t="s">
        <v>122</v>
      </c>
      <c r="AD587" s="323" t="s">
        <v>1288</v>
      </c>
      <c r="AE587" s="319" t="s">
        <v>2848</v>
      </c>
      <c r="AF587" s="162" t="str">
        <f t="shared" si="40"/>
        <v/>
      </c>
      <c r="AG587" s="162" t="str">
        <f t="shared" si="39"/>
        <v/>
      </c>
      <c r="AH587" s="164">
        <f t="shared" si="41"/>
        <v>0.19763074484944534</v>
      </c>
      <c r="AI587" s="164">
        <f t="shared" si="42"/>
        <v>0.2752852614896989</v>
      </c>
      <c r="AJ587" s="368"/>
      <c r="AK587" s="368"/>
      <c r="AL587" s="368"/>
      <c r="AM587" s="368"/>
      <c r="AN587" s="368"/>
      <c r="AO587" s="368"/>
      <c r="AP587" s="368"/>
      <c r="AQ587" s="368"/>
      <c r="AR587" s="368"/>
      <c r="AS587" s="195"/>
      <c r="AT587" s="195"/>
      <c r="AU587" s="377"/>
      <c r="AV587" s="382"/>
      <c r="AW587" s="426">
        <v>0.19763074484944534</v>
      </c>
      <c r="AX587" s="426">
        <f t="shared" si="43"/>
        <v>7.7654516640253579E-2</v>
      </c>
      <c r="AY587" s="426"/>
      <c r="AZ587" s="426">
        <f t="shared" si="44"/>
        <v>5.4358161648177502E-3</v>
      </c>
      <c r="BA587" s="426"/>
      <c r="BB587" s="426">
        <f t="shared" si="45"/>
        <v>2.135499207606973E-2</v>
      </c>
      <c r="BC587" s="426">
        <f t="shared" si="46"/>
        <v>9.706814580031696E-2</v>
      </c>
      <c r="BD587" s="426"/>
      <c r="BE587" s="426"/>
      <c r="BF587" s="469">
        <f t="shared" si="47"/>
        <v>0.19763074484944534</v>
      </c>
      <c r="BG587" s="469">
        <f>0.245/0.631</f>
        <v>0.38827258320126784</v>
      </c>
      <c r="BH587" s="341"/>
      <c r="BI587" s="447"/>
      <c r="BJ587" s="505"/>
    </row>
    <row r="588" spans="1:62" ht="15.75" customHeight="1" thickBot="1" x14ac:dyDescent="0.25">
      <c r="A588" s="176">
        <v>588</v>
      </c>
      <c r="B588" s="175">
        <v>1</v>
      </c>
      <c r="C588" s="166" t="s">
        <v>11</v>
      </c>
      <c r="D588" s="170" t="s">
        <v>12</v>
      </c>
      <c r="E588" s="166" t="s">
        <v>13</v>
      </c>
      <c r="F588" s="166" t="s">
        <v>1294</v>
      </c>
      <c r="G588" s="166" t="s">
        <v>1295</v>
      </c>
      <c r="H588" s="166" t="s">
        <v>700</v>
      </c>
      <c r="I588" s="181">
        <v>2011</v>
      </c>
      <c r="J588" s="181" t="s">
        <v>1296</v>
      </c>
      <c r="K588" s="181"/>
      <c r="L588" s="181" t="s">
        <v>19</v>
      </c>
      <c r="M588" s="556" t="s">
        <v>4224</v>
      </c>
      <c r="N588" s="214" t="s">
        <v>20</v>
      </c>
      <c r="O588" s="214" t="s">
        <v>15</v>
      </c>
      <c r="P588" s="214" t="s">
        <v>15</v>
      </c>
      <c r="Q588" s="214" t="s">
        <v>15</v>
      </c>
      <c r="R588" s="214" t="s">
        <v>15</v>
      </c>
      <c r="S588" s="214" t="s">
        <v>15</v>
      </c>
      <c r="T588" s="214" t="s">
        <v>15</v>
      </c>
      <c r="U588" s="214" t="s">
        <v>15</v>
      </c>
      <c r="V588" s="214" t="s">
        <v>15</v>
      </c>
      <c r="W588" s="214" t="s">
        <v>15</v>
      </c>
      <c r="X588" s="214" t="s">
        <v>15</v>
      </c>
      <c r="Y588" s="214" t="s">
        <v>15</v>
      </c>
      <c r="Z588" s="234"/>
      <c r="AA588" s="214" t="s">
        <v>1131</v>
      </c>
      <c r="AB588" s="214" t="s">
        <v>15</v>
      </c>
      <c r="AC588" s="214" t="s">
        <v>15</v>
      </c>
      <c r="AD588" s="320" t="s">
        <v>1297</v>
      </c>
      <c r="AE588" s="320" t="s">
        <v>92</v>
      </c>
      <c r="AF588" s="162" t="str">
        <f t="shared" si="40"/>
        <v/>
      </c>
      <c r="AG588" s="162" t="str">
        <f t="shared" si="39"/>
        <v/>
      </c>
      <c r="AH588" s="164">
        <f t="shared" si="41"/>
        <v>1</v>
      </c>
      <c r="AI588" s="164" t="str">
        <f t="shared" si="42"/>
        <v/>
      </c>
      <c r="AJ588" s="368"/>
      <c r="AK588" s="368"/>
      <c r="AL588" s="368"/>
      <c r="AM588" s="368"/>
      <c r="AN588" s="368"/>
      <c r="AO588" s="368"/>
      <c r="AP588" s="368"/>
      <c r="AQ588" s="368"/>
      <c r="AR588" s="368"/>
      <c r="AS588" s="195"/>
      <c r="AT588" s="195"/>
      <c r="AU588" s="377"/>
      <c r="AV588" s="382"/>
      <c r="AW588" s="426"/>
      <c r="AX588" s="426"/>
      <c r="AY588" s="426"/>
      <c r="AZ588" s="426"/>
      <c r="BA588" s="426"/>
      <c r="BB588" s="426"/>
      <c r="BC588" s="426"/>
      <c r="BD588" s="426"/>
      <c r="BE588" s="426"/>
      <c r="BF588" s="474">
        <v>1</v>
      </c>
      <c r="BG588" s="469"/>
      <c r="BH588" s="341"/>
      <c r="BI588" s="446" t="s">
        <v>733</v>
      </c>
      <c r="BJ588" s="505"/>
    </row>
    <row r="589" spans="1:62" ht="15.75" customHeight="1" thickBot="1" x14ac:dyDescent="0.25">
      <c r="A589" s="174">
        <v>589</v>
      </c>
      <c r="B589" s="175">
        <v>1</v>
      </c>
      <c r="C589" s="166" t="s">
        <v>11</v>
      </c>
      <c r="D589" s="170" t="s">
        <v>12</v>
      </c>
      <c r="E589" s="166" t="s">
        <v>13</v>
      </c>
      <c r="F589" s="166" t="s">
        <v>1294</v>
      </c>
      <c r="G589" s="166" t="s">
        <v>1295</v>
      </c>
      <c r="H589" s="166" t="s">
        <v>101</v>
      </c>
      <c r="I589" s="181">
        <v>2011</v>
      </c>
      <c r="J589" s="181" t="s">
        <v>1296</v>
      </c>
      <c r="K589" s="181"/>
      <c r="L589" s="181" t="s">
        <v>19</v>
      </c>
      <c r="M589" s="556" t="s">
        <v>4224</v>
      </c>
      <c r="N589" s="214" t="s">
        <v>20</v>
      </c>
      <c r="O589" s="214" t="s">
        <v>15</v>
      </c>
      <c r="P589" s="214" t="s">
        <v>15</v>
      </c>
      <c r="Q589" s="214" t="s">
        <v>15</v>
      </c>
      <c r="R589" s="214" t="s">
        <v>15</v>
      </c>
      <c r="S589" s="214" t="s">
        <v>15</v>
      </c>
      <c r="T589" s="214" t="s">
        <v>15</v>
      </c>
      <c r="U589" s="214" t="s">
        <v>15</v>
      </c>
      <c r="V589" s="214" t="s">
        <v>15</v>
      </c>
      <c r="W589" s="214" t="s">
        <v>15</v>
      </c>
      <c r="X589" s="214" t="s">
        <v>15</v>
      </c>
      <c r="Y589" s="214" t="s">
        <v>15</v>
      </c>
      <c r="Z589" s="234"/>
      <c r="AA589" s="214" t="s">
        <v>1131</v>
      </c>
      <c r="AB589" s="214" t="s">
        <v>15</v>
      </c>
      <c r="AC589" s="214" t="s">
        <v>15</v>
      </c>
      <c r="AD589" s="320" t="s">
        <v>1297</v>
      </c>
      <c r="AE589" s="320" t="s">
        <v>92</v>
      </c>
      <c r="AF589" s="162" t="str">
        <f t="shared" si="40"/>
        <v/>
      </c>
      <c r="AG589" s="162" t="str">
        <f t="shared" si="39"/>
        <v/>
      </c>
      <c r="AH589" s="164">
        <f t="shared" si="41"/>
        <v>1.1599999999999999</v>
      </c>
      <c r="AI589" s="164" t="str">
        <f t="shared" si="42"/>
        <v/>
      </c>
      <c r="AJ589" s="368"/>
      <c r="AK589" s="368"/>
      <c r="AL589" s="368"/>
      <c r="AM589" s="368"/>
      <c r="AN589" s="368"/>
      <c r="AO589" s="368"/>
      <c r="AP589" s="368"/>
      <c r="AQ589" s="368"/>
      <c r="AR589" s="368"/>
      <c r="AS589" s="195"/>
      <c r="AT589" s="195"/>
      <c r="AU589" s="377"/>
      <c r="AV589" s="382"/>
      <c r="AW589" s="426"/>
      <c r="AX589" s="426"/>
      <c r="AY589" s="426"/>
      <c r="AZ589" s="426"/>
      <c r="BA589" s="426"/>
      <c r="BB589" s="426"/>
      <c r="BC589" s="426"/>
      <c r="BD589" s="426"/>
      <c r="BE589" s="426"/>
      <c r="BF589" s="468">
        <v>1.1599999999999999</v>
      </c>
      <c r="BG589" s="469"/>
      <c r="BH589" s="341"/>
      <c r="BI589" s="446" t="s">
        <v>733</v>
      </c>
      <c r="BJ589" s="505"/>
    </row>
    <row r="590" spans="1:62" ht="15.75" customHeight="1" thickBot="1" x14ac:dyDescent="0.25">
      <c r="A590" s="176">
        <v>590</v>
      </c>
      <c r="B590" s="175">
        <v>1</v>
      </c>
      <c r="C590" s="166" t="s">
        <v>11</v>
      </c>
      <c r="D590" s="170" t="s">
        <v>12</v>
      </c>
      <c r="E590" s="166" t="s">
        <v>13</v>
      </c>
      <c r="F590" s="166" t="s">
        <v>1294</v>
      </c>
      <c r="G590" s="166" t="s">
        <v>1298</v>
      </c>
      <c r="H590" s="166" t="s">
        <v>700</v>
      </c>
      <c r="I590" s="181">
        <v>2011</v>
      </c>
      <c r="J590" s="181" t="s">
        <v>1296</v>
      </c>
      <c r="K590" s="181"/>
      <c r="L590" s="181" t="s">
        <v>19</v>
      </c>
      <c r="M590" s="556" t="s">
        <v>4224</v>
      </c>
      <c r="N590" s="214" t="s">
        <v>20</v>
      </c>
      <c r="O590" s="214" t="s">
        <v>15</v>
      </c>
      <c r="P590" s="214" t="s">
        <v>15</v>
      </c>
      <c r="Q590" s="214" t="s">
        <v>15</v>
      </c>
      <c r="R590" s="214" t="s">
        <v>15</v>
      </c>
      <c r="S590" s="214" t="s">
        <v>15</v>
      </c>
      <c r="T590" s="214" t="s">
        <v>15</v>
      </c>
      <c r="U590" s="214" t="s">
        <v>15</v>
      </c>
      <c r="V590" s="214" t="s">
        <v>15</v>
      </c>
      <c r="W590" s="214" t="s">
        <v>15</v>
      </c>
      <c r="X590" s="214" t="s">
        <v>15</v>
      </c>
      <c r="Y590" s="214" t="s">
        <v>15</v>
      </c>
      <c r="Z590" s="234"/>
      <c r="AA590" s="214" t="s">
        <v>1131</v>
      </c>
      <c r="AB590" s="214" t="s">
        <v>15</v>
      </c>
      <c r="AC590" s="214" t="s">
        <v>15</v>
      </c>
      <c r="AD590" s="320" t="s">
        <v>1297</v>
      </c>
      <c r="AE590" s="320" t="s">
        <v>92</v>
      </c>
      <c r="AF590" s="162" t="str">
        <f t="shared" si="40"/>
        <v/>
      </c>
      <c r="AG590" s="162" t="str">
        <f t="shared" si="39"/>
        <v/>
      </c>
      <c r="AH590" s="164">
        <f t="shared" si="41"/>
        <v>0.63</v>
      </c>
      <c r="AI590" s="164" t="str">
        <f t="shared" si="42"/>
        <v/>
      </c>
      <c r="AJ590" s="368"/>
      <c r="AK590" s="368"/>
      <c r="AL590" s="368"/>
      <c r="AM590" s="368"/>
      <c r="AN590" s="368"/>
      <c r="AO590" s="368"/>
      <c r="AP590" s="368"/>
      <c r="AQ590" s="368"/>
      <c r="AR590" s="368"/>
      <c r="AS590" s="195"/>
      <c r="AT590" s="195"/>
      <c r="AU590" s="377"/>
      <c r="AV590" s="382"/>
      <c r="AW590" s="426"/>
      <c r="AX590" s="426"/>
      <c r="AY590" s="426"/>
      <c r="AZ590" s="426"/>
      <c r="BA590" s="426"/>
      <c r="BB590" s="426"/>
      <c r="BC590" s="426"/>
      <c r="BD590" s="426"/>
      <c r="BE590" s="426"/>
      <c r="BF590" s="468">
        <v>0.63</v>
      </c>
      <c r="BG590" s="469"/>
      <c r="BH590" s="341"/>
      <c r="BI590" s="446" t="s">
        <v>733</v>
      </c>
      <c r="BJ590" s="505"/>
    </row>
    <row r="591" spans="1:62" ht="15.75" customHeight="1" thickBot="1" x14ac:dyDescent="0.25">
      <c r="A591" s="174">
        <v>591</v>
      </c>
      <c r="B591" s="175">
        <v>1</v>
      </c>
      <c r="C591" s="166" t="s">
        <v>11</v>
      </c>
      <c r="D591" s="170" t="s">
        <v>12</v>
      </c>
      <c r="E591" s="166" t="s">
        <v>13</v>
      </c>
      <c r="F591" s="166" t="s">
        <v>1294</v>
      </c>
      <c r="G591" s="166" t="s">
        <v>1298</v>
      </c>
      <c r="H591" s="166" t="s">
        <v>101</v>
      </c>
      <c r="I591" s="181">
        <v>2011</v>
      </c>
      <c r="J591" s="181" t="s">
        <v>1296</v>
      </c>
      <c r="K591" s="181"/>
      <c r="L591" s="181" t="s">
        <v>19</v>
      </c>
      <c r="M591" s="556" t="s">
        <v>4224</v>
      </c>
      <c r="N591" s="214" t="s">
        <v>20</v>
      </c>
      <c r="O591" s="214" t="s">
        <v>15</v>
      </c>
      <c r="P591" s="214" t="s">
        <v>15</v>
      </c>
      <c r="Q591" s="214" t="s">
        <v>15</v>
      </c>
      <c r="R591" s="214" t="s">
        <v>15</v>
      </c>
      <c r="S591" s="214" t="s">
        <v>15</v>
      </c>
      <c r="T591" s="214" t="s">
        <v>15</v>
      </c>
      <c r="U591" s="214" t="s">
        <v>15</v>
      </c>
      <c r="V591" s="214" t="s">
        <v>15</v>
      </c>
      <c r="W591" s="214" t="s">
        <v>15</v>
      </c>
      <c r="X591" s="214" t="s">
        <v>15</v>
      </c>
      <c r="Y591" s="214" t="s">
        <v>15</v>
      </c>
      <c r="Z591" s="234"/>
      <c r="AA591" s="214" t="s">
        <v>1131</v>
      </c>
      <c r="AB591" s="214" t="s">
        <v>15</v>
      </c>
      <c r="AC591" s="214" t="s">
        <v>15</v>
      </c>
      <c r="AD591" s="320" t="s">
        <v>1297</v>
      </c>
      <c r="AE591" s="320" t="s">
        <v>92</v>
      </c>
      <c r="AF591" s="162" t="str">
        <f t="shared" si="40"/>
        <v/>
      </c>
      <c r="AG591" s="162" t="str">
        <f t="shared" si="39"/>
        <v/>
      </c>
      <c r="AH591" s="164">
        <f t="shared" si="41"/>
        <v>0.73</v>
      </c>
      <c r="AI591" s="164" t="str">
        <f t="shared" si="42"/>
        <v/>
      </c>
      <c r="AJ591" s="368"/>
      <c r="AK591" s="368"/>
      <c r="AL591" s="368"/>
      <c r="AM591" s="368"/>
      <c r="AN591" s="368"/>
      <c r="AO591" s="368"/>
      <c r="AP591" s="368"/>
      <c r="AQ591" s="368"/>
      <c r="AR591" s="368"/>
      <c r="AS591" s="195"/>
      <c r="AT591" s="195"/>
      <c r="AU591" s="377"/>
      <c r="AV591" s="382"/>
      <c r="AW591" s="426"/>
      <c r="AX591" s="426"/>
      <c r="AY591" s="426"/>
      <c r="AZ591" s="426"/>
      <c r="BA591" s="426"/>
      <c r="BB591" s="426"/>
      <c r="BC591" s="426"/>
      <c r="BD591" s="426"/>
      <c r="BE591" s="426"/>
      <c r="BF591" s="468">
        <v>0.73</v>
      </c>
      <c r="BG591" s="469"/>
      <c r="BH591" s="341"/>
      <c r="BI591" s="446" t="s">
        <v>733</v>
      </c>
      <c r="BJ591" s="505"/>
    </row>
    <row r="592" spans="1:62" ht="15.75" customHeight="1" thickBot="1" x14ac:dyDescent="0.25">
      <c r="A592" s="176">
        <v>592</v>
      </c>
      <c r="B592" s="175">
        <v>1</v>
      </c>
      <c r="C592" s="166" t="s">
        <v>11</v>
      </c>
      <c r="D592" s="170" t="s">
        <v>12</v>
      </c>
      <c r="E592" s="166" t="s">
        <v>13</v>
      </c>
      <c r="F592" s="166" t="s">
        <v>1294</v>
      </c>
      <c r="G592" s="166" t="s">
        <v>1299</v>
      </c>
      <c r="H592" s="166" t="s">
        <v>700</v>
      </c>
      <c r="I592" s="181">
        <v>2011</v>
      </c>
      <c r="J592" s="181" t="s">
        <v>1296</v>
      </c>
      <c r="K592" s="181"/>
      <c r="L592" s="181" t="s">
        <v>19</v>
      </c>
      <c r="M592" s="556" t="s">
        <v>4224</v>
      </c>
      <c r="N592" s="214" t="s">
        <v>20</v>
      </c>
      <c r="O592" s="214" t="s">
        <v>15</v>
      </c>
      <c r="P592" s="214" t="s">
        <v>15</v>
      </c>
      <c r="Q592" s="214" t="s">
        <v>15</v>
      </c>
      <c r="R592" s="214" t="s">
        <v>15</v>
      </c>
      <c r="S592" s="214" t="s">
        <v>15</v>
      </c>
      <c r="T592" s="214" t="s">
        <v>15</v>
      </c>
      <c r="U592" s="214" t="s">
        <v>15</v>
      </c>
      <c r="V592" s="214" t="s">
        <v>15</v>
      </c>
      <c r="W592" s="214" t="s">
        <v>15</v>
      </c>
      <c r="X592" s="214" t="s">
        <v>15</v>
      </c>
      <c r="Y592" s="214" t="s">
        <v>15</v>
      </c>
      <c r="Z592" s="234"/>
      <c r="AA592" s="214" t="s">
        <v>1131</v>
      </c>
      <c r="AB592" s="214" t="s">
        <v>15</v>
      </c>
      <c r="AC592" s="214" t="s">
        <v>15</v>
      </c>
      <c r="AD592" s="320" t="s">
        <v>1297</v>
      </c>
      <c r="AE592" s="320" t="s">
        <v>92</v>
      </c>
      <c r="AF592" s="162" t="str">
        <f t="shared" si="40"/>
        <v/>
      </c>
      <c r="AG592" s="162" t="str">
        <f t="shared" si="39"/>
        <v/>
      </c>
      <c r="AH592" s="164">
        <f t="shared" si="41"/>
        <v>0.76</v>
      </c>
      <c r="AI592" s="164" t="str">
        <f t="shared" si="42"/>
        <v/>
      </c>
      <c r="AJ592" s="368"/>
      <c r="AK592" s="368"/>
      <c r="AL592" s="368"/>
      <c r="AM592" s="368"/>
      <c r="AN592" s="368"/>
      <c r="AO592" s="368"/>
      <c r="AP592" s="368"/>
      <c r="AQ592" s="368"/>
      <c r="AR592" s="368"/>
      <c r="AS592" s="195"/>
      <c r="AT592" s="195"/>
      <c r="AU592" s="377"/>
      <c r="AV592" s="382"/>
      <c r="AW592" s="426"/>
      <c r="AX592" s="426"/>
      <c r="AY592" s="426"/>
      <c r="AZ592" s="426"/>
      <c r="BA592" s="426"/>
      <c r="BB592" s="426"/>
      <c r="BC592" s="426"/>
      <c r="BD592" s="426"/>
      <c r="BE592" s="426"/>
      <c r="BF592" s="468">
        <v>0.76</v>
      </c>
      <c r="BG592" s="469"/>
      <c r="BH592" s="341"/>
      <c r="BI592" s="446" t="s">
        <v>733</v>
      </c>
      <c r="BJ592" s="505"/>
    </row>
    <row r="593" spans="1:62" ht="15.75" customHeight="1" thickBot="1" x14ac:dyDescent="0.25">
      <c r="A593" s="174">
        <v>593</v>
      </c>
      <c r="B593" s="175">
        <v>1</v>
      </c>
      <c r="C593" s="166" t="s">
        <v>11</v>
      </c>
      <c r="D593" s="170" t="s">
        <v>12</v>
      </c>
      <c r="E593" s="166" t="s">
        <v>13</v>
      </c>
      <c r="F593" s="166" t="s">
        <v>1294</v>
      </c>
      <c r="G593" s="166" t="s">
        <v>1299</v>
      </c>
      <c r="H593" s="166" t="s">
        <v>101</v>
      </c>
      <c r="I593" s="181">
        <v>2011</v>
      </c>
      <c r="J593" s="181" t="s">
        <v>1296</v>
      </c>
      <c r="K593" s="181"/>
      <c r="L593" s="181" t="s">
        <v>19</v>
      </c>
      <c r="M593" s="556" t="s">
        <v>4224</v>
      </c>
      <c r="N593" s="214" t="s">
        <v>20</v>
      </c>
      <c r="O593" s="214" t="s">
        <v>15</v>
      </c>
      <c r="P593" s="214" t="s">
        <v>15</v>
      </c>
      <c r="Q593" s="214" t="s">
        <v>15</v>
      </c>
      <c r="R593" s="214" t="s">
        <v>15</v>
      </c>
      <c r="S593" s="214" t="s">
        <v>15</v>
      </c>
      <c r="T593" s="214" t="s">
        <v>15</v>
      </c>
      <c r="U593" s="214" t="s">
        <v>15</v>
      </c>
      <c r="V593" s="214" t="s">
        <v>15</v>
      </c>
      <c r="W593" s="214" t="s">
        <v>15</v>
      </c>
      <c r="X593" s="214" t="s">
        <v>15</v>
      </c>
      <c r="Y593" s="214" t="s">
        <v>15</v>
      </c>
      <c r="Z593" s="234"/>
      <c r="AA593" s="214" t="s">
        <v>1131</v>
      </c>
      <c r="AB593" s="214" t="s">
        <v>15</v>
      </c>
      <c r="AC593" s="214" t="s">
        <v>15</v>
      </c>
      <c r="AD593" s="320" t="s">
        <v>1297</v>
      </c>
      <c r="AE593" s="320" t="s">
        <v>92</v>
      </c>
      <c r="AF593" s="162" t="str">
        <f t="shared" si="40"/>
        <v/>
      </c>
      <c r="AG593" s="162" t="str">
        <f t="shared" si="39"/>
        <v/>
      </c>
      <c r="AH593" s="164">
        <f t="shared" si="41"/>
        <v>0.85</v>
      </c>
      <c r="AI593" s="164" t="str">
        <f t="shared" si="42"/>
        <v/>
      </c>
      <c r="AJ593" s="368"/>
      <c r="AK593" s="368"/>
      <c r="AL593" s="368"/>
      <c r="AM593" s="368"/>
      <c r="AN593" s="368"/>
      <c r="AO593" s="368"/>
      <c r="AP593" s="368"/>
      <c r="AQ593" s="368"/>
      <c r="AR593" s="368"/>
      <c r="AS593" s="195"/>
      <c r="AT593" s="195"/>
      <c r="AU593" s="377"/>
      <c r="AV593" s="382"/>
      <c r="AW593" s="426"/>
      <c r="AX593" s="426"/>
      <c r="AY593" s="426"/>
      <c r="AZ593" s="426"/>
      <c r="BA593" s="426"/>
      <c r="BB593" s="426"/>
      <c r="BC593" s="426"/>
      <c r="BD593" s="426"/>
      <c r="BE593" s="426"/>
      <c r="BF593" s="468">
        <v>0.85</v>
      </c>
      <c r="BG593" s="469"/>
      <c r="BH593" s="341"/>
      <c r="BI593" s="446" t="s">
        <v>733</v>
      </c>
      <c r="BJ593" s="505"/>
    </row>
    <row r="594" spans="1:62" ht="15.75" customHeight="1" thickBot="1" x14ac:dyDescent="0.25">
      <c r="A594" s="176">
        <v>594</v>
      </c>
      <c r="B594" s="175">
        <v>1</v>
      </c>
      <c r="C594" s="166" t="s">
        <v>11</v>
      </c>
      <c r="D594" s="170" t="s">
        <v>12</v>
      </c>
      <c r="E594" s="166" t="s">
        <v>13</v>
      </c>
      <c r="F594" s="166" t="s">
        <v>1294</v>
      </c>
      <c r="G594" s="166" t="s">
        <v>1300</v>
      </c>
      <c r="H594" s="166" t="s">
        <v>700</v>
      </c>
      <c r="I594" s="181">
        <v>2011</v>
      </c>
      <c r="J594" s="181" t="s">
        <v>1296</v>
      </c>
      <c r="K594" s="181"/>
      <c r="L594" s="181" t="s">
        <v>19</v>
      </c>
      <c r="M594" s="556" t="s">
        <v>4224</v>
      </c>
      <c r="N594" s="214" t="s">
        <v>20</v>
      </c>
      <c r="O594" s="214" t="s">
        <v>15</v>
      </c>
      <c r="P594" s="214" t="s">
        <v>15</v>
      </c>
      <c r="Q594" s="214" t="s">
        <v>15</v>
      </c>
      <c r="R594" s="214" t="s">
        <v>15</v>
      </c>
      <c r="S594" s="214" t="s">
        <v>15</v>
      </c>
      <c r="T594" s="214" t="s">
        <v>15</v>
      </c>
      <c r="U594" s="214" t="s">
        <v>15</v>
      </c>
      <c r="V594" s="214" t="s">
        <v>15</v>
      </c>
      <c r="W594" s="214" t="s">
        <v>15</v>
      </c>
      <c r="X594" s="214" t="s">
        <v>15</v>
      </c>
      <c r="Y594" s="214" t="s">
        <v>15</v>
      </c>
      <c r="Z594" s="234"/>
      <c r="AA594" s="214" t="s">
        <v>1131</v>
      </c>
      <c r="AB594" s="214" t="s">
        <v>15</v>
      </c>
      <c r="AC594" s="214" t="s">
        <v>15</v>
      </c>
      <c r="AD594" s="320" t="s">
        <v>1297</v>
      </c>
      <c r="AE594" s="320" t="s">
        <v>92</v>
      </c>
      <c r="AF594" s="162" t="str">
        <f t="shared" si="40"/>
        <v/>
      </c>
      <c r="AG594" s="162" t="str">
        <f t="shared" si="39"/>
        <v/>
      </c>
      <c r="AH594" s="164">
        <f t="shared" si="41"/>
        <v>0.86</v>
      </c>
      <c r="AI594" s="164" t="str">
        <f t="shared" si="42"/>
        <v/>
      </c>
      <c r="AJ594" s="368"/>
      <c r="AK594" s="368"/>
      <c r="AL594" s="368"/>
      <c r="AM594" s="368"/>
      <c r="AN594" s="368"/>
      <c r="AO594" s="368"/>
      <c r="AP594" s="368"/>
      <c r="AQ594" s="368"/>
      <c r="AR594" s="368"/>
      <c r="AS594" s="195"/>
      <c r="AT594" s="195"/>
      <c r="AU594" s="377"/>
      <c r="AV594" s="382"/>
      <c r="AW594" s="426"/>
      <c r="AX594" s="426"/>
      <c r="AY594" s="426"/>
      <c r="AZ594" s="426"/>
      <c r="BA594" s="426"/>
      <c r="BB594" s="426"/>
      <c r="BC594" s="426"/>
      <c r="BD594" s="426"/>
      <c r="BE594" s="426"/>
      <c r="BF594" s="468">
        <v>0.86</v>
      </c>
      <c r="BG594" s="469"/>
      <c r="BH594" s="341"/>
      <c r="BI594" s="446" t="s">
        <v>733</v>
      </c>
      <c r="BJ594" s="505"/>
    </row>
    <row r="595" spans="1:62" ht="15.75" customHeight="1" thickBot="1" x14ac:dyDescent="0.25">
      <c r="A595" s="174">
        <v>595</v>
      </c>
      <c r="B595" s="175">
        <v>1</v>
      </c>
      <c r="C595" s="166" t="s">
        <v>11</v>
      </c>
      <c r="D595" s="170" t="s">
        <v>12</v>
      </c>
      <c r="E595" s="166" t="s">
        <v>13</v>
      </c>
      <c r="F595" s="166" t="s">
        <v>1294</v>
      </c>
      <c r="G595" s="166" t="s">
        <v>1300</v>
      </c>
      <c r="H595" s="166" t="s">
        <v>101</v>
      </c>
      <c r="I595" s="181">
        <v>2011</v>
      </c>
      <c r="J595" s="181" t="s">
        <v>1296</v>
      </c>
      <c r="K595" s="181"/>
      <c r="L595" s="181" t="s">
        <v>19</v>
      </c>
      <c r="M595" s="556" t="s">
        <v>4224</v>
      </c>
      <c r="N595" s="214" t="s">
        <v>20</v>
      </c>
      <c r="O595" s="214" t="s">
        <v>15</v>
      </c>
      <c r="P595" s="214" t="s">
        <v>15</v>
      </c>
      <c r="Q595" s="214" t="s">
        <v>15</v>
      </c>
      <c r="R595" s="214" t="s">
        <v>15</v>
      </c>
      <c r="S595" s="214" t="s">
        <v>15</v>
      </c>
      <c r="T595" s="214" t="s">
        <v>15</v>
      </c>
      <c r="U595" s="214" t="s">
        <v>15</v>
      </c>
      <c r="V595" s="214" t="s">
        <v>15</v>
      </c>
      <c r="W595" s="214" t="s">
        <v>15</v>
      </c>
      <c r="X595" s="214" t="s">
        <v>15</v>
      </c>
      <c r="Y595" s="214" t="s">
        <v>15</v>
      </c>
      <c r="Z595" s="234"/>
      <c r="AA595" s="214" t="s">
        <v>1131</v>
      </c>
      <c r="AB595" s="214" t="s">
        <v>15</v>
      </c>
      <c r="AC595" s="214" t="s">
        <v>15</v>
      </c>
      <c r="AD595" s="320" t="s">
        <v>1297</v>
      </c>
      <c r="AE595" s="320" t="s">
        <v>92</v>
      </c>
      <c r="AF595" s="162" t="str">
        <f t="shared" si="40"/>
        <v/>
      </c>
      <c r="AG595" s="162" t="str">
        <f t="shared" ref="AG595:AG658" si="48">IF(AND(SUM(AJ595:AL595)&lt;&gt;0,SUM(AJ595:AL595)&lt;&gt;AJ595),SUM(AJ595:AL595),"")</f>
        <v/>
      </c>
      <c r="AH595" s="164">
        <f t="shared" si="41"/>
        <v>0.99</v>
      </c>
      <c r="AI595" s="164" t="str">
        <f t="shared" si="42"/>
        <v/>
      </c>
      <c r="AJ595" s="368"/>
      <c r="AK595" s="368"/>
      <c r="AL595" s="368"/>
      <c r="AM595" s="368"/>
      <c r="AN595" s="368"/>
      <c r="AO595" s="368"/>
      <c r="AP595" s="368"/>
      <c r="AQ595" s="368"/>
      <c r="AR595" s="368"/>
      <c r="AS595" s="195"/>
      <c r="AT595" s="195"/>
      <c r="AU595" s="377"/>
      <c r="AV595" s="382"/>
      <c r="AW595" s="426"/>
      <c r="AX595" s="426"/>
      <c r="AY595" s="426"/>
      <c r="AZ595" s="426"/>
      <c r="BA595" s="426"/>
      <c r="BB595" s="426"/>
      <c r="BC595" s="426"/>
      <c r="BD595" s="426"/>
      <c r="BE595" s="426"/>
      <c r="BF595" s="468">
        <v>0.99</v>
      </c>
      <c r="BG595" s="469"/>
      <c r="BH595" s="341"/>
      <c r="BI595" s="446" t="s">
        <v>733</v>
      </c>
      <c r="BJ595" s="505"/>
    </row>
    <row r="596" spans="1:62" ht="15.75" customHeight="1" thickBot="1" x14ac:dyDescent="0.25">
      <c r="A596" s="176">
        <v>596</v>
      </c>
      <c r="B596" s="175">
        <v>1</v>
      </c>
      <c r="C596" s="166" t="s">
        <v>11</v>
      </c>
      <c r="D596" s="170" t="s">
        <v>12</v>
      </c>
      <c r="E596" s="166" t="s">
        <v>13</v>
      </c>
      <c r="F596" s="166" t="s">
        <v>1294</v>
      </c>
      <c r="G596" s="166" t="s">
        <v>1301</v>
      </c>
      <c r="H596" s="166" t="s">
        <v>700</v>
      </c>
      <c r="I596" s="181">
        <v>2011</v>
      </c>
      <c r="J596" s="181" t="s">
        <v>1296</v>
      </c>
      <c r="K596" s="181"/>
      <c r="L596" s="181" t="s">
        <v>19</v>
      </c>
      <c r="M596" s="556" t="s">
        <v>4224</v>
      </c>
      <c r="N596" s="214" t="s">
        <v>20</v>
      </c>
      <c r="O596" s="214" t="s">
        <v>15</v>
      </c>
      <c r="P596" s="214" t="s">
        <v>15</v>
      </c>
      <c r="Q596" s="214" t="s">
        <v>15</v>
      </c>
      <c r="R596" s="214" t="s">
        <v>15</v>
      </c>
      <c r="S596" s="214" t="s">
        <v>15</v>
      </c>
      <c r="T596" s="214" t="s">
        <v>15</v>
      </c>
      <c r="U596" s="214" t="s">
        <v>15</v>
      </c>
      <c r="V596" s="214" t="s">
        <v>15</v>
      </c>
      <c r="W596" s="214" t="s">
        <v>15</v>
      </c>
      <c r="X596" s="214" t="s">
        <v>15</v>
      </c>
      <c r="Y596" s="214" t="s">
        <v>15</v>
      </c>
      <c r="Z596" s="234"/>
      <c r="AA596" s="214" t="s">
        <v>1131</v>
      </c>
      <c r="AB596" s="214" t="s">
        <v>15</v>
      </c>
      <c r="AC596" s="214" t="s">
        <v>15</v>
      </c>
      <c r="AD596" s="320" t="s">
        <v>1297</v>
      </c>
      <c r="AE596" s="320" t="s">
        <v>92</v>
      </c>
      <c r="AF596" s="162" t="str">
        <f t="shared" si="40"/>
        <v/>
      </c>
      <c r="AG596" s="162" t="str">
        <f t="shared" si="48"/>
        <v/>
      </c>
      <c r="AH596" s="164">
        <f t="shared" si="41"/>
        <v>0.94</v>
      </c>
      <c r="AI596" s="164" t="str">
        <f t="shared" si="42"/>
        <v/>
      </c>
      <c r="AJ596" s="368"/>
      <c r="AK596" s="368"/>
      <c r="AL596" s="368"/>
      <c r="AM596" s="368"/>
      <c r="AN596" s="368"/>
      <c r="AO596" s="368"/>
      <c r="AP596" s="368"/>
      <c r="AQ596" s="368"/>
      <c r="AR596" s="368"/>
      <c r="AS596" s="195"/>
      <c r="AT596" s="195"/>
      <c r="AU596" s="377"/>
      <c r="AV596" s="382"/>
      <c r="AW596" s="426"/>
      <c r="AX596" s="426"/>
      <c r="AY596" s="426"/>
      <c r="AZ596" s="426"/>
      <c r="BA596" s="426"/>
      <c r="BB596" s="426"/>
      <c r="BC596" s="426"/>
      <c r="BD596" s="426"/>
      <c r="BE596" s="426"/>
      <c r="BF596" s="468">
        <v>0.94</v>
      </c>
      <c r="BG596" s="469"/>
      <c r="BH596" s="341"/>
      <c r="BI596" s="446" t="s">
        <v>733</v>
      </c>
      <c r="BJ596" s="505"/>
    </row>
    <row r="597" spans="1:62" ht="15.75" customHeight="1" thickBot="1" x14ac:dyDescent="0.25">
      <c r="A597" s="174">
        <v>597</v>
      </c>
      <c r="B597" s="175">
        <v>1</v>
      </c>
      <c r="C597" s="166" t="s">
        <v>11</v>
      </c>
      <c r="D597" s="170" t="s">
        <v>12</v>
      </c>
      <c r="E597" s="166" t="s">
        <v>13</v>
      </c>
      <c r="F597" s="166" t="s">
        <v>1294</v>
      </c>
      <c r="G597" s="166" t="s">
        <v>1301</v>
      </c>
      <c r="H597" s="166" t="s">
        <v>101</v>
      </c>
      <c r="I597" s="181">
        <v>2011</v>
      </c>
      <c r="J597" s="181" t="s">
        <v>1296</v>
      </c>
      <c r="K597" s="181"/>
      <c r="L597" s="181" t="s">
        <v>19</v>
      </c>
      <c r="M597" s="556" t="s">
        <v>4224</v>
      </c>
      <c r="N597" s="214" t="s">
        <v>20</v>
      </c>
      <c r="O597" s="214" t="s">
        <v>15</v>
      </c>
      <c r="P597" s="214" t="s">
        <v>15</v>
      </c>
      <c r="Q597" s="214" t="s">
        <v>15</v>
      </c>
      <c r="R597" s="214" t="s">
        <v>15</v>
      </c>
      <c r="S597" s="214" t="s">
        <v>15</v>
      </c>
      <c r="T597" s="214" t="s">
        <v>15</v>
      </c>
      <c r="U597" s="214" t="s">
        <v>15</v>
      </c>
      <c r="V597" s="214" t="s">
        <v>15</v>
      </c>
      <c r="W597" s="214" t="s">
        <v>15</v>
      </c>
      <c r="X597" s="214" t="s">
        <v>15</v>
      </c>
      <c r="Y597" s="214" t="s">
        <v>15</v>
      </c>
      <c r="Z597" s="234"/>
      <c r="AA597" s="214" t="s">
        <v>1131</v>
      </c>
      <c r="AB597" s="214" t="s">
        <v>15</v>
      </c>
      <c r="AC597" s="214" t="s">
        <v>15</v>
      </c>
      <c r="AD597" s="320" t="s">
        <v>1297</v>
      </c>
      <c r="AE597" s="320" t="s">
        <v>92</v>
      </c>
      <c r="AF597" s="162" t="str">
        <f t="shared" si="40"/>
        <v/>
      </c>
      <c r="AG597" s="162" t="str">
        <f t="shared" si="48"/>
        <v/>
      </c>
      <c r="AH597" s="164">
        <f t="shared" si="41"/>
        <v>1.02</v>
      </c>
      <c r="AI597" s="164" t="str">
        <f t="shared" si="42"/>
        <v/>
      </c>
      <c r="AJ597" s="368"/>
      <c r="AK597" s="368"/>
      <c r="AL597" s="368"/>
      <c r="AM597" s="368"/>
      <c r="AN597" s="368"/>
      <c r="AO597" s="368"/>
      <c r="AP597" s="368"/>
      <c r="AQ597" s="368"/>
      <c r="AR597" s="368"/>
      <c r="AS597" s="195"/>
      <c r="AT597" s="195"/>
      <c r="AU597" s="377"/>
      <c r="AV597" s="382"/>
      <c r="AW597" s="426"/>
      <c r="AX597" s="426"/>
      <c r="AY597" s="426"/>
      <c r="AZ597" s="426"/>
      <c r="BA597" s="426"/>
      <c r="BB597" s="426"/>
      <c r="BC597" s="426"/>
      <c r="BD597" s="426"/>
      <c r="BE597" s="426"/>
      <c r="BF597" s="468">
        <v>1.02</v>
      </c>
      <c r="BG597" s="469"/>
      <c r="BH597" s="341"/>
      <c r="BI597" s="446" t="s">
        <v>733</v>
      </c>
      <c r="BJ597" s="505"/>
    </row>
    <row r="598" spans="1:62" ht="15.75" customHeight="1" thickBot="1" x14ac:dyDescent="0.25">
      <c r="A598" s="176">
        <v>598</v>
      </c>
      <c r="B598" s="175">
        <v>1</v>
      </c>
      <c r="C598" s="166" t="s">
        <v>11</v>
      </c>
      <c r="D598" s="170" t="s">
        <v>12</v>
      </c>
      <c r="E598" s="166" t="s">
        <v>13</v>
      </c>
      <c r="F598" s="166" t="s">
        <v>1294</v>
      </c>
      <c r="G598" s="166" t="s">
        <v>1302</v>
      </c>
      <c r="H598" s="166" t="s">
        <v>700</v>
      </c>
      <c r="I598" s="181">
        <v>2011</v>
      </c>
      <c r="J598" s="181" t="s">
        <v>1296</v>
      </c>
      <c r="K598" s="181"/>
      <c r="L598" s="181" t="s">
        <v>19</v>
      </c>
      <c r="M598" s="556" t="s">
        <v>4224</v>
      </c>
      <c r="N598" s="214" t="s">
        <v>20</v>
      </c>
      <c r="O598" s="214" t="s">
        <v>15</v>
      </c>
      <c r="P598" s="214" t="s">
        <v>15</v>
      </c>
      <c r="Q598" s="214" t="s">
        <v>15</v>
      </c>
      <c r="R598" s="214" t="s">
        <v>15</v>
      </c>
      <c r="S598" s="214" t="s">
        <v>15</v>
      </c>
      <c r="T598" s="214" t="s">
        <v>15</v>
      </c>
      <c r="U598" s="214" t="s">
        <v>15</v>
      </c>
      <c r="V598" s="214" t="s">
        <v>15</v>
      </c>
      <c r="W598" s="214" t="s">
        <v>15</v>
      </c>
      <c r="X598" s="214" t="s">
        <v>15</v>
      </c>
      <c r="Y598" s="214" t="s">
        <v>15</v>
      </c>
      <c r="Z598" s="234"/>
      <c r="AA598" s="214" t="s">
        <v>1131</v>
      </c>
      <c r="AB598" s="214" t="s">
        <v>15</v>
      </c>
      <c r="AC598" s="214" t="s">
        <v>15</v>
      </c>
      <c r="AD598" s="320" t="s">
        <v>1297</v>
      </c>
      <c r="AE598" s="320" t="s">
        <v>92</v>
      </c>
      <c r="AF598" s="162" t="str">
        <f t="shared" si="40"/>
        <v/>
      </c>
      <c r="AG598" s="162" t="str">
        <f t="shared" si="48"/>
        <v/>
      </c>
      <c r="AH598" s="164">
        <f t="shared" si="41"/>
        <v>0.94</v>
      </c>
      <c r="AI598" s="164" t="str">
        <f t="shared" si="42"/>
        <v/>
      </c>
      <c r="AJ598" s="368"/>
      <c r="AK598" s="368"/>
      <c r="AL598" s="368"/>
      <c r="AM598" s="368"/>
      <c r="AN598" s="368"/>
      <c r="AO598" s="368"/>
      <c r="AP598" s="368"/>
      <c r="AQ598" s="368"/>
      <c r="AR598" s="368"/>
      <c r="AS598" s="195"/>
      <c r="AT598" s="195"/>
      <c r="AU598" s="377"/>
      <c r="AV598" s="382"/>
      <c r="AW598" s="426"/>
      <c r="AX598" s="426"/>
      <c r="AY598" s="426"/>
      <c r="AZ598" s="426"/>
      <c r="BA598" s="426"/>
      <c r="BB598" s="426"/>
      <c r="BC598" s="426"/>
      <c r="BD598" s="426"/>
      <c r="BE598" s="426"/>
      <c r="BF598" s="468">
        <v>0.94</v>
      </c>
      <c r="BG598" s="469"/>
      <c r="BH598" s="341"/>
      <c r="BI598" s="446" t="s">
        <v>733</v>
      </c>
      <c r="BJ598" s="505"/>
    </row>
    <row r="599" spans="1:62" ht="15.75" customHeight="1" thickBot="1" x14ac:dyDescent="0.25">
      <c r="A599" s="174">
        <v>599</v>
      </c>
      <c r="B599" s="175">
        <v>1</v>
      </c>
      <c r="C599" s="166" t="s">
        <v>11</v>
      </c>
      <c r="D599" s="170" t="s">
        <v>12</v>
      </c>
      <c r="E599" s="166" t="s">
        <v>13</v>
      </c>
      <c r="F599" s="166" t="s">
        <v>1294</v>
      </c>
      <c r="G599" s="166" t="s">
        <v>1302</v>
      </c>
      <c r="H599" s="166" t="s">
        <v>101</v>
      </c>
      <c r="I599" s="181">
        <v>2011</v>
      </c>
      <c r="J599" s="181" t="s">
        <v>1296</v>
      </c>
      <c r="K599" s="181"/>
      <c r="L599" s="181" t="s">
        <v>19</v>
      </c>
      <c r="M599" s="556" t="s">
        <v>4224</v>
      </c>
      <c r="N599" s="214" t="s">
        <v>20</v>
      </c>
      <c r="O599" s="214" t="s">
        <v>15</v>
      </c>
      <c r="P599" s="214" t="s">
        <v>15</v>
      </c>
      <c r="Q599" s="214" t="s">
        <v>15</v>
      </c>
      <c r="R599" s="214" t="s">
        <v>15</v>
      </c>
      <c r="S599" s="214" t="s">
        <v>15</v>
      </c>
      <c r="T599" s="214" t="s">
        <v>15</v>
      </c>
      <c r="U599" s="214" t="s">
        <v>15</v>
      </c>
      <c r="V599" s="214" t="s">
        <v>15</v>
      </c>
      <c r="W599" s="214" t="s">
        <v>15</v>
      </c>
      <c r="X599" s="214" t="s">
        <v>15</v>
      </c>
      <c r="Y599" s="214" t="s">
        <v>15</v>
      </c>
      <c r="Z599" s="234"/>
      <c r="AA599" s="214" t="s">
        <v>1131</v>
      </c>
      <c r="AB599" s="214" t="s">
        <v>15</v>
      </c>
      <c r="AC599" s="214" t="s">
        <v>15</v>
      </c>
      <c r="AD599" s="320" t="s">
        <v>1297</v>
      </c>
      <c r="AE599" s="320" t="s">
        <v>92</v>
      </c>
      <c r="AF599" s="162" t="str">
        <f t="shared" si="40"/>
        <v/>
      </c>
      <c r="AG599" s="162" t="str">
        <f t="shared" si="48"/>
        <v/>
      </c>
      <c r="AH599" s="164">
        <f t="shared" si="41"/>
        <v>1.08</v>
      </c>
      <c r="AI599" s="164" t="str">
        <f t="shared" si="42"/>
        <v/>
      </c>
      <c r="AJ599" s="368"/>
      <c r="AK599" s="368"/>
      <c r="AL599" s="368"/>
      <c r="AM599" s="368"/>
      <c r="AN599" s="368"/>
      <c r="AO599" s="368"/>
      <c r="AP599" s="368"/>
      <c r="AQ599" s="368"/>
      <c r="AR599" s="368"/>
      <c r="AS599" s="195"/>
      <c r="AT599" s="195"/>
      <c r="AU599" s="377"/>
      <c r="AV599" s="382"/>
      <c r="AW599" s="426"/>
      <c r="AX599" s="426"/>
      <c r="AY599" s="426"/>
      <c r="AZ599" s="426"/>
      <c r="BA599" s="426"/>
      <c r="BB599" s="426"/>
      <c r="BC599" s="426"/>
      <c r="BD599" s="426"/>
      <c r="BE599" s="426"/>
      <c r="BF599" s="468">
        <v>1.08</v>
      </c>
      <c r="BG599" s="469"/>
      <c r="BH599" s="341"/>
      <c r="BI599" s="446" t="s">
        <v>733</v>
      </c>
      <c r="BJ599" s="505"/>
    </row>
    <row r="600" spans="1:62" ht="15.75" customHeight="1" thickBot="1" x14ac:dyDescent="0.25">
      <c r="A600" s="176">
        <v>600</v>
      </c>
      <c r="B600" s="175">
        <v>1</v>
      </c>
      <c r="C600" s="166" t="s">
        <v>11</v>
      </c>
      <c r="D600" s="170" t="s">
        <v>12</v>
      </c>
      <c r="E600" s="166" t="s">
        <v>13</v>
      </c>
      <c r="F600" s="166" t="s">
        <v>1294</v>
      </c>
      <c r="G600" s="166" t="s">
        <v>1303</v>
      </c>
      <c r="H600" s="166" t="s">
        <v>700</v>
      </c>
      <c r="I600" s="181">
        <v>2011</v>
      </c>
      <c r="J600" s="181" t="s">
        <v>1296</v>
      </c>
      <c r="K600" s="181"/>
      <c r="L600" s="181" t="s">
        <v>19</v>
      </c>
      <c r="M600" s="556" t="s">
        <v>4224</v>
      </c>
      <c r="N600" s="214" t="s">
        <v>20</v>
      </c>
      <c r="O600" s="214" t="s">
        <v>15</v>
      </c>
      <c r="P600" s="214" t="s">
        <v>15</v>
      </c>
      <c r="Q600" s="214" t="s">
        <v>15</v>
      </c>
      <c r="R600" s="214" t="s">
        <v>15</v>
      </c>
      <c r="S600" s="214" t="s">
        <v>15</v>
      </c>
      <c r="T600" s="214" t="s">
        <v>15</v>
      </c>
      <c r="U600" s="214" t="s">
        <v>15</v>
      </c>
      <c r="V600" s="214" t="s">
        <v>15</v>
      </c>
      <c r="W600" s="214" t="s">
        <v>15</v>
      </c>
      <c r="X600" s="214" t="s">
        <v>15</v>
      </c>
      <c r="Y600" s="214" t="s">
        <v>15</v>
      </c>
      <c r="Z600" s="234"/>
      <c r="AA600" s="214" t="s">
        <v>1131</v>
      </c>
      <c r="AB600" s="214" t="s">
        <v>15</v>
      </c>
      <c r="AC600" s="214" t="s">
        <v>15</v>
      </c>
      <c r="AD600" s="320" t="s">
        <v>1297</v>
      </c>
      <c r="AE600" s="320" t="s">
        <v>92</v>
      </c>
      <c r="AF600" s="162" t="str">
        <f t="shared" si="40"/>
        <v/>
      </c>
      <c r="AG600" s="162" t="str">
        <f t="shared" si="48"/>
        <v/>
      </c>
      <c r="AH600" s="164">
        <f t="shared" si="41"/>
        <v>0.98</v>
      </c>
      <c r="AI600" s="164" t="str">
        <f t="shared" si="42"/>
        <v/>
      </c>
      <c r="AJ600" s="368"/>
      <c r="AK600" s="368"/>
      <c r="AL600" s="368"/>
      <c r="AM600" s="368"/>
      <c r="AN600" s="368"/>
      <c r="AO600" s="368"/>
      <c r="AP600" s="368"/>
      <c r="AQ600" s="368"/>
      <c r="AR600" s="368"/>
      <c r="AS600" s="195"/>
      <c r="AT600" s="195"/>
      <c r="AU600" s="377"/>
      <c r="AV600" s="382"/>
      <c r="AW600" s="426"/>
      <c r="AX600" s="426"/>
      <c r="AY600" s="426"/>
      <c r="AZ600" s="426"/>
      <c r="BA600" s="426"/>
      <c r="BB600" s="426"/>
      <c r="BC600" s="426"/>
      <c r="BD600" s="426"/>
      <c r="BE600" s="426"/>
      <c r="BF600" s="468">
        <v>0.98</v>
      </c>
      <c r="BG600" s="469"/>
      <c r="BH600" s="341"/>
      <c r="BI600" s="446" t="s">
        <v>733</v>
      </c>
      <c r="BJ600" s="505"/>
    </row>
    <row r="601" spans="1:62" ht="15.75" customHeight="1" thickBot="1" x14ac:dyDescent="0.25">
      <c r="A601" s="174">
        <v>601</v>
      </c>
      <c r="B601" s="175">
        <v>1</v>
      </c>
      <c r="C601" s="166" t="s">
        <v>11</v>
      </c>
      <c r="D601" s="170" t="s">
        <v>12</v>
      </c>
      <c r="E601" s="166" t="s">
        <v>13</v>
      </c>
      <c r="F601" s="166" t="s">
        <v>1294</v>
      </c>
      <c r="G601" s="166" t="s">
        <v>1303</v>
      </c>
      <c r="H601" s="166" t="s">
        <v>101</v>
      </c>
      <c r="I601" s="181">
        <v>2011</v>
      </c>
      <c r="J601" s="181" t="s">
        <v>1296</v>
      </c>
      <c r="K601" s="181"/>
      <c r="L601" s="181" t="s">
        <v>19</v>
      </c>
      <c r="M601" s="556" t="s">
        <v>4224</v>
      </c>
      <c r="N601" s="214" t="s">
        <v>20</v>
      </c>
      <c r="O601" s="214" t="s">
        <v>15</v>
      </c>
      <c r="P601" s="214" t="s">
        <v>15</v>
      </c>
      <c r="Q601" s="214" t="s">
        <v>15</v>
      </c>
      <c r="R601" s="214" t="s">
        <v>15</v>
      </c>
      <c r="S601" s="214" t="s">
        <v>15</v>
      </c>
      <c r="T601" s="214" t="s">
        <v>15</v>
      </c>
      <c r="U601" s="214" t="s">
        <v>15</v>
      </c>
      <c r="V601" s="214" t="s">
        <v>15</v>
      </c>
      <c r="W601" s="214" t="s">
        <v>15</v>
      </c>
      <c r="X601" s="214" t="s">
        <v>15</v>
      </c>
      <c r="Y601" s="214" t="s">
        <v>15</v>
      </c>
      <c r="Z601" s="234"/>
      <c r="AA601" s="214" t="s">
        <v>1131</v>
      </c>
      <c r="AB601" s="214" t="s">
        <v>15</v>
      </c>
      <c r="AC601" s="214" t="s">
        <v>15</v>
      </c>
      <c r="AD601" s="320" t="s">
        <v>1297</v>
      </c>
      <c r="AE601" s="320" t="s">
        <v>92</v>
      </c>
      <c r="AF601" s="162" t="str">
        <f t="shared" si="40"/>
        <v/>
      </c>
      <c r="AG601" s="162" t="str">
        <f t="shared" si="48"/>
        <v/>
      </c>
      <c r="AH601" s="164">
        <f t="shared" si="41"/>
        <v>1.1399999999999999</v>
      </c>
      <c r="AI601" s="164" t="str">
        <f t="shared" si="42"/>
        <v/>
      </c>
      <c r="AJ601" s="368"/>
      <c r="AK601" s="368"/>
      <c r="AL601" s="368"/>
      <c r="AM601" s="368"/>
      <c r="AN601" s="368"/>
      <c r="AO601" s="368"/>
      <c r="AP601" s="368"/>
      <c r="AQ601" s="368"/>
      <c r="AR601" s="368"/>
      <c r="AS601" s="195"/>
      <c r="AT601" s="195"/>
      <c r="AU601" s="378"/>
      <c r="AV601" s="382"/>
      <c r="AW601" s="426"/>
      <c r="AX601" s="426"/>
      <c r="AY601" s="426"/>
      <c r="AZ601" s="426"/>
      <c r="BA601" s="426"/>
      <c r="BB601" s="426"/>
      <c r="BC601" s="426"/>
      <c r="BD601" s="426"/>
      <c r="BE601" s="426"/>
      <c r="BF601" s="468">
        <v>1.1399999999999999</v>
      </c>
      <c r="BG601" s="469"/>
      <c r="BH601" s="341"/>
      <c r="BI601" s="446" t="s">
        <v>733</v>
      </c>
      <c r="BJ601" s="505"/>
    </row>
    <row r="602" spans="1:62" ht="15.75" customHeight="1" thickBot="1" x14ac:dyDescent="0.25">
      <c r="A602" s="176">
        <v>602</v>
      </c>
      <c r="B602" s="175">
        <v>1</v>
      </c>
      <c r="C602" s="166" t="s">
        <v>259</v>
      </c>
      <c r="D602" s="166" t="s">
        <v>2351</v>
      </c>
      <c r="E602" s="166" t="s">
        <v>13</v>
      </c>
      <c r="F602" s="166" t="s">
        <v>378</v>
      </c>
      <c r="G602" s="166" t="s">
        <v>122</v>
      </c>
      <c r="H602" s="166" t="s">
        <v>909</v>
      </c>
      <c r="I602" s="181">
        <v>2015</v>
      </c>
      <c r="J602" s="181" t="s">
        <v>1304</v>
      </c>
      <c r="K602" s="181" t="s">
        <v>1305</v>
      </c>
      <c r="L602" s="181" t="s">
        <v>19</v>
      </c>
      <c r="M602" s="556" t="s">
        <v>4225</v>
      </c>
      <c r="N602" s="214" t="s">
        <v>20</v>
      </c>
      <c r="O602" s="214" t="s">
        <v>15</v>
      </c>
      <c r="P602" s="214" t="s">
        <v>15</v>
      </c>
      <c r="Q602" s="214" t="s">
        <v>15</v>
      </c>
      <c r="R602" s="214" t="s">
        <v>15</v>
      </c>
      <c r="S602" s="214" t="s">
        <v>15</v>
      </c>
      <c r="T602" s="214" t="s">
        <v>15</v>
      </c>
      <c r="U602" s="214" t="s">
        <v>15</v>
      </c>
      <c r="V602" s="214" t="s">
        <v>15</v>
      </c>
      <c r="W602" s="214" t="s">
        <v>15</v>
      </c>
      <c r="X602" s="214" t="s">
        <v>15</v>
      </c>
      <c r="Y602" s="214" t="s">
        <v>20</v>
      </c>
      <c r="Z602" s="234"/>
      <c r="AA602" s="214" t="s">
        <v>303</v>
      </c>
      <c r="AB602" s="214" t="s">
        <v>292</v>
      </c>
      <c r="AC602" s="214" t="s">
        <v>122</v>
      </c>
      <c r="AD602" s="320" t="s">
        <v>1306</v>
      </c>
      <c r="AE602" s="319"/>
      <c r="AF602" s="162">
        <f t="shared" si="40"/>
        <v>2</v>
      </c>
      <c r="AG602" s="162" t="str">
        <f t="shared" si="48"/>
        <v/>
      </c>
      <c r="AH602" s="164">
        <f t="shared" si="41"/>
        <v>0.34899999999999998</v>
      </c>
      <c r="AI602" s="164" t="str">
        <f t="shared" si="42"/>
        <v/>
      </c>
      <c r="AJ602" s="368"/>
      <c r="AK602" s="368"/>
      <c r="AL602" s="368"/>
      <c r="AM602" s="368"/>
      <c r="AN602" s="368"/>
      <c r="AO602" s="368"/>
      <c r="AP602" s="368"/>
      <c r="AQ602" s="368"/>
      <c r="AR602" s="368">
        <f>0.26*AS602</f>
        <v>0.52</v>
      </c>
      <c r="AS602" s="195">
        <v>2</v>
      </c>
      <c r="AT602" s="195"/>
      <c r="AU602" s="378" t="s">
        <v>1307</v>
      </c>
      <c r="AV602" s="401" t="s">
        <v>3097</v>
      </c>
      <c r="AW602" s="426">
        <v>0.34899999999999998</v>
      </c>
      <c r="AX602" s="426"/>
      <c r="AY602" s="426"/>
      <c r="AZ602" s="426"/>
      <c r="BA602" s="426"/>
      <c r="BB602" s="426"/>
      <c r="BC602" s="426"/>
      <c r="BD602" s="426"/>
      <c r="BE602" s="359">
        <v>3.1409999999999993E-2</v>
      </c>
      <c r="BF602" s="467">
        <v>0.34899999999999998</v>
      </c>
      <c r="BG602" s="469"/>
      <c r="BH602" s="341"/>
      <c r="BI602" s="446" t="s">
        <v>1308</v>
      </c>
      <c r="BJ602" s="506" t="s">
        <v>3097</v>
      </c>
    </row>
    <row r="603" spans="1:62" ht="15.75" customHeight="1" thickBot="1" x14ac:dyDescent="0.25">
      <c r="A603" s="174">
        <v>603</v>
      </c>
      <c r="B603" s="175">
        <v>1</v>
      </c>
      <c r="C603" s="166" t="s">
        <v>259</v>
      </c>
      <c r="D603" s="166" t="s">
        <v>2351</v>
      </c>
      <c r="E603" s="166" t="s">
        <v>13</v>
      </c>
      <c r="F603" s="166" t="s">
        <v>379</v>
      </c>
      <c r="G603" s="166" t="s">
        <v>122</v>
      </c>
      <c r="H603" s="166" t="s">
        <v>909</v>
      </c>
      <c r="I603" s="181">
        <v>2015</v>
      </c>
      <c r="J603" s="181" t="s">
        <v>1304</v>
      </c>
      <c r="K603" s="181" t="s">
        <v>1305</v>
      </c>
      <c r="L603" s="181" t="s">
        <v>19</v>
      </c>
      <c r="M603" s="556" t="s">
        <v>4225</v>
      </c>
      <c r="N603" s="214" t="s">
        <v>20</v>
      </c>
      <c r="O603" s="214" t="s">
        <v>15</v>
      </c>
      <c r="P603" s="214" t="s">
        <v>15</v>
      </c>
      <c r="Q603" s="214" t="s">
        <v>15</v>
      </c>
      <c r="R603" s="214" t="s">
        <v>15</v>
      </c>
      <c r="S603" s="214" t="s">
        <v>15</v>
      </c>
      <c r="T603" s="214" t="s">
        <v>15</v>
      </c>
      <c r="U603" s="214" t="s">
        <v>15</v>
      </c>
      <c r="V603" s="214" t="s">
        <v>15</v>
      </c>
      <c r="W603" s="214" t="s">
        <v>15</v>
      </c>
      <c r="X603" s="214" t="s">
        <v>15</v>
      </c>
      <c r="Y603" s="214" t="s">
        <v>20</v>
      </c>
      <c r="Z603" s="234"/>
      <c r="AA603" s="214" t="s">
        <v>303</v>
      </c>
      <c r="AB603" s="214" t="s">
        <v>292</v>
      </c>
      <c r="AC603" s="214" t="s">
        <v>122</v>
      </c>
      <c r="AD603" s="320" t="s">
        <v>1306</v>
      </c>
      <c r="AE603" s="319"/>
      <c r="AF603" s="162">
        <f t="shared" si="40"/>
        <v>1</v>
      </c>
      <c r="AG603" s="162" t="str">
        <f t="shared" si="48"/>
        <v/>
      </c>
      <c r="AH603" s="164">
        <f t="shared" si="41"/>
        <v>0.307</v>
      </c>
      <c r="AI603" s="164" t="str">
        <f t="shared" si="42"/>
        <v/>
      </c>
      <c r="AJ603" s="368"/>
      <c r="AK603" s="368"/>
      <c r="AL603" s="368"/>
      <c r="AM603" s="368"/>
      <c r="AN603" s="368"/>
      <c r="AO603" s="368"/>
      <c r="AP603" s="368"/>
      <c r="AQ603" s="368"/>
      <c r="AR603" s="369">
        <f>0.75*AS603</f>
        <v>0.75</v>
      </c>
      <c r="AS603" s="195">
        <v>1</v>
      </c>
      <c r="AT603" s="195"/>
      <c r="AU603" s="378" t="s">
        <v>1307</v>
      </c>
      <c r="AV603" s="403" t="s">
        <v>3097</v>
      </c>
      <c r="AW603" s="426">
        <v>0.307</v>
      </c>
      <c r="AX603" s="426"/>
      <c r="AY603" s="426"/>
      <c r="AZ603" s="426"/>
      <c r="BA603" s="426"/>
      <c r="BB603" s="426"/>
      <c r="BC603" s="426"/>
      <c r="BD603" s="426"/>
      <c r="BE603" s="426">
        <v>7.9820000000000002E-2</v>
      </c>
      <c r="BF603" s="475">
        <v>0.307</v>
      </c>
      <c r="BG603" s="469"/>
      <c r="BH603" s="341"/>
      <c r="BI603" s="446" t="s">
        <v>1308</v>
      </c>
      <c r="BJ603" s="506" t="s">
        <v>3097</v>
      </c>
    </row>
    <row r="604" spans="1:62" ht="15.75" customHeight="1" thickBot="1" x14ac:dyDescent="0.25">
      <c r="A604" s="176">
        <v>604</v>
      </c>
      <c r="B604" s="175">
        <v>1</v>
      </c>
      <c r="C604" s="166" t="s">
        <v>259</v>
      </c>
      <c r="D604" s="166" t="s">
        <v>2895</v>
      </c>
      <c r="E604" s="166" t="s">
        <v>1309</v>
      </c>
      <c r="F604" s="166" t="s">
        <v>1310</v>
      </c>
      <c r="G604" s="166" t="s">
        <v>122</v>
      </c>
      <c r="H604" s="166" t="s">
        <v>1311</v>
      </c>
      <c r="I604" s="181">
        <v>2009</v>
      </c>
      <c r="J604" s="181" t="s">
        <v>1312</v>
      </c>
      <c r="K604" s="181" t="s">
        <v>1313</v>
      </c>
      <c r="L604" s="181" t="s">
        <v>19</v>
      </c>
      <c r="M604" s="556" t="s">
        <v>4226</v>
      </c>
      <c r="N604" s="214" t="s">
        <v>20</v>
      </c>
      <c r="O604" s="214" t="s">
        <v>15</v>
      </c>
      <c r="P604" s="214" t="s">
        <v>20</v>
      </c>
      <c r="Q604" s="214" t="s">
        <v>20</v>
      </c>
      <c r="R604" s="214" t="s">
        <v>20</v>
      </c>
      <c r="S604" s="214" t="s">
        <v>20</v>
      </c>
      <c r="T604" s="214" t="s">
        <v>15</v>
      </c>
      <c r="U604" s="214" t="s">
        <v>15</v>
      </c>
      <c r="V604" s="214" t="s">
        <v>15</v>
      </c>
      <c r="W604" s="214" t="s">
        <v>15</v>
      </c>
      <c r="X604" s="214" t="s">
        <v>15</v>
      </c>
      <c r="Y604" s="214" t="s">
        <v>20</v>
      </c>
      <c r="Z604" s="234"/>
      <c r="AA604" s="214" t="s">
        <v>1314</v>
      </c>
      <c r="AB604" s="214" t="s">
        <v>292</v>
      </c>
      <c r="AC604" s="214" t="s">
        <v>122</v>
      </c>
      <c r="AD604" s="320" t="s">
        <v>1315</v>
      </c>
      <c r="AE604" s="319"/>
      <c r="AF604" s="162">
        <f t="shared" si="40"/>
        <v>6.6530400000000007</v>
      </c>
      <c r="AG604" s="162">
        <f t="shared" si="48"/>
        <v>7.9077800000000007</v>
      </c>
      <c r="AH604" s="164">
        <f t="shared" si="41"/>
        <v>2.32944</v>
      </c>
      <c r="AI604" s="164">
        <f t="shared" si="42"/>
        <v>2.4177599999999999</v>
      </c>
      <c r="AJ604" s="368">
        <f>14.59*(0.092+0.315+0.021+0+0.028)</f>
        <v>6.6530400000000007</v>
      </c>
      <c r="AK604" s="368"/>
      <c r="AL604" s="368">
        <f>14.59*0.086</f>
        <v>1.25474</v>
      </c>
      <c r="AM604" s="368">
        <f>14.59*0.225</f>
        <v>3.2827500000000001</v>
      </c>
      <c r="AN604" s="368">
        <f>14.59*0.179</f>
        <v>2.6116099999999998</v>
      </c>
      <c r="AO604" s="368"/>
      <c r="AP604" s="368"/>
      <c r="AQ604" s="368"/>
      <c r="AR604" s="368">
        <f>14.59*0.055</f>
        <v>0.80245</v>
      </c>
      <c r="AS604" s="195">
        <f>AJ604</f>
        <v>6.6530400000000007</v>
      </c>
      <c r="AT604" s="195">
        <v>14.59</v>
      </c>
      <c r="AU604" s="378" t="s">
        <v>1316</v>
      </c>
      <c r="AV604" s="419"/>
      <c r="AW604" s="426">
        <f>2.76*(0.036+0.092+0.004+0+0.68+0.032)</f>
        <v>2.32944</v>
      </c>
      <c r="AX604" s="426"/>
      <c r="AY604" s="426">
        <f>2.76*(0.032)</f>
        <v>8.8319999999999996E-2</v>
      </c>
      <c r="AZ604" s="426">
        <f>2.76*(0.047)</f>
        <v>0.12972</v>
      </c>
      <c r="BA604" s="426">
        <f>2.76*(0.061)</f>
        <v>0.16835999999999998</v>
      </c>
      <c r="BB604" s="426"/>
      <c r="BC604" s="426"/>
      <c r="BD604" s="426"/>
      <c r="BE604" s="426">
        <f>2.76*(0.016)</f>
        <v>4.4159999999999998E-2</v>
      </c>
      <c r="BF604" s="475">
        <f>2.76*(0.036+0.092+0.004+0+0.68+0.032)</f>
        <v>2.32944</v>
      </c>
      <c r="BG604" s="469">
        <v>2.76</v>
      </c>
      <c r="BH604" s="341"/>
      <c r="BI604" s="446" t="s">
        <v>1281</v>
      </c>
      <c r="BJ604" s="505"/>
    </row>
    <row r="605" spans="1:62" ht="15.75" customHeight="1" thickBot="1" x14ac:dyDescent="0.25">
      <c r="A605" s="174">
        <v>605</v>
      </c>
      <c r="B605" s="175">
        <v>1</v>
      </c>
      <c r="C605" s="166" t="s">
        <v>760</v>
      </c>
      <c r="D605" s="166" t="s">
        <v>2142</v>
      </c>
      <c r="E605" s="166" t="s">
        <v>1317</v>
      </c>
      <c r="F605" s="166" t="s">
        <v>1318</v>
      </c>
      <c r="G605" s="166" t="s">
        <v>15</v>
      </c>
      <c r="H605" s="166" t="s">
        <v>1319</v>
      </c>
      <c r="I605" s="181">
        <v>2012</v>
      </c>
      <c r="J605" s="181" t="s">
        <v>1320</v>
      </c>
      <c r="K605" s="181" t="s">
        <v>1321</v>
      </c>
      <c r="L605" s="181" t="s">
        <v>104</v>
      </c>
      <c r="M605" s="556" t="s">
        <v>4227</v>
      </c>
      <c r="N605" s="214" t="s">
        <v>20</v>
      </c>
      <c r="O605" s="214" t="s">
        <v>20</v>
      </c>
      <c r="P605" s="214" t="s">
        <v>20</v>
      </c>
      <c r="Q605" s="214" t="s">
        <v>20</v>
      </c>
      <c r="R605" s="214" t="s">
        <v>20</v>
      </c>
      <c r="S605" s="214" t="s">
        <v>20</v>
      </c>
      <c r="T605" s="214" t="s">
        <v>20</v>
      </c>
      <c r="U605" s="214" t="s">
        <v>20</v>
      </c>
      <c r="V605" s="214" t="s">
        <v>20</v>
      </c>
      <c r="W605" s="214" t="s">
        <v>15</v>
      </c>
      <c r="X605" s="214" t="s">
        <v>20</v>
      </c>
      <c r="Y605" s="214" t="s">
        <v>15</v>
      </c>
      <c r="Z605" s="214" t="s">
        <v>1322</v>
      </c>
      <c r="AA605" s="214" t="s">
        <v>1323</v>
      </c>
      <c r="AB605" s="214" t="s">
        <v>20</v>
      </c>
      <c r="AC605" s="214" t="s">
        <v>20</v>
      </c>
      <c r="AD605" s="320" t="s">
        <v>1324</v>
      </c>
      <c r="AE605" s="319"/>
      <c r="AF605" s="162" t="str">
        <f t="shared" si="40"/>
        <v/>
      </c>
      <c r="AG605" s="162" t="str">
        <f t="shared" si="48"/>
        <v/>
      </c>
      <c r="AH605" s="164">
        <f t="shared" si="41"/>
        <v>0.51100000000000001</v>
      </c>
      <c r="AI605" s="164">
        <f t="shared" si="42"/>
        <v>1.597</v>
      </c>
      <c r="AJ605" s="368"/>
      <c r="AK605" s="368"/>
      <c r="AL605" s="368"/>
      <c r="AM605" s="368"/>
      <c r="AN605" s="368"/>
      <c r="AO605" s="368"/>
      <c r="AP605" s="368"/>
      <c r="AQ605" s="368"/>
      <c r="AR605" s="368"/>
      <c r="AS605" s="268"/>
      <c r="AT605" s="268">
        <f>0.6216*42</f>
        <v>26.107200000000002</v>
      </c>
      <c r="AU605" s="405"/>
      <c r="AW605" s="359">
        <v>0.51100000000000001</v>
      </c>
      <c r="AX605" s="426">
        <f>0.046+0.265+0.369+0.406</f>
        <v>1.0859999999999999</v>
      </c>
      <c r="AY605" s="426"/>
      <c r="AZ605" s="426"/>
      <c r="BA605" s="426"/>
      <c r="BB605" s="359">
        <v>0.20399999999999999</v>
      </c>
      <c r="BC605" s="359">
        <v>0.76200000000000001</v>
      </c>
      <c r="BD605" s="426"/>
      <c r="BE605" s="426"/>
      <c r="BF605" s="469">
        <v>0.51100000000000001</v>
      </c>
      <c r="BG605" s="469">
        <v>2.64</v>
      </c>
      <c r="BH605" s="335" t="s">
        <v>1325</v>
      </c>
      <c r="BI605" s="446" t="s">
        <v>1326</v>
      </c>
      <c r="BJ605" s="505"/>
    </row>
    <row r="606" spans="1:62" ht="15.75" customHeight="1" thickBot="1" x14ac:dyDescent="0.25">
      <c r="A606" s="176">
        <v>606</v>
      </c>
      <c r="B606" s="175">
        <v>1</v>
      </c>
      <c r="C606" s="166" t="s">
        <v>11</v>
      </c>
      <c r="D606" s="170" t="s">
        <v>12</v>
      </c>
      <c r="E606" s="166" t="s">
        <v>13</v>
      </c>
      <c r="F606" s="166" t="s">
        <v>499</v>
      </c>
      <c r="G606" s="166" t="s">
        <v>1327</v>
      </c>
      <c r="H606" s="166" t="s">
        <v>42</v>
      </c>
      <c r="I606" s="181">
        <v>2008</v>
      </c>
      <c r="J606" s="181" t="s">
        <v>1328</v>
      </c>
      <c r="K606" s="181" t="s">
        <v>1329</v>
      </c>
      <c r="L606" s="181" t="s">
        <v>19</v>
      </c>
      <c r="M606" s="556" t="s">
        <v>4228</v>
      </c>
      <c r="N606" s="214" t="s">
        <v>20</v>
      </c>
      <c r="O606" s="214" t="s">
        <v>20</v>
      </c>
      <c r="P606" s="214" t="s">
        <v>15</v>
      </c>
      <c r="Q606" s="214" t="s">
        <v>15</v>
      </c>
      <c r="R606" s="214" t="s">
        <v>15</v>
      </c>
      <c r="S606" s="214" t="s">
        <v>15</v>
      </c>
      <c r="T606" s="214" t="s">
        <v>15</v>
      </c>
      <c r="U606" s="214" t="s">
        <v>15</v>
      </c>
      <c r="V606" s="214" t="s">
        <v>15</v>
      </c>
      <c r="W606" s="214" t="s">
        <v>15</v>
      </c>
      <c r="X606" s="214" t="s">
        <v>15</v>
      </c>
      <c r="Y606" s="214" t="s">
        <v>15</v>
      </c>
      <c r="Z606" s="234"/>
      <c r="AA606" s="214" t="s">
        <v>1131</v>
      </c>
      <c r="AB606" s="214" t="s">
        <v>15</v>
      </c>
      <c r="AC606" s="214" t="s">
        <v>15</v>
      </c>
      <c r="AD606" s="320" t="s">
        <v>1330</v>
      </c>
      <c r="AE606" s="320" t="s">
        <v>1331</v>
      </c>
      <c r="AF606" s="162">
        <f t="shared" si="40"/>
        <v>5</v>
      </c>
      <c r="AG606" s="162" t="str">
        <f t="shared" si="48"/>
        <v/>
      </c>
      <c r="AH606" s="164">
        <f t="shared" si="41"/>
        <v>1.4</v>
      </c>
      <c r="AI606" s="164" t="str">
        <f t="shared" si="42"/>
        <v/>
      </c>
      <c r="AJ606" s="371"/>
      <c r="AK606" s="371"/>
      <c r="AL606" s="371"/>
      <c r="AM606" s="371"/>
      <c r="AN606" s="371"/>
      <c r="AO606" s="371"/>
      <c r="AP606" s="371"/>
      <c r="AQ606" s="371"/>
      <c r="AR606" s="371"/>
      <c r="AS606" s="198">
        <v>5</v>
      </c>
      <c r="AT606" s="354"/>
      <c r="AU606" s="377"/>
      <c r="AV606" s="382"/>
      <c r="AW606" s="358"/>
      <c r="AX606" s="358"/>
      <c r="AY606" s="358"/>
      <c r="AZ606" s="358"/>
      <c r="BA606" s="358"/>
      <c r="BB606" s="358"/>
      <c r="BC606" s="358"/>
      <c r="BD606" s="358"/>
      <c r="BE606" s="358"/>
      <c r="BF606" s="474">
        <v>1.4</v>
      </c>
      <c r="BG606" s="488"/>
      <c r="BH606" s="335" t="s">
        <v>1332</v>
      </c>
      <c r="BI606" s="446" t="s">
        <v>47</v>
      </c>
      <c r="BJ606" s="505"/>
    </row>
    <row r="607" spans="1:62" ht="15.75" customHeight="1" thickBot="1" x14ac:dyDescent="0.25">
      <c r="A607" s="174">
        <v>607</v>
      </c>
      <c r="B607" s="175">
        <v>1</v>
      </c>
      <c r="C607" s="166" t="s">
        <v>11</v>
      </c>
      <c r="D607" s="170" t="s">
        <v>12</v>
      </c>
      <c r="E607" s="166" t="s">
        <v>13</v>
      </c>
      <c r="F607" s="166" t="s">
        <v>502</v>
      </c>
      <c r="G607" s="166" t="s">
        <v>1327</v>
      </c>
      <c r="H607" s="166" t="s">
        <v>42</v>
      </c>
      <c r="I607" s="181">
        <v>2008</v>
      </c>
      <c r="J607" s="181" t="s">
        <v>1328</v>
      </c>
      <c r="K607" s="181" t="s">
        <v>1329</v>
      </c>
      <c r="L607" s="181" t="s">
        <v>19</v>
      </c>
      <c r="M607" s="556" t="s">
        <v>4228</v>
      </c>
      <c r="N607" s="214" t="s">
        <v>20</v>
      </c>
      <c r="O607" s="214" t="s">
        <v>20</v>
      </c>
      <c r="P607" s="214" t="s">
        <v>15</v>
      </c>
      <c r="Q607" s="214" t="s">
        <v>15</v>
      </c>
      <c r="R607" s="214" t="s">
        <v>15</v>
      </c>
      <c r="S607" s="214" t="s">
        <v>15</v>
      </c>
      <c r="T607" s="214" t="s">
        <v>15</v>
      </c>
      <c r="U607" s="214" t="s">
        <v>15</v>
      </c>
      <c r="V607" s="214" t="s">
        <v>15</v>
      </c>
      <c r="W607" s="214" t="s">
        <v>15</v>
      </c>
      <c r="X607" s="214" t="s">
        <v>15</v>
      </c>
      <c r="Y607" s="214" t="s">
        <v>15</v>
      </c>
      <c r="Z607" s="234"/>
      <c r="AA607" s="214" t="s">
        <v>1131</v>
      </c>
      <c r="AB607" s="214" t="s">
        <v>15</v>
      </c>
      <c r="AC607" s="214" t="s">
        <v>15</v>
      </c>
      <c r="AD607" s="320" t="s">
        <v>1330</v>
      </c>
      <c r="AE607" s="320" t="s">
        <v>1331</v>
      </c>
      <c r="AF607" s="162">
        <f t="shared" si="40"/>
        <v>3.1</v>
      </c>
      <c r="AG607" s="162" t="str">
        <f t="shared" si="48"/>
        <v/>
      </c>
      <c r="AH607" s="164">
        <f t="shared" si="41"/>
        <v>1.5</v>
      </c>
      <c r="AI607" s="164" t="str">
        <f t="shared" si="42"/>
        <v/>
      </c>
      <c r="AJ607" s="519"/>
      <c r="AK607" s="519"/>
      <c r="AL607" s="519"/>
      <c r="AM607" s="519"/>
      <c r="AN607" s="519"/>
      <c r="AO607" s="519"/>
      <c r="AP607" s="519"/>
      <c r="AQ607" s="519"/>
      <c r="AR607" s="519"/>
      <c r="AS607" s="194">
        <v>3.1</v>
      </c>
      <c r="AT607" s="205"/>
      <c r="AU607" s="377"/>
      <c r="AV607" s="382"/>
      <c r="AW607" s="334"/>
      <c r="AX607" s="334"/>
      <c r="AY607" s="334"/>
      <c r="AZ607" s="334"/>
      <c r="BA607" s="334"/>
      <c r="BB607" s="334"/>
      <c r="BC607" s="334"/>
      <c r="BD607" s="334"/>
      <c r="BE607" s="334"/>
      <c r="BF607" s="468">
        <v>1.5</v>
      </c>
      <c r="BG607" s="484"/>
      <c r="BH607" s="335" t="s">
        <v>1333</v>
      </c>
      <c r="BI607" s="446" t="s">
        <v>47</v>
      </c>
      <c r="BJ607" s="505"/>
    </row>
    <row r="608" spans="1:62" ht="15.75" customHeight="1" thickBot="1" x14ac:dyDescent="0.25">
      <c r="A608" s="176">
        <v>608</v>
      </c>
      <c r="B608" s="175">
        <v>1</v>
      </c>
      <c r="C608" s="166" t="s">
        <v>587</v>
      </c>
      <c r="D608" s="166" t="s">
        <v>2287</v>
      </c>
      <c r="E608" s="166" t="s">
        <v>13</v>
      </c>
      <c r="F608" s="166" t="s">
        <v>1334</v>
      </c>
      <c r="G608" s="166" t="s">
        <v>122</v>
      </c>
      <c r="H608" s="166" t="s">
        <v>55</v>
      </c>
      <c r="I608" s="181">
        <v>2007</v>
      </c>
      <c r="J608" s="181" t="s">
        <v>1335</v>
      </c>
      <c r="K608" s="181" t="s">
        <v>1336</v>
      </c>
      <c r="L608" s="181" t="s">
        <v>168</v>
      </c>
      <c r="M608" s="556" t="s">
        <v>4229</v>
      </c>
      <c r="N608" s="214" t="s">
        <v>20</v>
      </c>
      <c r="O608" s="214" t="s">
        <v>15</v>
      </c>
      <c r="P608" s="214" t="s">
        <v>20</v>
      </c>
      <c r="Q608" s="214" t="s">
        <v>20</v>
      </c>
      <c r="R608" s="214" t="s">
        <v>15</v>
      </c>
      <c r="S608" s="214" t="s">
        <v>15</v>
      </c>
      <c r="T608" s="214" t="s">
        <v>15</v>
      </c>
      <c r="U608" s="214" t="s">
        <v>15</v>
      </c>
      <c r="V608" s="214" t="s">
        <v>15</v>
      </c>
      <c r="W608" s="214" t="s">
        <v>15</v>
      </c>
      <c r="X608" s="214" t="s">
        <v>15</v>
      </c>
      <c r="Y608" s="214" t="s">
        <v>20</v>
      </c>
      <c r="Z608" s="234"/>
      <c r="AA608" s="214" t="s">
        <v>1337</v>
      </c>
      <c r="AB608" s="214" t="s">
        <v>292</v>
      </c>
      <c r="AC608" s="214" t="s">
        <v>122</v>
      </c>
      <c r="AD608" s="320" t="s">
        <v>1338</v>
      </c>
      <c r="AE608" s="320" t="s">
        <v>485</v>
      </c>
      <c r="AF608" s="162">
        <f t="shared" si="40"/>
        <v>3.5960999999999999</v>
      </c>
      <c r="AG608" s="162">
        <f t="shared" si="48"/>
        <v>3.5160999999999998</v>
      </c>
      <c r="AH608" s="164">
        <f t="shared" si="41"/>
        <v>0.68779999999999997</v>
      </c>
      <c r="AI608" s="164">
        <f t="shared" si="42"/>
        <v>0.73280000000000001</v>
      </c>
      <c r="AJ608" s="368">
        <v>3.4260999999999999</v>
      </c>
      <c r="AK608" s="370"/>
      <c r="AL608" s="370">
        <v>0.09</v>
      </c>
      <c r="AM608" s="370"/>
      <c r="AN608" s="370"/>
      <c r="AO608" s="370"/>
      <c r="AP608" s="370"/>
      <c r="AQ608" s="370"/>
      <c r="AR608" s="370">
        <v>9.5000000000000001E-2</v>
      </c>
      <c r="AS608" s="199">
        <v>3.5960999999999999</v>
      </c>
      <c r="AT608" s="195">
        <v>3.5375000000000001</v>
      </c>
      <c r="AU608" s="377"/>
      <c r="AW608" s="341">
        <v>0.68779999999999997</v>
      </c>
      <c r="AX608" s="435"/>
      <c r="AY608" s="435">
        <v>4.4999999999999998E-2</v>
      </c>
      <c r="AZ608" s="435"/>
      <c r="BA608" s="435"/>
      <c r="BB608" s="435"/>
      <c r="BC608" s="435"/>
      <c r="BD608" s="435"/>
      <c r="BE608" s="435">
        <v>1.7999999999999999E-2</v>
      </c>
      <c r="BF608" s="467">
        <v>0.68779999999999997</v>
      </c>
      <c r="BG608" s="495">
        <v>0.75079999999999991</v>
      </c>
      <c r="BH608" s="341"/>
      <c r="BI608" s="447"/>
      <c r="BJ608" s="505"/>
    </row>
    <row r="609" spans="1:62" ht="15.75" customHeight="1" thickBot="1" x14ac:dyDescent="0.25">
      <c r="A609" s="174">
        <v>609</v>
      </c>
      <c r="B609" s="175">
        <v>1</v>
      </c>
      <c r="C609" s="166" t="s">
        <v>587</v>
      </c>
      <c r="D609" s="166" t="s">
        <v>1339</v>
      </c>
      <c r="E609" s="166" t="s">
        <v>13</v>
      </c>
      <c r="F609" s="166" t="s">
        <v>1340</v>
      </c>
      <c r="G609" s="166" t="s">
        <v>292</v>
      </c>
      <c r="H609" s="166" t="s">
        <v>369</v>
      </c>
      <c r="I609" s="181">
        <v>2016</v>
      </c>
      <c r="J609" s="181" t="s">
        <v>1341</v>
      </c>
      <c r="K609" s="181" t="s">
        <v>1342</v>
      </c>
      <c r="L609" s="181" t="s">
        <v>19</v>
      </c>
      <c r="M609" s="556" t="s">
        <v>4230</v>
      </c>
      <c r="N609" s="214" t="s">
        <v>20</v>
      </c>
      <c r="O609" s="214" t="s">
        <v>15</v>
      </c>
      <c r="P609" s="214" t="s">
        <v>20</v>
      </c>
      <c r="Q609" s="214" t="s">
        <v>20</v>
      </c>
      <c r="R609" s="214" t="s">
        <v>15</v>
      </c>
      <c r="S609" s="214" t="s">
        <v>20</v>
      </c>
      <c r="T609" s="214" t="s">
        <v>15</v>
      </c>
      <c r="U609" s="214" t="s">
        <v>15</v>
      </c>
      <c r="V609" s="214" t="s">
        <v>15</v>
      </c>
      <c r="W609" s="214" t="s">
        <v>15</v>
      </c>
      <c r="X609" s="214" t="s">
        <v>15</v>
      </c>
      <c r="Y609" s="214" t="s">
        <v>15</v>
      </c>
      <c r="Z609" s="234"/>
      <c r="AA609" s="214" t="s">
        <v>1343</v>
      </c>
      <c r="AB609" s="214" t="s">
        <v>292</v>
      </c>
      <c r="AC609" s="214" t="s">
        <v>122</v>
      </c>
      <c r="AD609" s="320" t="s">
        <v>1344</v>
      </c>
      <c r="AE609" s="319"/>
      <c r="AF609" s="162" t="str">
        <f t="shared" si="40"/>
        <v/>
      </c>
      <c r="AG609" s="162" t="str">
        <f t="shared" si="48"/>
        <v/>
      </c>
      <c r="AH609" s="164">
        <f t="shared" si="41"/>
        <v>0.21</v>
      </c>
      <c r="AI609" s="164">
        <f t="shared" si="42"/>
        <v>2.44</v>
      </c>
      <c r="AJ609" s="370"/>
      <c r="AK609" s="370"/>
      <c r="AL609" s="370"/>
      <c r="AM609" s="370"/>
      <c r="AN609" s="370"/>
      <c r="AO609" s="370"/>
      <c r="AP609" s="370"/>
      <c r="AQ609" s="370"/>
      <c r="AR609" s="370"/>
      <c r="AS609" s="195"/>
      <c r="AT609" s="195"/>
      <c r="AU609" s="377"/>
      <c r="AV609" s="382"/>
      <c r="AW609" s="427">
        <v>0.21</v>
      </c>
      <c r="AX609" s="427"/>
      <c r="AY609" s="427">
        <v>2.23</v>
      </c>
      <c r="AZ609" s="427"/>
      <c r="BA609" s="427">
        <v>0.08</v>
      </c>
      <c r="BB609" s="427"/>
      <c r="BC609" s="427"/>
      <c r="BD609" s="427"/>
      <c r="BE609" s="427"/>
      <c r="BF609" s="469">
        <f>AW609</f>
        <v>0.21</v>
      </c>
      <c r="BG609" s="485">
        <v>2.5</v>
      </c>
      <c r="BH609" s="335" t="s">
        <v>1345</v>
      </c>
      <c r="BI609" s="446" t="s">
        <v>1346</v>
      </c>
      <c r="BJ609" s="505"/>
    </row>
    <row r="610" spans="1:62" ht="15.75" customHeight="1" thickBot="1" x14ac:dyDescent="0.25">
      <c r="A610" s="176">
        <v>610</v>
      </c>
      <c r="B610" s="175">
        <v>1</v>
      </c>
      <c r="C610" s="166" t="s">
        <v>1110</v>
      </c>
      <c r="D610" s="166" t="s">
        <v>1347</v>
      </c>
      <c r="E610" s="166" t="s">
        <v>13</v>
      </c>
      <c r="F610" s="167"/>
      <c r="G610" s="166" t="s">
        <v>292</v>
      </c>
      <c r="H610" s="166" t="s">
        <v>1348</v>
      </c>
      <c r="I610" s="181">
        <v>2008</v>
      </c>
      <c r="J610" s="181" t="s">
        <v>1349</v>
      </c>
      <c r="K610" s="181" t="s">
        <v>1350</v>
      </c>
      <c r="L610" s="181" t="s">
        <v>19</v>
      </c>
      <c r="M610" s="556" t="s">
        <v>4231</v>
      </c>
      <c r="N610" s="214" t="s">
        <v>20</v>
      </c>
      <c r="O610" s="214" t="s">
        <v>15</v>
      </c>
      <c r="P610" s="214" t="s">
        <v>20</v>
      </c>
      <c r="Q610" s="214" t="s">
        <v>20</v>
      </c>
      <c r="R610" s="214" t="s">
        <v>15</v>
      </c>
      <c r="S610" s="214" t="s">
        <v>15</v>
      </c>
      <c r="T610" s="214" t="s">
        <v>15</v>
      </c>
      <c r="U610" s="214" t="s">
        <v>15</v>
      </c>
      <c r="V610" s="214" t="s">
        <v>15</v>
      </c>
      <c r="W610" s="214" t="s">
        <v>15</v>
      </c>
      <c r="X610" s="214" t="s">
        <v>15</v>
      </c>
      <c r="Y610" s="214" t="s">
        <v>15</v>
      </c>
      <c r="Z610" s="234"/>
      <c r="AA610" s="214" t="s">
        <v>1351</v>
      </c>
      <c r="AB610" s="214" t="s">
        <v>292</v>
      </c>
      <c r="AC610" s="214" t="s">
        <v>292</v>
      </c>
      <c r="AD610" s="320" t="s">
        <v>1352</v>
      </c>
      <c r="AE610" s="320" t="s">
        <v>1353</v>
      </c>
      <c r="AF610" s="162" t="str">
        <f t="shared" si="40"/>
        <v/>
      </c>
      <c r="AG610" s="162" t="str">
        <f t="shared" si="48"/>
        <v/>
      </c>
      <c r="AH610" s="164" t="str">
        <f t="shared" si="41"/>
        <v/>
      </c>
      <c r="AI610" s="164" t="str">
        <f t="shared" si="42"/>
        <v/>
      </c>
      <c r="AJ610" s="370"/>
      <c r="AK610" s="370"/>
      <c r="AL610" s="370"/>
      <c r="AM610" s="370"/>
      <c r="AN610" s="370"/>
      <c r="AO610" s="370"/>
      <c r="AP610" s="370"/>
      <c r="AQ610" s="370"/>
      <c r="AR610" s="370"/>
      <c r="AS610" s="195"/>
      <c r="AT610" s="195"/>
      <c r="AU610" s="377"/>
      <c r="AV610" s="382"/>
      <c r="AW610" s="427"/>
      <c r="AX610" s="427"/>
      <c r="AY610" s="427"/>
      <c r="AZ610" s="427"/>
      <c r="BA610" s="427"/>
      <c r="BB610" s="427"/>
      <c r="BC610" s="427"/>
      <c r="BD610" s="427"/>
      <c r="BE610" s="427"/>
      <c r="BF610" s="475"/>
      <c r="BG610" s="474">
        <f>0.32286/0.31948</f>
        <v>1.0105796919994992</v>
      </c>
      <c r="BH610" s="341"/>
      <c r="BI610" s="446" t="s">
        <v>1354</v>
      </c>
      <c r="BJ610" s="505"/>
    </row>
    <row r="611" spans="1:62" ht="15.75" customHeight="1" thickBot="1" x14ac:dyDescent="0.25">
      <c r="A611" s="174">
        <v>611</v>
      </c>
      <c r="B611" s="175">
        <v>1</v>
      </c>
      <c r="C611" s="166" t="s">
        <v>1110</v>
      </c>
      <c r="D611" s="166" t="s">
        <v>3293</v>
      </c>
      <c r="E611" s="166" t="s">
        <v>13</v>
      </c>
      <c r="F611" s="167"/>
      <c r="G611" s="166" t="s">
        <v>292</v>
      </c>
      <c r="H611" s="166" t="s">
        <v>1348</v>
      </c>
      <c r="I611" s="181">
        <v>2008</v>
      </c>
      <c r="J611" s="181" t="s">
        <v>1349</v>
      </c>
      <c r="K611" s="181" t="s">
        <v>1350</v>
      </c>
      <c r="L611" s="181" t="s">
        <v>19</v>
      </c>
      <c r="M611" s="556" t="s">
        <v>4231</v>
      </c>
      <c r="N611" s="214" t="s">
        <v>20</v>
      </c>
      <c r="O611" s="214" t="s">
        <v>15</v>
      </c>
      <c r="P611" s="214" t="s">
        <v>20</v>
      </c>
      <c r="Q611" s="214" t="s">
        <v>20</v>
      </c>
      <c r="R611" s="214" t="s">
        <v>15</v>
      </c>
      <c r="S611" s="214" t="s">
        <v>15</v>
      </c>
      <c r="T611" s="214" t="s">
        <v>15</v>
      </c>
      <c r="U611" s="214" t="s">
        <v>15</v>
      </c>
      <c r="V611" s="214" t="s">
        <v>15</v>
      </c>
      <c r="W611" s="214" t="s">
        <v>15</v>
      </c>
      <c r="X611" s="214" t="s">
        <v>15</v>
      </c>
      <c r="Y611" s="214" t="s">
        <v>15</v>
      </c>
      <c r="Z611" s="234"/>
      <c r="AA611" s="214" t="s">
        <v>1351</v>
      </c>
      <c r="AB611" s="214" t="s">
        <v>292</v>
      </c>
      <c r="AC611" s="214" t="s">
        <v>292</v>
      </c>
      <c r="AD611" s="320" t="s">
        <v>1352</v>
      </c>
      <c r="AE611" s="320" t="s">
        <v>1355</v>
      </c>
      <c r="AF611" s="162" t="str">
        <f t="shared" si="40"/>
        <v/>
      </c>
      <c r="AG611" s="162" t="str">
        <f t="shared" si="48"/>
        <v/>
      </c>
      <c r="AH611" s="164" t="str">
        <f t="shared" si="41"/>
        <v/>
      </c>
      <c r="AI611" s="164" t="str">
        <f t="shared" si="42"/>
        <v/>
      </c>
      <c r="AJ611" s="370"/>
      <c r="AK611" s="370"/>
      <c r="AL611" s="370"/>
      <c r="AM611" s="370"/>
      <c r="AN611" s="370"/>
      <c r="AO611" s="370"/>
      <c r="AP611" s="370"/>
      <c r="AQ611" s="370"/>
      <c r="AR611" s="370"/>
      <c r="AS611" s="195"/>
      <c r="AT611" s="195"/>
      <c r="AU611" s="377"/>
      <c r="AV611" s="382"/>
      <c r="AW611" s="427"/>
      <c r="AX611" s="427"/>
      <c r="AY611" s="427"/>
      <c r="AZ611" s="427"/>
      <c r="BA611" s="427"/>
      <c r="BB611" s="427"/>
      <c r="BC611" s="427"/>
      <c r="BD611" s="427"/>
      <c r="BE611" s="427"/>
      <c r="BF611" s="475"/>
      <c r="BG611" s="468">
        <f>0.32286/0.23125</f>
        <v>1.3961513513513513</v>
      </c>
      <c r="BH611" s="341"/>
      <c r="BI611" s="446" t="s">
        <v>1354</v>
      </c>
      <c r="BJ611" s="505"/>
    </row>
    <row r="612" spans="1:62" ht="15.75" customHeight="1" thickBot="1" x14ac:dyDescent="0.25">
      <c r="A612" s="176">
        <v>612</v>
      </c>
      <c r="B612" s="175">
        <v>1</v>
      </c>
      <c r="C612" s="166" t="s">
        <v>1110</v>
      </c>
      <c r="D612" s="166" t="s">
        <v>1356</v>
      </c>
      <c r="E612" s="166" t="s">
        <v>13</v>
      </c>
      <c r="F612" s="167"/>
      <c r="G612" s="166" t="s">
        <v>292</v>
      </c>
      <c r="H612" s="166" t="s">
        <v>1348</v>
      </c>
      <c r="I612" s="181">
        <v>2008</v>
      </c>
      <c r="J612" s="181" t="s">
        <v>1349</v>
      </c>
      <c r="K612" s="181" t="s">
        <v>1350</v>
      </c>
      <c r="L612" s="181" t="s">
        <v>19</v>
      </c>
      <c r="M612" s="556" t="s">
        <v>4231</v>
      </c>
      <c r="N612" s="214" t="s">
        <v>20</v>
      </c>
      <c r="O612" s="214" t="s">
        <v>15</v>
      </c>
      <c r="P612" s="214" t="s">
        <v>20</v>
      </c>
      <c r="Q612" s="214" t="s">
        <v>20</v>
      </c>
      <c r="R612" s="214" t="s">
        <v>15</v>
      </c>
      <c r="S612" s="214" t="s">
        <v>15</v>
      </c>
      <c r="T612" s="214" t="s">
        <v>15</v>
      </c>
      <c r="U612" s="214" t="s">
        <v>15</v>
      </c>
      <c r="V612" s="214" t="s">
        <v>15</v>
      </c>
      <c r="W612" s="214" t="s">
        <v>15</v>
      </c>
      <c r="X612" s="214" t="s">
        <v>15</v>
      </c>
      <c r="Y612" s="214" t="s">
        <v>15</v>
      </c>
      <c r="Z612" s="234"/>
      <c r="AA612" s="214" t="s">
        <v>1351</v>
      </c>
      <c r="AB612" s="214" t="s">
        <v>292</v>
      </c>
      <c r="AC612" s="214" t="s">
        <v>292</v>
      </c>
      <c r="AD612" s="320" t="s">
        <v>1352</v>
      </c>
      <c r="AE612" s="320" t="s">
        <v>1357</v>
      </c>
      <c r="AF612" s="162" t="str">
        <f t="shared" si="40"/>
        <v/>
      </c>
      <c r="AG612" s="162" t="str">
        <f t="shared" si="48"/>
        <v/>
      </c>
      <c r="AH612" s="164" t="str">
        <f t="shared" si="41"/>
        <v/>
      </c>
      <c r="AI612" s="164" t="str">
        <f t="shared" si="42"/>
        <v/>
      </c>
      <c r="AJ612" s="370"/>
      <c r="AK612" s="370"/>
      <c r="AL612" s="370"/>
      <c r="AM612" s="370"/>
      <c r="AN612" s="370"/>
      <c r="AO612" s="370"/>
      <c r="AP612" s="370"/>
      <c r="AQ612" s="370"/>
      <c r="AR612" s="370"/>
      <c r="AS612" s="195"/>
      <c r="AT612" s="195"/>
      <c r="AU612" s="377"/>
      <c r="AV612" s="382"/>
      <c r="AW612" s="427"/>
      <c r="AX612" s="427"/>
      <c r="AY612" s="427"/>
      <c r="AZ612" s="427"/>
      <c r="BA612" s="427"/>
      <c r="BB612" s="427"/>
      <c r="BC612" s="427"/>
      <c r="BD612" s="427"/>
      <c r="BE612" s="427"/>
      <c r="BF612" s="475"/>
      <c r="BG612" s="468">
        <f>0.32286/0.26875</f>
        <v>1.2013395348837208</v>
      </c>
      <c r="BH612" s="341"/>
      <c r="BI612" s="446" t="s">
        <v>1354</v>
      </c>
      <c r="BJ612" s="505"/>
    </row>
    <row r="613" spans="1:62" ht="15.75" customHeight="1" thickBot="1" x14ac:dyDescent="0.25">
      <c r="A613" s="174">
        <v>613</v>
      </c>
      <c r="B613" s="175">
        <v>1</v>
      </c>
      <c r="C613" s="166" t="s">
        <v>1110</v>
      </c>
      <c r="D613" s="166" t="s">
        <v>3050</v>
      </c>
      <c r="E613" s="166" t="s">
        <v>13</v>
      </c>
      <c r="F613" s="167"/>
      <c r="G613" s="166" t="s">
        <v>292</v>
      </c>
      <c r="H613" s="166" t="s">
        <v>1348</v>
      </c>
      <c r="I613" s="181">
        <v>2008</v>
      </c>
      <c r="J613" s="181" t="s">
        <v>1349</v>
      </c>
      <c r="K613" s="181" t="s">
        <v>1350</v>
      </c>
      <c r="L613" s="181" t="s">
        <v>19</v>
      </c>
      <c r="M613" s="556" t="s">
        <v>4231</v>
      </c>
      <c r="N613" s="214" t="s">
        <v>20</v>
      </c>
      <c r="O613" s="214" t="s">
        <v>15</v>
      </c>
      <c r="P613" s="214" t="s">
        <v>20</v>
      </c>
      <c r="Q613" s="214" t="s">
        <v>20</v>
      </c>
      <c r="R613" s="214" t="s">
        <v>15</v>
      </c>
      <c r="S613" s="214" t="s">
        <v>15</v>
      </c>
      <c r="T613" s="214" t="s">
        <v>15</v>
      </c>
      <c r="U613" s="214" t="s">
        <v>15</v>
      </c>
      <c r="V613" s="214" t="s">
        <v>15</v>
      </c>
      <c r="W613" s="214" t="s">
        <v>15</v>
      </c>
      <c r="X613" s="214" t="s">
        <v>15</v>
      </c>
      <c r="Y613" s="214" t="s">
        <v>15</v>
      </c>
      <c r="Z613" s="234"/>
      <c r="AA613" s="214" t="s">
        <v>1351</v>
      </c>
      <c r="AB613" s="214" t="s">
        <v>292</v>
      </c>
      <c r="AC613" s="214" t="s">
        <v>292</v>
      </c>
      <c r="AD613" s="320" t="s">
        <v>1352</v>
      </c>
      <c r="AE613" s="320" t="s">
        <v>1358</v>
      </c>
      <c r="AF613" s="162" t="str">
        <f t="shared" si="40"/>
        <v/>
      </c>
      <c r="AG613" s="162" t="str">
        <f t="shared" si="48"/>
        <v/>
      </c>
      <c r="AH613" s="164" t="str">
        <f t="shared" si="41"/>
        <v/>
      </c>
      <c r="AI613" s="164" t="str">
        <f t="shared" si="42"/>
        <v/>
      </c>
      <c r="AJ613" s="370"/>
      <c r="AK613" s="370"/>
      <c r="AL613" s="370"/>
      <c r="AM613" s="370"/>
      <c r="AN613" s="370"/>
      <c r="AO613" s="370"/>
      <c r="AP613" s="370"/>
      <c r="AQ613" s="370"/>
      <c r="AR613" s="370"/>
      <c r="AS613" s="195"/>
      <c r="AT613" s="195"/>
      <c r="AU613" s="377"/>
      <c r="AV613" s="382"/>
      <c r="AW613" s="427"/>
      <c r="AX613" s="427"/>
      <c r="AY613" s="427"/>
      <c r="AZ613" s="427"/>
      <c r="BA613" s="427"/>
      <c r="BB613" s="427"/>
      <c r="BC613" s="427"/>
      <c r="BD613" s="427"/>
      <c r="BE613" s="427"/>
      <c r="BF613" s="475"/>
      <c r="BG613" s="468">
        <f>0.32286/0.075</f>
        <v>4.3048000000000002</v>
      </c>
      <c r="BH613" s="341"/>
      <c r="BI613" s="446" t="s">
        <v>1354</v>
      </c>
      <c r="BJ613" s="505"/>
    </row>
    <row r="614" spans="1:62" ht="15.75" customHeight="1" thickBot="1" x14ac:dyDescent="0.25">
      <c r="A614" s="176">
        <v>614</v>
      </c>
      <c r="B614" s="175">
        <v>1</v>
      </c>
      <c r="C614" s="166" t="s">
        <v>236</v>
      </c>
      <c r="D614" s="166" t="s">
        <v>2145</v>
      </c>
      <c r="E614" s="166" t="s">
        <v>13</v>
      </c>
      <c r="F614" s="168" t="s">
        <v>3233</v>
      </c>
      <c r="G614" s="166" t="s">
        <v>20</v>
      </c>
      <c r="H614" s="166" t="s">
        <v>1359</v>
      </c>
      <c r="I614" s="181">
        <v>2010</v>
      </c>
      <c r="J614" s="181" t="s">
        <v>1360</v>
      </c>
      <c r="K614" s="181" t="s">
        <v>1361</v>
      </c>
      <c r="L614" s="181" t="s">
        <v>19</v>
      </c>
      <c r="M614" s="556" t="s">
        <v>4232</v>
      </c>
      <c r="N614" s="214" t="s">
        <v>20</v>
      </c>
      <c r="O614" s="214" t="s">
        <v>15</v>
      </c>
      <c r="P614" s="214" t="s">
        <v>20</v>
      </c>
      <c r="Q614" s="214" t="s">
        <v>20</v>
      </c>
      <c r="R614" s="214" t="s">
        <v>20</v>
      </c>
      <c r="S614" s="214" t="s">
        <v>20</v>
      </c>
      <c r="T614" s="214" t="s">
        <v>15</v>
      </c>
      <c r="U614" s="214" t="s">
        <v>15</v>
      </c>
      <c r="V614" s="214" t="s">
        <v>15</v>
      </c>
      <c r="W614" s="214" t="s">
        <v>15</v>
      </c>
      <c r="X614" s="214" t="s">
        <v>15</v>
      </c>
      <c r="Y614" s="214" t="s">
        <v>15</v>
      </c>
      <c r="Z614" s="234"/>
      <c r="AA614" s="214" t="s">
        <v>1362</v>
      </c>
      <c r="AB614" s="214" t="s">
        <v>15</v>
      </c>
      <c r="AC614" s="214" t="s">
        <v>20</v>
      </c>
      <c r="AD614" s="319" t="s">
        <v>1363</v>
      </c>
      <c r="AE614" s="320" t="s">
        <v>485</v>
      </c>
      <c r="AF614" s="162">
        <f t="shared" si="40"/>
        <v>1.1120000000000001</v>
      </c>
      <c r="AG614" s="162">
        <f t="shared" si="48"/>
        <v>1.5680000000000001</v>
      </c>
      <c r="AH614" s="164">
        <f t="shared" si="41"/>
        <v>0.06</v>
      </c>
      <c r="AI614" s="164">
        <f t="shared" si="42"/>
        <v>8.2599999999999993E-2</v>
      </c>
      <c r="AJ614" s="369">
        <v>1.1120000000000001</v>
      </c>
      <c r="AK614" s="368"/>
      <c r="AL614" s="369">
        <v>0.45600000000000002</v>
      </c>
      <c r="AM614" s="368"/>
      <c r="AN614" s="369">
        <v>1.25</v>
      </c>
      <c r="AO614" s="368"/>
      <c r="AP614" s="368"/>
      <c r="AQ614" s="368"/>
      <c r="AR614" s="368"/>
      <c r="AS614" s="195">
        <v>1.1120000000000001</v>
      </c>
      <c r="AT614" s="195">
        <v>2.82</v>
      </c>
      <c r="AU614" s="377"/>
      <c r="AV614" s="382"/>
      <c r="AW614" s="359">
        <v>5.5599999999999997E-2</v>
      </c>
      <c r="AX614" s="426"/>
      <c r="AY614" s="359">
        <v>2.7E-2</v>
      </c>
      <c r="AZ614" s="426"/>
      <c r="BA614" s="359">
        <v>6.7999999999999996E-3</v>
      </c>
      <c r="BB614" s="426"/>
      <c r="BC614" s="426"/>
      <c r="BD614" s="426"/>
      <c r="BE614" s="426"/>
      <c r="BF614" s="475">
        <v>0.06</v>
      </c>
      <c r="BG614" s="467">
        <v>0.09</v>
      </c>
      <c r="BH614" s="341"/>
      <c r="BI614" s="446" t="s">
        <v>733</v>
      </c>
      <c r="BJ614" s="505"/>
    </row>
    <row r="615" spans="1:62" ht="15.75" customHeight="1" thickBot="1" x14ac:dyDescent="0.25">
      <c r="A615" s="174">
        <v>615</v>
      </c>
      <c r="B615" s="175">
        <v>1</v>
      </c>
      <c r="C615" s="166" t="s">
        <v>236</v>
      </c>
      <c r="D615" s="166" t="s">
        <v>2145</v>
      </c>
      <c r="E615" s="166" t="s">
        <v>13</v>
      </c>
      <c r="F615" s="166" t="s">
        <v>1364</v>
      </c>
      <c r="G615" s="166" t="s">
        <v>20</v>
      </c>
      <c r="H615" s="166" t="s">
        <v>1359</v>
      </c>
      <c r="I615" s="181">
        <v>2010</v>
      </c>
      <c r="J615" s="181" t="s">
        <v>1360</v>
      </c>
      <c r="K615" s="181" t="s">
        <v>1361</v>
      </c>
      <c r="L615" s="181" t="s">
        <v>19</v>
      </c>
      <c r="M615" s="556" t="s">
        <v>4232</v>
      </c>
      <c r="N615" s="214" t="s">
        <v>20</v>
      </c>
      <c r="O615" s="214" t="s">
        <v>15</v>
      </c>
      <c r="P615" s="214" t="s">
        <v>20</v>
      </c>
      <c r="Q615" s="214" t="s">
        <v>20</v>
      </c>
      <c r="R615" s="214" t="s">
        <v>20</v>
      </c>
      <c r="S615" s="214" t="s">
        <v>20</v>
      </c>
      <c r="T615" s="214" t="s">
        <v>15</v>
      </c>
      <c r="U615" s="214" t="s">
        <v>15</v>
      </c>
      <c r="V615" s="214" t="s">
        <v>15</v>
      </c>
      <c r="W615" s="214" t="s">
        <v>15</v>
      </c>
      <c r="X615" s="214" t="s">
        <v>15</v>
      </c>
      <c r="Y615" s="214" t="s">
        <v>15</v>
      </c>
      <c r="Z615" s="234"/>
      <c r="AA615" s="214" t="s">
        <v>1365</v>
      </c>
      <c r="AB615" s="214" t="s">
        <v>15</v>
      </c>
      <c r="AC615" s="214" t="s">
        <v>20</v>
      </c>
      <c r="AD615" s="319" t="s">
        <v>1363</v>
      </c>
      <c r="AE615" s="320" t="s">
        <v>485</v>
      </c>
      <c r="AF615" s="162">
        <f t="shared" si="40"/>
        <v>1.32</v>
      </c>
      <c r="AG615" s="162">
        <f t="shared" si="48"/>
        <v>1.5225</v>
      </c>
      <c r="AH615" s="164">
        <f t="shared" si="41"/>
        <v>0.28899999999999998</v>
      </c>
      <c r="AI615" s="164">
        <f t="shared" si="42"/>
        <v>0.30099999999999999</v>
      </c>
      <c r="AJ615" s="368">
        <v>1.32</v>
      </c>
      <c r="AK615" s="368"/>
      <c r="AL615" s="369">
        <v>0.20250000000000001</v>
      </c>
      <c r="AM615" s="368"/>
      <c r="AN615" s="369">
        <v>1.25</v>
      </c>
      <c r="AO615" s="368"/>
      <c r="AP615" s="368"/>
      <c r="AQ615" s="368"/>
      <c r="AR615" s="368"/>
      <c r="AS615" s="195">
        <v>1.32</v>
      </c>
      <c r="AT615" s="195">
        <v>2.7725</v>
      </c>
      <c r="AU615" s="377"/>
      <c r="AV615" s="382"/>
      <c r="AW615" s="426">
        <v>0.28899999999999998</v>
      </c>
      <c r="AX615" s="426"/>
      <c r="AY615" s="359">
        <v>1.2E-2</v>
      </c>
      <c r="AZ615" s="426"/>
      <c r="BA615" s="359">
        <v>6.7999999999999996E-3</v>
      </c>
      <c r="BB615" s="426"/>
      <c r="BC615" s="426"/>
      <c r="BD615" s="426"/>
      <c r="BE615" s="426"/>
      <c r="BF615" s="475">
        <v>0.28899999999999998</v>
      </c>
      <c r="BG615" s="469">
        <v>0.30779999999999996</v>
      </c>
      <c r="BH615" s="341"/>
      <c r="BI615" s="446" t="s">
        <v>733</v>
      </c>
      <c r="BJ615" s="505"/>
    </row>
    <row r="616" spans="1:62" ht="15.75" customHeight="1" thickBot="1" x14ac:dyDescent="0.25">
      <c r="A616" s="176">
        <v>616</v>
      </c>
      <c r="B616" s="175">
        <v>1</v>
      </c>
      <c r="C616" s="166" t="s">
        <v>236</v>
      </c>
      <c r="D616" s="166" t="s">
        <v>2145</v>
      </c>
      <c r="E616" s="166" t="s">
        <v>13</v>
      </c>
      <c r="F616" s="166" t="s">
        <v>1366</v>
      </c>
      <c r="G616" s="166" t="s">
        <v>20</v>
      </c>
      <c r="H616" s="166" t="s">
        <v>1359</v>
      </c>
      <c r="I616" s="181">
        <v>2010</v>
      </c>
      <c r="J616" s="181" t="s">
        <v>1360</v>
      </c>
      <c r="K616" s="181" t="s">
        <v>1361</v>
      </c>
      <c r="L616" s="181" t="s">
        <v>19</v>
      </c>
      <c r="M616" s="556" t="s">
        <v>4232</v>
      </c>
      <c r="N616" s="214" t="s">
        <v>20</v>
      </c>
      <c r="O616" s="214" t="s">
        <v>15</v>
      </c>
      <c r="P616" s="214" t="s">
        <v>20</v>
      </c>
      <c r="Q616" s="214" t="s">
        <v>20</v>
      </c>
      <c r="R616" s="214" t="s">
        <v>20</v>
      </c>
      <c r="S616" s="214" t="s">
        <v>20</v>
      </c>
      <c r="T616" s="214" t="s">
        <v>15</v>
      </c>
      <c r="U616" s="214" t="s">
        <v>15</v>
      </c>
      <c r="V616" s="214" t="s">
        <v>15</v>
      </c>
      <c r="W616" s="214" t="s">
        <v>15</v>
      </c>
      <c r="X616" s="214" t="s">
        <v>15</v>
      </c>
      <c r="Y616" s="214" t="s">
        <v>15</v>
      </c>
      <c r="Z616" s="234"/>
      <c r="AA616" s="214" t="s">
        <v>1365</v>
      </c>
      <c r="AB616" s="214" t="s">
        <v>15</v>
      </c>
      <c r="AC616" s="214" t="s">
        <v>20</v>
      </c>
      <c r="AD616" s="319" t="s">
        <v>1363</v>
      </c>
      <c r="AE616" s="320" t="s">
        <v>485</v>
      </c>
      <c r="AF616" s="162">
        <f t="shared" si="40"/>
        <v>2.5470000000000002</v>
      </c>
      <c r="AG616" s="162">
        <f t="shared" si="48"/>
        <v>5.2657000000000007</v>
      </c>
      <c r="AH616" s="164">
        <f t="shared" si="41"/>
        <v>0.2069</v>
      </c>
      <c r="AI616" s="164">
        <f t="shared" si="42"/>
        <v>0.37090000000000001</v>
      </c>
      <c r="AJ616" s="368">
        <v>2.5470000000000002</v>
      </c>
      <c r="AK616" s="368"/>
      <c r="AL616" s="369">
        <v>2.7187000000000001</v>
      </c>
      <c r="AM616" s="368"/>
      <c r="AN616" s="369">
        <v>0.42499999999999999</v>
      </c>
      <c r="AO616" s="368"/>
      <c r="AP616" s="368"/>
      <c r="AQ616" s="368"/>
      <c r="AR616" s="368"/>
      <c r="AS616" s="195">
        <v>2.5470000000000002</v>
      </c>
      <c r="AT616" s="195">
        <v>5.6906999999999996</v>
      </c>
      <c r="AU616" s="377"/>
      <c r="AV616" s="382"/>
      <c r="AW616" s="426">
        <v>0.2069</v>
      </c>
      <c r="AX616" s="359"/>
      <c r="AY616" s="359">
        <v>0.16400000000000001</v>
      </c>
      <c r="AZ616" s="426"/>
      <c r="BA616" s="359">
        <v>2.5000000000000001E-3</v>
      </c>
      <c r="BB616" s="426"/>
      <c r="BC616" s="426"/>
      <c r="BD616" s="426"/>
      <c r="BE616" s="426"/>
      <c r="BF616" s="469">
        <v>0.2069</v>
      </c>
      <c r="BG616" s="469">
        <v>0.37340000000000001</v>
      </c>
      <c r="BH616" s="341"/>
      <c r="BI616" s="446" t="s">
        <v>733</v>
      </c>
      <c r="BJ616" s="505"/>
    </row>
    <row r="617" spans="1:62" ht="15.75" customHeight="1" thickBot="1" x14ac:dyDescent="0.25">
      <c r="A617" s="174">
        <v>617</v>
      </c>
      <c r="B617" s="175">
        <v>1</v>
      </c>
      <c r="C617" s="166" t="s">
        <v>236</v>
      </c>
      <c r="D617" s="166" t="s">
        <v>2145</v>
      </c>
      <c r="E617" s="166" t="s">
        <v>13</v>
      </c>
      <c r="F617" s="166" t="s">
        <v>1367</v>
      </c>
      <c r="G617" s="166" t="s">
        <v>20</v>
      </c>
      <c r="H617" s="166" t="s">
        <v>1359</v>
      </c>
      <c r="I617" s="181">
        <v>2010</v>
      </c>
      <c r="J617" s="181" t="s">
        <v>1360</v>
      </c>
      <c r="K617" s="181" t="s">
        <v>1361</v>
      </c>
      <c r="L617" s="181" t="s">
        <v>19</v>
      </c>
      <c r="M617" s="556" t="s">
        <v>4232</v>
      </c>
      <c r="N617" s="214" t="s">
        <v>20</v>
      </c>
      <c r="O617" s="214" t="s">
        <v>15</v>
      </c>
      <c r="P617" s="214" t="s">
        <v>20</v>
      </c>
      <c r="Q617" s="214" t="s">
        <v>20</v>
      </c>
      <c r="R617" s="214" t="s">
        <v>20</v>
      </c>
      <c r="S617" s="214" t="s">
        <v>20</v>
      </c>
      <c r="T617" s="214" t="s">
        <v>15</v>
      </c>
      <c r="U617" s="214" t="s">
        <v>15</v>
      </c>
      <c r="V617" s="214" t="s">
        <v>15</v>
      </c>
      <c r="W617" s="214" t="s">
        <v>15</v>
      </c>
      <c r="X617" s="214" t="s">
        <v>15</v>
      </c>
      <c r="Y617" s="214" t="s">
        <v>15</v>
      </c>
      <c r="Z617" s="234"/>
      <c r="AA617" s="214" t="s">
        <v>1365</v>
      </c>
      <c r="AB617" s="214" t="s">
        <v>15</v>
      </c>
      <c r="AC617" s="214" t="s">
        <v>20</v>
      </c>
      <c r="AD617" s="319" t="s">
        <v>1363</v>
      </c>
      <c r="AE617" s="320" t="s">
        <v>485</v>
      </c>
      <c r="AF617" s="162">
        <f t="shared" si="40"/>
        <v>2.109</v>
      </c>
      <c r="AG617" s="162">
        <f t="shared" si="48"/>
        <v>3.9276999999999997</v>
      </c>
      <c r="AH617" s="164">
        <f t="shared" si="41"/>
        <v>0.379</v>
      </c>
      <c r="AI617" s="164">
        <f t="shared" si="42"/>
        <v>0.48899999999999999</v>
      </c>
      <c r="AJ617" s="368">
        <v>2.109</v>
      </c>
      <c r="AK617" s="368"/>
      <c r="AL617" s="369">
        <v>1.8187</v>
      </c>
      <c r="AM617" s="368"/>
      <c r="AN617" s="369">
        <v>0.57499999999999996</v>
      </c>
      <c r="AO617" s="368"/>
      <c r="AP617" s="368"/>
      <c r="AQ617" s="368"/>
      <c r="AR617" s="368"/>
      <c r="AS617" s="195">
        <v>2.109</v>
      </c>
      <c r="AT617" s="195">
        <v>4.5026999999999999</v>
      </c>
      <c r="AU617" s="377"/>
      <c r="AV617" s="382"/>
      <c r="AW617" s="426">
        <v>0.379</v>
      </c>
      <c r="AX617" s="426"/>
      <c r="AY617" s="359">
        <v>0.11</v>
      </c>
      <c r="AZ617" s="426"/>
      <c r="BA617" s="359">
        <v>3.3E-3</v>
      </c>
      <c r="BB617" s="426"/>
      <c r="BC617" s="426"/>
      <c r="BD617" s="426"/>
      <c r="BE617" s="426"/>
      <c r="BF617" s="469">
        <v>0.379</v>
      </c>
      <c r="BG617" s="469">
        <v>0.49230000000000002</v>
      </c>
      <c r="BH617" s="341"/>
      <c r="BI617" s="446" t="s">
        <v>733</v>
      </c>
      <c r="BJ617" s="505"/>
    </row>
    <row r="618" spans="1:62" ht="15.75" customHeight="1" thickBot="1" x14ac:dyDescent="0.25">
      <c r="A618" s="176">
        <v>618</v>
      </c>
      <c r="B618" s="175">
        <v>1</v>
      </c>
      <c r="C618" s="166" t="s">
        <v>236</v>
      </c>
      <c r="D618" s="159" t="s">
        <v>1739</v>
      </c>
      <c r="E618" s="166" t="s">
        <v>13</v>
      </c>
      <c r="F618" s="166" t="s">
        <v>1368</v>
      </c>
      <c r="G618" s="166" t="s">
        <v>20</v>
      </c>
      <c r="H618" s="166" t="s">
        <v>1247</v>
      </c>
      <c r="I618" s="181">
        <v>2013</v>
      </c>
      <c r="J618" s="181" t="s">
        <v>1369</v>
      </c>
      <c r="K618" s="181" t="s">
        <v>1370</v>
      </c>
      <c r="L618" s="181" t="s">
        <v>168</v>
      </c>
      <c r="M618" s="556" t="s">
        <v>4233</v>
      </c>
      <c r="N618" s="214" t="s">
        <v>20</v>
      </c>
      <c r="O618" s="214" t="s">
        <v>15</v>
      </c>
      <c r="P618" s="214" t="s">
        <v>20</v>
      </c>
      <c r="Q618" s="214" t="s">
        <v>20</v>
      </c>
      <c r="R618" s="214" t="s">
        <v>15</v>
      </c>
      <c r="S618" s="214" t="s">
        <v>20</v>
      </c>
      <c r="T618" s="214" t="s">
        <v>15</v>
      </c>
      <c r="U618" s="214" t="s">
        <v>15</v>
      </c>
      <c r="V618" s="214" t="s">
        <v>15</v>
      </c>
      <c r="W618" s="214" t="s">
        <v>15</v>
      </c>
      <c r="X618" s="214" t="s">
        <v>15</v>
      </c>
      <c r="Y618" s="214" t="s">
        <v>15</v>
      </c>
      <c r="Z618" s="214" t="s">
        <v>1371</v>
      </c>
      <c r="AA618" s="214" t="s">
        <v>1372</v>
      </c>
      <c r="AB618" s="214" t="s">
        <v>15</v>
      </c>
      <c r="AC618" s="214" t="s">
        <v>15</v>
      </c>
      <c r="AD618" s="320" t="s">
        <v>1373</v>
      </c>
      <c r="AE618" s="319"/>
      <c r="AF618" s="162" t="str">
        <f t="shared" si="40"/>
        <v/>
      </c>
      <c r="AG618" s="162" t="str">
        <f t="shared" si="48"/>
        <v/>
      </c>
      <c r="AH618" s="164">
        <f t="shared" si="41"/>
        <v>0.10333329999999999</v>
      </c>
      <c r="AI618" s="164" t="str">
        <f t="shared" si="42"/>
        <v/>
      </c>
      <c r="AJ618" s="368"/>
      <c r="AK618" s="368"/>
      <c r="AL618" s="369"/>
      <c r="AM618" s="368"/>
      <c r="AN618" s="369"/>
      <c r="AO618" s="368"/>
      <c r="AP618" s="368"/>
      <c r="AQ618" s="368"/>
      <c r="AR618" s="368"/>
      <c r="AS618" s="195"/>
      <c r="AT618" s="195"/>
      <c r="AU618" s="377"/>
      <c r="AV618" s="382"/>
      <c r="AW618" s="426"/>
      <c r="AX618" s="426"/>
      <c r="AY618" s="359"/>
      <c r="AZ618" s="426"/>
      <c r="BA618" s="359"/>
      <c r="BB618" s="426"/>
      <c r="BC618" s="426"/>
      <c r="BD618" s="426"/>
      <c r="BE618" s="426"/>
      <c r="BF618" s="474">
        <f>103.3333/1000</f>
        <v>0.10333329999999999</v>
      </c>
      <c r="BG618" s="469">
        <f>BF618+0.09375</f>
        <v>0.19708329999999999</v>
      </c>
      <c r="BH618" s="341"/>
      <c r="BI618" s="446" t="s">
        <v>47</v>
      </c>
      <c r="BJ618" s="505"/>
    </row>
    <row r="619" spans="1:62" ht="15.75" customHeight="1" thickBot="1" x14ac:dyDescent="0.25">
      <c r="A619" s="174">
        <v>619</v>
      </c>
      <c r="B619" s="175">
        <v>1</v>
      </c>
      <c r="C619" s="166" t="s">
        <v>236</v>
      </c>
      <c r="D619" s="166" t="s">
        <v>2145</v>
      </c>
      <c r="E619" s="166" t="s">
        <v>13</v>
      </c>
      <c r="F619" s="166" t="s">
        <v>1368</v>
      </c>
      <c r="G619" s="166" t="s">
        <v>20</v>
      </c>
      <c r="H619" s="166" t="s">
        <v>1247</v>
      </c>
      <c r="I619" s="181">
        <v>2013</v>
      </c>
      <c r="J619" s="181" t="s">
        <v>1369</v>
      </c>
      <c r="K619" s="181" t="s">
        <v>1370</v>
      </c>
      <c r="L619" s="181" t="s">
        <v>168</v>
      </c>
      <c r="M619" s="556" t="s">
        <v>4233</v>
      </c>
      <c r="N619" s="214" t="s">
        <v>20</v>
      </c>
      <c r="O619" s="214" t="s">
        <v>15</v>
      </c>
      <c r="P619" s="214" t="s">
        <v>20</v>
      </c>
      <c r="Q619" s="214" t="s">
        <v>20</v>
      </c>
      <c r="R619" s="214" t="s">
        <v>15</v>
      </c>
      <c r="S619" s="214" t="s">
        <v>20</v>
      </c>
      <c r="T619" s="214" t="s">
        <v>15</v>
      </c>
      <c r="U619" s="214" t="s">
        <v>15</v>
      </c>
      <c r="V619" s="214" t="s">
        <v>15</v>
      </c>
      <c r="W619" s="214" t="s">
        <v>15</v>
      </c>
      <c r="X619" s="214" t="s">
        <v>15</v>
      </c>
      <c r="Y619" s="214" t="s">
        <v>15</v>
      </c>
      <c r="Z619" s="214" t="s">
        <v>1371</v>
      </c>
      <c r="AA619" s="214" t="s">
        <v>1372</v>
      </c>
      <c r="AB619" s="214" t="s">
        <v>15</v>
      </c>
      <c r="AC619" s="214" t="s">
        <v>15</v>
      </c>
      <c r="AD619" s="320" t="s">
        <v>1373</v>
      </c>
      <c r="AE619" s="319"/>
      <c r="AF619" s="162" t="str">
        <f t="shared" si="40"/>
        <v/>
      </c>
      <c r="AG619" s="162" t="str">
        <f t="shared" si="48"/>
        <v/>
      </c>
      <c r="AH619" s="164">
        <f t="shared" si="41"/>
        <v>7.809524000000001E-2</v>
      </c>
      <c r="AI619" s="164" t="str">
        <f t="shared" si="42"/>
        <v/>
      </c>
      <c r="AJ619" s="368"/>
      <c r="AK619" s="368"/>
      <c r="AL619" s="369"/>
      <c r="AM619" s="368"/>
      <c r="AN619" s="369"/>
      <c r="AO619" s="368"/>
      <c r="AP619" s="368"/>
      <c r="AQ619" s="368"/>
      <c r="AR619" s="368"/>
      <c r="AS619" s="195"/>
      <c r="AT619" s="195"/>
      <c r="AU619" s="377"/>
      <c r="AV619" s="382"/>
      <c r="AW619" s="426"/>
      <c r="AX619" s="426"/>
      <c r="AY619" s="359"/>
      <c r="AZ619" s="426"/>
      <c r="BA619" s="359"/>
      <c r="BB619" s="426"/>
      <c r="BC619" s="426"/>
      <c r="BD619" s="426"/>
      <c r="BE619" s="426"/>
      <c r="BF619" s="467">
        <f>78.09524/1000</f>
        <v>7.809524000000001E-2</v>
      </c>
      <c r="BG619" s="467">
        <f>BF619+0.09375</f>
        <v>0.17184524000000001</v>
      </c>
      <c r="BH619" s="341"/>
      <c r="BI619" s="446" t="s">
        <v>47</v>
      </c>
      <c r="BJ619" s="505"/>
    </row>
    <row r="620" spans="1:62" ht="15.75" customHeight="1" thickBot="1" x14ac:dyDescent="0.25">
      <c r="A620" s="176">
        <v>620</v>
      </c>
      <c r="B620" s="175">
        <v>1</v>
      </c>
      <c r="C620" s="166" t="s">
        <v>236</v>
      </c>
      <c r="D620" s="159" t="s">
        <v>1739</v>
      </c>
      <c r="E620" s="166" t="s">
        <v>13</v>
      </c>
      <c r="F620" s="166" t="s">
        <v>1374</v>
      </c>
      <c r="G620" s="166" t="s">
        <v>20</v>
      </c>
      <c r="H620" s="166" t="s">
        <v>1247</v>
      </c>
      <c r="I620" s="181">
        <v>2013</v>
      </c>
      <c r="J620" s="181" t="s">
        <v>1369</v>
      </c>
      <c r="K620" s="181" t="s">
        <v>1370</v>
      </c>
      <c r="L620" s="181" t="s">
        <v>168</v>
      </c>
      <c r="M620" s="556" t="s">
        <v>4233</v>
      </c>
      <c r="N620" s="214" t="s">
        <v>20</v>
      </c>
      <c r="O620" s="214" t="s">
        <v>15</v>
      </c>
      <c r="P620" s="214" t="s">
        <v>20</v>
      </c>
      <c r="Q620" s="214" t="s">
        <v>20</v>
      </c>
      <c r="R620" s="214" t="s">
        <v>20</v>
      </c>
      <c r="S620" s="214" t="s">
        <v>20</v>
      </c>
      <c r="T620" s="214" t="s">
        <v>15</v>
      </c>
      <c r="U620" s="214" t="s">
        <v>15</v>
      </c>
      <c r="V620" s="214" t="s">
        <v>15</v>
      </c>
      <c r="W620" s="214" t="s">
        <v>15</v>
      </c>
      <c r="X620" s="214" t="s">
        <v>15</v>
      </c>
      <c r="Y620" s="214" t="s">
        <v>15</v>
      </c>
      <c r="Z620" s="214" t="s">
        <v>1371</v>
      </c>
      <c r="AA620" s="214" t="s">
        <v>1372</v>
      </c>
      <c r="AB620" s="214" t="s">
        <v>15</v>
      </c>
      <c r="AC620" s="214" t="s">
        <v>15</v>
      </c>
      <c r="AD620" s="320" t="s">
        <v>1373</v>
      </c>
      <c r="AE620" s="319"/>
      <c r="AF620" s="162" t="str">
        <f t="shared" si="40"/>
        <v/>
      </c>
      <c r="AG620" s="162" t="str">
        <f t="shared" si="48"/>
        <v/>
      </c>
      <c r="AH620" s="164">
        <f t="shared" si="41"/>
        <v>0.1257143</v>
      </c>
      <c r="AI620" s="164" t="str">
        <f t="shared" si="42"/>
        <v/>
      </c>
      <c r="AJ620" s="368"/>
      <c r="AK620" s="368"/>
      <c r="AL620" s="369"/>
      <c r="AM620" s="368"/>
      <c r="AN620" s="369"/>
      <c r="AO620" s="368"/>
      <c r="AP620" s="368"/>
      <c r="AQ620" s="368"/>
      <c r="AR620" s="368"/>
      <c r="AS620" s="195"/>
      <c r="AT620" s="195"/>
      <c r="AU620" s="377"/>
      <c r="AV620" s="382"/>
      <c r="AW620" s="426"/>
      <c r="AX620" s="426"/>
      <c r="AY620" s="359"/>
      <c r="AZ620" s="426"/>
      <c r="BA620" s="359"/>
      <c r="BB620" s="426"/>
      <c r="BC620" s="426"/>
      <c r="BD620" s="426"/>
      <c r="BE620" s="426"/>
      <c r="BF620" s="467">
        <f>125.7143/1000</f>
        <v>0.1257143</v>
      </c>
      <c r="BG620" s="467">
        <f>BF620+0.135979</f>
        <v>0.26169330000000002</v>
      </c>
      <c r="BH620" s="341"/>
      <c r="BI620" s="446" t="s">
        <v>47</v>
      </c>
      <c r="BJ620" s="505"/>
    </row>
    <row r="621" spans="1:62" ht="15.75" customHeight="1" thickBot="1" x14ac:dyDescent="0.25">
      <c r="A621" s="174">
        <v>621</v>
      </c>
      <c r="B621" s="175">
        <v>1</v>
      </c>
      <c r="C621" s="166" t="s">
        <v>596</v>
      </c>
      <c r="D621" s="166" t="s">
        <v>2305</v>
      </c>
      <c r="E621" s="166" t="s">
        <v>13</v>
      </c>
      <c r="F621" s="166" t="s">
        <v>1375</v>
      </c>
      <c r="G621" s="166" t="s">
        <v>15</v>
      </c>
      <c r="H621" s="166" t="s">
        <v>3311</v>
      </c>
      <c r="I621" s="181">
        <v>2015</v>
      </c>
      <c r="J621" s="181" t="s">
        <v>1376</v>
      </c>
      <c r="K621" s="181" t="s">
        <v>1377</v>
      </c>
      <c r="L621" s="181" t="s">
        <v>19</v>
      </c>
      <c r="M621" s="556" t="s">
        <v>4234</v>
      </c>
      <c r="N621" s="214" t="s">
        <v>15</v>
      </c>
      <c r="O621" s="214" t="s">
        <v>15</v>
      </c>
      <c r="P621" s="214" t="s">
        <v>15</v>
      </c>
      <c r="Q621" s="214" t="s">
        <v>20</v>
      </c>
      <c r="R621" s="214" t="s">
        <v>15</v>
      </c>
      <c r="S621" s="214" t="s">
        <v>15</v>
      </c>
      <c r="T621" s="214" t="s">
        <v>15</v>
      </c>
      <c r="U621" s="214" t="s">
        <v>15</v>
      </c>
      <c r="V621" s="214" t="s">
        <v>15</v>
      </c>
      <c r="W621" s="214" t="s">
        <v>15</v>
      </c>
      <c r="X621" s="214" t="s">
        <v>15</v>
      </c>
      <c r="Y621" s="214" t="s">
        <v>15</v>
      </c>
      <c r="Z621" s="234"/>
      <c r="AA621" s="214" t="s">
        <v>1378</v>
      </c>
      <c r="AB621" s="214" t="s">
        <v>20</v>
      </c>
      <c r="AC621" s="214" t="s">
        <v>15</v>
      </c>
      <c r="AD621" s="320" t="s">
        <v>1379</v>
      </c>
      <c r="AE621" s="320" t="s">
        <v>92</v>
      </c>
      <c r="AF621" s="162" t="str">
        <f t="shared" si="40"/>
        <v/>
      </c>
      <c r="AG621" s="162">
        <f t="shared" si="48"/>
        <v>50.580000000000005</v>
      </c>
      <c r="AH621" s="164" t="str">
        <f t="shared" si="41"/>
        <v/>
      </c>
      <c r="AI621" s="164">
        <f t="shared" si="42"/>
        <v>4.32</v>
      </c>
      <c r="AJ621" s="368"/>
      <c r="AK621" s="368"/>
      <c r="AL621" s="369">
        <f>(13.41+0.64)*3.6</f>
        <v>50.580000000000005</v>
      </c>
      <c r="AM621" s="368"/>
      <c r="AN621" s="369"/>
      <c r="AO621" s="368"/>
      <c r="AP621" s="368"/>
      <c r="AQ621" s="368"/>
      <c r="AR621" s="368"/>
      <c r="AS621" s="195"/>
      <c r="AT621" s="195">
        <f>SUM(AJ621:AR621)</f>
        <v>50.580000000000005</v>
      </c>
      <c r="AU621" s="378" t="s">
        <v>10</v>
      </c>
      <c r="AW621" s="426"/>
      <c r="AX621" s="426"/>
      <c r="AY621" s="359">
        <v>4.32</v>
      </c>
      <c r="AZ621" s="426"/>
      <c r="BA621" s="359"/>
      <c r="BB621" s="426"/>
      <c r="BC621" s="426"/>
      <c r="BD621" s="426"/>
      <c r="BE621" s="426"/>
      <c r="BF621" s="467"/>
      <c r="BG621" s="468">
        <f>SUM(AW621:BE621)</f>
        <v>4.32</v>
      </c>
      <c r="BH621" s="341"/>
      <c r="BI621" s="446" t="s">
        <v>1380</v>
      </c>
      <c r="BJ621" s="505"/>
    </row>
    <row r="622" spans="1:62" ht="15.75" customHeight="1" thickBot="1" x14ac:dyDescent="0.25">
      <c r="A622" s="176">
        <v>622</v>
      </c>
      <c r="B622" s="175">
        <v>1</v>
      </c>
      <c r="C622" s="166" t="s">
        <v>162</v>
      </c>
      <c r="D622" s="166" t="s">
        <v>2311</v>
      </c>
      <c r="E622" s="166" t="s">
        <v>13</v>
      </c>
      <c r="F622" s="166" t="s">
        <v>379</v>
      </c>
      <c r="G622" s="166" t="s">
        <v>292</v>
      </c>
      <c r="H622" s="166" t="s">
        <v>87</v>
      </c>
      <c r="I622" s="181">
        <v>2015</v>
      </c>
      <c r="J622" s="181" t="s">
        <v>1381</v>
      </c>
      <c r="K622" s="181" t="s">
        <v>1382</v>
      </c>
      <c r="L622" s="181" t="s">
        <v>19</v>
      </c>
      <c r="M622" s="556" t="s">
        <v>4235</v>
      </c>
      <c r="N622" s="214" t="s">
        <v>20</v>
      </c>
      <c r="O622" s="214" t="s">
        <v>15</v>
      </c>
      <c r="P622" s="214" t="s">
        <v>15</v>
      </c>
      <c r="Q622" s="214" t="s">
        <v>15</v>
      </c>
      <c r="R622" s="214" t="s">
        <v>15</v>
      </c>
      <c r="S622" s="214" t="s">
        <v>15</v>
      </c>
      <c r="T622" s="214" t="s">
        <v>15</v>
      </c>
      <c r="U622" s="214" t="s">
        <v>15</v>
      </c>
      <c r="V622" s="214" t="s">
        <v>15</v>
      </c>
      <c r="W622" s="214" t="s">
        <v>15</v>
      </c>
      <c r="X622" s="214" t="s">
        <v>15</v>
      </c>
      <c r="Y622" s="214" t="s">
        <v>20</v>
      </c>
      <c r="Z622" s="234"/>
      <c r="AA622" s="234"/>
      <c r="AB622" s="214" t="s">
        <v>292</v>
      </c>
      <c r="AC622" s="214" t="s">
        <v>292</v>
      </c>
      <c r="AD622" s="320" t="s">
        <v>1383</v>
      </c>
      <c r="AE622" s="319"/>
      <c r="AF622" s="162">
        <f t="shared" si="40"/>
        <v>0.86899999999999999</v>
      </c>
      <c r="AG622" s="162" t="str">
        <f t="shared" si="48"/>
        <v/>
      </c>
      <c r="AH622" s="164">
        <f t="shared" si="41"/>
        <v>6.3E-2</v>
      </c>
      <c r="AI622" s="164" t="str">
        <f t="shared" si="42"/>
        <v/>
      </c>
      <c r="AJ622" s="368"/>
      <c r="AK622" s="368"/>
      <c r="AL622" s="369"/>
      <c r="AM622" s="368"/>
      <c r="AN622" s="369"/>
      <c r="AO622" s="368"/>
      <c r="AP622" s="368"/>
      <c r="AQ622" s="368"/>
      <c r="AR622" s="368"/>
      <c r="AS622" s="198">
        <v>0.86899999999999999</v>
      </c>
      <c r="AT622" s="199"/>
      <c r="AU622" s="378" t="s">
        <v>1384</v>
      </c>
      <c r="AV622" s="382"/>
      <c r="AW622" s="426"/>
      <c r="AX622" s="426"/>
      <c r="AY622" s="359"/>
      <c r="AZ622" s="426"/>
      <c r="BA622" s="359"/>
      <c r="BB622" s="426"/>
      <c r="BC622" s="426"/>
      <c r="BD622" s="426"/>
      <c r="BE622" s="426"/>
      <c r="BF622" s="474">
        <v>6.3E-2</v>
      </c>
      <c r="BG622" s="467"/>
      <c r="BH622" s="341"/>
      <c r="BI622" s="446" t="s">
        <v>733</v>
      </c>
      <c r="BJ622" s="505"/>
    </row>
    <row r="623" spans="1:62" ht="15.75" customHeight="1" thickBot="1" x14ac:dyDescent="0.25">
      <c r="A623" s="174">
        <v>623</v>
      </c>
      <c r="B623" s="175">
        <v>1</v>
      </c>
      <c r="C623" s="166" t="s">
        <v>236</v>
      </c>
      <c r="D623" s="159" t="s">
        <v>1739</v>
      </c>
      <c r="E623" s="166" t="s">
        <v>13</v>
      </c>
      <c r="F623" s="166" t="s">
        <v>1385</v>
      </c>
      <c r="G623" s="166" t="s">
        <v>292</v>
      </c>
      <c r="H623" s="166" t="s">
        <v>87</v>
      </c>
      <c r="I623" s="181">
        <v>2015</v>
      </c>
      <c r="J623" s="181" t="s">
        <v>1381</v>
      </c>
      <c r="K623" s="181" t="s">
        <v>1382</v>
      </c>
      <c r="L623" s="181" t="s">
        <v>19</v>
      </c>
      <c r="M623" s="556" t="s">
        <v>4235</v>
      </c>
      <c r="N623" s="214" t="s">
        <v>20</v>
      </c>
      <c r="O623" s="214" t="s">
        <v>15</v>
      </c>
      <c r="P623" s="214" t="s">
        <v>15</v>
      </c>
      <c r="Q623" s="214" t="s">
        <v>15</v>
      </c>
      <c r="R623" s="214" t="s">
        <v>15</v>
      </c>
      <c r="S623" s="214" t="s">
        <v>15</v>
      </c>
      <c r="T623" s="214" t="s">
        <v>15</v>
      </c>
      <c r="U623" s="214" t="s">
        <v>15</v>
      </c>
      <c r="V623" s="214" t="s">
        <v>15</v>
      </c>
      <c r="W623" s="214" t="s">
        <v>15</v>
      </c>
      <c r="X623" s="214" t="s">
        <v>15</v>
      </c>
      <c r="Y623" s="214" t="s">
        <v>20</v>
      </c>
      <c r="Z623" s="234"/>
      <c r="AA623" s="234"/>
      <c r="AB623" s="214" t="s">
        <v>292</v>
      </c>
      <c r="AC623" s="214" t="s">
        <v>292</v>
      </c>
      <c r="AD623" s="320" t="s">
        <v>1383</v>
      </c>
      <c r="AE623" s="319"/>
      <c r="AF623" s="162">
        <f t="shared" si="40"/>
        <v>1.2</v>
      </c>
      <c r="AG623" s="162" t="str">
        <f t="shared" si="48"/>
        <v/>
      </c>
      <c r="AH623" s="164">
        <f t="shared" si="41"/>
        <v>9.7000000000000003E-2</v>
      </c>
      <c r="AI623" s="164" t="str">
        <f t="shared" si="42"/>
        <v/>
      </c>
      <c r="AJ623" s="368"/>
      <c r="AK623" s="368"/>
      <c r="AL623" s="369"/>
      <c r="AM623" s="368"/>
      <c r="AN623" s="369"/>
      <c r="AO623" s="368"/>
      <c r="AP623" s="368"/>
      <c r="AQ623" s="368"/>
      <c r="AR623" s="368"/>
      <c r="AS623" s="194">
        <v>1.2</v>
      </c>
      <c r="AT623" s="195"/>
      <c r="AU623" s="378" t="s">
        <v>1384</v>
      </c>
      <c r="AV623" s="382"/>
      <c r="AW623" s="426"/>
      <c r="AX623" s="426"/>
      <c r="AY623" s="359"/>
      <c r="AZ623" s="426"/>
      <c r="BA623" s="359"/>
      <c r="BB623" s="426"/>
      <c r="BC623" s="426"/>
      <c r="BD623" s="426"/>
      <c r="BE623" s="426"/>
      <c r="BF623" s="468">
        <v>9.7000000000000003E-2</v>
      </c>
      <c r="BG623" s="469"/>
      <c r="BH623" s="341"/>
      <c r="BI623" s="446" t="s">
        <v>733</v>
      </c>
      <c r="BJ623" s="505"/>
    </row>
    <row r="624" spans="1:62" ht="15.75" customHeight="1" thickBot="1" x14ac:dyDescent="0.25">
      <c r="A624" s="176">
        <v>624</v>
      </c>
      <c r="B624" s="175">
        <v>1</v>
      </c>
      <c r="C624" s="166" t="s">
        <v>236</v>
      </c>
      <c r="D624" s="166" t="s">
        <v>2145</v>
      </c>
      <c r="E624" s="166" t="s">
        <v>13</v>
      </c>
      <c r="F624" s="166" t="s">
        <v>379</v>
      </c>
      <c r="G624" s="166" t="s">
        <v>292</v>
      </c>
      <c r="H624" s="166" t="s">
        <v>87</v>
      </c>
      <c r="I624" s="181">
        <v>2015</v>
      </c>
      <c r="J624" s="181" t="s">
        <v>1381</v>
      </c>
      <c r="K624" s="181" t="s">
        <v>1382</v>
      </c>
      <c r="L624" s="181" t="s">
        <v>19</v>
      </c>
      <c r="M624" s="556" t="s">
        <v>4235</v>
      </c>
      <c r="N624" s="214" t="s">
        <v>20</v>
      </c>
      <c r="O624" s="214" t="s">
        <v>15</v>
      </c>
      <c r="P624" s="214" t="s">
        <v>15</v>
      </c>
      <c r="Q624" s="214" t="s">
        <v>15</v>
      </c>
      <c r="R624" s="214" t="s">
        <v>15</v>
      </c>
      <c r="S624" s="214" t="s">
        <v>15</v>
      </c>
      <c r="T624" s="214" t="s">
        <v>15</v>
      </c>
      <c r="U624" s="214" t="s">
        <v>15</v>
      </c>
      <c r="V624" s="214" t="s">
        <v>15</v>
      </c>
      <c r="W624" s="214" t="s">
        <v>15</v>
      </c>
      <c r="X624" s="214" t="s">
        <v>15</v>
      </c>
      <c r="Y624" s="214" t="s">
        <v>20</v>
      </c>
      <c r="Z624" s="234"/>
      <c r="AA624" s="234"/>
      <c r="AB624" s="214" t="s">
        <v>292</v>
      </c>
      <c r="AC624" s="214" t="s">
        <v>292</v>
      </c>
      <c r="AD624" s="320" t="s">
        <v>1383</v>
      </c>
      <c r="AE624" s="319"/>
      <c r="AF624" s="162">
        <f t="shared" si="40"/>
        <v>6.0720000000000001</v>
      </c>
      <c r="AG624" s="162" t="str">
        <f t="shared" si="48"/>
        <v/>
      </c>
      <c r="AH624" s="164">
        <f t="shared" si="41"/>
        <v>0.376</v>
      </c>
      <c r="AI624" s="164" t="str">
        <f t="shared" si="42"/>
        <v/>
      </c>
      <c r="AJ624" s="368"/>
      <c r="AK624" s="368"/>
      <c r="AL624" s="369"/>
      <c r="AM624" s="368"/>
      <c r="AN624" s="369"/>
      <c r="AO624" s="368"/>
      <c r="AP624" s="368"/>
      <c r="AQ624" s="368"/>
      <c r="AR624" s="368"/>
      <c r="AS624" s="194">
        <v>6.0720000000000001</v>
      </c>
      <c r="AT624" s="195"/>
      <c r="AU624" s="378" t="s">
        <v>1384</v>
      </c>
      <c r="AV624" s="382"/>
      <c r="AW624" s="426"/>
      <c r="AX624" s="426"/>
      <c r="AY624" s="359"/>
      <c r="AZ624" s="426"/>
      <c r="BA624" s="359"/>
      <c r="BB624" s="426"/>
      <c r="BC624" s="426"/>
      <c r="BD624" s="426"/>
      <c r="BE624" s="426"/>
      <c r="BF624" s="468">
        <v>0.376</v>
      </c>
      <c r="BG624" s="469"/>
      <c r="BH624" s="341"/>
      <c r="BI624" s="446" t="s">
        <v>733</v>
      </c>
      <c r="BJ624" s="505"/>
    </row>
    <row r="625" spans="1:62" ht="15.75" customHeight="1" thickBot="1" x14ac:dyDescent="0.25">
      <c r="A625" s="174">
        <v>625</v>
      </c>
      <c r="B625" s="175">
        <v>1</v>
      </c>
      <c r="C625" s="166" t="s">
        <v>259</v>
      </c>
      <c r="D625" s="166" t="s">
        <v>2351</v>
      </c>
      <c r="E625" s="166" t="s">
        <v>13</v>
      </c>
      <c r="F625" s="166" t="s">
        <v>1385</v>
      </c>
      <c r="G625" s="166" t="s">
        <v>292</v>
      </c>
      <c r="H625" s="166" t="s">
        <v>87</v>
      </c>
      <c r="I625" s="181">
        <v>2015</v>
      </c>
      <c r="J625" s="181" t="s">
        <v>1381</v>
      </c>
      <c r="K625" s="181" t="s">
        <v>1382</v>
      </c>
      <c r="L625" s="181" t="s">
        <v>19</v>
      </c>
      <c r="M625" s="556" t="s">
        <v>4235</v>
      </c>
      <c r="N625" s="214" t="s">
        <v>20</v>
      </c>
      <c r="O625" s="214" t="s">
        <v>15</v>
      </c>
      <c r="P625" s="214" t="s">
        <v>15</v>
      </c>
      <c r="Q625" s="214" t="s">
        <v>15</v>
      </c>
      <c r="R625" s="214" t="s">
        <v>15</v>
      </c>
      <c r="S625" s="214" t="s">
        <v>15</v>
      </c>
      <c r="T625" s="214" t="s">
        <v>15</v>
      </c>
      <c r="U625" s="214" t="s">
        <v>15</v>
      </c>
      <c r="V625" s="214" t="s">
        <v>15</v>
      </c>
      <c r="W625" s="214" t="s">
        <v>15</v>
      </c>
      <c r="X625" s="214" t="s">
        <v>15</v>
      </c>
      <c r="Y625" s="214" t="s">
        <v>20</v>
      </c>
      <c r="Z625" s="234"/>
      <c r="AA625" s="234"/>
      <c r="AB625" s="214" t="s">
        <v>292</v>
      </c>
      <c r="AC625" s="214" t="s">
        <v>292</v>
      </c>
      <c r="AD625" s="320" t="s">
        <v>1383</v>
      </c>
      <c r="AE625" s="319"/>
      <c r="AF625" s="162">
        <f t="shared" si="40"/>
        <v>3.0979999999999999</v>
      </c>
      <c r="AG625" s="162" t="str">
        <f t="shared" si="48"/>
        <v/>
      </c>
      <c r="AH625" s="164">
        <f t="shared" si="41"/>
        <v>0.50900000000000001</v>
      </c>
      <c r="AI625" s="164" t="str">
        <f t="shared" si="42"/>
        <v/>
      </c>
      <c r="AJ625" s="368"/>
      <c r="AK625" s="368"/>
      <c r="AL625" s="369"/>
      <c r="AM625" s="368"/>
      <c r="AN625" s="369"/>
      <c r="AO625" s="368"/>
      <c r="AP625" s="368"/>
      <c r="AQ625" s="368"/>
      <c r="AR625" s="368"/>
      <c r="AS625" s="194">
        <v>3.0979999999999999</v>
      </c>
      <c r="AT625" s="195"/>
      <c r="AU625" s="378" t="s">
        <v>1384</v>
      </c>
      <c r="AV625" s="382"/>
      <c r="AW625" s="426"/>
      <c r="AX625" s="426"/>
      <c r="AY625" s="359"/>
      <c r="AZ625" s="426"/>
      <c r="BA625" s="359"/>
      <c r="BB625" s="426"/>
      <c r="BC625" s="426"/>
      <c r="BD625" s="426"/>
      <c r="BE625" s="426"/>
      <c r="BF625" s="468">
        <v>0.50900000000000001</v>
      </c>
      <c r="BG625" s="469"/>
      <c r="BH625" s="341"/>
      <c r="BI625" s="446" t="s">
        <v>733</v>
      </c>
      <c r="BJ625" s="505"/>
    </row>
    <row r="626" spans="1:62" ht="15.75" customHeight="1" thickBot="1" x14ac:dyDescent="0.25">
      <c r="A626" s="176">
        <v>626</v>
      </c>
      <c r="B626" s="175">
        <v>1</v>
      </c>
      <c r="C626" s="166" t="s">
        <v>162</v>
      </c>
      <c r="D626" s="159" t="s">
        <v>2057</v>
      </c>
      <c r="E626" s="166" t="s">
        <v>13</v>
      </c>
      <c r="F626" s="166" t="s">
        <v>1386</v>
      </c>
      <c r="G626" s="166" t="s">
        <v>292</v>
      </c>
      <c r="H626" s="166" t="s">
        <v>87</v>
      </c>
      <c r="I626" s="181">
        <v>2015</v>
      </c>
      <c r="J626" s="181" t="s">
        <v>1381</v>
      </c>
      <c r="K626" s="181" t="s">
        <v>1382</v>
      </c>
      <c r="L626" s="181" t="s">
        <v>19</v>
      </c>
      <c r="M626" s="556" t="s">
        <v>4235</v>
      </c>
      <c r="N626" s="214" t="s">
        <v>20</v>
      </c>
      <c r="O626" s="214" t="s">
        <v>15</v>
      </c>
      <c r="P626" s="214" t="s">
        <v>15</v>
      </c>
      <c r="Q626" s="214" t="s">
        <v>15</v>
      </c>
      <c r="R626" s="214" t="s">
        <v>15</v>
      </c>
      <c r="S626" s="214" t="s">
        <v>15</v>
      </c>
      <c r="T626" s="214" t="s">
        <v>15</v>
      </c>
      <c r="U626" s="214" t="s">
        <v>15</v>
      </c>
      <c r="V626" s="214" t="s">
        <v>15</v>
      </c>
      <c r="W626" s="214" t="s">
        <v>15</v>
      </c>
      <c r="X626" s="214" t="s">
        <v>15</v>
      </c>
      <c r="Y626" s="214" t="s">
        <v>20</v>
      </c>
      <c r="Z626" s="234"/>
      <c r="AA626" s="234"/>
      <c r="AB626" s="214" t="s">
        <v>292</v>
      </c>
      <c r="AC626" s="214" t="s">
        <v>292</v>
      </c>
      <c r="AD626" s="320" t="s">
        <v>1383</v>
      </c>
      <c r="AE626" s="319"/>
      <c r="AF626" s="162">
        <f t="shared" si="40"/>
        <v>4.12</v>
      </c>
      <c r="AG626" s="162" t="str">
        <f t="shared" si="48"/>
        <v/>
      </c>
      <c r="AH626" s="164">
        <f t="shared" si="41"/>
        <v>0.32700000000000001</v>
      </c>
      <c r="AI626" s="164" t="str">
        <f t="shared" si="42"/>
        <v/>
      </c>
      <c r="AJ626" s="368"/>
      <c r="AK626" s="368"/>
      <c r="AL626" s="369"/>
      <c r="AM626" s="368"/>
      <c r="AN626" s="369"/>
      <c r="AO626" s="368"/>
      <c r="AP626" s="368"/>
      <c r="AQ626" s="368"/>
      <c r="AR626" s="368"/>
      <c r="AS626" s="194">
        <v>4.12</v>
      </c>
      <c r="AT626" s="195"/>
      <c r="AU626" s="378" t="s">
        <v>1384</v>
      </c>
      <c r="AV626" s="382"/>
      <c r="AW626" s="426"/>
      <c r="AX626" s="426"/>
      <c r="AY626" s="359"/>
      <c r="AZ626" s="426"/>
      <c r="BA626" s="359"/>
      <c r="BB626" s="426"/>
      <c r="BC626" s="426"/>
      <c r="BD626" s="426"/>
      <c r="BE626" s="426"/>
      <c r="BF626" s="468">
        <v>0.32700000000000001</v>
      </c>
      <c r="BG626" s="469"/>
      <c r="BH626" s="341"/>
      <c r="BI626" s="446" t="s">
        <v>733</v>
      </c>
      <c r="BJ626" s="505"/>
    </row>
    <row r="627" spans="1:62" ht="15.75" customHeight="1" thickBot="1" x14ac:dyDescent="0.25">
      <c r="A627" s="174">
        <v>627</v>
      </c>
      <c r="B627" s="175">
        <v>1</v>
      </c>
      <c r="C627" s="166" t="s">
        <v>24</v>
      </c>
      <c r="D627" s="166" t="s">
        <v>53</v>
      </c>
      <c r="E627" s="166" t="s">
        <v>13</v>
      </c>
      <c r="F627" s="166" t="s">
        <v>1387</v>
      </c>
      <c r="G627" s="166" t="s">
        <v>122</v>
      </c>
      <c r="H627" s="166" t="s">
        <v>909</v>
      </c>
      <c r="I627" s="181">
        <v>2015</v>
      </c>
      <c r="J627" s="181" t="s">
        <v>1388</v>
      </c>
      <c r="K627" s="181" t="s">
        <v>1389</v>
      </c>
      <c r="L627" s="181" t="s">
        <v>19</v>
      </c>
      <c r="M627" s="556" t="s">
        <v>4236</v>
      </c>
      <c r="N627" s="214" t="s">
        <v>20</v>
      </c>
      <c r="O627" s="214" t="s">
        <v>15</v>
      </c>
      <c r="P627" s="214" t="s">
        <v>15</v>
      </c>
      <c r="Q627" s="214" t="s">
        <v>15</v>
      </c>
      <c r="R627" s="214" t="s">
        <v>15</v>
      </c>
      <c r="S627" s="214" t="s">
        <v>15</v>
      </c>
      <c r="T627" s="214" t="s">
        <v>15</v>
      </c>
      <c r="U627" s="214" t="s">
        <v>15</v>
      </c>
      <c r="V627" s="214" t="s">
        <v>15</v>
      </c>
      <c r="W627" s="214" t="s">
        <v>15</v>
      </c>
      <c r="X627" s="214" t="s">
        <v>15</v>
      </c>
      <c r="Y627" s="214" t="s">
        <v>15</v>
      </c>
      <c r="Z627" s="234"/>
      <c r="AA627" s="234"/>
      <c r="AB627" s="214" t="s">
        <v>292</v>
      </c>
      <c r="AC627" s="214" t="s">
        <v>292</v>
      </c>
      <c r="AD627" s="320" t="s">
        <v>1390</v>
      </c>
      <c r="AE627" s="320" t="s">
        <v>305</v>
      </c>
      <c r="AF627" s="162" t="str">
        <f t="shared" si="40"/>
        <v/>
      </c>
      <c r="AG627" s="162" t="str">
        <f t="shared" si="48"/>
        <v/>
      </c>
      <c r="AH627" s="164">
        <f t="shared" si="41"/>
        <v>45.326174122241206</v>
      </c>
      <c r="AI627" s="164" t="str">
        <f t="shared" si="42"/>
        <v/>
      </c>
      <c r="AJ627" s="368"/>
      <c r="AK627" s="368"/>
      <c r="AL627" s="369"/>
      <c r="AM627" s="368"/>
      <c r="AN627" s="369"/>
      <c r="AO627" s="368"/>
      <c r="AP627" s="368"/>
      <c r="AQ627" s="368"/>
      <c r="AR627" s="368"/>
      <c r="AS627" s="199"/>
      <c r="AT627" s="195"/>
      <c r="AU627" s="377"/>
      <c r="AV627" s="382"/>
      <c r="AW627" s="426"/>
      <c r="AX627" s="426"/>
      <c r="AY627" s="359"/>
      <c r="AZ627" s="426"/>
      <c r="BA627" s="359"/>
      <c r="BB627" s="426"/>
      <c r="BC627" s="426"/>
      <c r="BD627" s="426"/>
      <c r="BE627" s="426"/>
      <c r="BF627" s="468">
        <f>18.2/0.602/0.667</f>
        <v>45.326174122241206</v>
      </c>
      <c r="BG627" s="469"/>
      <c r="BH627" s="341"/>
      <c r="BI627" s="447"/>
      <c r="BJ627" s="505"/>
    </row>
    <row r="628" spans="1:62" ht="15.75" customHeight="1" thickBot="1" x14ac:dyDescent="0.25">
      <c r="A628" s="176">
        <v>628</v>
      </c>
      <c r="B628" s="175">
        <v>1</v>
      </c>
      <c r="C628" s="166" t="s">
        <v>24</v>
      </c>
      <c r="D628" s="166" t="s">
        <v>53</v>
      </c>
      <c r="E628" s="166" t="s">
        <v>13</v>
      </c>
      <c r="F628" s="166" t="s">
        <v>1391</v>
      </c>
      <c r="G628" s="166" t="s">
        <v>122</v>
      </c>
      <c r="H628" s="166" t="s">
        <v>909</v>
      </c>
      <c r="I628" s="181">
        <v>2015</v>
      </c>
      <c r="J628" s="181" t="s">
        <v>1388</v>
      </c>
      <c r="K628" s="181" t="s">
        <v>1389</v>
      </c>
      <c r="L628" s="181" t="s">
        <v>19</v>
      </c>
      <c r="M628" s="556" t="s">
        <v>4236</v>
      </c>
      <c r="N628" s="214" t="s">
        <v>20</v>
      </c>
      <c r="O628" s="214" t="s">
        <v>15</v>
      </c>
      <c r="P628" s="214" t="s">
        <v>15</v>
      </c>
      <c r="Q628" s="214" t="s">
        <v>15</v>
      </c>
      <c r="R628" s="214" t="s">
        <v>15</v>
      </c>
      <c r="S628" s="214" t="s">
        <v>15</v>
      </c>
      <c r="T628" s="214" t="s">
        <v>15</v>
      </c>
      <c r="U628" s="214" t="s">
        <v>15</v>
      </c>
      <c r="V628" s="214" t="s">
        <v>15</v>
      </c>
      <c r="W628" s="214" t="s">
        <v>15</v>
      </c>
      <c r="X628" s="214" t="s">
        <v>15</v>
      </c>
      <c r="Y628" s="214" t="s">
        <v>15</v>
      </c>
      <c r="Z628" s="234"/>
      <c r="AA628" s="234"/>
      <c r="AB628" s="214" t="s">
        <v>292</v>
      </c>
      <c r="AC628" s="214" t="s">
        <v>292</v>
      </c>
      <c r="AD628" s="320" t="s">
        <v>1390</v>
      </c>
      <c r="AE628" s="320" t="s">
        <v>305</v>
      </c>
      <c r="AF628" s="162" t="str">
        <f t="shared" si="40"/>
        <v/>
      </c>
      <c r="AG628" s="162" t="str">
        <f t="shared" si="48"/>
        <v/>
      </c>
      <c r="AH628" s="164">
        <f t="shared" si="41"/>
        <v>47.816623249836873</v>
      </c>
      <c r="AI628" s="164" t="str">
        <f t="shared" si="42"/>
        <v/>
      </c>
      <c r="AJ628" s="368"/>
      <c r="AK628" s="368"/>
      <c r="AL628" s="369"/>
      <c r="AM628" s="368"/>
      <c r="AN628" s="369"/>
      <c r="AO628" s="368"/>
      <c r="AP628" s="368"/>
      <c r="AQ628" s="368"/>
      <c r="AR628" s="368"/>
      <c r="AS628" s="199"/>
      <c r="AT628" s="195"/>
      <c r="AU628" s="377"/>
      <c r="AV628" s="382"/>
      <c r="AW628" s="426"/>
      <c r="AX628" s="426"/>
      <c r="AY628" s="359"/>
      <c r="AZ628" s="426"/>
      <c r="BA628" s="359"/>
      <c r="BB628" s="426"/>
      <c r="BC628" s="426"/>
      <c r="BD628" s="426"/>
      <c r="BE628" s="426"/>
      <c r="BF628" s="468">
        <f>19.2/0.602/0.667</f>
        <v>47.816623249836873</v>
      </c>
      <c r="BG628" s="469"/>
      <c r="BH628" s="341"/>
      <c r="BI628" s="447"/>
      <c r="BJ628" s="505"/>
    </row>
    <row r="629" spans="1:62" ht="15.75" customHeight="1" thickBot="1" x14ac:dyDescent="0.25">
      <c r="A629" s="174">
        <v>629</v>
      </c>
      <c r="B629" s="175">
        <v>1</v>
      </c>
      <c r="C629" s="166" t="s">
        <v>24</v>
      </c>
      <c r="D629" s="166" t="s">
        <v>269</v>
      </c>
      <c r="E629" s="166" t="s">
        <v>13</v>
      </c>
      <c r="F629" s="166" t="s">
        <v>1392</v>
      </c>
      <c r="G629" s="166" t="s">
        <v>122</v>
      </c>
      <c r="H629" s="166" t="s">
        <v>1393</v>
      </c>
      <c r="I629" s="181">
        <v>2016</v>
      </c>
      <c r="J629" s="181" t="s">
        <v>1394</v>
      </c>
      <c r="K629" s="181" t="s">
        <v>1395</v>
      </c>
      <c r="L629" s="181" t="s">
        <v>19</v>
      </c>
      <c r="M629" s="556" t="s">
        <v>4237</v>
      </c>
      <c r="N629" s="214" t="s">
        <v>20</v>
      </c>
      <c r="O629" s="214" t="s">
        <v>15</v>
      </c>
      <c r="P629" s="214" t="s">
        <v>15</v>
      </c>
      <c r="Q629" s="214" t="s">
        <v>15</v>
      </c>
      <c r="R629" s="214" t="s">
        <v>15</v>
      </c>
      <c r="S629" s="214" t="s">
        <v>15</v>
      </c>
      <c r="T629" s="214" t="s">
        <v>15</v>
      </c>
      <c r="U629" s="214" t="s">
        <v>15</v>
      </c>
      <c r="V629" s="214" t="s">
        <v>15</v>
      </c>
      <c r="W629" s="214" t="s">
        <v>15</v>
      </c>
      <c r="X629" s="214" t="s">
        <v>15</v>
      </c>
      <c r="Y629" s="214" t="s">
        <v>15</v>
      </c>
      <c r="Z629" s="234"/>
      <c r="AA629" s="234"/>
      <c r="AB629" s="214" t="s">
        <v>292</v>
      </c>
      <c r="AC629" s="214" t="s">
        <v>292</v>
      </c>
      <c r="AD629" s="320" t="s">
        <v>581</v>
      </c>
      <c r="AE629" s="320" t="s">
        <v>276</v>
      </c>
      <c r="AF629" s="162">
        <f t="shared" si="40"/>
        <v>21.673525377229083</v>
      </c>
      <c r="AG629" s="162" t="str">
        <f t="shared" si="48"/>
        <v/>
      </c>
      <c r="AH629" s="164">
        <f t="shared" si="41"/>
        <v>3.0178326474622774</v>
      </c>
      <c r="AI629" s="164" t="str">
        <f t="shared" si="42"/>
        <v/>
      </c>
      <c r="AJ629" s="368"/>
      <c r="AK629" s="368"/>
      <c r="AL629" s="369"/>
      <c r="AM629" s="368"/>
      <c r="AN629" s="369"/>
      <c r="AO629" s="368"/>
      <c r="AP629" s="368"/>
      <c r="AQ629" s="368"/>
      <c r="AR629" s="368"/>
      <c r="AS629" s="194">
        <f>15.8/0.729</f>
        <v>21.673525377229083</v>
      </c>
      <c r="AT629" s="195"/>
      <c r="AU629" s="378" t="s">
        <v>1396</v>
      </c>
      <c r="AV629" s="382"/>
      <c r="AW629" s="426"/>
      <c r="AX629" s="426"/>
      <c r="AY629" s="359"/>
      <c r="AZ629" s="426"/>
      <c r="BA629" s="359"/>
      <c r="BB629" s="426"/>
      <c r="BC629" s="426"/>
      <c r="BD629" s="426"/>
      <c r="BE629" s="426"/>
      <c r="BF629" s="468">
        <f>2.2/0.729</f>
        <v>3.0178326474622774</v>
      </c>
      <c r="BG629" s="469"/>
      <c r="BH629" s="341"/>
      <c r="BI629" s="446" t="s">
        <v>47</v>
      </c>
      <c r="BJ629" s="505"/>
    </row>
    <row r="630" spans="1:62" ht="15.75" customHeight="1" thickBot="1" x14ac:dyDescent="0.25">
      <c r="A630" s="176">
        <v>630</v>
      </c>
      <c r="B630" s="175">
        <v>1</v>
      </c>
      <c r="C630" s="166" t="s">
        <v>24</v>
      </c>
      <c r="D630" s="166" t="s">
        <v>269</v>
      </c>
      <c r="E630" s="166" t="s">
        <v>13</v>
      </c>
      <c r="F630" s="167"/>
      <c r="G630" s="166" t="s">
        <v>292</v>
      </c>
      <c r="H630" s="166" t="s">
        <v>55</v>
      </c>
      <c r="I630" s="181">
        <v>2016</v>
      </c>
      <c r="J630" s="181" t="s">
        <v>1397</v>
      </c>
      <c r="K630" s="181" t="s">
        <v>1398</v>
      </c>
      <c r="L630" s="181" t="s">
        <v>19</v>
      </c>
      <c r="M630" s="556" t="s">
        <v>4238</v>
      </c>
      <c r="N630" s="214" t="s">
        <v>20</v>
      </c>
      <c r="O630" s="214" t="s">
        <v>15</v>
      </c>
      <c r="P630" s="214" t="s">
        <v>20</v>
      </c>
      <c r="Q630" s="214" t="s">
        <v>20</v>
      </c>
      <c r="R630" s="214" t="s">
        <v>20</v>
      </c>
      <c r="S630" s="214" t="s">
        <v>20</v>
      </c>
      <c r="T630" s="214" t="s">
        <v>20</v>
      </c>
      <c r="U630" s="214" t="s">
        <v>20</v>
      </c>
      <c r="V630" s="214" t="s">
        <v>20</v>
      </c>
      <c r="W630" s="214" t="s">
        <v>20</v>
      </c>
      <c r="X630" s="214" t="s">
        <v>15</v>
      </c>
      <c r="Y630" s="214" t="s">
        <v>15</v>
      </c>
      <c r="Z630" s="234"/>
      <c r="AA630" s="214" t="s">
        <v>1399</v>
      </c>
      <c r="AB630" s="214" t="s">
        <v>292</v>
      </c>
      <c r="AC630" s="214" t="s">
        <v>122</v>
      </c>
      <c r="AD630" s="320" t="s">
        <v>581</v>
      </c>
      <c r="AE630" s="320" t="s">
        <v>276</v>
      </c>
      <c r="AF630" s="162" t="str">
        <f t="shared" si="40"/>
        <v/>
      </c>
      <c r="AG630" s="162" t="str">
        <f t="shared" si="48"/>
        <v/>
      </c>
      <c r="AH630" s="164">
        <f t="shared" si="41"/>
        <v>6.0123456790123457</v>
      </c>
      <c r="AI630" s="164">
        <f t="shared" si="42"/>
        <v>6.207133058984911</v>
      </c>
      <c r="AJ630" s="368"/>
      <c r="AK630" s="368"/>
      <c r="AL630" s="368"/>
      <c r="AM630" s="368"/>
      <c r="AN630" s="368"/>
      <c r="AO630" s="368"/>
      <c r="AP630" s="368"/>
      <c r="AQ630" s="368"/>
      <c r="AR630" s="368"/>
      <c r="AS630" s="199"/>
      <c r="AT630" s="195"/>
      <c r="AU630" s="377"/>
      <c r="AV630" s="382"/>
      <c r="AW630" s="426">
        <f>4383/1000/0.729</f>
        <v>6.0123456790123457</v>
      </c>
      <c r="AX630" s="426"/>
      <c r="AY630" s="426">
        <f>142/1000/0.729</f>
        <v>0.19478737997256515</v>
      </c>
      <c r="AZ630" s="426"/>
      <c r="BA630" s="426">
        <f>168/1000/0.729</f>
        <v>0.23045267489711938</v>
      </c>
      <c r="BB630" s="426"/>
      <c r="BC630" s="426">
        <f>50/1000/0.729</f>
        <v>6.8587105624142664E-2</v>
      </c>
      <c r="BD630" s="426"/>
      <c r="BE630" s="426"/>
      <c r="BF630" s="467">
        <v>6.0123456790123457</v>
      </c>
      <c r="BG630" s="469">
        <v>6.5171467764060367</v>
      </c>
      <c r="BH630" s="341"/>
      <c r="BI630" s="446" t="s">
        <v>638</v>
      </c>
      <c r="BJ630" s="505"/>
    </row>
    <row r="631" spans="1:62" ht="15.75" customHeight="1" thickBot="1" x14ac:dyDescent="0.25">
      <c r="A631" s="174">
        <v>631</v>
      </c>
      <c r="B631" s="175">
        <v>1</v>
      </c>
      <c r="C631" s="166" t="s">
        <v>236</v>
      </c>
      <c r="D631" s="159" t="s">
        <v>1739</v>
      </c>
      <c r="E631" s="166" t="s">
        <v>13</v>
      </c>
      <c r="F631" s="166" t="s">
        <v>1400</v>
      </c>
      <c r="G631" s="166" t="s">
        <v>292</v>
      </c>
      <c r="H631" s="166" t="s">
        <v>1401</v>
      </c>
      <c r="I631" s="181">
        <v>2015</v>
      </c>
      <c r="J631" s="181" t="s">
        <v>1402</v>
      </c>
      <c r="K631" s="181" t="s">
        <v>1403</v>
      </c>
      <c r="L631" s="181" t="s">
        <v>19</v>
      </c>
      <c r="M631" s="556" t="s">
        <v>4239</v>
      </c>
      <c r="N631" s="214" t="s">
        <v>20</v>
      </c>
      <c r="O631" s="214" t="s">
        <v>15</v>
      </c>
      <c r="P631" s="214" t="s">
        <v>15</v>
      </c>
      <c r="Q631" s="214" t="s">
        <v>15</v>
      </c>
      <c r="R631" s="214" t="s">
        <v>15</v>
      </c>
      <c r="S631" s="214" t="s">
        <v>15</v>
      </c>
      <c r="T631" s="214" t="s">
        <v>15</v>
      </c>
      <c r="U631" s="214" t="s">
        <v>15</v>
      </c>
      <c r="V631" s="214" t="s">
        <v>15</v>
      </c>
      <c r="W631" s="214" t="s">
        <v>15</v>
      </c>
      <c r="X631" s="214" t="s">
        <v>15</v>
      </c>
      <c r="Y631" s="214" t="s">
        <v>15</v>
      </c>
      <c r="Z631" s="234"/>
      <c r="AA631" s="234"/>
      <c r="AB631" s="214" t="s">
        <v>292</v>
      </c>
      <c r="AC631" s="214" t="s">
        <v>292</v>
      </c>
      <c r="AD631" s="320" t="s">
        <v>1373</v>
      </c>
      <c r="AE631" s="320"/>
      <c r="AF631" s="162" t="str">
        <f t="shared" si="40"/>
        <v/>
      </c>
      <c r="AG631" s="162" t="str">
        <f t="shared" si="48"/>
        <v/>
      </c>
      <c r="AH631" s="164">
        <f t="shared" si="41"/>
        <v>0.24</v>
      </c>
      <c r="AI631" s="164" t="str">
        <f t="shared" si="42"/>
        <v/>
      </c>
      <c r="AJ631" s="368"/>
      <c r="AK631" s="368"/>
      <c r="AL631" s="368"/>
      <c r="AM631" s="368"/>
      <c r="AN631" s="368"/>
      <c r="AO631" s="368"/>
      <c r="AP631" s="368"/>
      <c r="AQ631" s="368"/>
      <c r="AR631" s="368"/>
      <c r="AS631" s="195"/>
      <c r="AT631" s="195"/>
      <c r="AU631" s="377"/>
      <c r="AV631" s="382"/>
      <c r="AW631" s="426"/>
      <c r="AX631" s="426"/>
      <c r="AY631" s="426"/>
      <c r="AZ631" s="426"/>
      <c r="BA631" s="426"/>
      <c r="BB631" s="426"/>
      <c r="BC631" s="426"/>
      <c r="BD631" s="426"/>
      <c r="BE631" s="426"/>
      <c r="BF631" s="474">
        <v>0.24</v>
      </c>
      <c r="BG631" s="469"/>
      <c r="BH631" s="341"/>
      <c r="BI631" s="446" t="s">
        <v>47</v>
      </c>
      <c r="BJ631" s="505"/>
    </row>
    <row r="632" spans="1:62" ht="15.75" customHeight="1" thickBot="1" x14ac:dyDescent="0.25">
      <c r="A632" s="176">
        <v>632</v>
      </c>
      <c r="B632" s="175">
        <v>1</v>
      </c>
      <c r="C632" s="166" t="s">
        <v>236</v>
      </c>
      <c r="D632" s="167" t="s">
        <v>1769</v>
      </c>
      <c r="E632" s="166" t="s">
        <v>13</v>
      </c>
      <c r="F632" s="166" t="s">
        <v>1400</v>
      </c>
      <c r="G632" s="166" t="s">
        <v>292</v>
      </c>
      <c r="H632" s="166" t="s">
        <v>1401</v>
      </c>
      <c r="I632" s="181">
        <v>2015</v>
      </c>
      <c r="J632" s="181" t="s">
        <v>1402</v>
      </c>
      <c r="K632" s="181" t="s">
        <v>1403</v>
      </c>
      <c r="L632" s="181" t="s">
        <v>19</v>
      </c>
      <c r="M632" s="556" t="s">
        <v>4239</v>
      </c>
      <c r="N632" s="214" t="s">
        <v>20</v>
      </c>
      <c r="O632" s="214" t="s">
        <v>15</v>
      </c>
      <c r="P632" s="214" t="s">
        <v>15</v>
      </c>
      <c r="Q632" s="214" t="s">
        <v>15</v>
      </c>
      <c r="R632" s="214" t="s">
        <v>15</v>
      </c>
      <c r="S632" s="214" t="s">
        <v>15</v>
      </c>
      <c r="T632" s="214" t="s">
        <v>15</v>
      </c>
      <c r="U632" s="214" t="s">
        <v>15</v>
      </c>
      <c r="V632" s="214" t="s">
        <v>15</v>
      </c>
      <c r="W632" s="214" t="s">
        <v>15</v>
      </c>
      <c r="X632" s="214" t="s">
        <v>15</v>
      </c>
      <c r="Y632" s="214" t="s">
        <v>15</v>
      </c>
      <c r="Z632" s="234"/>
      <c r="AA632" s="234"/>
      <c r="AB632" s="214" t="s">
        <v>292</v>
      </c>
      <c r="AC632" s="214" t="s">
        <v>292</v>
      </c>
      <c r="AD632" s="320" t="s">
        <v>1373</v>
      </c>
      <c r="AE632" s="319"/>
      <c r="AF632" s="162" t="str">
        <f t="shared" si="40"/>
        <v/>
      </c>
      <c r="AG632" s="162" t="str">
        <f t="shared" si="48"/>
        <v/>
      </c>
      <c r="AH632" s="164">
        <f t="shared" si="41"/>
        <v>0.27</v>
      </c>
      <c r="AI632" s="164" t="str">
        <f t="shared" si="42"/>
        <v/>
      </c>
      <c r="AJ632" s="368"/>
      <c r="AK632" s="368"/>
      <c r="AL632" s="368"/>
      <c r="AM632" s="368"/>
      <c r="AN632" s="368"/>
      <c r="AO632" s="368"/>
      <c r="AP632" s="368"/>
      <c r="AQ632" s="368"/>
      <c r="AR632" s="368"/>
      <c r="AS632" s="195"/>
      <c r="AT632" s="195"/>
      <c r="AU632" s="377"/>
      <c r="AV632" s="382"/>
      <c r="AW632" s="426"/>
      <c r="AX632" s="426"/>
      <c r="AY632" s="426"/>
      <c r="AZ632" s="426"/>
      <c r="BA632" s="426"/>
      <c r="BB632" s="426"/>
      <c r="BC632" s="426"/>
      <c r="BD632" s="426"/>
      <c r="BE632" s="426"/>
      <c r="BF632" s="468">
        <v>0.27</v>
      </c>
      <c r="BG632" s="469"/>
      <c r="BH632" s="341"/>
      <c r="BI632" s="446" t="s">
        <v>47</v>
      </c>
      <c r="BJ632" s="505"/>
    </row>
    <row r="633" spans="1:62" ht="15.75" customHeight="1" thickBot="1" x14ac:dyDescent="0.25">
      <c r="A633" s="174">
        <v>633</v>
      </c>
      <c r="B633" s="175">
        <v>1</v>
      </c>
      <c r="C633" s="166" t="s">
        <v>236</v>
      </c>
      <c r="D633" s="167" t="s">
        <v>2769</v>
      </c>
      <c r="E633" s="166" t="s">
        <v>13</v>
      </c>
      <c r="F633" s="166" t="s">
        <v>1400</v>
      </c>
      <c r="G633" s="166" t="s">
        <v>292</v>
      </c>
      <c r="H633" s="166" t="s">
        <v>1401</v>
      </c>
      <c r="I633" s="181">
        <v>2015</v>
      </c>
      <c r="J633" s="181" t="s">
        <v>1402</v>
      </c>
      <c r="K633" s="181" t="s">
        <v>1403</v>
      </c>
      <c r="L633" s="181" t="s">
        <v>19</v>
      </c>
      <c r="M633" s="556" t="s">
        <v>4239</v>
      </c>
      <c r="N633" s="214" t="s">
        <v>20</v>
      </c>
      <c r="O633" s="214" t="s">
        <v>15</v>
      </c>
      <c r="P633" s="214" t="s">
        <v>15</v>
      </c>
      <c r="Q633" s="214" t="s">
        <v>15</v>
      </c>
      <c r="R633" s="214" t="s">
        <v>15</v>
      </c>
      <c r="S633" s="214" t="s">
        <v>15</v>
      </c>
      <c r="T633" s="214" t="s">
        <v>15</v>
      </c>
      <c r="U633" s="214" t="s">
        <v>15</v>
      </c>
      <c r="V633" s="214" t="s">
        <v>15</v>
      </c>
      <c r="W633" s="214" t="s">
        <v>15</v>
      </c>
      <c r="X633" s="214" t="s">
        <v>15</v>
      </c>
      <c r="Y633" s="214" t="s">
        <v>15</v>
      </c>
      <c r="Z633" s="234"/>
      <c r="AA633" s="234"/>
      <c r="AB633" s="214" t="s">
        <v>292</v>
      </c>
      <c r="AC633" s="214" t="s">
        <v>292</v>
      </c>
      <c r="AD633" s="320" t="s">
        <v>1373</v>
      </c>
      <c r="AE633" s="319"/>
      <c r="AF633" s="162" t="str">
        <f t="shared" si="40"/>
        <v/>
      </c>
      <c r="AG633" s="162" t="str">
        <f t="shared" si="48"/>
        <v/>
      </c>
      <c r="AH633" s="164">
        <f t="shared" si="41"/>
        <v>0.14000000000000001</v>
      </c>
      <c r="AI633" s="164" t="str">
        <f t="shared" si="42"/>
        <v/>
      </c>
      <c r="AJ633" s="368"/>
      <c r="AK633" s="368"/>
      <c r="AL633" s="368"/>
      <c r="AM633" s="368"/>
      <c r="AN633" s="368"/>
      <c r="AO633" s="368"/>
      <c r="AP633" s="368"/>
      <c r="AQ633" s="368"/>
      <c r="AR633" s="368"/>
      <c r="AS633" s="195"/>
      <c r="AT633" s="195"/>
      <c r="AU633" s="377"/>
      <c r="AV633" s="382"/>
      <c r="AW633" s="426"/>
      <c r="AX633" s="426"/>
      <c r="AY633" s="426"/>
      <c r="AZ633" s="426"/>
      <c r="BA633" s="426"/>
      <c r="BB633" s="426"/>
      <c r="BC633" s="426"/>
      <c r="BD633" s="426"/>
      <c r="BE633" s="426"/>
      <c r="BF633" s="468">
        <v>0.14000000000000001</v>
      </c>
      <c r="BG633" s="469"/>
      <c r="BH633" s="341"/>
      <c r="BI633" s="446" t="s">
        <v>47</v>
      </c>
      <c r="BJ633" s="505"/>
    </row>
    <row r="634" spans="1:62" ht="15.75" customHeight="1" thickBot="1" x14ac:dyDescent="0.25">
      <c r="A634" s="176">
        <v>634</v>
      </c>
      <c r="B634" s="175">
        <v>1</v>
      </c>
      <c r="C634" s="166" t="s">
        <v>236</v>
      </c>
      <c r="D634" s="167" t="s">
        <v>2136</v>
      </c>
      <c r="E634" s="166" t="s">
        <v>13</v>
      </c>
      <c r="F634" s="166" t="s">
        <v>1400</v>
      </c>
      <c r="G634" s="166" t="s">
        <v>292</v>
      </c>
      <c r="H634" s="166" t="s">
        <v>1401</v>
      </c>
      <c r="I634" s="181">
        <v>2015</v>
      </c>
      <c r="J634" s="181" t="s">
        <v>1402</v>
      </c>
      <c r="K634" s="181" t="s">
        <v>1403</v>
      </c>
      <c r="L634" s="181" t="s">
        <v>19</v>
      </c>
      <c r="M634" s="556" t="s">
        <v>4239</v>
      </c>
      <c r="N634" s="214" t="s">
        <v>20</v>
      </c>
      <c r="O634" s="214" t="s">
        <v>15</v>
      </c>
      <c r="P634" s="214" t="s">
        <v>15</v>
      </c>
      <c r="Q634" s="214" t="s">
        <v>15</v>
      </c>
      <c r="R634" s="214" t="s">
        <v>15</v>
      </c>
      <c r="S634" s="214" t="s">
        <v>15</v>
      </c>
      <c r="T634" s="214" t="s">
        <v>15</v>
      </c>
      <c r="U634" s="214" t="s">
        <v>15</v>
      </c>
      <c r="V634" s="214" t="s">
        <v>15</v>
      </c>
      <c r="W634" s="214" t="s">
        <v>15</v>
      </c>
      <c r="X634" s="214" t="s">
        <v>15</v>
      </c>
      <c r="Y634" s="214" t="s">
        <v>15</v>
      </c>
      <c r="Z634" s="234"/>
      <c r="AA634" s="234"/>
      <c r="AB634" s="214" t="s">
        <v>292</v>
      </c>
      <c r="AC634" s="214" t="s">
        <v>292</v>
      </c>
      <c r="AD634" s="320" t="s">
        <v>1373</v>
      </c>
      <c r="AE634" s="319"/>
      <c r="AF634" s="162" t="str">
        <f t="shared" si="40"/>
        <v/>
      </c>
      <c r="AG634" s="162" t="str">
        <f t="shared" si="48"/>
        <v/>
      </c>
      <c r="AH634" s="164">
        <f t="shared" si="41"/>
        <v>0.37</v>
      </c>
      <c r="AI634" s="164" t="str">
        <f t="shared" si="42"/>
        <v/>
      </c>
      <c r="AJ634" s="368"/>
      <c r="AK634" s="368"/>
      <c r="AL634" s="368"/>
      <c r="AM634" s="368"/>
      <c r="AN634" s="368"/>
      <c r="AO634" s="368"/>
      <c r="AP634" s="368"/>
      <c r="AQ634" s="368"/>
      <c r="AR634" s="368"/>
      <c r="AS634" s="195"/>
      <c r="AT634" s="195"/>
      <c r="AU634" s="377"/>
      <c r="AV634" s="382"/>
      <c r="AW634" s="426"/>
      <c r="AX634" s="426"/>
      <c r="AY634" s="426"/>
      <c r="AZ634" s="426"/>
      <c r="BA634" s="426"/>
      <c r="BB634" s="426"/>
      <c r="BC634" s="426"/>
      <c r="BD634" s="426"/>
      <c r="BE634" s="426"/>
      <c r="BF634" s="468">
        <v>0.37</v>
      </c>
      <c r="BG634" s="469"/>
      <c r="BH634" s="341"/>
      <c r="BI634" s="446" t="s">
        <v>47</v>
      </c>
      <c r="BJ634" s="505"/>
    </row>
    <row r="635" spans="1:62" ht="15.75" customHeight="1" thickBot="1" x14ac:dyDescent="0.25">
      <c r="A635" s="174">
        <v>635</v>
      </c>
      <c r="B635" s="175">
        <v>1</v>
      </c>
      <c r="C635" s="166" t="s">
        <v>236</v>
      </c>
      <c r="D635" s="166" t="s">
        <v>2145</v>
      </c>
      <c r="E635" s="166" t="s">
        <v>13</v>
      </c>
      <c r="F635" s="166" t="s">
        <v>1400</v>
      </c>
      <c r="G635" s="166" t="s">
        <v>292</v>
      </c>
      <c r="H635" s="166" t="s">
        <v>1401</v>
      </c>
      <c r="I635" s="181">
        <v>2015</v>
      </c>
      <c r="J635" s="181" t="s">
        <v>1402</v>
      </c>
      <c r="K635" s="181" t="s">
        <v>1403</v>
      </c>
      <c r="L635" s="181" t="s">
        <v>19</v>
      </c>
      <c r="M635" s="556" t="s">
        <v>4239</v>
      </c>
      <c r="N635" s="214" t="s">
        <v>20</v>
      </c>
      <c r="O635" s="214" t="s">
        <v>15</v>
      </c>
      <c r="P635" s="214" t="s">
        <v>15</v>
      </c>
      <c r="Q635" s="214" t="s">
        <v>15</v>
      </c>
      <c r="R635" s="214" t="s">
        <v>15</v>
      </c>
      <c r="S635" s="214" t="s">
        <v>15</v>
      </c>
      <c r="T635" s="214" t="s">
        <v>15</v>
      </c>
      <c r="U635" s="214" t="s">
        <v>15</v>
      </c>
      <c r="V635" s="214" t="s">
        <v>15</v>
      </c>
      <c r="W635" s="214" t="s">
        <v>15</v>
      </c>
      <c r="X635" s="214" t="s">
        <v>15</v>
      </c>
      <c r="Y635" s="214" t="s">
        <v>15</v>
      </c>
      <c r="Z635" s="234"/>
      <c r="AA635" s="234"/>
      <c r="AB635" s="214" t="s">
        <v>292</v>
      </c>
      <c r="AC635" s="214" t="s">
        <v>292</v>
      </c>
      <c r="AD635" s="320" t="s">
        <v>1373</v>
      </c>
      <c r="AE635" s="319"/>
      <c r="AF635" s="162" t="str">
        <f t="shared" si="40"/>
        <v/>
      </c>
      <c r="AG635" s="162" t="str">
        <f t="shared" si="48"/>
        <v/>
      </c>
      <c r="AH635" s="164">
        <f t="shared" si="41"/>
        <v>0.18</v>
      </c>
      <c r="AI635" s="164" t="str">
        <f t="shared" si="42"/>
        <v/>
      </c>
      <c r="AJ635" s="368"/>
      <c r="AK635" s="368"/>
      <c r="AL635" s="368"/>
      <c r="AM635" s="368"/>
      <c r="AN635" s="368"/>
      <c r="AO635" s="368"/>
      <c r="AP635" s="368"/>
      <c r="AQ635" s="368"/>
      <c r="AR635" s="368"/>
      <c r="AS635" s="195"/>
      <c r="AT635" s="195"/>
      <c r="AU635" s="377"/>
      <c r="AV635" s="382"/>
      <c r="AW635" s="426"/>
      <c r="AX635" s="426"/>
      <c r="AY635" s="426"/>
      <c r="AZ635" s="426"/>
      <c r="BA635" s="426"/>
      <c r="BB635" s="426"/>
      <c r="BC635" s="426"/>
      <c r="BD635" s="426"/>
      <c r="BE635" s="426"/>
      <c r="BF635" s="468">
        <v>0.18</v>
      </c>
      <c r="BG635" s="469"/>
      <c r="BH635" s="341"/>
      <c r="BI635" s="446" t="s">
        <v>47</v>
      </c>
      <c r="BJ635" s="505"/>
    </row>
    <row r="636" spans="1:62" ht="15.75" customHeight="1" thickBot="1" x14ac:dyDescent="0.25">
      <c r="A636" s="176">
        <v>636</v>
      </c>
      <c r="B636" s="175">
        <v>1</v>
      </c>
      <c r="C636" s="166" t="s">
        <v>259</v>
      </c>
      <c r="D636" s="169" t="s">
        <v>2430</v>
      </c>
      <c r="E636" s="166" t="s">
        <v>13</v>
      </c>
      <c r="F636" s="166" t="s">
        <v>1405</v>
      </c>
      <c r="G636" s="166" t="s">
        <v>292</v>
      </c>
      <c r="H636" s="166" t="s">
        <v>1406</v>
      </c>
      <c r="I636" s="181">
        <v>2012</v>
      </c>
      <c r="J636" s="181" t="s">
        <v>1407</v>
      </c>
      <c r="K636" s="181" t="s">
        <v>1408</v>
      </c>
      <c r="L636" s="181" t="s">
        <v>19</v>
      </c>
      <c r="M636" s="556" t="s">
        <v>4240</v>
      </c>
      <c r="N636" s="214" t="s">
        <v>20</v>
      </c>
      <c r="O636" s="214" t="s">
        <v>15</v>
      </c>
      <c r="P636" s="214" t="s">
        <v>15</v>
      </c>
      <c r="Q636" s="214" t="s">
        <v>15</v>
      </c>
      <c r="R636" s="214" t="s">
        <v>15</v>
      </c>
      <c r="S636" s="214" t="s">
        <v>15</v>
      </c>
      <c r="T636" s="214" t="s">
        <v>15</v>
      </c>
      <c r="U636" s="214" t="s">
        <v>15</v>
      </c>
      <c r="V636" s="214" t="s">
        <v>15</v>
      </c>
      <c r="W636" s="214" t="s">
        <v>15</v>
      </c>
      <c r="X636" s="214" t="s">
        <v>15</v>
      </c>
      <c r="Y636" s="214" t="s">
        <v>15</v>
      </c>
      <c r="Z636" s="234"/>
      <c r="AA636" s="214" t="s">
        <v>1409</v>
      </c>
      <c r="AB636" s="214" t="s">
        <v>292</v>
      </c>
      <c r="AC636" s="214" t="s">
        <v>292</v>
      </c>
      <c r="AD636" s="320" t="s">
        <v>1410</v>
      </c>
      <c r="AE636" s="319"/>
      <c r="AF636" s="162" t="str">
        <f t="shared" si="40"/>
        <v/>
      </c>
      <c r="AG636" s="162" t="str">
        <f t="shared" si="48"/>
        <v/>
      </c>
      <c r="AH636" s="164">
        <f t="shared" si="41"/>
        <v>0.622</v>
      </c>
      <c r="AI636" s="164" t="str">
        <f t="shared" si="42"/>
        <v/>
      </c>
      <c r="AJ636" s="368"/>
      <c r="AK636" s="368"/>
      <c r="AL636" s="368"/>
      <c r="AM636" s="368"/>
      <c r="AN636" s="368"/>
      <c r="AO636" s="368"/>
      <c r="AP636" s="368"/>
      <c r="AQ636" s="368"/>
      <c r="AR636" s="368"/>
      <c r="AS636" s="195"/>
      <c r="AT636" s="195"/>
      <c r="AU636" s="377"/>
      <c r="AV636" s="382"/>
      <c r="AW636" s="426"/>
      <c r="AX636" s="426"/>
      <c r="AY636" s="426"/>
      <c r="AZ636" s="426"/>
      <c r="BA636" s="426"/>
      <c r="BB636" s="426"/>
      <c r="BC636" s="426"/>
      <c r="BD636" s="426"/>
      <c r="BE636" s="426"/>
      <c r="BF636" s="468">
        <v>0.622</v>
      </c>
      <c r="BG636" s="469"/>
      <c r="BH636" s="341"/>
      <c r="BI636" s="446" t="s">
        <v>1411</v>
      </c>
      <c r="BJ636" s="505"/>
    </row>
    <row r="637" spans="1:62" ht="15.75" customHeight="1" thickBot="1" x14ac:dyDescent="0.25">
      <c r="A637" s="174">
        <v>637</v>
      </c>
      <c r="B637" s="175">
        <v>1</v>
      </c>
      <c r="C637" s="166" t="s">
        <v>236</v>
      </c>
      <c r="D637" s="166" t="s">
        <v>1412</v>
      </c>
      <c r="E637" s="166" t="s">
        <v>13</v>
      </c>
      <c r="F637" s="167"/>
      <c r="G637" s="166" t="s">
        <v>292</v>
      </c>
      <c r="H637" s="166" t="s">
        <v>1406</v>
      </c>
      <c r="I637" s="181">
        <v>2012</v>
      </c>
      <c r="J637" s="181" t="s">
        <v>1407</v>
      </c>
      <c r="K637" s="181" t="s">
        <v>1408</v>
      </c>
      <c r="L637" s="181" t="s">
        <v>19</v>
      </c>
      <c r="M637" s="556" t="s">
        <v>4240</v>
      </c>
      <c r="N637" s="214" t="s">
        <v>20</v>
      </c>
      <c r="O637" s="214" t="s">
        <v>15</v>
      </c>
      <c r="P637" s="214" t="s">
        <v>15</v>
      </c>
      <c r="Q637" s="214" t="s">
        <v>15</v>
      </c>
      <c r="R637" s="214" t="s">
        <v>15</v>
      </c>
      <c r="S637" s="214" t="s">
        <v>15</v>
      </c>
      <c r="T637" s="214" t="s">
        <v>15</v>
      </c>
      <c r="U637" s="214" t="s">
        <v>15</v>
      </c>
      <c r="V637" s="214" t="s">
        <v>15</v>
      </c>
      <c r="W637" s="214" t="s">
        <v>15</v>
      </c>
      <c r="X637" s="214" t="s">
        <v>15</v>
      </c>
      <c r="Y637" s="214" t="s">
        <v>15</v>
      </c>
      <c r="Z637" s="234"/>
      <c r="AA637" s="214" t="s">
        <v>1409</v>
      </c>
      <c r="AB637" s="214" t="s">
        <v>292</v>
      </c>
      <c r="AC637" s="214" t="s">
        <v>292</v>
      </c>
      <c r="AD637" s="320" t="s">
        <v>1410</v>
      </c>
      <c r="AE637" s="319"/>
      <c r="AF637" s="162" t="str">
        <f t="shared" si="40"/>
        <v/>
      </c>
      <c r="AG637" s="162" t="str">
        <f t="shared" si="48"/>
        <v/>
      </c>
      <c r="AH637" s="164">
        <f t="shared" si="41"/>
        <v>0.55600000000000005</v>
      </c>
      <c r="AI637" s="164" t="str">
        <f t="shared" si="42"/>
        <v/>
      </c>
      <c r="AJ637" s="368"/>
      <c r="AK637" s="368"/>
      <c r="AL637" s="368"/>
      <c r="AM637" s="368"/>
      <c r="AN637" s="368"/>
      <c r="AO637" s="368"/>
      <c r="AP637" s="368"/>
      <c r="AQ637" s="368"/>
      <c r="AR637" s="368"/>
      <c r="AS637" s="195"/>
      <c r="AT637" s="195"/>
      <c r="AU637" s="377"/>
      <c r="AV637" s="382"/>
      <c r="AW637" s="426"/>
      <c r="AX637" s="426"/>
      <c r="AY637" s="426"/>
      <c r="AZ637" s="426"/>
      <c r="BA637" s="426"/>
      <c r="BB637" s="426"/>
      <c r="BC637" s="426"/>
      <c r="BD637" s="426"/>
      <c r="BE637" s="426"/>
      <c r="BF637" s="468">
        <v>0.55600000000000005</v>
      </c>
      <c r="BG637" s="469"/>
      <c r="BH637" s="341"/>
      <c r="BI637" s="446" t="s">
        <v>1411</v>
      </c>
      <c r="BJ637" s="505"/>
    </row>
    <row r="638" spans="1:62" ht="15.75" customHeight="1" thickBot="1" x14ac:dyDescent="0.25">
      <c r="A638" s="176">
        <v>638</v>
      </c>
      <c r="B638" s="175">
        <v>1</v>
      </c>
      <c r="C638" s="166" t="s">
        <v>162</v>
      </c>
      <c r="D638" s="159" t="s">
        <v>2206</v>
      </c>
      <c r="E638" s="166" t="s">
        <v>13</v>
      </c>
      <c r="F638" s="167"/>
      <c r="G638" s="166" t="s">
        <v>292</v>
      </c>
      <c r="H638" s="166" t="s">
        <v>1406</v>
      </c>
      <c r="I638" s="181">
        <v>2012</v>
      </c>
      <c r="J638" s="181" t="s">
        <v>1407</v>
      </c>
      <c r="K638" s="181" t="s">
        <v>1408</v>
      </c>
      <c r="L638" s="181" t="s">
        <v>19</v>
      </c>
      <c r="M638" s="556" t="s">
        <v>4240</v>
      </c>
      <c r="N638" s="214" t="s">
        <v>20</v>
      </c>
      <c r="O638" s="214" t="s">
        <v>15</v>
      </c>
      <c r="P638" s="214" t="s">
        <v>15</v>
      </c>
      <c r="Q638" s="214" t="s">
        <v>15</v>
      </c>
      <c r="R638" s="214" t="s">
        <v>15</v>
      </c>
      <c r="S638" s="214" t="s">
        <v>15</v>
      </c>
      <c r="T638" s="214" t="s">
        <v>15</v>
      </c>
      <c r="U638" s="214" t="s">
        <v>15</v>
      </c>
      <c r="V638" s="214" t="s">
        <v>15</v>
      </c>
      <c r="W638" s="214" t="s">
        <v>15</v>
      </c>
      <c r="X638" s="214" t="s">
        <v>15</v>
      </c>
      <c r="Y638" s="214" t="s">
        <v>15</v>
      </c>
      <c r="Z638" s="234"/>
      <c r="AA638" s="214" t="s">
        <v>1409</v>
      </c>
      <c r="AB638" s="214" t="s">
        <v>292</v>
      </c>
      <c r="AC638" s="214" t="s">
        <v>292</v>
      </c>
      <c r="AD638" s="320" t="s">
        <v>1410</v>
      </c>
      <c r="AE638" s="319"/>
      <c r="AF638" s="162" t="str">
        <f t="shared" si="40"/>
        <v/>
      </c>
      <c r="AG638" s="162" t="str">
        <f t="shared" si="48"/>
        <v/>
      </c>
      <c r="AH638" s="164">
        <f t="shared" si="41"/>
        <v>0.51800000000000002</v>
      </c>
      <c r="AI638" s="164" t="str">
        <f t="shared" si="42"/>
        <v/>
      </c>
      <c r="AJ638" s="368"/>
      <c r="AK638" s="368"/>
      <c r="AL638" s="368"/>
      <c r="AM638" s="368"/>
      <c r="AN638" s="368"/>
      <c r="AO638" s="368"/>
      <c r="AP638" s="368"/>
      <c r="AQ638" s="368"/>
      <c r="AR638" s="368"/>
      <c r="AS638" s="195"/>
      <c r="AT638" s="195"/>
      <c r="AU638" s="377"/>
      <c r="AV638" s="382"/>
      <c r="AW638" s="426"/>
      <c r="AX638" s="426"/>
      <c r="AY638" s="426"/>
      <c r="AZ638" s="426"/>
      <c r="BA638" s="426"/>
      <c r="BB638" s="426"/>
      <c r="BC638" s="426"/>
      <c r="BD638" s="426"/>
      <c r="BE638" s="426"/>
      <c r="BF638" s="468">
        <v>0.51800000000000002</v>
      </c>
      <c r="BG638" s="469"/>
      <c r="BH638" s="341"/>
      <c r="BI638" s="446" t="s">
        <v>1411</v>
      </c>
      <c r="BJ638" s="505"/>
    </row>
    <row r="639" spans="1:62" ht="15.75" customHeight="1" thickBot="1" x14ac:dyDescent="0.25">
      <c r="A639" s="174">
        <v>639</v>
      </c>
      <c r="B639" s="175">
        <v>1</v>
      </c>
      <c r="C639" s="166" t="s">
        <v>236</v>
      </c>
      <c r="D639" s="159" t="s">
        <v>1739</v>
      </c>
      <c r="E639" s="166" t="s">
        <v>13</v>
      </c>
      <c r="F639" s="167"/>
      <c r="G639" s="166" t="s">
        <v>292</v>
      </c>
      <c r="H639" s="166" t="s">
        <v>1406</v>
      </c>
      <c r="I639" s="181">
        <v>2012</v>
      </c>
      <c r="J639" s="181" t="s">
        <v>1407</v>
      </c>
      <c r="K639" s="181" t="s">
        <v>1408</v>
      </c>
      <c r="L639" s="181" t="s">
        <v>19</v>
      </c>
      <c r="M639" s="556" t="s">
        <v>4240</v>
      </c>
      <c r="N639" s="214" t="s">
        <v>20</v>
      </c>
      <c r="O639" s="214" t="s">
        <v>15</v>
      </c>
      <c r="P639" s="214" t="s">
        <v>15</v>
      </c>
      <c r="Q639" s="214" t="s">
        <v>15</v>
      </c>
      <c r="R639" s="214" t="s">
        <v>15</v>
      </c>
      <c r="S639" s="214" t="s">
        <v>15</v>
      </c>
      <c r="T639" s="214" t="s">
        <v>15</v>
      </c>
      <c r="U639" s="214" t="s">
        <v>15</v>
      </c>
      <c r="V639" s="214" t="s">
        <v>15</v>
      </c>
      <c r="W639" s="214" t="s">
        <v>15</v>
      </c>
      <c r="X639" s="214" t="s">
        <v>15</v>
      </c>
      <c r="Y639" s="214" t="s">
        <v>15</v>
      </c>
      <c r="Z639" s="234"/>
      <c r="AA639" s="214" t="s">
        <v>1409</v>
      </c>
      <c r="AB639" s="214" t="s">
        <v>292</v>
      </c>
      <c r="AC639" s="214" t="s">
        <v>292</v>
      </c>
      <c r="AD639" s="320" t="s">
        <v>1410</v>
      </c>
      <c r="AE639" s="319"/>
      <c r="AF639" s="162" t="str">
        <f t="shared" si="40"/>
        <v/>
      </c>
      <c r="AG639" s="162" t="str">
        <f t="shared" si="48"/>
        <v/>
      </c>
      <c r="AH639" s="164">
        <f t="shared" si="41"/>
        <v>0.38100000000000001</v>
      </c>
      <c r="AI639" s="164" t="str">
        <f t="shared" si="42"/>
        <v/>
      </c>
      <c r="AJ639" s="368"/>
      <c r="AK639" s="368"/>
      <c r="AL639" s="368"/>
      <c r="AM639" s="368"/>
      <c r="AN639" s="368"/>
      <c r="AO639" s="368"/>
      <c r="AP639" s="368"/>
      <c r="AQ639" s="368"/>
      <c r="AR639" s="368"/>
      <c r="AS639" s="195"/>
      <c r="AT639" s="195"/>
      <c r="AU639" s="377"/>
      <c r="AV639" s="382"/>
      <c r="AW639" s="426"/>
      <c r="AX639" s="426"/>
      <c r="AY639" s="426"/>
      <c r="AZ639" s="426"/>
      <c r="BA639" s="426"/>
      <c r="BB639" s="426"/>
      <c r="BC639" s="426"/>
      <c r="BD639" s="426"/>
      <c r="BE639" s="426"/>
      <c r="BF639" s="468">
        <v>0.38100000000000001</v>
      </c>
      <c r="BG639" s="469"/>
      <c r="BH639" s="341"/>
      <c r="BI639" s="446" t="s">
        <v>1411</v>
      </c>
      <c r="BJ639" s="505"/>
    </row>
    <row r="640" spans="1:62" ht="15.75" customHeight="1" thickBot="1" x14ac:dyDescent="0.25">
      <c r="A640" s="176">
        <v>640</v>
      </c>
      <c r="B640" s="175">
        <v>1</v>
      </c>
      <c r="C640" s="166" t="s">
        <v>236</v>
      </c>
      <c r="D640" s="167" t="s">
        <v>2136</v>
      </c>
      <c r="E640" s="166" t="s">
        <v>13</v>
      </c>
      <c r="F640" s="167"/>
      <c r="G640" s="166" t="s">
        <v>292</v>
      </c>
      <c r="H640" s="166" t="s">
        <v>1406</v>
      </c>
      <c r="I640" s="181">
        <v>2012</v>
      </c>
      <c r="J640" s="181" t="s">
        <v>1407</v>
      </c>
      <c r="K640" s="181" t="s">
        <v>1408</v>
      </c>
      <c r="L640" s="181" t="s">
        <v>19</v>
      </c>
      <c r="M640" s="556" t="s">
        <v>4240</v>
      </c>
      <c r="N640" s="214" t="s">
        <v>20</v>
      </c>
      <c r="O640" s="214" t="s">
        <v>15</v>
      </c>
      <c r="P640" s="214" t="s">
        <v>15</v>
      </c>
      <c r="Q640" s="214" t="s">
        <v>15</v>
      </c>
      <c r="R640" s="214" t="s">
        <v>15</v>
      </c>
      <c r="S640" s="214" t="s">
        <v>15</v>
      </c>
      <c r="T640" s="214" t="s">
        <v>15</v>
      </c>
      <c r="U640" s="214" t="s">
        <v>15</v>
      </c>
      <c r="V640" s="214" t="s">
        <v>15</v>
      </c>
      <c r="W640" s="214" t="s">
        <v>15</v>
      </c>
      <c r="X640" s="214" t="s">
        <v>15</v>
      </c>
      <c r="Y640" s="214" t="s">
        <v>15</v>
      </c>
      <c r="Z640" s="234"/>
      <c r="AA640" s="214" t="s">
        <v>1409</v>
      </c>
      <c r="AB640" s="214" t="s">
        <v>292</v>
      </c>
      <c r="AC640" s="214" t="s">
        <v>292</v>
      </c>
      <c r="AD640" s="320" t="s">
        <v>1410</v>
      </c>
      <c r="AE640" s="319"/>
      <c r="AF640" s="162" t="str">
        <f t="shared" si="40"/>
        <v/>
      </c>
      <c r="AG640" s="162" t="str">
        <f t="shared" si="48"/>
        <v/>
      </c>
      <c r="AH640" s="164">
        <f t="shared" si="41"/>
        <v>0.59099999999999997</v>
      </c>
      <c r="AI640" s="164" t="str">
        <f t="shared" si="42"/>
        <v/>
      </c>
      <c r="AJ640" s="368"/>
      <c r="AK640" s="368"/>
      <c r="AL640" s="368"/>
      <c r="AM640" s="368"/>
      <c r="AN640" s="368"/>
      <c r="AO640" s="368"/>
      <c r="AP640" s="368"/>
      <c r="AQ640" s="368"/>
      <c r="AR640" s="368"/>
      <c r="AS640" s="195"/>
      <c r="AT640" s="195"/>
      <c r="AU640" s="377"/>
      <c r="AV640" s="382"/>
      <c r="AW640" s="426"/>
      <c r="AX640" s="426"/>
      <c r="AY640" s="426"/>
      <c r="AZ640" s="426"/>
      <c r="BA640" s="426"/>
      <c r="BB640" s="426"/>
      <c r="BC640" s="426"/>
      <c r="BD640" s="426"/>
      <c r="BE640" s="426"/>
      <c r="BF640" s="468">
        <v>0.59099999999999997</v>
      </c>
      <c r="BG640" s="469"/>
      <c r="BH640" s="341"/>
      <c r="BI640" s="446" t="s">
        <v>1411</v>
      </c>
      <c r="BJ640" s="505"/>
    </row>
    <row r="641" spans="1:62" ht="15.75" customHeight="1" thickBot="1" x14ac:dyDescent="0.25">
      <c r="A641" s="174">
        <v>641</v>
      </c>
      <c r="B641" s="175">
        <v>1</v>
      </c>
      <c r="C641" s="166" t="s">
        <v>236</v>
      </c>
      <c r="D641" s="166" t="s">
        <v>859</v>
      </c>
      <c r="E641" s="166" t="s">
        <v>13</v>
      </c>
      <c r="F641" s="167"/>
      <c r="G641" s="166" t="s">
        <v>292</v>
      </c>
      <c r="H641" s="166" t="s">
        <v>1406</v>
      </c>
      <c r="I641" s="181">
        <v>2012</v>
      </c>
      <c r="J641" s="181" t="s">
        <v>1407</v>
      </c>
      <c r="K641" s="181" t="s">
        <v>1408</v>
      </c>
      <c r="L641" s="181" t="s">
        <v>19</v>
      </c>
      <c r="M641" s="556" t="s">
        <v>4240</v>
      </c>
      <c r="N641" s="214" t="s">
        <v>20</v>
      </c>
      <c r="O641" s="214" t="s">
        <v>15</v>
      </c>
      <c r="P641" s="214" t="s">
        <v>15</v>
      </c>
      <c r="Q641" s="214" t="s">
        <v>15</v>
      </c>
      <c r="R641" s="214" t="s">
        <v>15</v>
      </c>
      <c r="S641" s="214" t="s">
        <v>15</v>
      </c>
      <c r="T641" s="214" t="s">
        <v>15</v>
      </c>
      <c r="U641" s="214" t="s">
        <v>15</v>
      </c>
      <c r="V641" s="214" t="s">
        <v>15</v>
      </c>
      <c r="W641" s="214" t="s">
        <v>15</v>
      </c>
      <c r="X641" s="214" t="s">
        <v>15</v>
      </c>
      <c r="Y641" s="214" t="s">
        <v>15</v>
      </c>
      <c r="Z641" s="234"/>
      <c r="AA641" s="214" t="s">
        <v>1409</v>
      </c>
      <c r="AB641" s="214" t="s">
        <v>292</v>
      </c>
      <c r="AC641" s="214" t="s">
        <v>292</v>
      </c>
      <c r="AD641" s="320" t="s">
        <v>1410</v>
      </c>
      <c r="AE641" s="319"/>
      <c r="AF641" s="162" t="str">
        <f t="shared" si="40"/>
        <v/>
      </c>
      <c r="AG641" s="162" t="str">
        <f t="shared" si="48"/>
        <v/>
      </c>
      <c r="AH641" s="164">
        <f t="shared" si="41"/>
        <v>0.5</v>
      </c>
      <c r="AI641" s="164" t="str">
        <f t="shared" si="42"/>
        <v/>
      </c>
      <c r="AJ641" s="368"/>
      <c r="AK641" s="368"/>
      <c r="AL641" s="368"/>
      <c r="AM641" s="368"/>
      <c r="AN641" s="368"/>
      <c r="AO641" s="368"/>
      <c r="AP641" s="368"/>
      <c r="AQ641" s="368"/>
      <c r="AR641" s="368"/>
      <c r="AS641" s="195"/>
      <c r="AT641" s="195"/>
      <c r="AU641" s="377"/>
      <c r="AV641" s="382"/>
      <c r="AW641" s="426"/>
      <c r="AX641" s="426"/>
      <c r="AY641" s="426"/>
      <c r="AZ641" s="426"/>
      <c r="BA641" s="426"/>
      <c r="BB641" s="426"/>
      <c r="BC641" s="426"/>
      <c r="BD641" s="426"/>
      <c r="BE641" s="426"/>
      <c r="BF641" s="468">
        <v>0.5</v>
      </c>
      <c r="BG641" s="469"/>
      <c r="BH641" s="341"/>
      <c r="BI641" s="446" t="s">
        <v>1411</v>
      </c>
      <c r="BJ641" s="505"/>
    </row>
    <row r="642" spans="1:62" ht="15.75" customHeight="1" thickBot="1" x14ac:dyDescent="0.25">
      <c r="A642" s="176">
        <v>642</v>
      </c>
      <c r="B642" s="175">
        <v>1</v>
      </c>
      <c r="C642" s="166" t="s">
        <v>236</v>
      </c>
      <c r="D642" s="167" t="s">
        <v>2282</v>
      </c>
      <c r="E642" s="166" t="s">
        <v>13</v>
      </c>
      <c r="F642" s="167"/>
      <c r="G642" s="166" t="s">
        <v>292</v>
      </c>
      <c r="H642" s="166" t="s">
        <v>1406</v>
      </c>
      <c r="I642" s="181">
        <v>2012</v>
      </c>
      <c r="J642" s="181" t="s">
        <v>1407</v>
      </c>
      <c r="K642" s="181" t="s">
        <v>1408</v>
      </c>
      <c r="L642" s="181" t="s">
        <v>19</v>
      </c>
      <c r="M642" s="556" t="s">
        <v>4240</v>
      </c>
      <c r="N642" s="214" t="s">
        <v>20</v>
      </c>
      <c r="O642" s="214" t="s">
        <v>15</v>
      </c>
      <c r="P642" s="214" t="s">
        <v>15</v>
      </c>
      <c r="Q642" s="214" t="s">
        <v>15</v>
      </c>
      <c r="R642" s="214" t="s">
        <v>15</v>
      </c>
      <c r="S642" s="214" t="s">
        <v>15</v>
      </c>
      <c r="T642" s="214" t="s">
        <v>15</v>
      </c>
      <c r="U642" s="214" t="s">
        <v>15</v>
      </c>
      <c r="V642" s="214" t="s">
        <v>15</v>
      </c>
      <c r="W642" s="214" t="s">
        <v>15</v>
      </c>
      <c r="X642" s="214" t="s">
        <v>15</v>
      </c>
      <c r="Y642" s="214" t="s">
        <v>15</v>
      </c>
      <c r="Z642" s="234"/>
      <c r="AA642" s="214" t="s">
        <v>1409</v>
      </c>
      <c r="AB642" s="214" t="s">
        <v>292</v>
      </c>
      <c r="AC642" s="214" t="s">
        <v>292</v>
      </c>
      <c r="AD642" s="320" t="s">
        <v>1410</v>
      </c>
      <c r="AE642" s="319"/>
      <c r="AF642" s="162" t="str">
        <f t="shared" ref="AF642:AF705" si="49">IF(AS642&lt;&gt;0,AS642,"")</f>
        <v/>
      </c>
      <c r="AG642" s="162" t="str">
        <f t="shared" si="48"/>
        <v/>
      </c>
      <c r="AH642" s="164">
        <f t="shared" ref="AH642:AH705" si="50">IF(BF642&lt;&gt;0,BF642,"")</f>
        <v>0.32400000000000001</v>
      </c>
      <c r="AI642" s="164" t="str">
        <f t="shared" ref="AI642:AI705" si="51">IF(AND(SUM(AW642:AY642)&lt;&gt;0,SUM(AW642:AY642)&lt;&gt;AW642),SUM(AW642:AY642),"")</f>
        <v/>
      </c>
      <c r="AJ642" s="368"/>
      <c r="AK642" s="368"/>
      <c r="AL642" s="368"/>
      <c r="AM642" s="368"/>
      <c r="AN642" s="368"/>
      <c r="AO642" s="368"/>
      <c r="AP642" s="368"/>
      <c r="AQ642" s="368"/>
      <c r="AR642" s="368"/>
      <c r="AS642" s="195"/>
      <c r="AT642" s="195"/>
      <c r="AU642" s="377"/>
      <c r="AV642" s="382"/>
      <c r="AW642" s="426"/>
      <c r="AX642" s="426"/>
      <c r="AY642" s="426"/>
      <c r="AZ642" s="426"/>
      <c r="BA642" s="426"/>
      <c r="BB642" s="426"/>
      <c r="BC642" s="426"/>
      <c r="BD642" s="426"/>
      <c r="BE642" s="426"/>
      <c r="BF642" s="468">
        <v>0.32400000000000001</v>
      </c>
      <c r="BG642" s="469"/>
      <c r="BH642" s="341"/>
      <c r="BI642" s="446" t="s">
        <v>1411</v>
      </c>
      <c r="BJ642" s="505"/>
    </row>
    <row r="643" spans="1:62" ht="15.75" customHeight="1" thickBot="1" x14ac:dyDescent="0.25">
      <c r="A643" s="174">
        <v>643</v>
      </c>
      <c r="B643" s="175">
        <v>1</v>
      </c>
      <c r="C643" s="166" t="s">
        <v>162</v>
      </c>
      <c r="D643" s="166" t="s">
        <v>827</v>
      </c>
      <c r="E643" s="166" t="s">
        <v>13</v>
      </c>
      <c r="F643" s="167"/>
      <c r="G643" s="166" t="s">
        <v>292</v>
      </c>
      <c r="H643" s="166" t="s">
        <v>1406</v>
      </c>
      <c r="I643" s="181">
        <v>2012</v>
      </c>
      <c r="J643" s="181" t="s">
        <v>1407</v>
      </c>
      <c r="K643" s="181" t="s">
        <v>1408</v>
      </c>
      <c r="L643" s="181" t="s">
        <v>19</v>
      </c>
      <c r="M643" s="556" t="s">
        <v>4240</v>
      </c>
      <c r="N643" s="214" t="s">
        <v>20</v>
      </c>
      <c r="O643" s="214" t="s">
        <v>15</v>
      </c>
      <c r="P643" s="214" t="s">
        <v>15</v>
      </c>
      <c r="Q643" s="214" t="s">
        <v>15</v>
      </c>
      <c r="R643" s="214" t="s">
        <v>15</v>
      </c>
      <c r="S643" s="214" t="s">
        <v>15</v>
      </c>
      <c r="T643" s="214" t="s">
        <v>15</v>
      </c>
      <c r="U643" s="214" t="s">
        <v>15</v>
      </c>
      <c r="V643" s="214" t="s">
        <v>15</v>
      </c>
      <c r="W643" s="214" t="s">
        <v>15</v>
      </c>
      <c r="X643" s="214" t="s">
        <v>15</v>
      </c>
      <c r="Y643" s="214" t="s">
        <v>15</v>
      </c>
      <c r="Z643" s="234"/>
      <c r="AA643" s="214" t="s">
        <v>1409</v>
      </c>
      <c r="AB643" s="214" t="s">
        <v>292</v>
      </c>
      <c r="AC643" s="214" t="s">
        <v>292</v>
      </c>
      <c r="AD643" s="320" t="s">
        <v>1410</v>
      </c>
      <c r="AE643" s="319"/>
      <c r="AF643" s="162" t="str">
        <f t="shared" si="49"/>
        <v/>
      </c>
      <c r="AG643" s="162" t="str">
        <f t="shared" si="48"/>
        <v/>
      </c>
      <c r="AH643" s="164">
        <f t="shared" si="50"/>
        <v>0.90600000000000003</v>
      </c>
      <c r="AI643" s="164" t="str">
        <f t="shared" si="51"/>
        <v/>
      </c>
      <c r="AJ643" s="368"/>
      <c r="AK643" s="368"/>
      <c r="AL643" s="368"/>
      <c r="AM643" s="368"/>
      <c r="AN643" s="368"/>
      <c r="AO643" s="368"/>
      <c r="AP643" s="368"/>
      <c r="AQ643" s="368"/>
      <c r="AR643" s="368"/>
      <c r="AS643" s="195"/>
      <c r="AT643" s="195"/>
      <c r="AU643" s="377"/>
      <c r="AV643" s="382"/>
      <c r="AW643" s="426"/>
      <c r="AX643" s="426"/>
      <c r="AY643" s="426"/>
      <c r="AZ643" s="426"/>
      <c r="BA643" s="426"/>
      <c r="BB643" s="426"/>
      <c r="BC643" s="426"/>
      <c r="BD643" s="426"/>
      <c r="BE643" s="426"/>
      <c r="BF643" s="468">
        <v>0.90600000000000003</v>
      </c>
      <c r="BG643" s="469"/>
      <c r="BH643" s="341"/>
      <c r="BI643" s="446" t="s">
        <v>1411</v>
      </c>
      <c r="BJ643" s="505"/>
    </row>
    <row r="644" spans="1:62" ht="15.75" customHeight="1" thickBot="1" x14ac:dyDescent="0.25">
      <c r="A644" s="176">
        <v>644</v>
      </c>
      <c r="B644" s="175">
        <v>1</v>
      </c>
      <c r="C644" s="166" t="s">
        <v>259</v>
      </c>
      <c r="D644" s="159" t="s">
        <v>2094</v>
      </c>
      <c r="E644" s="166" t="s">
        <v>13</v>
      </c>
      <c r="F644" s="167" t="s">
        <v>1413</v>
      </c>
      <c r="G644" s="166" t="s">
        <v>292</v>
      </c>
      <c r="H644" s="166" t="s">
        <v>492</v>
      </c>
      <c r="I644" s="181">
        <v>2009</v>
      </c>
      <c r="J644" s="181" t="s">
        <v>1414</v>
      </c>
      <c r="K644" s="181" t="s">
        <v>1415</v>
      </c>
      <c r="L644" s="181" t="s">
        <v>19</v>
      </c>
      <c r="M644" s="556" t="s">
        <v>4241</v>
      </c>
      <c r="N644" s="214" t="s">
        <v>20</v>
      </c>
      <c r="O644" s="214" t="s">
        <v>15</v>
      </c>
      <c r="P644" s="214" t="s">
        <v>20</v>
      </c>
      <c r="Q644" s="214" t="s">
        <v>20</v>
      </c>
      <c r="R644" s="214" t="s">
        <v>20</v>
      </c>
      <c r="S644" s="214" t="s">
        <v>20</v>
      </c>
      <c r="T644" s="214" t="s">
        <v>20</v>
      </c>
      <c r="U644" s="214" t="s">
        <v>20</v>
      </c>
      <c r="V644" s="214" t="s">
        <v>15</v>
      </c>
      <c r="W644" s="214" t="s">
        <v>20</v>
      </c>
      <c r="X644" s="214" t="s">
        <v>15</v>
      </c>
      <c r="Y644" s="214" t="s">
        <v>15</v>
      </c>
      <c r="Z644" s="234"/>
      <c r="AA644" s="214" t="s">
        <v>999</v>
      </c>
      <c r="AB644" s="214" t="s">
        <v>1416</v>
      </c>
      <c r="AC644" s="214" t="s">
        <v>122</v>
      </c>
      <c r="AD644" s="320" t="s">
        <v>1410</v>
      </c>
      <c r="AE644" s="319"/>
      <c r="AF644" s="162" t="str">
        <f t="shared" si="49"/>
        <v/>
      </c>
      <c r="AG644" s="162" t="str">
        <f t="shared" si="48"/>
        <v/>
      </c>
      <c r="AH644" s="164">
        <f t="shared" si="50"/>
        <v>0.65051999999999999</v>
      </c>
      <c r="AI644" s="164" t="str">
        <f t="shared" si="51"/>
        <v/>
      </c>
      <c r="AJ644" s="368"/>
      <c r="AK644" s="368"/>
      <c r="AL644" s="368"/>
      <c r="AM644" s="368"/>
      <c r="AN644" s="368"/>
      <c r="AO644" s="368"/>
      <c r="AP644" s="368"/>
      <c r="AQ644" s="368"/>
      <c r="AR644" s="368"/>
      <c r="AS644" s="195"/>
      <c r="AT644" s="195"/>
      <c r="AU644" s="377"/>
      <c r="AV644" s="382"/>
      <c r="AW644" s="426">
        <v>0.65051999999999999</v>
      </c>
      <c r="AX644" s="426"/>
      <c r="AY644" s="426"/>
      <c r="AZ644" s="426">
        <v>4.1700000000000001E-2</v>
      </c>
      <c r="BA644" s="426">
        <v>3.3360000000000001E-2</v>
      </c>
      <c r="BB644" s="426">
        <v>5.0039999999999994E-2</v>
      </c>
      <c r="BC644" s="426">
        <v>5.0039999999999994E-2</v>
      </c>
      <c r="BD644" s="426"/>
      <c r="BE644" s="426"/>
      <c r="BF644" s="467">
        <f>AW644</f>
        <v>0.65051999999999999</v>
      </c>
      <c r="BG644" s="469">
        <v>0.83399999999999996</v>
      </c>
      <c r="BH644" s="341"/>
      <c r="BI644" s="446" t="s">
        <v>1417</v>
      </c>
      <c r="BJ644" s="505"/>
    </row>
    <row r="645" spans="1:62" ht="15.75" customHeight="1" thickBot="1" x14ac:dyDescent="0.25">
      <c r="A645" s="174">
        <v>645</v>
      </c>
      <c r="B645" s="175">
        <v>1</v>
      </c>
      <c r="C645" s="166" t="s">
        <v>596</v>
      </c>
      <c r="D645" s="166" t="s">
        <v>1418</v>
      </c>
      <c r="E645" s="166" t="s">
        <v>13</v>
      </c>
      <c r="F645" s="166" t="s">
        <v>1419</v>
      </c>
      <c r="G645" s="166" t="s">
        <v>292</v>
      </c>
      <c r="H645" s="166" t="s">
        <v>492</v>
      </c>
      <c r="I645" s="181">
        <v>2009</v>
      </c>
      <c r="J645" s="181" t="s">
        <v>1414</v>
      </c>
      <c r="K645" s="181" t="s">
        <v>1415</v>
      </c>
      <c r="L645" s="181" t="s">
        <v>19</v>
      </c>
      <c r="M645" s="556" t="s">
        <v>4241</v>
      </c>
      <c r="N645" s="214" t="s">
        <v>20</v>
      </c>
      <c r="O645" s="214" t="s">
        <v>15</v>
      </c>
      <c r="P645" s="214" t="s">
        <v>20</v>
      </c>
      <c r="Q645" s="214" t="s">
        <v>20</v>
      </c>
      <c r="R645" s="214" t="s">
        <v>20</v>
      </c>
      <c r="S645" s="214" t="s">
        <v>20</v>
      </c>
      <c r="T645" s="214" t="s">
        <v>20</v>
      </c>
      <c r="U645" s="214" t="s">
        <v>20</v>
      </c>
      <c r="V645" s="214" t="s">
        <v>15</v>
      </c>
      <c r="W645" s="214" t="s">
        <v>15</v>
      </c>
      <c r="X645" s="214" t="s">
        <v>15</v>
      </c>
      <c r="Y645" s="214" t="s">
        <v>15</v>
      </c>
      <c r="Z645" s="234"/>
      <c r="AA645" s="214" t="s">
        <v>999</v>
      </c>
      <c r="AB645" s="214" t="s">
        <v>1416</v>
      </c>
      <c r="AC645" s="214" t="s">
        <v>122</v>
      </c>
      <c r="AD645" s="320" t="s">
        <v>1410</v>
      </c>
      <c r="AE645" s="319"/>
      <c r="AF645" s="162" t="str">
        <f t="shared" si="49"/>
        <v/>
      </c>
      <c r="AG645" s="162" t="str">
        <f t="shared" si="48"/>
        <v/>
      </c>
      <c r="AH645" s="164">
        <f t="shared" si="50"/>
        <v>0.10740000000000001</v>
      </c>
      <c r="AI645" s="164" t="str">
        <f t="shared" si="51"/>
        <v/>
      </c>
      <c r="AJ645" s="368"/>
      <c r="AK645" s="368"/>
      <c r="AL645" s="368"/>
      <c r="AM645" s="368"/>
      <c r="AN645" s="368"/>
      <c r="AO645" s="368"/>
      <c r="AP645" s="368"/>
      <c r="AQ645" s="368"/>
      <c r="AR645" s="368"/>
      <c r="AS645" s="195"/>
      <c r="AT645" s="195"/>
      <c r="AU645" s="377"/>
      <c r="AV645" s="382"/>
      <c r="AW645" s="426">
        <f>BG645*0.2</f>
        <v>0.10740000000000001</v>
      </c>
      <c r="AX645" s="426"/>
      <c r="AY645" s="426"/>
      <c r="AZ645" s="426"/>
      <c r="BA645" s="426"/>
      <c r="BB645" s="426">
        <f>0.28*BG645</f>
        <v>0.15036000000000002</v>
      </c>
      <c r="BC645" s="426">
        <f>0.52*BG645</f>
        <v>0.27924000000000004</v>
      </c>
      <c r="BD645" s="426"/>
      <c r="BE645" s="426"/>
      <c r="BF645" s="469">
        <v>0.10740000000000001</v>
      </c>
      <c r="BG645" s="469">
        <v>0.53700000000000003</v>
      </c>
      <c r="BH645" s="341"/>
      <c r="BI645" s="446" t="s">
        <v>1417</v>
      </c>
      <c r="BJ645" s="505"/>
    </row>
    <row r="646" spans="1:62" ht="15.75" customHeight="1" thickBot="1" x14ac:dyDescent="0.25">
      <c r="A646" s="176">
        <v>646</v>
      </c>
      <c r="B646" s="175">
        <v>1</v>
      </c>
      <c r="C646" s="166" t="s">
        <v>162</v>
      </c>
      <c r="D646" s="166" t="s">
        <v>3061</v>
      </c>
      <c r="E646" s="166" t="s">
        <v>13</v>
      </c>
      <c r="F646" s="167"/>
      <c r="G646" s="166" t="s">
        <v>292</v>
      </c>
      <c r="H646" s="166" t="s">
        <v>492</v>
      </c>
      <c r="I646" s="181">
        <v>2009</v>
      </c>
      <c r="J646" s="181" t="s">
        <v>1414</v>
      </c>
      <c r="K646" s="181" t="s">
        <v>1415</v>
      </c>
      <c r="L646" s="181" t="s">
        <v>19</v>
      </c>
      <c r="M646" s="556" t="s">
        <v>4241</v>
      </c>
      <c r="N646" s="214" t="s">
        <v>20</v>
      </c>
      <c r="O646" s="214" t="s">
        <v>15</v>
      </c>
      <c r="P646" s="214" t="s">
        <v>20</v>
      </c>
      <c r="Q646" s="214" t="s">
        <v>20</v>
      </c>
      <c r="R646" s="214" t="s">
        <v>20</v>
      </c>
      <c r="S646" s="214" t="s">
        <v>20</v>
      </c>
      <c r="T646" s="214" t="s">
        <v>20</v>
      </c>
      <c r="U646" s="214" t="s">
        <v>20</v>
      </c>
      <c r="V646" s="214" t="s">
        <v>15</v>
      </c>
      <c r="W646" s="214" t="s">
        <v>15</v>
      </c>
      <c r="X646" s="214" t="s">
        <v>15</v>
      </c>
      <c r="Y646" s="214" t="s">
        <v>15</v>
      </c>
      <c r="Z646" s="234"/>
      <c r="AA646" s="214" t="s">
        <v>999</v>
      </c>
      <c r="AB646" s="214" t="s">
        <v>1416</v>
      </c>
      <c r="AC646" s="214" t="s">
        <v>122</v>
      </c>
      <c r="AD646" s="320" t="s">
        <v>1410</v>
      </c>
      <c r="AE646" s="319"/>
      <c r="AF646" s="162" t="str">
        <f t="shared" si="49"/>
        <v/>
      </c>
      <c r="AG646" s="162" t="str">
        <f t="shared" si="48"/>
        <v/>
      </c>
      <c r="AH646" s="164">
        <f t="shared" si="50"/>
        <v>0.38279999999999997</v>
      </c>
      <c r="AI646" s="164" t="str">
        <f t="shared" si="51"/>
        <v/>
      </c>
      <c r="AJ646" s="368"/>
      <c r="AK646" s="368"/>
      <c r="AL646" s="368"/>
      <c r="AM646" s="368"/>
      <c r="AN646" s="368"/>
      <c r="AO646" s="368"/>
      <c r="AP646" s="368"/>
      <c r="AQ646" s="368"/>
      <c r="AR646" s="368"/>
      <c r="AS646" s="195"/>
      <c r="AT646" s="195"/>
      <c r="AU646" s="377"/>
      <c r="AV646" s="382"/>
      <c r="AW646" s="426">
        <f>0.58*BG646</f>
        <v>0.38279999999999997</v>
      </c>
      <c r="AX646" s="426"/>
      <c r="AY646" s="426"/>
      <c r="AZ646" s="426">
        <f>0.09*BG646</f>
        <v>5.9400000000000001E-2</v>
      </c>
      <c r="BA646" s="426"/>
      <c r="BB646" s="426">
        <f>0.21*BG646</f>
        <v>0.1386</v>
      </c>
      <c r="BC646" s="426">
        <f>BG646*0.03</f>
        <v>1.9800000000000002E-2</v>
      </c>
      <c r="BD646" s="426">
        <f>0.09*BG646</f>
        <v>5.9400000000000001E-2</v>
      </c>
      <c r="BE646" s="426"/>
      <c r="BF646" s="469">
        <v>0.38279999999999997</v>
      </c>
      <c r="BG646" s="469">
        <v>0.66</v>
      </c>
      <c r="BH646" s="341"/>
      <c r="BI646" s="446" t="s">
        <v>1417</v>
      </c>
      <c r="BJ646" s="505"/>
    </row>
    <row r="647" spans="1:62" ht="15.75" customHeight="1" thickBot="1" x14ac:dyDescent="0.25">
      <c r="A647" s="174">
        <v>647</v>
      </c>
      <c r="B647" s="175">
        <v>1</v>
      </c>
      <c r="C647" s="166" t="s">
        <v>162</v>
      </c>
      <c r="D647" s="166" t="s">
        <v>4059</v>
      </c>
      <c r="E647" s="166" t="s">
        <v>13</v>
      </c>
      <c r="F647" s="166" t="s">
        <v>1420</v>
      </c>
      <c r="G647" s="166" t="s">
        <v>292</v>
      </c>
      <c r="H647" s="166" t="s">
        <v>492</v>
      </c>
      <c r="I647" s="181">
        <v>2009</v>
      </c>
      <c r="J647" s="181" t="s">
        <v>1414</v>
      </c>
      <c r="K647" s="181" t="s">
        <v>1415</v>
      </c>
      <c r="L647" s="181" t="s">
        <v>19</v>
      </c>
      <c r="M647" s="556" t="s">
        <v>4241</v>
      </c>
      <c r="N647" s="214" t="s">
        <v>20</v>
      </c>
      <c r="O647" s="214" t="s">
        <v>15</v>
      </c>
      <c r="P647" s="214" t="s">
        <v>20</v>
      </c>
      <c r="Q647" s="214" t="s">
        <v>20</v>
      </c>
      <c r="R647" s="214" t="s">
        <v>20</v>
      </c>
      <c r="S647" s="214" t="s">
        <v>20</v>
      </c>
      <c r="T647" s="214" t="s">
        <v>20</v>
      </c>
      <c r="U647" s="214" t="s">
        <v>20</v>
      </c>
      <c r="V647" s="214" t="s">
        <v>15</v>
      </c>
      <c r="W647" s="214" t="s">
        <v>15</v>
      </c>
      <c r="X647" s="214" t="s">
        <v>15</v>
      </c>
      <c r="Y647" s="214" t="s">
        <v>15</v>
      </c>
      <c r="Z647" s="234"/>
      <c r="AA647" s="214" t="s">
        <v>999</v>
      </c>
      <c r="AB647" s="214" t="s">
        <v>1416</v>
      </c>
      <c r="AC647" s="214" t="s">
        <v>122</v>
      </c>
      <c r="AD647" s="320" t="s">
        <v>1410</v>
      </c>
      <c r="AE647" s="319"/>
      <c r="AF647" s="162" t="str">
        <f t="shared" si="49"/>
        <v/>
      </c>
      <c r="AG647" s="162" t="str">
        <f t="shared" si="48"/>
        <v/>
      </c>
      <c r="AH647" s="164">
        <f t="shared" si="50"/>
        <v>3.8605999999999998</v>
      </c>
      <c r="AI647" s="164" t="str">
        <f t="shared" si="51"/>
        <v/>
      </c>
      <c r="AJ647" s="370"/>
      <c r="AK647" s="370"/>
      <c r="AL647" s="370"/>
      <c r="AM647" s="370"/>
      <c r="AN647" s="370"/>
      <c r="AO647" s="370"/>
      <c r="AP647" s="370"/>
      <c r="AQ647" s="370"/>
      <c r="AR647" s="370"/>
      <c r="AS647" s="195"/>
      <c r="AT647" s="195"/>
      <c r="AU647" s="377"/>
      <c r="AV647" s="382"/>
      <c r="AW647" s="427">
        <f>0.97*BG647</f>
        <v>3.8605999999999998</v>
      </c>
      <c r="AX647" s="427"/>
      <c r="AY647" s="427"/>
      <c r="AZ647" s="427"/>
      <c r="BA647" s="427"/>
      <c r="BB647" s="427"/>
      <c r="BC647" s="427">
        <f>0.03*BG647</f>
        <v>0.11939999999999999</v>
      </c>
      <c r="BD647" s="427"/>
      <c r="BE647" s="427"/>
      <c r="BF647" s="469">
        <v>3.8605999999999998</v>
      </c>
      <c r="BG647" s="469">
        <v>3.98</v>
      </c>
      <c r="BH647" s="341"/>
      <c r="BI647" s="446" t="s">
        <v>1417</v>
      </c>
      <c r="BJ647" s="505"/>
    </row>
    <row r="648" spans="1:62" ht="15.75" customHeight="1" thickBot="1" x14ac:dyDescent="0.25">
      <c r="A648" s="176">
        <v>648</v>
      </c>
      <c r="B648" s="175">
        <v>1</v>
      </c>
      <c r="C648" s="166" t="s">
        <v>11</v>
      </c>
      <c r="D648" s="166" t="s">
        <v>426</v>
      </c>
      <c r="E648" s="166" t="s">
        <v>13</v>
      </c>
      <c r="F648" s="167"/>
      <c r="G648" s="166" t="s">
        <v>292</v>
      </c>
      <c r="H648" s="166" t="s">
        <v>492</v>
      </c>
      <c r="I648" s="181">
        <v>2009</v>
      </c>
      <c r="J648" s="181" t="s">
        <v>1414</v>
      </c>
      <c r="K648" s="181" t="s">
        <v>1415</v>
      </c>
      <c r="L648" s="181" t="s">
        <v>19</v>
      </c>
      <c r="M648" s="556" t="s">
        <v>4241</v>
      </c>
      <c r="N648" s="214" t="s">
        <v>20</v>
      </c>
      <c r="O648" s="214" t="s">
        <v>15</v>
      </c>
      <c r="P648" s="214" t="s">
        <v>20</v>
      </c>
      <c r="Q648" s="214" t="s">
        <v>20</v>
      </c>
      <c r="R648" s="214" t="s">
        <v>20</v>
      </c>
      <c r="S648" s="214" t="s">
        <v>20</v>
      </c>
      <c r="T648" s="214" t="s">
        <v>20</v>
      </c>
      <c r="U648" s="214" t="s">
        <v>20</v>
      </c>
      <c r="V648" s="214" t="s">
        <v>15</v>
      </c>
      <c r="W648" s="214" t="s">
        <v>15</v>
      </c>
      <c r="X648" s="214" t="s">
        <v>15</v>
      </c>
      <c r="Y648" s="214" t="s">
        <v>15</v>
      </c>
      <c r="Z648" s="234"/>
      <c r="AA648" s="214" t="s">
        <v>999</v>
      </c>
      <c r="AB648" s="214" t="s">
        <v>1416</v>
      </c>
      <c r="AC648" s="214" t="s">
        <v>122</v>
      </c>
      <c r="AD648" s="320" t="s">
        <v>1410</v>
      </c>
      <c r="AE648" s="319"/>
      <c r="AF648" s="162" t="str">
        <f t="shared" si="49"/>
        <v/>
      </c>
      <c r="AG648" s="162" t="str">
        <f t="shared" si="48"/>
        <v/>
      </c>
      <c r="AH648" s="164">
        <f t="shared" si="50"/>
        <v>11.802700000000002</v>
      </c>
      <c r="AI648" s="164" t="str">
        <f t="shared" si="51"/>
        <v/>
      </c>
      <c r="AJ648" s="368"/>
      <c r="AK648" s="368"/>
      <c r="AL648" s="368"/>
      <c r="AM648" s="368"/>
      <c r="AN648" s="368"/>
      <c r="AO648" s="368"/>
      <c r="AP648" s="368"/>
      <c r="AQ648" s="368"/>
      <c r="AR648" s="368"/>
      <c r="AS648" s="195"/>
      <c r="AT648" s="195"/>
      <c r="AU648" s="377"/>
      <c r="AV648" s="382"/>
      <c r="AW648" s="426">
        <v>11.791700000000001</v>
      </c>
      <c r="AX648" s="426"/>
      <c r="AY648" s="426"/>
      <c r="AZ648" s="426"/>
      <c r="BA648" s="426">
        <v>0.12870000000000001</v>
      </c>
      <c r="BB648" s="426">
        <v>1.0276000000000001</v>
      </c>
      <c r="BC648" s="426">
        <v>0.1217</v>
      </c>
      <c r="BD648" s="426"/>
      <c r="BE648" s="426"/>
      <c r="BF648" s="469">
        <v>11.802700000000002</v>
      </c>
      <c r="BG648" s="469">
        <v>12.97</v>
      </c>
      <c r="BH648" s="341"/>
      <c r="BI648" s="446" t="s">
        <v>1417</v>
      </c>
      <c r="BJ648" s="505"/>
    </row>
    <row r="649" spans="1:62" ht="15.75" customHeight="1" thickBot="1" x14ac:dyDescent="0.25">
      <c r="A649" s="174">
        <v>649</v>
      </c>
      <c r="B649" s="175">
        <v>1</v>
      </c>
      <c r="C649" s="166" t="s">
        <v>24</v>
      </c>
      <c r="D649" s="166" t="s">
        <v>2432</v>
      </c>
      <c r="E649" s="166" t="s">
        <v>13</v>
      </c>
      <c r="F649" s="294" t="s">
        <v>2418</v>
      </c>
      <c r="G649" s="166" t="s">
        <v>292</v>
      </c>
      <c r="H649" s="166" t="s">
        <v>87</v>
      </c>
      <c r="I649" s="181">
        <v>2016</v>
      </c>
      <c r="J649" s="181" t="s">
        <v>1421</v>
      </c>
      <c r="K649" s="181" t="s">
        <v>1422</v>
      </c>
      <c r="L649" s="181" t="s">
        <v>19</v>
      </c>
      <c r="M649" s="556" t="s">
        <v>4242</v>
      </c>
      <c r="N649" s="214" t="s">
        <v>20</v>
      </c>
      <c r="O649" s="214" t="s">
        <v>15</v>
      </c>
      <c r="P649" s="214" t="s">
        <v>15</v>
      </c>
      <c r="Q649" s="214" t="s">
        <v>20</v>
      </c>
      <c r="R649" s="214" t="s">
        <v>20</v>
      </c>
      <c r="S649" s="214" t="s">
        <v>15</v>
      </c>
      <c r="T649" s="214" t="s">
        <v>15</v>
      </c>
      <c r="U649" s="214" t="s">
        <v>15</v>
      </c>
      <c r="V649" s="214" t="s">
        <v>15</v>
      </c>
      <c r="W649" s="214" t="s">
        <v>15</v>
      </c>
      <c r="X649" s="214" t="s">
        <v>15</v>
      </c>
      <c r="Y649" s="214" t="s">
        <v>15</v>
      </c>
      <c r="Z649" s="234"/>
      <c r="AA649" s="214" t="s">
        <v>303</v>
      </c>
      <c r="AB649" s="214" t="s">
        <v>292</v>
      </c>
      <c r="AC649" s="214" t="s">
        <v>122</v>
      </c>
      <c r="AD649" s="320" t="s">
        <v>1423</v>
      </c>
      <c r="AE649" s="319"/>
      <c r="AF649" s="162" t="str">
        <f t="shared" si="49"/>
        <v/>
      </c>
      <c r="AG649" s="162" t="str">
        <f t="shared" si="48"/>
        <v/>
      </c>
      <c r="AH649" s="164">
        <f t="shared" si="50"/>
        <v>0.7</v>
      </c>
      <c r="AI649" s="164" t="str">
        <f t="shared" si="51"/>
        <v/>
      </c>
      <c r="AJ649" s="368"/>
      <c r="AK649" s="368"/>
      <c r="AL649" s="368"/>
      <c r="AM649" s="368"/>
      <c r="AN649" s="368"/>
      <c r="AO649" s="368"/>
      <c r="AP649" s="368"/>
      <c r="AQ649" s="368"/>
      <c r="AR649" s="368"/>
      <c r="AS649" s="195"/>
      <c r="AT649" s="195"/>
      <c r="AU649" s="377"/>
      <c r="AW649" s="359">
        <v>0.7</v>
      </c>
      <c r="AX649" s="426"/>
      <c r="AY649" s="426"/>
      <c r="AZ649" s="426">
        <f>0.01*BF649</f>
        <v>6.9999999999999993E-3</v>
      </c>
      <c r="BA649" s="426"/>
      <c r="BB649" s="426"/>
      <c r="BC649" s="426"/>
      <c r="BD649" s="426"/>
      <c r="BE649" s="426"/>
      <c r="BF649" s="469">
        <v>0.7</v>
      </c>
      <c r="BG649" s="469"/>
      <c r="BH649" s="341"/>
      <c r="BI649" s="446" t="s">
        <v>1308</v>
      </c>
      <c r="BJ649" s="508" t="s">
        <v>3099</v>
      </c>
    </row>
    <row r="650" spans="1:62" ht="15.75" customHeight="1" thickBot="1" x14ac:dyDescent="0.25">
      <c r="A650" s="174">
        <v>651</v>
      </c>
      <c r="B650" s="175">
        <v>1</v>
      </c>
      <c r="C650" s="166" t="s">
        <v>1110</v>
      </c>
      <c r="D650" s="166" t="s">
        <v>3063</v>
      </c>
      <c r="E650" s="167"/>
      <c r="F650" s="167"/>
      <c r="G650" s="166" t="s">
        <v>292</v>
      </c>
      <c r="H650" s="166" t="s">
        <v>87</v>
      </c>
      <c r="I650" s="181">
        <v>2014</v>
      </c>
      <c r="J650" s="181" t="s">
        <v>1424</v>
      </c>
      <c r="K650" s="181" t="s">
        <v>1425</v>
      </c>
      <c r="L650" s="181" t="s">
        <v>19</v>
      </c>
      <c r="M650" s="556" t="s">
        <v>4243</v>
      </c>
      <c r="N650" s="214" t="s">
        <v>20</v>
      </c>
      <c r="O650" s="214" t="s">
        <v>15</v>
      </c>
      <c r="P650" s="214" t="s">
        <v>15</v>
      </c>
      <c r="Q650" s="214" t="s">
        <v>15</v>
      </c>
      <c r="R650" s="214" t="s">
        <v>15</v>
      </c>
      <c r="S650" s="214" t="s">
        <v>15</v>
      </c>
      <c r="T650" s="214" t="s">
        <v>15</v>
      </c>
      <c r="U650" s="214" t="s">
        <v>15</v>
      </c>
      <c r="V650" s="214" t="s">
        <v>15</v>
      </c>
      <c r="W650" s="214" t="s">
        <v>15</v>
      </c>
      <c r="X650" s="214" t="s">
        <v>15</v>
      </c>
      <c r="Y650" s="214" t="s">
        <v>15</v>
      </c>
      <c r="Z650" s="234"/>
      <c r="AA650" s="214" t="s">
        <v>1426</v>
      </c>
      <c r="AB650" s="214" t="s">
        <v>292</v>
      </c>
      <c r="AC650" s="214" t="s">
        <v>292</v>
      </c>
      <c r="AD650" s="320" t="s">
        <v>518</v>
      </c>
      <c r="AE650" s="320" t="s">
        <v>1427</v>
      </c>
      <c r="AF650" s="162" t="str">
        <f t="shared" si="49"/>
        <v/>
      </c>
      <c r="AG650" s="162" t="str">
        <f t="shared" si="48"/>
        <v/>
      </c>
      <c r="AH650" s="164">
        <f t="shared" si="50"/>
        <v>1.4</v>
      </c>
      <c r="AI650" s="164" t="str">
        <f t="shared" si="51"/>
        <v/>
      </c>
      <c r="AJ650" s="368"/>
      <c r="AK650" s="368"/>
      <c r="AL650" s="368"/>
      <c r="AM650" s="368"/>
      <c r="AN650" s="368"/>
      <c r="AO650" s="368"/>
      <c r="AP650" s="368"/>
      <c r="AQ650" s="368"/>
      <c r="AR650" s="368"/>
      <c r="AS650" s="195"/>
      <c r="AT650" s="195"/>
      <c r="AU650" s="377"/>
      <c r="AW650" s="426"/>
      <c r="AX650" s="426"/>
      <c r="AY650" s="426"/>
      <c r="AZ650" s="426"/>
      <c r="BA650" s="426"/>
      <c r="BB650" s="426"/>
      <c r="BC650" s="426"/>
      <c r="BD650" s="426"/>
      <c r="BE650" s="426"/>
      <c r="BF650" s="474">
        <v>1.4</v>
      </c>
      <c r="BG650" s="469"/>
      <c r="BH650" s="341"/>
      <c r="BI650" s="446" t="s">
        <v>1428</v>
      </c>
      <c r="BJ650" s="505"/>
    </row>
    <row r="651" spans="1:62" ht="15.75" customHeight="1" thickBot="1" x14ac:dyDescent="0.25">
      <c r="A651" s="176">
        <v>652</v>
      </c>
      <c r="B651" s="175">
        <v>1</v>
      </c>
      <c r="C651" s="166" t="s">
        <v>236</v>
      </c>
      <c r="D651" s="166" t="s">
        <v>859</v>
      </c>
      <c r="E651" s="166" t="s">
        <v>13</v>
      </c>
      <c r="F651" s="167" t="s">
        <v>379</v>
      </c>
      <c r="G651" s="166" t="s">
        <v>292</v>
      </c>
      <c r="H651" s="166" t="s">
        <v>1429</v>
      </c>
      <c r="I651" s="181">
        <v>2014</v>
      </c>
      <c r="J651" s="181" t="s">
        <v>1430</v>
      </c>
      <c r="K651" s="181" t="s">
        <v>1431</v>
      </c>
      <c r="L651" s="181" t="s">
        <v>19</v>
      </c>
      <c r="M651" s="556" t="s">
        <v>4244</v>
      </c>
      <c r="N651" s="214" t="s">
        <v>20</v>
      </c>
      <c r="O651" s="214" t="s">
        <v>15</v>
      </c>
      <c r="P651" s="214" t="s">
        <v>15</v>
      </c>
      <c r="Q651" s="214" t="s">
        <v>15</v>
      </c>
      <c r="R651" s="214" t="s">
        <v>15</v>
      </c>
      <c r="S651" s="214" t="s">
        <v>15</v>
      </c>
      <c r="T651" s="214" t="s">
        <v>15</v>
      </c>
      <c r="U651" s="214" t="s">
        <v>15</v>
      </c>
      <c r="V651" s="214" t="s">
        <v>15</v>
      </c>
      <c r="W651" s="214" t="s">
        <v>15</v>
      </c>
      <c r="X651" s="214" t="s">
        <v>15</v>
      </c>
      <c r="Y651" s="214" t="s">
        <v>15</v>
      </c>
      <c r="Z651" s="234"/>
      <c r="AA651" s="214" t="s">
        <v>1432</v>
      </c>
      <c r="AB651" s="214" t="s">
        <v>292</v>
      </c>
      <c r="AC651" s="214" t="s">
        <v>292</v>
      </c>
      <c r="AD651" s="320" t="s">
        <v>1433</v>
      </c>
      <c r="AE651" s="319"/>
      <c r="AF651" s="162">
        <f t="shared" si="49"/>
        <v>5.61</v>
      </c>
      <c r="AG651" s="162" t="str">
        <f t="shared" si="48"/>
        <v/>
      </c>
      <c r="AH651" s="164">
        <f t="shared" si="50"/>
        <v>0.41399999999999998</v>
      </c>
      <c r="AI651" s="164" t="str">
        <f t="shared" si="51"/>
        <v/>
      </c>
      <c r="AJ651" s="368"/>
      <c r="AK651" s="368"/>
      <c r="AL651" s="368"/>
      <c r="AM651" s="368"/>
      <c r="AN651" s="368"/>
      <c r="AO651" s="368"/>
      <c r="AP651" s="368"/>
      <c r="AQ651" s="368"/>
      <c r="AR651" s="368"/>
      <c r="AS651" s="525">
        <v>5.61</v>
      </c>
      <c r="AT651" s="195"/>
      <c r="AU651" s="377"/>
      <c r="AV651" s="382"/>
      <c r="AW651" s="426"/>
      <c r="AX651" s="426"/>
      <c r="AY651" s="426"/>
      <c r="AZ651" s="426"/>
      <c r="BA651" s="426"/>
      <c r="BB651" s="426"/>
      <c r="BC651" s="426"/>
      <c r="BD651" s="426"/>
      <c r="BE651" s="426"/>
      <c r="BF651" s="468">
        <v>0.41399999999999998</v>
      </c>
      <c r="BG651" s="469"/>
      <c r="BH651" s="341"/>
      <c r="BI651" s="447"/>
      <c r="BJ651" s="505"/>
    </row>
    <row r="652" spans="1:62" ht="15.75" customHeight="1" thickBot="1" x14ac:dyDescent="0.25">
      <c r="A652" s="174">
        <v>653</v>
      </c>
      <c r="B652" s="175">
        <v>1</v>
      </c>
      <c r="C652" s="166" t="s">
        <v>236</v>
      </c>
      <c r="D652" s="166" t="s">
        <v>859</v>
      </c>
      <c r="E652" s="166" t="s">
        <v>13</v>
      </c>
      <c r="F652" s="166" t="s">
        <v>378</v>
      </c>
      <c r="G652" s="166" t="s">
        <v>292</v>
      </c>
      <c r="H652" s="166" t="s">
        <v>1429</v>
      </c>
      <c r="I652" s="181">
        <v>2014</v>
      </c>
      <c r="J652" s="181" t="s">
        <v>1430</v>
      </c>
      <c r="K652" s="181" t="s">
        <v>1431</v>
      </c>
      <c r="L652" s="181" t="s">
        <v>19</v>
      </c>
      <c r="M652" s="556" t="s">
        <v>4244</v>
      </c>
      <c r="N652" s="214" t="s">
        <v>20</v>
      </c>
      <c r="O652" s="214" t="s">
        <v>15</v>
      </c>
      <c r="P652" s="214" t="s">
        <v>15</v>
      </c>
      <c r="Q652" s="214" t="s">
        <v>15</v>
      </c>
      <c r="R652" s="214" t="s">
        <v>15</v>
      </c>
      <c r="S652" s="214" t="s">
        <v>15</v>
      </c>
      <c r="T652" s="214" t="s">
        <v>15</v>
      </c>
      <c r="U652" s="214" t="s">
        <v>15</v>
      </c>
      <c r="V652" s="214" t="s">
        <v>15</v>
      </c>
      <c r="W652" s="214" t="s">
        <v>15</v>
      </c>
      <c r="X652" s="214" t="s">
        <v>15</v>
      </c>
      <c r="Y652" s="214" t="s">
        <v>15</v>
      </c>
      <c r="Z652" s="234"/>
      <c r="AA652" s="214" t="s">
        <v>1432</v>
      </c>
      <c r="AB652" s="214" t="s">
        <v>292</v>
      </c>
      <c r="AC652" s="214" t="s">
        <v>292</v>
      </c>
      <c r="AD652" s="320" t="s">
        <v>1433</v>
      </c>
      <c r="AE652" s="319"/>
      <c r="AF652" s="162">
        <f t="shared" si="49"/>
        <v>8</v>
      </c>
      <c r="AG652" s="162" t="str">
        <f t="shared" si="48"/>
        <v/>
      </c>
      <c r="AH652" s="164">
        <f t="shared" si="50"/>
        <v>0.53600000000000003</v>
      </c>
      <c r="AI652" s="164" t="str">
        <f t="shared" si="51"/>
        <v/>
      </c>
      <c r="AJ652" s="368"/>
      <c r="AK652" s="368"/>
      <c r="AL652" s="368"/>
      <c r="AM652" s="368"/>
      <c r="AN652" s="368"/>
      <c r="AO652" s="368"/>
      <c r="AP652" s="368"/>
      <c r="AQ652" s="368"/>
      <c r="AR652" s="368"/>
      <c r="AS652" s="267">
        <v>8</v>
      </c>
      <c r="AT652" s="195"/>
      <c r="AU652" s="377"/>
      <c r="AV652" s="382"/>
      <c r="AW652" s="426"/>
      <c r="AX652" s="426"/>
      <c r="AY652" s="426"/>
      <c r="AZ652" s="426"/>
      <c r="BA652" s="426"/>
      <c r="BB652" s="426"/>
      <c r="BC652" s="426"/>
      <c r="BD652" s="426"/>
      <c r="BE652" s="426"/>
      <c r="BF652" s="468">
        <v>0.53600000000000003</v>
      </c>
      <c r="BG652" s="469"/>
      <c r="BH652" s="341"/>
      <c r="BI652" s="447"/>
      <c r="BJ652" s="505"/>
    </row>
    <row r="653" spans="1:62" ht="15.75" customHeight="1" thickBot="1" x14ac:dyDescent="0.25">
      <c r="A653" s="176">
        <v>654</v>
      </c>
      <c r="B653" s="175">
        <v>1</v>
      </c>
      <c r="C653" s="166" t="s">
        <v>1110</v>
      </c>
      <c r="D653" s="166" t="s">
        <v>1434</v>
      </c>
      <c r="E653" s="166" t="s">
        <v>1309</v>
      </c>
      <c r="F653" s="166" t="s">
        <v>1435</v>
      </c>
      <c r="G653" s="166" t="s">
        <v>292</v>
      </c>
      <c r="H653" s="166" t="s">
        <v>1436</v>
      </c>
      <c r="I653" s="181">
        <v>2015</v>
      </c>
      <c r="J653" s="181" t="s">
        <v>1437</v>
      </c>
      <c r="K653" s="181" t="s">
        <v>1438</v>
      </c>
      <c r="L653" s="181" t="s">
        <v>19</v>
      </c>
      <c r="M653" s="556" t="s">
        <v>4245</v>
      </c>
      <c r="N653" s="214" t="s">
        <v>20</v>
      </c>
      <c r="O653" s="214" t="s">
        <v>15</v>
      </c>
      <c r="P653" s="214" t="s">
        <v>20</v>
      </c>
      <c r="Q653" s="214" t="s">
        <v>20</v>
      </c>
      <c r="R653" s="214" t="s">
        <v>15</v>
      </c>
      <c r="S653" s="214" t="s">
        <v>15</v>
      </c>
      <c r="T653" s="214" t="s">
        <v>15</v>
      </c>
      <c r="U653" s="214" t="s">
        <v>15</v>
      </c>
      <c r="V653" s="214" t="s">
        <v>15</v>
      </c>
      <c r="W653" s="214" t="s">
        <v>15</v>
      </c>
      <c r="X653" s="214" t="s">
        <v>15</v>
      </c>
      <c r="Y653" s="214" t="s">
        <v>15</v>
      </c>
      <c r="Z653" s="234"/>
      <c r="AA653" s="214" t="s">
        <v>1439</v>
      </c>
      <c r="AB653" s="214" t="s">
        <v>292</v>
      </c>
      <c r="AC653" s="214" t="s">
        <v>122</v>
      </c>
      <c r="AD653" s="320" t="s">
        <v>1440</v>
      </c>
      <c r="AE653" s="320" t="s">
        <v>485</v>
      </c>
      <c r="AF653" s="162" t="str">
        <f t="shared" si="49"/>
        <v/>
      </c>
      <c r="AG653" s="162" t="str">
        <f t="shared" si="48"/>
        <v/>
      </c>
      <c r="AH653" s="164">
        <f t="shared" si="50"/>
        <v>0.30199999999999999</v>
      </c>
      <c r="AI653" s="164">
        <f t="shared" si="51"/>
        <v>0.59399999999999997</v>
      </c>
      <c r="AJ653" s="370"/>
      <c r="AK653" s="370"/>
      <c r="AL653" s="370"/>
      <c r="AM653" s="370"/>
      <c r="AN653" s="370"/>
      <c r="AO653" s="370"/>
      <c r="AP653" s="370"/>
      <c r="AQ653" s="370"/>
      <c r="AR653" s="370"/>
      <c r="AS653" s="199"/>
      <c r="AT653" s="195"/>
      <c r="AU653" s="377"/>
      <c r="AV653" s="382"/>
      <c r="AW653" s="427">
        <v>0.30199999999999999</v>
      </c>
      <c r="AX653" s="427"/>
      <c r="AY653" s="427">
        <v>0.29199999999999998</v>
      </c>
      <c r="AZ653" s="427"/>
      <c r="BA653" s="427"/>
      <c r="BB653" s="427"/>
      <c r="BC653" s="427"/>
      <c r="BD653" s="427"/>
      <c r="BE653" s="427"/>
      <c r="BF653" s="467">
        <v>0.30199999999999999</v>
      </c>
      <c r="BG653" s="469">
        <v>0.59399999999999997</v>
      </c>
      <c r="BH653" s="341"/>
      <c r="BI653" s="447"/>
      <c r="BJ653" s="505"/>
    </row>
    <row r="654" spans="1:62" s="191" customFormat="1" ht="15.75" customHeight="1" thickBot="1" x14ac:dyDescent="0.25">
      <c r="A654" s="512">
        <v>655</v>
      </c>
      <c r="B654" s="175">
        <v>1</v>
      </c>
      <c r="C654" s="166" t="s">
        <v>542</v>
      </c>
      <c r="D654" s="166" t="s">
        <v>2114</v>
      </c>
      <c r="E654" s="166" t="s">
        <v>13</v>
      </c>
      <c r="F654" s="167"/>
      <c r="G654" s="166" t="s">
        <v>292</v>
      </c>
      <c r="H654" s="166" t="s">
        <v>1441</v>
      </c>
      <c r="I654" s="181">
        <v>2015</v>
      </c>
      <c r="J654" s="181" t="s">
        <v>1442</v>
      </c>
      <c r="K654" s="181" t="s">
        <v>1443</v>
      </c>
      <c r="L654" s="181" t="s">
        <v>19</v>
      </c>
      <c r="M654" s="556" t="s">
        <v>4246</v>
      </c>
      <c r="N654" s="214" t="s">
        <v>20</v>
      </c>
      <c r="O654" s="214" t="s">
        <v>20</v>
      </c>
      <c r="P654" s="214" t="s">
        <v>20</v>
      </c>
      <c r="Q654" s="214" t="s">
        <v>20</v>
      </c>
      <c r="R654" s="214" t="s">
        <v>15</v>
      </c>
      <c r="S654" s="214" t="s">
        <v>15</v>
      </c>
      <c r="T654" s="214" t="s">
        <v>15</v>
      </c>
      <c r="U654" s="214" t="s">
        <v>15</v>
      </c>
      <c r="V654" s="214" t="s">
        <v>15</v>
      </c>
      <c r="W654" s="214" t="s">
        <v>15</v>
      </c>
      <c r="X654" s="214" t="s">
        <v>15</v>
      </c>
      <c r="Y654" s="214" t="s">
        <v>15</v>
      </c>
      <c r="Z654" s="234"/>
      <c r="AA654" s="214" t="s">
        <v>1444</v>
      </c>
      <c r="AB654" s="214" t="s">
        <v>292</v>
      </c>
      <c r="AC654" s="214" t="s">
        <v>122</v>
      </c>
      <c r="AD654" s="320" t="s">
        <v>1445</v>
      </c>
      <c r="AE654" s="320" t="s">
        <v>485</v>
      </c>
      <c r="AF654" s="162" t="str">
        <f t="shared" si="49"/>
        <v/>
      </c>
      <c r="AG654" s="162" t="str">
        <f t="shared" si="48"/>
        <v/>
      </c>
      <c r="AH654" s="164">
        <f t="shared" si="50"/>
        <v>3.2585000000000002</v>
      </c>
      <c r="AI654" s="164">
        <f t="shared" si="51"/>
        <v>4.2419000000000002</v>
      </c>
      <c r="AJ654" s="379"/>
      <c r="AK654" s="379"/>
      <c r="AL654" s="379"/>
      <c r="AM654" s="379"/>
      <c r="AN654" s="379"/>
      <c r="AO654" s="379"/>
      <c r="AP654" s="379"/>
      <c r="AQ654" s="379"/>
      <c r="AR654" s="379"/>
      <c r="AS654" s="201"/>
      <c r="AT654" s="201"/>
      <c r="AU654" s="406"/>
      <c r="AV654" s="407"/>
      <c r="AW654" s="433">
        <v>3.2585000000000002</v>
      </c>
      <c r="AX654" s="433"/>
      <c r="AY654" s="434">
        <v>0.98340000000000005</v>
      </c>
      <c r="AZ654" s="433"/>
      <c r="BA654" s="433"/>
      <c r="BB654" s="433"/>
      <c r="BC654" s="433"/>
      <c r="BD654" s="433"/>
      <c r="BE654" s="433"/>
      <c r="BF654" s="486">
        <v>3.2585000000000002</v>
      </c>
      <c r="BG654" s="486">
        <v>4.2418999999999993</v>
      </c>
      <c r="BH654" s="452"/>
      <c r="BI654" s="453"/>
      <c r="BJ654" s="509"/>
    </row>
    <row r="655" spans="1:62" ht="15.75" customHeight="1" thickBot="1" x14ac:dyDescent="0.25">
      <c r="A655" s="513">
        <v>656</v>
      </c>
      <c r="B655" s="175">
        <v>1</v>
      </c>
      <c r="C655" s="166" t="s">
        <v>542</v>
      </c>
      <c r="D655" s="159" t="s">
        <v>2228</v>
      </c>
      <c r="E655" s="166" t="s">
        <v>13</v>
      </c>
      <c r="F655" s="167"/>
      <c r="G655" s="166" t="s">
        <v>292</v>
      </c>
      <c r="H655" s="166" t="s">
        <v>1446</v>
      </c>
      <c r="I655" s="181">
        <v>2015</v>
      </c>
      <c r="J655" s="181" t="s">
        <v>1442</v>
      </c>
      <c r="K655" s="181" t="s">
        <v>1443</v>
      </c>
      <c r="L655" s="181" t="s">
        <v>19</v>
      </c>
      <c r="M655" s="556" t="s">
        <v>4246</v>
      </c>
      <c r="N655" s="214" t="s">
        <v>20</v>
      </c>
      <c r="O655" s="214" t="s">
        <v>20</v>
      </c>
      <c r="P655" s="214" t="s">
        <v>20</v>
      </c>
      <c r="Q655" s="214" t="s">
        <v>20</v>
      </c>
      <c r="R655" s="214" t="s">
        <v>15</v>
      </c>
      <c r="S655" s="214" t="s">
        <v>15</v>
      </c>
      <c r="T655" s="214" t="s">
        <v>15</v>
      </c>
      <c r="U655" s="214" t="s">
        <v>15</v>
      </c>
      <c r="V655" s="214" t="s">
        <v>15</v>
      </c>
      <c r="W655" s="214" t="s">
        <v>15</v>
      </c>
      <c r="X655" s="214" t="s">
        <v>15</v>
      </c>
      <c r="Y655" s="214" t="s">
        <v>15</v>
      </c>
      <c r="Z655" s="234"/>
      <c r="AA655" s="214" t="s">
        <v>1444</v>
      </c>
      <c r="AB655" s="214" t="s">
        <v>292</v>
      </c>
      <c r="AC655" s="214" t="s">
        <v>122</v>
      </c>
      <c r="AD655" s="320" t="s">
        <v>1445</v>
      </c>
      <c r="AE655" s="320" t="s">
        <v>485</v>
      </c>
      <c r="AF655" s="162" t="str">
        <f t="shared" si="49"/>
        <v/>
      </c>
      <c r="AG655" s="162" t="str">
        <f t="shared" si="48"/>
        <v/>
      </c>
      <c r="AH655" s="164">
        <f t="shared" si="50"/>
        <v>2.2469999999999999</v>
      </c>
      <c r="AI655" s="164">
        <f t="shared" si="51"/>
        <v>2.63</v>
      </c>
      <c r="AJ655" s="368"/>
      <c r="AK655" s="368"/>
      <c r="AL655" s="368"/>
      <c r="AM655" s="368"/>
      <c r="AN655" s="368"/>
      <c r="AO655" s="368"/>
      <c r="AP655" s="368"/>
      <c r="AQ655" s="368"/>
      <c r="AR655" s="368"/>
      <c r="AS655" s="195"/>
      <c r="AT655" s="195"/>
      <c r="AU655" s="408"/>
      <c r="AV655" s="382"/>
      <c r="AW655" s="426">
        <v>2.2469999999999999</v>
      </c>
      <c r="AX655" s="426"/>
      <c r="AY655" s="359">
        <v>0.38300000000000001</v>
      </c>
      <c r="AZ655" s="426"/>
      <c r="BA655" s="426"/>
      <c r="BB655" s="426"/>
      <c r="BC655" s="426"/>
      <c r="BD655" s="426"/>
      <c r="BE655" s="426"/>
      <c r="BF655" s="469">
        <v>2.2469999999999999</v>
      </c>
      <c r="BG655" s="469">
        <v>2.7280000000000002</v>
      </c>
      <c r="BH655" s="454"/>
      <c r="BI655" s="455"/>
      <c r="BJ655" s="505"/>
    </row>
    <row r="656" spans="1:62" ht="15.75" customHeight="1" thickBot="1" x14ac:dyDescent="0.25">
      <c r="A656" s="174">
        <v>657</v>
      </c>
      <c r="B656" s="175">
        <v>1</v>
      </c>
      <c r="C656" s="166" t="s">
        <v>542</v>
      </c>
      <c r="D656" s="159" t="s">
        <v>2289</v>
      </c>
      <c r="E656" s="166" t="s">
        <v>13</v>
      </c>
      <c r="F656" s="167"/>
      <c r="G656" s="166" t="s">
        <v>292</v>
      </c>
      <c r="H656" s="166" t="s">
        <v>1447</v>
      </c>
      <c r="I656" s="181">
        <v>2015</v>
      </c>
      <c r="J656" s="181" t="s">
        <v>1442</v>
      </c>
      <c r="K656" s="181" t="s">
        <v>1443</v>
      </c>
      <c r="L656" s="181" t="s">
        <v>19</v>
      </c>
      <c r="M656" s="556" t="s">
        <v>4246</v>
      </c>
      <c r="N656" s="214" t="s">
        <v>20</v>
      </c>
      <c r="O656" s="214" t="s">
        <v>20</v>
      </c>
      <c r="P656" s="214" t="s">
        <v>20</v>
      </c>
      <c r="Q656" s="214" t="s">
        <v>20</v>
      </c>
      <c r="R656" s="214" t="s">
        <v>15</v>
      </c>
      <c r="S656" s="214" t="s">
        <v>15</v>
      </c>
      <c r="T656" s="214" t="s">
        <v>15</v>
      </c>
      <c r="U656" s="214" t="s">
        <v>15</v>
      </c>
      <c r="V656" s="214" t="s">
        <v>15</v>
      </c>
      <c r="W656" s="214" t="s">
        <v>15</v>
      </c>
      <c r="X656" s="214" t="s">
        <v>15</v>
      </c>
      <c r="Y656" s="214" t="s">
        <v>15</v>
      </c>
      <c r="Z656" s="234"/>
      <c r="AA656" s="214" t="s">
        <v>1444</v>
      </c>
      <c r="AB656" s="214" t="s">
        <v>292</v>
      </c>
      <c r="AC656" s="214" t="s">
        <v>122</v>
      </c>
      <c r="AD656" s="320" t="s">
        <v>1445</v>
      </c>
      <c r="AE656" s="320" t="s">
        <v>485</v>
      </c>
      <c r="AF656" s="162" t="str">
        <f t="shared" si="49"/>
        <v/>
      </c>
      <c r="AG656" s="162" t="str">
        <f t="shared" si="48"/>
        <v/>
      </c>
      <c r="AH656" s="164">
        <f t="shared" si="50"/>
        <v>1.968</v>
      </c>
      <c r="AI656" s="164">
        <f t="shared" si="51"/>
        <v>2.6459999999999999</v>
      </c>
      <c r="AJ656" s="368"/>
      <c r="AK656" s="368"/>
      <c r="AL656" s="368"/>
      <c r="AM656" s="368"/>
      <c r="AN656" s="368"/>
      <c r="AO656" s="368"/>
      <c r="AP656" s="368"/>
      <c r="AQ656" s="368"/>
      <c r="AR656" s="368"/>
      <c r="AS656" s="195"/>
      <c r="AT656" s="195"/>
      <c r="AU656" s="377"/>
      <c r="AV656" s="382"/>
      <c r="AW656" s="426">
        <v>1.968</v>
      </c>
      <c r="AX656" s="426"/>
      <c r="AY656" s="359">
        <v>0.67800000000000005</v>
      </c>
      <c r="AZ656" s="426"/>
      <c r="BA656" s="426"/>
      <c r="BB656" s="426"/>
      <c r="BC656" s="426"/>
      <c r="BD656" s="426"/>
      <c r="BE656" s="426"/>
      <c r="BF656" s="469">
        <v>1.968</v>
      </c>
      <c r="BG656" s="469">
        <v>2.6360000000000001</v>
      </c>
      <c r="BH656" s="341"/>
      <c r="BI656" s="447"/>
      <c r="BJ656" s="505"/>
    </row>
    <row r="657" spans="1:62" ht="15.75" customHeight="1" thickBot="1" x14ac:dyDescent="0.25">
      <c r="A657" s="176">
        <v>658</v>
      </c>
      <c r="B657" s="175">
        <v>1</v>
      </c>
      <c r="C657" s="166" t="s">
        <v>542</v>
      </c>
      <c r="D657" s="166" t="s">
        <v>3067</v>
      </c>
      <c r="E657" s="166" t="s">
        <v>13</v>
      </c>
      <c r="F657" s="167"/>
      <c r="G657" s="166" t="s">
        <v>292</v>
      </c>
      <c r="H657" s="166" t="s">
        <v>1034</v>
      </c>
      <c r="I657" s="181">
        <v>2015</v>
      </c>
      <c r="J657" s="181" t="s">
        <v>1442</v>
      </c>
      <c r="K657" s="181" t="s">
        <v>1443</v>
      </c>
      <c r="L657" s="181" t="s">
        <v>19</v>
      </c>
      <c r="M657" s="556" t="s">
        <v>4246</v>
      </c>
      <c r="N657" s="214" t="s">
        <v>20</v>
      </c>
      <c r="O657" s="214" t="s">
        <v>20</v>
      </c>
      <c r="P657" s="214" t="s">
        <v>20</v>
      </c>
      <c r="Q657" s="214" t="s">
        <v>20</v>
      </c>
      <c r="R657" s="214" t="s">
        <v>15</v>
      </c>
      <c r="S657" s="214" t="s">
        <v>15</v>
      </c>
      <c r="T657" s="214" t="s">
        <v>15</v>
      </c>
      <c r="U657" s="214" t="s">
        <v>15</v>
      </c>
      <c r="V657" s="214" t="s">
        <v>15</v>
      </c>
      <c r="W657" s="214" t="s">
        <v>15</v>
      </c>
      <c r="X657" s="214" t="s">
        <v>15</v>
      </c>
      <c r="Y657" s="214" t="s">
        <v>15</v>
      </c>
      <c r="Z657" s="234"/>
      <c r="AA657" s="214" t="s">
        <v>1444</v>
      </c>
      <c r="AB657" s="214" t="s">
        <v>292</v>
      </c>
      <c r="AC657" s="214" t="s">
        <v>122</v>
      </c>
      <c r="AD657" s="320" t="s">
        <v>1445</v>
      </c>
      <c r="AE657" s="320" t="s">
        <v>485</v>
      </c>
      <c r="AF657" s="162" t="str">
        <f t="shared" si="49"/>
        <v/>
      </c>
      <c r="AG657" s="162" t="str">
        <f t="shared" si="48"/>
        <v/>
      </c>
      <c r="AH657" s="164">
        <f t="shared" si="50"/>
        <v>2.714</v>
      </c>
      <c r="AI657" s="164">
        <f t="shared" si="51"/>
        <v>4.9488000000000003</v>
      </c>
      <c r="AJ657" s="368"/>
      <c r="AK657" s="368"/>
      <c r="AL657" s="368"/>
      <c r="AM657" s="368"/>
      <c r="AN657" s="368"/>
      <c r="AO657" s="368"/>
      <c r="AP657" s="368"/>
      <c r="AQ657" s="368"/>
      <c r="AR657" s="368"/>
      <c r="AS657" s="195"/>
      <c r="AT657" s="195"/>
      <c r="AU657" s="377"/>
      <c r="AV657" s="382"/>
      <c r="AW657" s="426">
        <v>2.714</v>
      </c>
      <c r="AX657" s="426"/>
      <c r="AY657" s="359">
        <v>2.2347999999999999</v>
      </c>
      <c r="AZ657" s="426"/>
      <c r="BA657" s="426"/>
      <c r="BB657" s="426"/>
      <c r="BC657" s="426"/>
      <c r="BD657" s="426"/>
      <c r="BE657" s="426"/>
      <c r="BF657" s="469">
        <v>2.714</v>
      </c>
      <c r="BG657" s="469">
        <v>4.9487999999999994</v>
      </c>
      <c r="BH657" s="341"/>
      <c r="BI657" s="447"/>
      <c r="BJ657" s="505"/>
    </row>
    <row r="658" spans="1:62" ht="15.75" customHeight="1" thickBot="1" x14ac:dyDescent="0.25">
      <c r="A658" s="174">
        <v>659</v>
      </c>
      <c r="B658" s="175">
        <v>1</v>
      </c>
      <c r="C658" s="166" t="s">
        <v>542</v>
      </c>
      <c r="D658" s="159" t="s">
        <v>2100</v>
      </c>
      <c r="E658" s="166" t="s">
        <v>13</v>
      </c>
      <c r="F658" s="167"/>
      <c r="G658" s="166" t="s">
        <v>292</v>
      </c>
      <c r="H658" s="166" t="s">
        <v>173</v>
      </c>
      <c r="I658" s="181">
        <v>2011</v>
      </c>
      <c r="J658" s="181" t="s">
        <v>1448</v>
      </c>
      <c r="K658" s="181" t="s">
        <v>1449</v>
      </c>
      <c r="L658" s="181" t="s">
        <v>19</v>
      </c>
      <c r="M658" s="556" t="s">
        <v>4247</v>
      </c>
      <c r="N658" s="214" t="s">
        <v>20</v>
      </c>
      <c r="O658" s="214" t="s">
        <v>15</v>
      </c>
      <c r="P658" s="214" t="s">
        <v>20</v>
      </c>
      <c r="Q658" s="214" t="s">
        <v>20</v>
      </c>
      <c r="R658" s="214" t="s">
        <v>20</v>
      </c>
      <c r="S658" s="214" t="s">
        <v>20</v>
      </c>
      <c r="T658" s="214" t="s">
        <v>15</v>
      </c>
      <c r="U658" s="214" t="s">
        <v>15</v>
      </c>
      <c r="V658" s="214" t="s">
        <v>15</v>
      </c>
      <c r="W658" s="214" t="s">
        <v>15</v>
      </c>
      <c r="X658" s="214" t="s">
        <v>15</v>
      </c>
      <c r="Y658" s="214" t="s">
        <v>15</v>
      </c>
      <c r="Z658" s="234"/>
      <c r="AA658" s="214" t="s">
        <v>1450</v>
      </c>
      <c r="AB658" s="214" t="s">
        <v>292</v>
      </c>
      <c r="AC658" s="214" t="s">
        <v>122</v>
      </c>
      <c r="AD658" s="320" t="s">
        <v>1451</v>
      </c>
      <c r="AE658" s="320" t="s">
        <v>485</v>
      </c>
      <c r="AF658" s="162">
        <f t="shared" si="49"/>
        <v>8.5329999999999995</v>
      </c>
      <c r="AG658" s="162">
        <f t="shared" si="48"/>
        <v>8.8000699999999998</v>
      </c>
      <c r="AH658" s="164" t="str">
        <f t="shared" si="50"/>
        <v/>
      </c>
      <c r="AI658" s="164" t="str">
        <f t="shared" si="51"/>
        <v/>
      </c>
      <c r="AJ658" s="368">
        <v>8.5329999999999995</v>
      </c>
      <c r="AK658" s="368"/>
      <c r="AL658" s="368">
        <f>(0.07+1.8+0.6+1.4+23.1+79.2+132+14+2+1.8+9.9+0.7+0.5)/1000</f>
        <v>0.26706999999999997</v>
      </c>
      <c r="AM658" s="368">
        <f>(1.4+470+0.1+535.5)/1000</f>
        <v>1.0069999999999999</v>
      </c>
      <c r="AN658" s="368">
        <f>222.1/1000</f>
        <v>0.22209999999999999</v>
      </c>
      <c r="AO658" s="368"/>
      <c r="AP658" s="368"/>
      <c r="AQ658" s="368"/>
      <c r="AR658" s="368"/>
      <c r="AS658" s="195">
        <v>8.5329999999999995</v>
      </c>
      <c r="AT658" s="195">
        <v>10.029</v>
      </c>
      <c r="AU658" s="377"/>
      <c r="AW658" s="426"/>
      <c r="AX658" s="426"/>
      <c r="AY658" s="426"/>
      <c r="AZ658" s="426"/>
      <c r="BA658" s="426"/>
      <c r="BB658" s="426"/>
      <c r="BC658" s="426"/>
      <c r="BD658" s="426"/>
      <c r="BE658" s="426"/>
      <c r="BF658" s="469"/>
      <c r="BG658" s="469"/>
      <c r="BH658" s="341"/>
      <c r="BI658" s="447"/>
      <c r="BJ658" s="505" t="s">
        <v>3100</v>
      </c>
    </row>
    <row r="659" spans="1:62" ht="15.75" customHeight="1" thickBot="1" x14ac:dyDescent="0.25">
      <c r="A659" s="176">
        <v>660</v>
      </c>
      <c r="B659" s="175">
        <v>1</v>
      </c>
      <c r="C659" s="166" t="s">
        <v>542</v>
      </c>
      <c r="D659" s="159" t="s">
        <v>2289</v>
      </c>
      <c r="E659" s="166" t="s">
        <v>13</v>
      </c>
      <c r="F659" s="167"/>
      <c r="G659" s="166" t="s">
        <v>292</v>
      </c>
      <c r="H659" s="166" t="s">
        <v>173</v>
      </c>
      <c r="I659" s="181">
        <v>2011</v>
      </c>
      <c r="J659" s="181" t="s">
        <v>1448</v>
      </c>
      <c r="K659" s="181" t="s">
        <v>1449</v>
      </c>
      <c r="L659" s="181" t="s">
        <v>19</v>
      </c>
      <c r="M659" s="556" t="s">
        <v>4247</v>
      </c>
      <c r="N659" s="214" t="s">
        <v>20</v>
      </c>
      <c r="O659" s="214" t="s">
        <v>15</v>
      </c>
      <c r="P659" s="214" t="s">
        <v>20</v>
      </c>
      <c r="Q659" s="214" t="s">
        <v>20</v>
      </c>
      <c r="R659" s="214" t="s">
        <v>20</v>
      </c>
      <c r="S659" s="214" t="s">
        <v>20</v>
      </c>
      <c r="T659" s="214" t="s">
        <v>15</v>
      </c>
      <c r="U659" s="214" t="s">
        <v>15</v>
      </c>
      <c r="V659" s="214" t="s">
        <v>15</v>
      </c>
      <c r="W659" s="214" t="s">
        <v>15</v>
      </c>
      <c r="X659" s="214" t="s">
        <v>15</v>
      </c>
      <c r="Y659" s="214" t="s">
        <v>15</v>
      </c>
      <c r="Z659" s="234"/>
      <c r="AA659" s="214" t="s">
        <v>1450</v>
      </c>
      <c r="AB659" s="214" t="s">
        <v>292</v>
      </c>
      <c r="AC659" s="214" t="s">
        <v>122</v>
      </c>
      <c r="AD659" s="320" t="s">
        <v>1451</v>
      </c>
      <c r="AE659" s="320" t="s">
        <v>485</v>
      </c>
      <c r="AF659" s="162">
        <f t="shared" si="49"/>
        <v>5.1790000000000003</v>
      </c>
      <c r="AG659" s="162">
        <f t="shared" ref="AG659:AG722" si="52">IF(AND(SUM(AJ659:AL659)&lt;&gt;0,SUM(AJ659:AL659)&lt;&gt;AJ659),SUM(AJ659:AL659),"")</f>
        <v>5.7941000000000003</v>
      </c>
      <c r="AH659" s="164" t="str">
        <f t="shared" si="50"/>
        <v/>
      </c>
      <c r="AI659" s="164" t="str">
        <f t="shared" si="51"/>
        <v/>
      </c>
      <c r="AJ659" s="368">
        <v>5.1790000000000003</v>
      </c>
      <c r="AK659" s="369">
        <f>80.9/1000</f>
        <v>8.09E-2</v>
      </c>
      <c r="AL659" s="368">
        <f>(342+43.6+132+11.1+1.8+3.7)/1000</f>
        <v>0.53420000000000001</v>
      </c>
      <c r="AM659" s="368">
        <f>(13.5+470+2.4+1007)/1000</f>
        <v>1.4929000000000001</v>
      </c>
      <c r="AN659" s="368">
        <f>444.2/1000</f>
        <v>0.44419999999999998</v>
      </c>
      <c r="AO659" s="368"/>
      <c r="AP659" s="368"/>
      <c r="AQ659" s="368"/>
      <c r="AR659" s="368"/>
      <c r="AS659" s="195">
        <v>5.1790000000000003</v>
      </c>
      <c r="AT659" s="195">
        <v>7.7949999999999999</v>
      </c>
      <c r="AU659" s="377"/>
      <c r="AW659" s="426"/>
      <c r="AX659" s="426"/>
      <c r="AY659" s="426"/>
      <c r="AZ659" s="426"/>
      <c r="BA659" s="426"/>
      <c r="BB659" s="426"/>
      <c r="BC659" s="426"/>
      <c r="BD659" s="426"/>
      <c r="BE659" s="426"/>
      <c r="BF659" s="469"/>
      <c r="BG659" s="469"/>
      <c r="BH659" s="341"/>
      <c r="BI659" s="447"/>
      <c r="BJ659" s="505" t="s">
        <v>3100</v>
      </c>
    </row>
    <row r="660" spans="1:62" ht="15.75" customHeight="1" thickBot="1" x14ac:dyDescent="0.25">
      <c r="A660" s="174">
        <v>661</v>
      </c>
      <c r="B660" s="175">
        <v>1</v>
      </c>
      <c r="C660" s="166" t="s">
        <v>542</v>
      </c>
      <c r="D660" s="159" t="s">
        <v>2969</v>
      </c>
      <c r="E660" s="166" t="s">
        <v>13</v>
      </c>
      <c r="F660" s="167"/>
      <c r="G660" s="166" t="s">
        <v>292</v>
      </c>
      <c r="H660" s="166" t="s">
        <v>173</v>
      </c>
      <c r="I660" s="181">
        <v>2011</v>
      </c>
      <c r="J660" s="181" t="s">
        <v>1448</v>
      </c>
      <c r="K660" s="181" t="s">
        <v>1449</v>
      </c>
      <c r="L660" s="181" t="s">
        <v>19</v>
      </c>
      <c r="M660" s="556" t="s">
        <v>4247</v>
      </c>
      <c r="N660" s="214" t="s">
        <v>20</v>
      </c>
      <c r="O660" s="214" t="s">
        <v>15</v>
      </c>
      <c r="P660" s="214" t="s">
        <v>20</v>
      </c>
      <c r="Q660" s="214" t="s">
        <v>20</v>
      </c>
      <c r="R660" s="214" t="s">
        <v>20</v>
      </c>
      <c r="S660" s="214" t="s">
        <v>20</v>
      </c>
      <c r="T660" s="214" t="s">
        <v>15</v>
      </c>
      <c r="U660" s="214" t="s">
        <v>15</v>
      </c>
      <c r="V660" s="214" t="s">
        <v>15</v>
      </c>
      <c r="W660" s="214" t="s">
        <v>15</v>
      </c>
      <c r="X660" s="214" t="s">
        <v>15</v>
      </c>
      <c r="Y660" s="214" t="s">
        <v>15</v>
      </c>
      <c r="Z660" s="234"/>
      <c r="AA660" s="214" t="s">
        <v>1450</v>
      </c>
      <c r="AB660" s="214" t="s">
        <v>292</v>
      </c>
      <c r="AC660" s="214" t="s">
        <v>122</v>
      </c>
      <c r="AD660" s="320" t="s">
        <v>1451</v>
      </c>
      <c r="AE660" s="320" t="s">
        <v>485</v>
      </c>
      <c r="AF660" s="162">
        <f t="shared" si="49"/>
        <v>6.0730000000000004</v>
      </c>
      <c r="AG660" s="162">
        <f t="shared" si="52"/>
        <v>6.4828999999999999</v>
      </c>
      <c r="AH660" s="164" t="str">
        <f t="shared" si="50"/>
        <v/>
      </c>
      <c r="AI660" s="164" t="str">
        <f t="shared" si="51"/>
        <v/>
      </c>
      <c r="AJ660" s="368">
        <v>6.0730000000000004</v>
      </c>
      <c r="AK660" s="368">
        <f>80.9/1000</f>
        <v>8.09E-2</v>
      </c>
      <c r="AL660" s="368">
        <f>(136.8+43.6+132+11.1+1.8+3.7)/1000</f>
        <v>0.32900000000000001</v>
      </c>
      <c r="AM660" s="368">
        <f>(5.4+470+1.1+482.4)/1000</f>
        <v>0.95889999999999997</v>
      </c>
      <c r="AN660" s="368">
        <f>177.7/1000</f>
        <v>0.1777</v>
      </c>
      <c r="AO660" s="368"/>
      <c r="AP660" s="368"/>
      <c r="AQ660" s="368"/>
      <c r="AR660" s="368"/>
      <c r="AS660" s="195">
        <v>6.0730000000000004</v>
      </c>
      <c r="AT660" s="195">
        <v>7.6189999999999998</v>
      </c>
      <c r="AU660" s="377"/>
      <c r="AW660" s="426"/>
      <c r="AX660" s="426"/>
      <c r="AY660" s="426"/>
      <c r="AZ660" s="426"/>
      <c r="BA660" s="426"/>
      <c r="BB660" s="426"/>
      <c r="BC660" s="426"/>
      <c r="BD660" s="426"/>
      <c r="BE660" s="426"/>
      <c r="BF660" s="469"/>
      <c r="BG660" s="469"/>
      <c r="BH660" s="341"/>
      <c r="BI660" s="447"/>
      <c r="BJ660" s="505" t="s">
        <v>3100</v>
      </c>
    </row>
    <row r="661" spans="1:62" ht="15.75" customHeight="1" thickBot="1" x14ac:dyDescent="0.25">
      <c r="A661" s="176">
        <v>662</v>
      </c>
      <c r="B661" s="175">
        <v>1</v>
      </c>
      <c r="C661" s="166" t="s">
        <v>760</v>
      </c>
      <c r="D661" s="166" t="s">
        <v>2029</v>
      </c>
      <c r="E661" s="166" t="s">
        <v>13</v>
      </c>
      <c r="F661" s="166" t="s">
        <v>1452</v>
      </c>
      <c r="G661" s="166" t="s">
        <v>15</v>
      </c>
      <c r="H661" s="166" t="s">
        <v>87</v>
      </c>
      <c r="I661" s="181">
        <v>2015</v>
      </c>
      <c r="J661" s="181" t="s">
        <v>1453</v>
      </c>
      <c r="K661" s="181" t="s">
        <v>1454</v>
      </c>
      <c r="L661" s="181" t="s">
        <v>19</v>
      </c>
      <c r="M661" s="556" t="s">
        <v>4248</v>
      </c>
      <c r="N661" s="214" t="s">
        <v>20</v>
      </c>
      <c r="O661" s="214" t="s">
        <v>15</v>
      </c>
      <c r="P661" s="214" t="s">
        <v>20</v>
      </c>
      <c r="Q661" s="214" t="s">
        <v>20</v>
      </c>
      <c r="R661" s="214" t="s">
        <v>20</v>
      </c>
      <c r="S661" s="214" t="s">
        <v>20</v>
      </c>
      <c r="T661" s="214" t="s">
        <v>20</v>
      </c>
      <c r="U661" s="214" t="s">
        <v>15</v>
      </c>
      <c r="V661" s="214" t="s">
        <v>20</v>
      </c>
      <c r="W661" s="214" t="s">
        <v>15</v>
      </c>
      <c r="X661" s="214" t="s">
        <v>15</v>
      </c>
      <c r="Y661" s="214" t="s">
        <v>15</v>
      </c>
      <c r="Z661" s="214"/>
      <c r="AA661" s="214" t="s">
        <v>1455</v>
      </c>
      <c r="AB661" s="214" t="s">
        <v>292</v>
      </c>
      <c r="AC661" s="214" t="s">
        <v>122</v>
      </c>
      <c r="AD661" s="320" t="s">
        <v>1456</v>
      </c>
      <c r="AE661" s="320" t="s">
        <v>1331</v>
      </c>
      <c r="AF661" s="162" t="str">
        <f t="shared" si="49"/>
        <v/>
      </c>
      <c r="AG661" s="162" t="str">
        <f t="shared" si="52"/>
        <v/>
      </c>
      <c r="AH661" s="164">
        <f t="shared" si="50"/>
        <v>0.52</v>
      </c>
      <c r="AI661" s="164">
        <f t="shared" si="51"/>
        <v>0.64</v>
      </c>
      <c r="AJ661" s="368"/>
      <c r="AK661" s="368"/>
      <c r="AL661" s="368"/>
      <c r="AM661" s="368"/>
      <c r="AN661" s="368"/>
      <c r="AO661" s="368"/>
      <c r="AP661" s="368"/>
      <c r="AQ661" s="368"/>
      <c r="AR661" s="368"/>
      <c r="AS661" s="195"/>
      <c r="AT661" s="195"/>
      <c r="AU661" s="377"/>
      <c r="AV661" s="382"/>
      <c r="AW661" s="426">
        <v>0.52</v>
      </c>
      <c r="AX661" s="359">
        <v>0.03</v>
      </c>
      <c r="AY661" s="359">
        <v>0.09</v>
      </c>
      <c r="AZ661" s="359">
        <v>0.36</v>
      </c>
      <c r="BA661" s="359">
        <v>0.2</v>
      </c>
      <c r="BB661" s="426"/>
      <c r="BC661" s="426"/>
      <c r="BD661" s="426"/>
      <c r="BE661" s="426"/>
      <c r="BF661" s="469">
        <v>0.52</v>
      </c>
      <c r="BG661" s="469">
        <v>1.2</v>
      </c>
      <c r="BH661" s="341"/>
      <c r="BI661" s="447"/>
      <c r="BJ661" s="505"/>
    </row>
    <row r="662" spans="1:62" ht="15.75" customHeight="1" thickBot="1" x14ac:dyDescent="0.25">
      <c r="A662" s="174">
        <v>663</v>
      </c>
      <c r="B662" s="175">
        <v>1</v>
      </c>
      <c r="C662" s="166" t="s">
        <v>760</v>
      </c>
      <c r="D662" s="166" t="s">
        <v>2140</v>
      </c>
      <c r="E662" s="166" t="s">
        <v>13</v>
      </c>
      <c r="F662" s="166" t="s">
        <v>1457</v>
      </c>
      <c r="G662" s="166" t="s">
        <v>15</v>
      </c>
      <c r="H662" s="166" t="s">
        <v>1458</v>
      </c>
      <c r="I662" s="181">
        <v>2015</v>
      </c>
      <c r="J662" s="181" t="s">
        <v>1453</v>
      </c>
      <c r="K662" s="181" t="s">
        <v>1454</v>
      </c>
      <c r="L662" s="181" t="s">
        <v>19</v>
      </c>
      <c r="M662" s="556" t="s">
        <v>4248</v>
      </c>
      <c r="N662" s="214" t="s">
        <v>20</v>
      </c>
      <c r="O662" s="214" t="s">
        <v>15</v>
      </c>
      <c r="P662" s="214" t="s">
        <v>20</v>
      </c>
      <c r="Q662" s="214" t="s">
        <v>20</v>
      </c>
      <c r="R662" s="214" t="s">
        <v>20</v>
      </c>
      <c r="S662" s="214" t="s">
        <v>20</v>
      </c>
      <c r="T662" s="214" t="s">
        <v>20</v>
      </c>
      <c r="U662" s="214" t="s">
        <v>15</v>
      </c>
      <c r="V662" s="214" t="s">
        <v>20</v>
      </c>
      <c r="W662" s="214" t="s">
        <v>15</v>
      </c>
      <c r="X662" s="214" t="s">
        <v>15</v>
      </c>
      <c r="Y662" s="214" t="s">
        <v>15</v>
      </c>
      <c r="Z662" s="214"/>
      <c r="AA662" s="214" t="s">
        <v>1455</v>
      </c>
      <c r="AB662" s="214" t="s">
        <v>292</v>
      </c>
      <c r="AC662" s="214" t="s">
        <v>122</v>
      </c>
      <c r="AD662" s="320" t="s">
        <v>1456</v>
      </c>
      <c r="AE662" s="320" t="s">
        <v>1331</v>
      </c>
      <c r="AF662" s="162" t="str">
        <f t="shared" si="49"/>
        <v/>
      </c>
      <c r="AG662" s="162" t="str">
        <f t="shared" si="52"/>
        <v/>
      </c>
      <c r="AH662" s="164">
        <f t="shared" si="50"/>
        <v>0.62</v>
      </c>
      <c r="AI662" s="164">
        <f t="shared" si="51"/>
        <v>0.82</v>
      </c>
      <c r="AJ662" s="368"/>
      <c r="AK662" s="368"/>
      <c r="AL662" s="368"/>
      <c r="AM662" s="368"/>
      <c r="AN662" s="368"/>
      <c r="AO662" s="368"/>
      <c r="AP662" s="368"/>
      <c r="AQ662" s="368"/>
      <c r="AR662" s="368"/>
      <c r="AS662" s="195"/>
      <c r="AT662" s="195"/>
      <c r="AU662" s="377"/>
      <c r="AV662" s="382"/>
      <c r="AW662" s="426">
        <v>0.62</v>
      </c>
      <c r="AX662" s="359">
        <v>0.09</v>
      </c>
      <c r="AY662" s="359">
        <v>0.11</v>
      </c>
      <c r="AZ662" s="359">
        <v>0.33</v>
      </c>
      <c r="BA662" s="359">
        <v>0.2</v>
      </c>
      <c r="BB662" s="426"/>
      <c r="BC662" s="426"/>
      <c r="BD662" s="426"/>
      <c r="BE662" s="426"/>
      <c r="BF662" s="469">
        <v>0.62</v>
      </c>
      <c r="BG662" s="469">
        <v>1.36</v>
      </c>
      <c r="BH662" s="341"/>
      <c r="BI662" s="447"/>
      <c r="BJ662" s="505"/>
    </row>
    <row r="663" spans="1:62" ht="15.75" customHeight="1" thickBot="1" x14ac:dyDescent="0.25">
      <c r="A663" s="176">
        <v>664</v>
      </c>
      <c r="B663" s="175">
        <v>1</v>
      </c>
      <c r="C663" s="166" t="s">
        <v>760</v>
      </c>
      <c r="D663" s="166" t="s">
        <v>2431</v>
      </c>
      <c r="E663" s="166" t="s">
        <v>13</v>
      </c>
      <c r="F663" s="166" t="s">
        <v>1459</v>
      </c>
      <c r="G663" s="166" t="s">
        <v>15</v>
      </c>
      <c r="H663" s="166" t="s">
        <v>87</v>
      </c>
      <c r="I663" s="181">
        <v>2015</v>
      </c>
      <c r="J663" s="181" t="s">
        <v>1453</v>
      </c>
      <c r="K663" s="181" t="s">
        <v>1454</v>
      </c>
      <c r="L663" s="181" t="s">
        <v>19</v>
      </c>
      <c r="M663" s="556" t="s">
        <v>4248</v>
      </c>
      <c r="N663" s="214" t="s">
        <v>20</v>
      </c>
      <c r="O663" s="214" t="s">
        <v>15</v>
      </c>
      <c r="P663" s="214" t="s">
        <v>20</v>
      </c>
      <c r="Q663" s="214" t="s">
        <v>20</v>
      </c>
      <c r="R663" s="214" t="s">
        <v>20</v>
      </c>
      <c r="S663" s="214" t="s">
        <v>20</v>
      </c>
      <c r="T663" s="214" t="s">
        <v>20</v>
      </c>
      <c r="U663" s="214" t="s">
        <v>15</v>
      </c>
      <c r="V663" s="214" t="s">
        <v>20</v>
      </c>
      <c r="W663" s="214" t="s">
        <v>15</v>
      </c>
      <c r="X663" s="214" t="s">
        <v>15</v>
      </c>
      <c r="Y663" s="214" t="s">
        <v>15</v>
      </c>
      <c r="Z663" s="214"/>
      <c r="AA663" s="214" t="s">
        <v>1455</v>
      </c>
      <c r="AB663" s="214" t="s">
        <v>292</v>
      </c>
      <c r="AC663" s="214" t="s">
        <v>122</v>
      </c>
      <c r="AD663" s="320" t="s">
        <v>1456</v>
      </c>
      <c r="AE663" s="320" t="s">
        <v>1331</v>
      </c>
      <c r="AF663" s="162" t="str">
        <f t="shared" si="49"/>
        <v/>
      </c>
      <c r="AG663" s="162" t="str">
        <f t="shared" si="52"/>
        <v/>
      </c>
      <c r="AH663" s="164">
        <f t="shared" si="50"/>
        <v>0.52</v>
      </c>
      <c r="AI663" s="164">
        <f t="shared" si="51"/>
        <v>0.75</v>
      </c>
      <c r="AJ663" s="368"/>
      <c r="AK663" s="368"/>
      <c r="AL663" s="368"/>
      <c r="AM663" s="368"/>
      <c r="AN663" s="368"/>
      <c r="AO663" s="368"/>
      <c r="AP663" s="368"/>
      <c r="AQ663" s="368"/>
      <c r="AR663" s="368"/>
      <c r="AS663" s="195"/>
      <c r="AT663" s="195"/>
      <c r="AU663" s="377"/>
      <c r="AV663" s="382"/>
      <c r="AW663" s="426">
        <v>0.52</v>
      </c>
      <c r="AX663" s="359">
        <v>0.04</v>
      </c>
      <c r="AY663" s="359">
        <v>0.19</v>
      </c>
      <c r="AZ663" s="359">
        <v>0.78</v>
      </c>
      <c r="BA663" s="359">
        <v>7.0000000000000007E-2</v>
      </c>
      <c r="BB663" s="426"/>
      <c r="BC663" s="426"/>
      <c r="BD663" s="426"/>
      <c r="BE663" s="426"/>
      <c r="BF663" s="469">
        <v>0.52</v>
      </c>
      <c r="BG663" s="469">
        <v>1.59</v>
      </c>
      <c r="BH663" s="341"/>
      <c r="BI663" s="447"/>
      <c r="BJ663" s="505"/>
    </row>
    <row r="664" spans="1:62" ht="15.75" customHeight="1" thickBot="1" x14ac:dyDescent="0.25">
      <c r="A664" s="174">
        <v>665</v>
      </c>
      <c r="B664" s="175">
        <v>1</v>
      </c>
      <c r="C664" s="166" t="s">
        <v>760</v>
      </c>
      <c r="D664" s="166" t="s">
        <v>2142</v>
      </c>
      <c r="E664" s="166" t="s">
        <v>13</v>
      </c>
      <c r="F664" s="166" t="s">
        <v>1460</v>
      </c>
      <c r="G664" s="166" t="s">
        <v>15</v>
      </c>
      <c r="H664" s="166" t="s">
        <v>1458</v>
      </c>
      <c r="I664" s="181">
        <v>2015</v>
      </c>
      <c r="J664" s="181" t="s">
        <v>1453</v>
      </c>
      <c r="K664" s="181" t="s">
        <v>1454</v>
      </c>
      <c r="L664" s="181" t="s">
        <v>19</v>
      </c>
      <c r="M664" s="556" t="s">
        <v>4248</v>
      </c>
      <c r="N664" s="214" t="s">
        <v>20</v>
      </c>
      <c r="O664" s="214" t="s">
        <v>15</v>
      </c>
      <c r="P664" s="214" t="s">
        <v>20</v>
      </c>
      <c r="Q664" s="214" t="s">
        <v>20</v>
      </c>
      <c r="R664" s="214" t="s">
        <v>20</v>
      </c>
      <c r="S664" s="214" t="s">
        <v>20</v>
      </c>
      <c r="T664" s="214" t="s">
        <v>20</v>
      </c>
      <c r="U664" s="214" t="s">
        <v>15</v>
      </c>
      <c r="V664" s="214" t="s">
        <v>20</v>
      </c>
      <c r="W664" s="214" t="s">
        <v>15</v>
      </c>
      <c r="X664" s="214" t="s">
        <v>15</v>
      </c>
      <c r="Y664" s="214" t="s">
        <v>15</v>
      </c>
      <c r="Z664" s="214"/>
      <c r="AA664" s="214" t="s">
        <v>1455</v>
      </c>
      <c r="AB664" s="214" t="s">
        <v>292</v>
      </c>
      <c r="AC664" s="214" t="s">
        <v>122</v>
      </c>
      <c r="AD664" s="320" t="s">
        <v>1456</v>
      </c>
      <c r="AE664" s="320" t="s">
        <v>1331</v>
      </c>
      <c r="AF664" s="162" t="str">
        <f t="shared" si="49"/>
        <v/>
      </c>
      <c r="AG664" s="162" t="str">
        <f t="shared" si="52"/>
        <v/>
      </c>
      <c r="AH664" s="164">
        <f t="shared" si="50"/>
        <v>0.62</v>
      </c>
      <c r="AI664" s="164">
        <f t="shared" si="51"/>
        <v>0.89999999999999991</v>
      </c>
      <c r="AJ664" s="368"/>
      <c r="AK664" s="368"/>
      <c r="AL664" s="368"/>
      <c r="AM664" s="368"/>
      <c r="AN664" s="368"/>
      <c r="AO664" s="368"/>
      <c r="AP664" s="368"/>
      <c r="AQ664" s="368"/>
      <c r="AR664" s="368"/>
      <c r="AS664" s="195"/>
      <c r="AT664" s="195"/>
      <c r="AU664" s="377"/>
      <c r="AV664" s="382"/>
      <c r="AW664" s="426">
        <v>0.62</v>
      </c>
      <c r="AX664" s="359">
        <v>0.09</v>
      </c>
      <c r="AY664" s="359">
        <v>0.19</v>
      </c>
      <c r="AZ664" s="359">
        <v>0.78</v>
      </c>
      <c r="BA664" s="359">
        <v>7.0000000000000007E-2</v>
      </c>
      <c r="BB664" s="426"/>
      <c r="BC664" s="426"/>
      <c r="BD664" s="426"/>
      <c r="BE664" s="426"/>
      <c r="BF664" s="469">
        <v>0.62</v>
      </c>
      <c r="BG664" s="469">
        <v>1.75</v>
      </c>
      <c r="BH664" s="341"/>
      <c r="BI664" s="447"/>
      <c r="BJ664" s="505"/>
    </row>
    <row r="665" spans="1:62" ht="15.75" customHeight="1" thickBot="1" x14ac:dyDescent="0.25">
      <c r="A665" s="176">
        <v>666</v>
      </c>
      <c r="B665" s="175">
        <v>1</v>
      </c>
      <c r="C665" s="166" t="s">
        <v>760</v>
      </c>
      <c r="D665" s="166" t="s">
        <v>2431</v>
      </c>
      <c r="E665" s="166" t="s">
        <v>13</v>
      </c>
      <c r="F665" s="166" t="s">
        <v>1461</v>
      </c>
      <c r="G665" s="166" t="s">
        <v>15</v>
      </c>
      <c r="H665" s="166" t="s">
        <v>87</v>
      </c>
      <c r="I665" s="181">
        <v>2015</v>
      </c>
      <c r="J665" s="181" t="s">
        <v>1453</v>
      </c>
      <c r="K665" s="181" t="s">
        <v>1454</v>
      </c>
      <c r="L665" s="181" t="s">
        <v>19</v>
      </c>
      <c r="M665" s="556" t="s">
        <v>4248</v>
      </c>
      <c r="N665" s="214" t="s">
        <v>20</v>
      </c>
      <c r="O665" s="214" t="s">
        <v>15</v>
      </c>
      <c r="P665" s="214" t="s">
        <v>20</v>
      </c>
      <c r="Q665" s="214" t="s">
        <v>20</v>
      </c>
      <c r="R665" s="214" t="s">
        <v>20</v>
      </c>
      <c r="S665" s="214" t="s">
        <v>20</v>
      </c>
      <c r="T665" s="214" t="s">
        <v>20</v>
      </c>
      <c r="U665" s="214" t="s">
        <v>15</v>
      </c>
      <c r="V665" s="214" t="s">
        <v>20</v>
      </c>
      <c r="W665" s="214" t="s">
        <v>15</v>
      </c>
      <c r="X665" s="214" t="s">
        <v>15</v>
      </c>
      <c r="Y665" s="214" t="s">
        <v>15</v>
      </c>
      <c r="Z665" s="214"/>
      <c r="AA665" s="214" t="s">
        <v>1455</v>
      </c>
      <c r="AB665" s="214" t="s">
        <v>292</v>
      </c>
      <c r="AC665" s="214" t="s">
        <v>122</v>
      </c>
      <c r="AD665" s="320" t="s">
        <v>1456</v>
      </c>
      <c r="AE665" s="320" t="s">
        <v>1331</v>
      </c>
      <c r="AF665" s="162" t="str">
        <f t="shared" si="49"/>
        <v/>
      </c>
      <c r="AG665" s="162" t="str">
        <f t="shared" si="52"/>
        <v/>
      </c>
      <c r="AH665" s="164">
        <f t="shared" si="50"/>
        <v>0.52</v>
      </c>
      <c r="AI665" s="164">
        <f t="shared" si="51"/>
        <v>0.75</v>
      </c>
      <c r="AJ665" s="368"/>
      <c r="AK665" s="368"/>
      <c r="AL665" s="368"/>
      <c r="AM665" s="368"/>
      <c r="AN665" s="368"/>
      <c r="AO665" s="368"/>
      <c r="AP665" s="368"/>
      <c r="AQ665" s="368"/>
      <c r="AR665" s="368"/>
      <c r="AS665" s="195"/>
      <c r="AT665" s="195"/>
      <c r="AU665" s="377"/>
      <c r="AV665" s="382"/>
      <c r="AW665" s="426">
        <v>0.52</v>
      </c>
      <c r="AX665" s="359">
        <v>0.04</v>
      </c>
      <c r="AY665" s="359">
        <v>0.19</v>
      </c>
      <c r="AZ665" s="359">
        <v>0.83</v>
      </c>
      <c r="BA665" s="359">
        <v>0.2</v>
      </c>
      <c r="BB665" s="426"/>
      <c r="BC665" s="426"/>
      <c r="BD665" s="426"/>
      <c r="BE665" s="426"/>
      <c r="BF665" s="469">
        <v>0.52</v>
      </c>
      <c r="BG665" s="469">
        <v>1.78</v>
      </c>
      <c r="BH665" s="341"/>
      <c r="BI665" s="447"/>
      <c r="BJ665" s="505"/>
    </row>
    <row r="666" spans="1:62" ht="15.75" customHeight="1" thickBot="1" x14ac:dyDescent="0.25">
      <c r="A666" s="174">
        <v>667</v>
      </c>
      <c r="B666" s="175">
        <v>1</v>
      </c>
      <c r="C666" s="166" t="s">
        <v>760</v>
      </c>
      <c r="D666" s="166" t="s">
        <v>2142</v>
      </c>
      <c r="E666" s="166" t="s">
        <v>13</v>
      </c>
      <c r="F666" s="166" t="s">
        <v>1462</v>
      </c>
      <c r="G666" s="166" t="s">
        <v>15</v>
      </c>
      <c r="H666" s="166" t="s">
        <v>1458</v>
      </c>
      <c r="I666" s="181">
        <v>2015</v>
      </c>
      <c r="J666" s="181" t="s">
        <v>1453</v>
      </c>
      <c r="K666" s="181" t="s">
        <v>1454</v>
      </c>
      <c r="L666" s="181" t="s">
        <v>19</v>
      </c>
      <c r="M666" s="556" t="s">
        <v>4248</v>
      </c>
      <c r="N666" s="214" t="s">
        <v>20</v>
      </c>
      <c r="O666" s="214" t="s">
        <v>15</v>
      </c>
      <c r="P666" s="214" t="s">
        <v>20</v>
      </c>
      <c r="Q666" s="214" t="s">
        <v>20</v>
      </c>
      <c r="R666" s="214" t="s">
        <v>20</v>
      </c>
      <c r="S666" s="214" t="s">
        <v>20</v>
      </c>
      <c r="T666" s="214" t="s">
        <v>20</v>
      </c>
      <c r="U666" s="214" t="s">
        <v>15</v>
      </c>
      <c r="V666" s="214" t="s">
        <v>20</v>
      </c>
      <c r="W666" s="214" t="s">
        <v>15</v>
      </c>
      <c r="X666" s="214" t="s">
        <v>15</v>
      </c>
      <c r="Y666" s="214" t="s">
        <v>15</v>
      </c>
      <c r="Z666" s="214"/>
      <c r="AA666" s="214" t="s">
        <v>1455</v>
      </c>
      <c r="AB666" s="214" t="s">
        <v>292</v>
      </c>
      <c r="AC666" s="214" t="s">
        <v>122</v>
      </c>
      <c r="AD666" s="320" t="s">
        <v>1456</v>
      </c>
      <c r="AE666" s="320" t="s">
        <v>1331</v>
      </c>
      <c r="AF666" s="162" t="str">
        <f t="shared" si="49"/>
        <v/>
      </c>
      <c r="AG666" s="162" t="str">
        <f t="shared" si="52"/>
        <v/>
      </c>
      <c r="AH666" s="164">
        <f t="shared" si="50"/>
        <v>0.62</v>
      </c>
      <c r="AI666" s="164">
        <f t="shared" si="51"/>
        <v>0.89999999999999991</v>
      </c>
      <c r="AJ666" s="368"/>
      <c r="AK666" s="368"/>
      <c r="AL666" s="368"/>
      <c r="AM666" s="368"/>
      <c r="AN666" s="368"/>
      <c r="AO666" s="368"/>
      <c r="AP666" s="368"/>
      <c r="AQ666" s="368"/>
      <c r="AR666" s="368"/>
      <c r="AS666" s="195"/>
      <c r="AT666" s="195"/>
      <c r="AU666" s="377"/>
      <c r="AV666" s="382"/>
      <c r="AW666" s="426">
        <v>0.62</v>
      </c>
      <c r="AX666" s="359">
        <v>0.09</v>
      </c>
      <c r="AY666" s="359">
        <v>0.19</v>
      </c>
      <c r="AZ666" s="359">
        <v>0.82</v>
      </c>
      <c r="BA666" s="359">
        <v>0.2</v>
      </c>
      <c r="BB666" s="426"/>
      <c r="BC666" s="426"/>
      <c r="BD666" s="426"/>
      <c r="BE666" s="426"/>
      <c r="BF666" s="469">
        <v>0.62</v>
      </c>
      <c r="BG666" s="469">
        <v>1.93</v>
      </c>
      <c r="BH666" s="341"/>
      <c r="BI666" s="447"/>
      <c r="BJ666" s="505"/>
    </row>
    <row r="667" spans="1:62" ht="15.75" customHeight="1" thickBot="1" x14ac:dyDescent="0.25">
      <c r="A667" s="176">
        <v>668</v>
      </c>
      <c r="B667" s="175">
        <v>1</v>
      </c>
      <c r="C667" s="166" t="s">
        <v>760</v>
      </c>
      <c r="D667" s="166" t="s">
        <v>1463</v>
      </c>
      <c r="E667" s="166" t="s">
        <v>13</v>
      </c>
      <c r="F667" s="166" t="s">
        <v>1464</v>
      </c>
      <c r="G667" s="166" t="s">
        <v>15</v>
      </c>
      <c r="H667" s="166" t="s">
        <v>87</v>
      </c>
      <c r="I667" s="181">
        <v>2015</v>
      </c>
      <c r="J667" s="181" t="s">
        <v>1453</v>
      </c>
      <c r="K667" s="181" t="s">
        <v>1454</v>
      </c>
      <c r="L667" s="181" t="s">
        <v>19</v>
      </c>
      <c r="M667" s="556" t="s">
        <v>4248</v>
      </c>
      <c r="N667" s="214" t="s">
        <v>20</v>
      </c>
      <c r="O667" s="214" t="s">
        <v>15</v>
      </c>
      <c r="P667" s="214" t="s">
        <v>20</v>
      </c>
      <c r="Q667" s="214" t="s">
        <v>20</v>
      </c>
      <c r="R667" s="214" t="s">
        <v>20</v>
      </c>
      <c r="S667" s="214" t="s">
        <v>20</v>
      </c>
      <c r="T667" s="214" t="s">
        <v>20</v>
      </c>
      <c r="U667" s="214" t="s">
        <v>15</v>
      </c>
      <c r="V667" s="214" t="s">
        <v>20</v>
      </c>
      <c r="W667" s="214" t="s">
        <v>15</v>
      </c>
      <c r="X667" s="214" t="s">
        <v>15</v>
      </c>
      <c r="Y667" s="214" t="s">
        <v>15</v>
      </c>
      <c r="Z667" s="214"/>
      <c r="AA667" s="214" t="s">
        <v>1455</v>
      </c>
      <c r="AB667" s="214" t="s">
        <v>292</v>
      </c>
      <c r="AC667" s="214" t="s">
        <v>122</v>
      </c>
      <c r="AD667" s="320" t="s">
        <v>1456</v>
      </c>
      <c r="AE667" s="320" t="s">
        <v>1331</v>
      </c>
      <c r="AF667" s="162" t="str">
        <f t="shared" si="49"/>
        <v/>
      </c>
      <c r="AG667" s="162" t="str">
        <f t="shared" si="52"/>
        <v/>
      </c>
      <c r="AH667" s="164">
        <f t="shared" si="50"/>
        <v>1.74</v>
      </c>
      <c r="AI667" s="164">
        <f t="shared" si="51"/>
        <v>1.84</v>
      </c>
      <c r="AJ667" s="368"/>
      <c r="AK667" s="368"/>
      <c r="AL667" s="368"/>
      <c r="AM667" s="368"/>
      <c r="AN667" s="368"/>
      <c r="AO667" s="368"/>
      <c r="AP667" s="368"/>
      <c r="AQ667" s="368"/>
      <c r="AR667" s="368"/>
      <c r="AS667" s="195"/>
      <c r="AT667" s="195"/>
      <c r="AU667" s="377"/>
      <c r="AV667" s="382"/>
      <c r="AW667" s="426">
        <v>1.74</v>
      </c>
      <c r="AX667" s="359">
        <v>0.04</v>
      </c>
      <c r="AY667" s="359">
        <v>0.06</v>
      </c>
      <c r="AZ667" s="359">
        <v>0.3</v>
      </c>
      <c r="BA667" s="359">
        <v>0.2</v>
      </c>
      <c r="BB667" s="426"/>
      <c r="BC667" s="426"/>
      <c r="BD667" s="426"/>
      <c r="BE667" s="426"/>
      <c r="BF667" s="469">
        <v>1.74</v>
      </c>
      <c r="BG667" s="469">
        <v>2.33</v>
      </c>
      <c r="BH667" s="341"/>
      <c r="BI667" s="447"/>
      <c r="BJ667" s="505"/>
    </row>
    <row r="668" spans="1:62" ht="15.75" customHeight="1" thickBot="1" x14ac:dyDescent="0.25">
      <c r="A668" s="174">
        <v>669</v>
      </c>
      <c r="B668" s="175">
        <v>1</v>
      </c>
      <c r="C668" s="166" t="s">
        <v>760</v>
      </c>
      <c r="D668" s="166" t="s">
        <v>1728</v>
      </c>
      <c r="E668" s="166" t="s">
        <v>13</v>
      </c>
      <c r="F668" s="166" t="s">
        <v>1465</v>
      </c>
      <c r="G668" s="166" t="s">
        <v>15</v>
      </c>
      <c r="H668" s="166" t="s">
        <v>87</v>
      </c>
      <c r="I668" s="181">
        <v>2015</v>
      </c>
      <c r="J668" s="181" t="s">
        <v>1453</v>
      </c>
      <c r="K668" s="181" t="s">
        <v>1454</v>
      </c>
      <c r="L668" s="181" t="s">
        <v>19</v>
      </c>
      <c r="M668" s="556" t="s">
        <v>4248</v>
      </c>
      <c r="N668" s="214" t="s">
        <v>20</v>
      </c>
      <c r="O668" s="214" t="s">
        <v>15</v>
      </c>
      <c r="P668" s="214" t="s">
        <v>20</v>
      </c>
      <c r="Q668" s="214" t="s">
        <v>20</v>
      </c>
      <c r="R668" s="214" t="s">
        <v>20</v>
      </c>
      <c r="S668" s="214" t="s">
        <v>20</v>
      </c>
      <c r="T668" s="214" t="s">
        <v>20</v>
      </c>
      <c r="U668" s="214" t="s">
        <v>15</v>
      </c>
      <c r="V668" s="214" t="s">
        <v>20</v>
      </c>
      <c r="W668" s="214" t="s">
        <v>15</v>
      </c>
      <c r="X668" s="214" t="s">
        <v>15</v>
      </c>
      <c r="Y668" s="214" t="s">
        <v>15</v>
      </c>
      <c r="Z668" s="214"/>
      <c r="AA668" s="214" t="s">
        <v>1455</v>
      </c>
      <c r="AB668" s="214" t="s">
        <v>292</v>
      </c>
      <c r="AC668" s="214" t="s">
        <v>122</v>
      </c>
      <c r="AD668" s="320" t="s">
        <v>1456</v>
      </c>
      <c r="AE668" s="320" t="s">
        <v>1331</v>
      </c>
      <c r="AF668" s="162" t="str">
        <f t="shared" si="49"/>
        <v/>
      </c>
      <c r="AG668" s="162" t="str">
        <f t="shared" si="52"/>
        <v/>
      </c>
      <c r="AH668" s="164">
        <f t="shared" si="50"/>
        <v>1.95</v>
      </c>
      <c r="AI668" s="164">
        <f t="shared" si="51"/>
        <v>2.08</v>
      </c>
      <c r="AJ668" s="368"/>
      <c r="AK668" s="368"/>
      <c r="AL668" s="368"/>
      <c r="AM668" s="368"/>
      <c r="AN668" s="368"/>
      <c r="AO668" s="368"/>
      <c r="AP668" s="368"/>
      <c r="AQ668" s="368"/>
      <c r="AR668" s="368"/>
      <c r="AS668" s="195"/>
      <c r="AT668" s="195"/>
      <c r="AU668" s="377"/>
      <c r="AV668" s="382"/>
      <c r="AW668" s="359">
        <v>1.95</v>
      </c>
      <c r="AX668" s="426">
        <v>0.03</v>
      </c>
      <c r="AY668" s="426">
        <v>0.1</v>
      </c>
      <c r="AZ668" s="426">
        <v>0.34</v>
      </c>
      <c r="BA668" s="426">
        <v>0.2</v>
      </c>
      <c r="BB668" s="426"/>
      <c r="BC668" s="426"/>
      <c r="BD668" s="426"/>
      <c r="BE668" s="426"/>
      <c r="BF668" s="469">
        <v>1.95</v>
      </c>
      <c r="BG668" s="469">
        <v>2.61</v>
      </c>
      <c r="BH668" s="341"/>
      <c r="BI668" s="447"/>
      <c r="BJ668" s="505"/>
    </row>
    <row r="669" spans="1:62" ht="15.75" customHeight="1" thickBot="1" x14ac:dyDescent="0.25">
      <c r="A669" s="176">
        <v>670</v>
      </c>
      <c r="B669" s="175">
        <v>1</v>
      </c>
      <c r="C669" s="166" t="s">
        <v>760</v>
      </c>
      <c r="D669" s="166" t="s">
        <v>1466</v>
      </c>
      <c r="E669" s="166" t="s">
        <v>13</v>
      </c>
      <c r="F669" s="166" t="s">
        <v>1467</v>
      </c>
      <c r="G669" s="166" t="s">
        <v>15</v>
      </c>
      <c r="H669" s="166" t="s">
        <v>87</v>
      </c>
      <c r="I669" s="181">
        <v>2015</v>
      </c>
      <c r="J669" s="181" t="s">
        <v>1453</v>
      </c>
      <c r="K669" s="181" t="s">
        <v>1454</v>
      </c>
      <c r="L669" s="181" t="s">
        <v>19</v>
      </c>
      <c r="M669" s="556" t="s">
        <v>4248</v>
      </c>
      <c r="N669" s="214" t="s">
        <v>20</v>
      </c>
      <c r="O669" s="214" t="s">
        <v>15</v>
      </c>
      <c r="P669" s="214" t="s">
        <v>20</v>
      </c>
      <c r="Q669" s="214" t="s">
        <v>20</v>
      </c>
      <c r="R669" s="214" t="s">
        <v>20</v>
      </c>
      <c r="S669" s="214" t="s">
        <v>20</v>
      </c>
      <c r="T669" s="214" t="s">
        <v>20</v>
      </c>
      <c r="U669" s="214" t="s">
        <v>15</v>
      </c>
      <c r="V669" s="214" t="s">
        <v>20</v>
      </c>
      <c r="W669" s="214" t="s">
        <v>15</v>
      </c>
      <c r="X669" s="214" t="s">
        <v>15</v>
      </c>
      <c r="Y669" s="214" t="s">
        <v>15</v>
      </c>
      <c r="Z669" s="214"/>
      <c r="AA669" s="214" t="s">
        <v>1455</v>
      </c>
      <c r="AB669" s="214" t="s">
        <v>292</v>
      </c>
      <c r="AC669" s="214" t="s">
        <v>122</v>
      </c>
      <c r="AD669" s="320" t="s">
        <v>1456</v>
      </c>
      <c r="AE669" s="320" t="s">
        <v>1331</v>
      </c>
      <c r="AF669" s="162" t="str">
        <f t="shared" si="49"/>
        <v/>
      </c>
      <c r="AG669" s="162" t="str">
        <f t="shared" si="52"/>
        <v/>
      </c>
      <c r="AH669" s="164">
        <f t="shared" si="50"/>
        <v>1.1300000000000001</v>
      </c>
      <c r="AI669" s="164">
        <f t="shared" si="51"/>
        <v>1.77</v>
      </c>
      <c r="AJ669" s="368"/>
      <c r="AK669" s="368"/>
      <c r="AL669" s="368"/>
      <c r="AM669" s="368"/>
      <c r="AN669" s="368"/>
      <c r="AO669" s="368"/>
      <c r="AP669" s="368"/>
      <c r="AQ669" s="368"/>
      <c r="AR669" s="368"/>
      <c r="AS669" s="195"/>
      <c r="AT669" s="195"/>
      <c r="AU669" s="377"/>
      <c r="AV669" s="382"/>
      <c r="AW669" s="426">
        <v>1.1300000000000001</v>
      </c>
      <c r="AX669" s="359">
        <v>0.04</v>
      </c>
      <c r="AY669" s="359">
        <v>0.6</v>
      </c>
      <c r="AZ669" s="359">
        <v>0.78</v>
      </c>
      <c r="BA669" s="359">
        <v>7.0000000000000007E-2</v>
      </c>
      <c r="BB669" s="426"/>
      <c r="BC669" s="426"/>
      <c r="BD669" s="426"/>
      <c r="BE669" s="426"/>
      <c r="BF669" s="469">
        <v>1.1300000000000001</v>
      </c>
      <c r="BG669" s="469">
        <v>2.61</v>
      </c>
      <c r="BH669" s="341"/>
      <c r="BI669" s="447"/>
      <c r="BJ669" s="505"/>
    </row>
    <row r="670" spans="1:62" ht="15.75" customHeight="1" thickBot="1" x14ac:dyDescent="0.25">
      <c r="A670" s="174">
        <v>671</v>
      </c>
      <c r="B670" s="175">
        <v>1</v>
      </c>
      <c r="C670" s="166" t="s">
        <v>760</v>
      </c>
      <c r="D670" s="166" t="s">
        <v>1466</v>
      </c>
      <c r="E670" s="166" t="s">
        <v>13</v>
      </c>
      <c r="F670" s="166" t="s">
        <v>1468</v>
      </c>
      <c r="G670" s="166" t="s">
        <v>15</v>
      </c>
      <c r="H670" s="166" t="s">
        <v>87</v>
      </c>
      <c r="I670" s="181">
        <v>2015</v>
      </c>
      <c r="J670" s="181" t="s">
        <v>1453</v>
      </c>
      <c r="K670" s="181" t="s">
        <v>1454</v>
      </c>
      <c r="L670" s="181" t="s">
        <v>19</v>
      </c>
      <c r="M670" s="556" t="s">
        <v>4248</v>
      </c>
      <c r="N670" s="214" t="s">
        <v>20</v>
      </c>
      <c r="O670" s="214" t="s">
        <v>15</v>
      </c>
      <c r="P670" s="214" t="s">
        <v>20</v>
      </c>
      <c r="Q670" s="214" t="s">
        <v>20</v>
      </c>
      <c r="R670" s="214" t="s">
        <v>20</v>
      </c>
      <c r="S670" s="214" t="s">
        <v>20</v>
      </c>
      <c r="T670" s="214" t="s">
        <v>20</v>
      </c>
      <c r="U670" s="214" t="s">
        <v>15</v>
      </c>
      <c r="V670" s="214" t="s">
        <v>20</v>
      </c>
      <c r="W670" s="214" t="s">
        <v>15</v>
      </c>
      <c r="X670" s="214" t="s">
        <v>15</v>
      </c>
      <c r="Y670" s="214" t="s">
        <v>15</v>
      </c>
      <c r="Z670" s="214"/>
      <c r="AA670" s="214" t="s">
        <v>1455</v>
      </c>
      <c r="AB670" s="214" t="s">
        <v>292</v>
      </c>
      <c r="AC670" s="214" t="s">
        <v>122</v>
      </c>
      <c r="AD670" s="320" t="s">
        <v>1456</v>
      </c>
      <c r="AE670" s="320" t="s">
        <v>1331</v>
      </c>
      <c r="AF670" s="162" t="str">
        <f t="shared" si="49"/>
        <v/>
      </c>
      <c r="AG670" s="162" t="str">
        <f t="shared" si="52"/>
        <v/>
      </c>
      <c r="AH670" s="164">
        <f t="shared" si="50"/>
        <v>1.1399999999999999</v>
      </c>
      <c r="AI670" s="164">
        <f t="shared" si="51"/>
        <v>1.7799999999999998</v>
      </c>
      <c r="AJ670" s="368"/>
      <c r="AK670" s="368"/>
      <c r="AL670" s="368"/>
      <c r="AM670" s="368"/>
      <c r="AN670" s="368"/>
      <c r="AO670" s="368"/>
      <c r="AP670" s="368"/>
      <c r="AQ670" s="368"/>
      <c r="AR670" s="368"/>
      <c r="AS670" s="195"/>
      <c r="AT670" s="195"/>
      <c r="AU670" s="377"/>
      <c r="AV670" s="382"/>
      <c r="AW670" s="426">
        <v>1.1399999999999999</v>
      </c>
      <c r="AX670" s="359">
        <v>0.04</v>
      </c>
      <c r="AY670" s="359">
        <v>0.6</v>
      </c>
      <c r="AZ670" s="359">
        <v>0.82</v>
      </c>
      <c r="BA670" s="359">
        <v>0.2</v>
      </c>
      <c r="BB670" s="426"/>
      <c r="BC670" s="426"/>
      <c r="BD670" s="426"/>
      <c r="BE670" s="426"/>
      <c r="BF670" s="469">
        <v>1.1399999999999999</v>
      </c>
      <c r="BG670" s="469">
        <v>2.81</v>
      </c>
      <c r="BH670" s="341"/>
      <c r="BI670" s="447"/>
      <c r="BJ670" s="505"/>
    </row>
    <row r="671" spans="1:62" ht="15.75" customHeight="1" thickBot="1" x14ac:dyDescent="0.25">
      <c r="A671" s="176">
        <v>672</v>
      </c>
      <c r="B671" s="175">
        <v>1</v>
      </c>
      <c r="C671" s="166" t="s">
        <v>760</v>
      </c>
      <c r="D671" s="166" t="s">
        <v>1728</v>
      </c>
      <c r="E671" s="166" t="s">
        <v>13</v>
      </c>
      <c r="F671" s="166" t="s">
        <v>1469</v>
      </c>
      <c r="G671" s="166" t="s">
        <v>15</v>
      </c>
      <c r="H671" s="166" t="s">
        <v>87</v>
      </c>
      <c r="I671" s="181">
        <v>2015</v>
      </c>
      <c r="J671" s="181" t="s">
        <v>1453</v>
      </c>
      <c r="K671" s="181" t="s">
        <v>1454</v>
      </c>
      <c r="L671" s="181" t="s">
        <v>19</v>
      </c>
      <c r="M671" s="556" t="s">
        <v>4248</v>
      </c>
      <c r="N671" s="214" t="s">
        <v>20</v>
      </c>
      <c r="O671" s="214" t="s">
        <v>15</v>
      </c>
      <c r="P671" s="214" t="s">
        <v>20</v>
      </c>
      <c r="Q671" s="214" t="s">
        <v>20</v>
      </c>
      <c r="R671" s="214" t="s">
        <v>20</v>
      </c>
      <c r="S671" s="214" t="s">
        <v>20</v>
      </c>
      <c r="T671" s="214" t="s">
        <v>20</v>
      </c>
      <c r="U671" s="214" t="s">
        <v>15</v>
      </c>
      <c r="V671" s="214" t="s">
        <v>20</v>
      </c>
      <c r="W671" s="214" t="s">
        <v>15</v>
      </c>
      <c r="X671" s="214" t="s">
        <v>15</v>
      </c>
      <c r="Y671" s="214" t="s">
        <v>15</v>
      </c>
      <c r="Z671" s="214"/>
      <c r="AA671" s="214" t="s">
        <v>1455</v>
      </c>
      <c r="AB671" s="214" t="s">
        <v>292</v>
      </c>
      <c r="AC671" s="214" t="s">
        <v>122</v>
      </c>
      <c r="AD671" s="320" t="s">
        <v>1456</v>
      </c>
      <c r="AE671" s="320" t="s">
        <v>1331</v>
      </c>
      <c r="AF671" s="162" t="str">
        <f t="shared" si="49"/>
        <v/>
      </c>
      <c r="AG671" s="162" t="str">
        <f t="shared" si="52"/>
        <v/>
      </c>
      <c r="AH671" s="164">
        <f t="shared" si="50"/>
        <v>1.93</v>
      </c>
      <c r="AI671" s="164">
        <f t="shared" si="51"/>
        <v>2.06</v>
      </c>
      <c r="AJ671" s="368"/>
      <c r="AK671" s="368"/>
      <c r="AL671" s="368"/>
      <c r="AM671" s="368"/>
      <c r="AN671" s="368"/>
      <c r="AO671" s="368"/>
      <c r="AP671" s="368"/>
      <c r="AQ671" s="368"/>
      <c r="AR671" s="368"/>
      <c r="AS671" s="195"/>
      <c r="AT671" s="195"/>
      <c r="AU671" s="377"/>
      <c r="AV671" s="382"/>
      <c r="AW671" s="426">
        <v>1.93</v>
      </c>
      <c r="AX671" s="426">
        <v>0.04</v>
      </c>
      <c r="AY671" s="426">
        <v>0.09</v>
      </c>
      <c r="AZ671" s="426">
        <v>0.78</v>
      </c>
      <c r="BA671" s="426">
        <v>7.0000000000000007E-2</v>
      </c>
      <c r="BB671" s="426"/>
      <c r="BC671" s="426"/>
      <c r="BD671" s="426"/>
      <c r="BE671" s="426"/>
      <c r="BF671" s="469">
        <v>1.93</v>
      </c>
      <c r="BG671" s="469">
        <v>2.89</v>
      </c>
      <c r="BH671" s="341"/>
      <c r="BI671" s="447"/>
      <c r="BJ671" s="505"/>
    </row>
    <row r="672" spans="1:62" ht="15.75" customHeight="1" thickBot="1" x14ac:dyDescent="0.25">
      <c r="A672" s="174">
        <v>673</v>
      </c>
      <c r="B672" s="175">
        <v>1</v>
      </c>
      <c r="C672" s="166" t="s">
        <v>760</v>
      </c>
      <c r="D672" s="166" t="s">
        <v>1728</v>
      </c>
      <c r="E672" s="166" t="s">
        <v>13</v>
      </c>
      <c r="F672" s="166" t="s">
        <v>1470</v>
      </c>
      <c r="G672" s="166" t="s">
        <v>15</v>
      </c>
      <c r="H672" s="166" t="s">
        <v>87</v>
      </c>
      <c r="I672" s="181">
        <v>2015</v>
      </c>
      <c r="J672" s="181" t="s">
        <v>1453</v>
      </c>
      <c r="K672" s="181" t="s">
        <v>1454</v>
      </c>
      <c r="L672" s="181" t="s">
        <v>19</v>
      </c>
      <c r="M672" s="556" t="s">
        <v>4248</v>
      </c>
      <c r="N672" s="214" t="s">
        <v>20</v>
      </c>
      <c r="O672" s="214" t="s">
        <v>15</v>
      </c>
      <c r="P672" s="214" t="s">
        <v>20</v>
      </c>
      <c r="Q672" s="214" t="s">
        <v>20</v>
      </c>
      <c r="R672" s="214" t="s">
        <v>20</v>
      </c>
      <c r="S672" s="214" t="s">
        <v>20</v>
      </c>
      <c r="T672" s="214" t="s">
        <v>20</v>
      </c>
      <c r="U672" s="214" t="s">
        <v>15</v>
      </c>
      <c r="V672" s="214" t="s">
        <v>20</v>
      </c>
      <c r="W672" s="214" t="s">
        <v>15</v>
      </c>
      <c r="X672" s="214" t="s">
        <v>15</v>
      </c>
      <c r="Y672" s="214" t="s">
        <v>15</v>
      </c>
      <c r="Z672" s="214"/>
      <c r="AA672" s="214" t="s">
        <v>1455</v>
      </c>
      <c r="AB672" s="214" t="s">
        <v>292</v>
      </c>
      <c r="AC672" s="214" t="s">
        <v>122</v>
      </c>
      <c r="AD672" s="320" t="s">
        <v>1456</v>
      </c>
      <c r="AE672" s="320" t="s">
        <v>1331</v>
      </c>
      <c r="AF672" s="162" t="str">
        <f t="shared" si="49"/>
        <v/>
      </c>
      <c r="AG672" s="162" t="str">
        <f t="shared" si="52"/>
        <v/>
      </c>
      <c r="AH672" s="164">
        <f t="shared" si="50"/>
        <v>1.93</v>
      </c>
      <c r="AI672" s="164">
        <f t="shared" si="51"/>
        <v>2.06</v>
      </c>
      <c r="AJ672" s="368"/>
      <c r="AK672" s="368"/>
      <c r="AL672" s="368"/>
      <c r="AM672" s="368"/>
      <c r="AN672" s="368"/>
      <c r="AO672" s="368"/>
      <c r="AP672" s="368"/>
      <c r="AQ672" s="368"/>
      <c r="AR672" s="368"/>
      <c r="AS672" s="195"/>
      <c r="AT672" s="195"/>
      <c r="AU672" s="377"/>
      <c r="AV672" s="382"/>
      <c r="AW672" s="426">
        <v>1.93</v>
      </c>
      <c r="AX672" s="426">
        <v>0.04</v>
      </c>
      <c r="AY672" s="426">
        <v>0.09</v>
      </c>
      <c r="AZ672" s="426">
        <v>0.83</v>
      </c>
      <c r="BA672" s="426">
        <v>0.2</v>
      </c>
      <c r="BB672" s="426"/>
      <c r="BC672" s="426"/>
      <c r="BD672" s="426"/>
      <c r="BE672" s="426"/>
      <c r="BF672" s="469">
        <v>1.93</v>
      </c>
      <c r="BG672" s="469">
        <v>3.07</v>
      </c>
      <c r="BH672" s="341"/>
      <c r="BI672" s="447"/>
      <c r="BJ672" s="505"/>
    </row>
    <row r="673" spans="1:62" ht="15.75" customHeight="1" thickBot="1" x14ac:dyDescent="0.25">
      <c r="A673" s="176">
        <v>674</v>
      </c>
      <c r="B673" s="175">
        <v>1</v>
      </c>
      <c r="C673" s="166" t="s">
        <v>760</v>
      </c>
      <c r="D673" s="166" t="s">
        <v>1471</v>
      </c>
      <c r="E673" s="166" t="s">
        <v>13</v>
      </c>
      <c r="F673" s="166" t="s">
        <v>1472</v>
      </c>
      <c r="G673" s="166" t="s">
        <v>15</v>
      </c>
      <c r="H673" s="166" t="s">
        <v>87</v>
      </c>
      <c r="I673" s="181">
        <v>2015</v>
      </c>
      <c r="J673" s="181" t="s">
        <v>1453</v>
      </c>
      <c r="K673" s="181" t="s">
        <v>1454</v>
      </c>
      <c r="L673" s="181" t="s">
        <v>19</v>
      </c>
      <c r="M673" s="556" t="s">
        <v>4248</v>
      </c>
      <c r="N673" s="214" t="s">
        <v>20</v>
      </c>
      <c r="O673" s="214" t="s">
        <v>15</v>
      </c>
      <c r="P673" s="214" t="s">
        <v>20</v>
      </c>
      <c r="Q673" s="214" t="s">
        <v>20</v>
      </c>
      <c r="R673" s="214" t="s">
        <v>20</v>
      </c>
      <c r="S673" s="214" t="s">
        <v>20</v>
      </c>
      <c r="T673" s="214" t="s">
        <v>20</v>
      </c>
      <c r="U673" s="214" t="s">
        <v>15</v>
      </c>
      <c r="V673" s="214" t="s">
        <v>20</v>
      </c>
      <c r="W673" s="214" t="s">
        <v>15</v>
      </c>
      <c r="X673" s="214" t="s">
        <v>15</v>
      </c>
      <c r="Y673" s="214" t="s">
        <v>15</v>
      </c>
      <c r="Z673" s="214"/>
      <c r="AA673" s="214" t="s">
        <v>1455</v>
      </c>
      <c r="AB673" s="214" t="s">
        <v>292</v>
      </c>
      <c r="AC673" s="214" t="s">
        <v>122</v>
      </c>
      <c r="AD673" s="320" t="s">
        <v>1456</v>
      </c>
      <c r="AE673" s="320" t="s">
        <v>1331</v>
      </c>
      <c r="AF673" s="162" t="str">
        <f t="shared" si="49"/>
        <v/>
      </c>
      <c r="AG673" s="162" t="str">
        <f t="shared" si="52"/>
        <v/>
      </c>
      <c r="AH673" s="164">
        <f t="shared" si="50"/>
        <v>2.41</v>
      </c>
      <c r="AI673" s="164">
        <f t="shared" si="51"/>
        <v>2.6100000000000003</v>
      </c>
      <c r="AJ673" s="368"/>
      <c r="AK673" s="368"/>
      <c r="AL673" s="368"/>
      <c r="AM673" s="368"/>
      <c r="AN673" s="368"/>
      <c r="AO673" s="368"/>
      <c r="AP673" s="368"/>
      <c r="AQ673" s="368"/>
      <c r="AR673" s="368"/>
      <c r="AS673" s="195"/>
      <c r="AT673" s="195"/>
      <c r="AU673" s="377"/>
      <c r="AV673" s="382"/>
      <c r="AW673" s="426">
        <v>2.41</v>
      </c>
      <c r="AX673" s="359">
        <v>0.04</v>
      </c>
      <c r="AY673" s="359">
        <v>0.16</v>
      </c>
      <c r="AZ673" s="359">
        <v>0.61</v>
      </c>
      <c r="BA673" s="359">
        <v>0.2</v>
      </c>
      <c r="BB673" s="426"/>
      <c r="BC673" s="426"/>
      <c r="BD673" s="426"/>
      <c r="BE673" s="426"/>
      <c r="BF673" s="469">
        <v>2.41</v>
      </c>
      <c r="BG673" s="469">
        <v>3.43</v>
      </c>
      <c r="BH673" s="341"/>
      <c r="BI673" s="447"/>
      <c r="BJ673" s="505"/>
    </row>
    <row r="674" spans="1:62" ht="15.75" customHeight="1" thickBot="1" x14ac:dyDescent="0.25">
      <c r="A674" s="174">
        <v>675</v>
      </c>
      <c r="B674" s="175">
        <v>1</v>
      </c>
      <c r="C674" s="166" t="s">
        <v>760</v>
      </c>
      <c r="D674" s="166" t="s">
        <v>1728</v>
      </c>
      <c r="E674" s="166" t="s">
        <v>13</v>
      </c>
      <c r="F674" s="166" t="s">
        <v>1473</v>
      </c>
      <c r="G674" s="166" t="s">
        <v>15</v>
      </c>
      <c r="H674" s="166" t="s">
        <v>87</v>
      </c>
      <c r="I674" s="181">
        <v>2015</v>
      </c>
      <c r="J674" s="181" t="s">
        <v>1453</v>
      </c>
      <c r="K674" s="181" t="s">
        <v>1454</v>
      </c>
      <c r="L674" s="181" t="s">
        <v>19</v>
      </c>
      <c r="M674" s="556" t="s">
        <v>4248</v>
      </c>
      <c r="N674" s="214" t="s">
        <v>20</v>
      </c>
      <c r="O674" s="214" t="s">
        <v>15</v>
      </c>
      <c r="P674" s="214" t="s">
        <v>20</v>
      </c>
      <c r="Q674" s="214" t="s">
        <v>20</v>
      </c>
      <c r="R674" s="214" t="s">
        <v>20</v>
      </c>
      <c r="S674" s="214" t="s">
        <v>20</v>
      </c>
      <c r="T674" s="214" t="s">
        <v>20</v>
      </c>
      <c r="U674" s="214" t="s">
        <v>15</v>
      </c>
      <c r="V674" s="214" t="s">
        <v>20</v>
      </c>
      <c r="W674" s="214" t="s">
        <v>15</v>
      </c>
      <c r="X674" s="214" t="s">
        <v>15</v>
      </c>
      <c r="Y674" s="214" t="s">
        <v>15</v>
      </c>
      <c r="Z674" s="214"/>
      <c r="AA674" s="214" t="s">
        <v>1455</v>
      </c>
      <c r="AB674" s="214" t="s">
        <v>292</v>
      </c>
      <c r="AC674" s="214" t="s">
        <v>122</v>
      </c>
      <c r="AD674" s="320" t="s">
        <v>1456</v>
      </c>
      <c r="AE674" s="320" t="s">
        <v>1331</v>
      </c>
      <c r="AF674" s="162" t="str">
        <f t="shared" si="49"/>
        <v/>
      </c>
      <c r="AG674" s="162" t="str">
        <f t="shared" si="52"/>
        <v/>
      </c>
      <c r="AH674" s="164">
        <f t="shared" si="50"/>
        <v>4.16</v>
      </c>
      <c r="AI674" s="164">
        <f t="shared" si="51"/>
        <v>4.3100000000000005</v>
      </c>
      <c r="AJ674" s="368"/>
      <c r="AK674" s="368"/>
      <c r="AL674" s="368"/>
      <c r="AM674" s="368"/>
      <c r="AN674" s="368"/>
      <c r="AO674" s="368"/>
      <c r="AP674" s="368"/>
      <c r="AQ674" s="368"/>
      <c r="AR674" s="368"/>
      <c r="AS674" s="195"/>
      <c r="AT674" s="195"/>
      <c r="AU674" s="377"/>
      <c r="AV674" s="382"/>
      <c r="AW674" s="426">
        <v>4.16</v>
      </c>
      <c r="AX674" s="426">
        <v>0.04</v>
      </c>
      <c r="AY674" s="426">
        <v>0.11</v>
      </c>
      <c r="AZ674" s="426">
        <v>0.28999999999999998</v>
      </c>
      <c r="BA674" s="426">
        <v>0.2</v>
      </c>
      <c r="BB674" s="426"/>
      <c r="BC674" s="426"/>
      <c r="BD674" s="426"/>
      <c r="BE674" s="426"/>
      <c r="BF674" s="469">
        <v>4.16</v>
      </c>
      <c r="BG674" s="469">
        <v>4.8</v>
      </c>
      <c r="BH674" s="341"/>
      <c r="BI674" s="447"/>
      <c r="BJ674" s="505"/>
    </row>
    <row r="675" spans="1:62" ht="15.75" customHeight="1" thickBot="1" x14ac:dyDescent="0.25">
      <c r="A675" s="176">
        <v>676</v>
      </c>
      <c r="B675" s="175">
        <v>1</v>
      </c>
      <c r="C675" s="166" t="s">
        <v>760</v>
      </c>
      <c r="D675" s="166" t="s">
        <v>1867</v>
      </c>
      <c r="E675" s="166" t="s">
        <v>13</v>
      </c>
      <c r="F675" s="166" t="s">
        <v>1474</v>
      </c>
      <c r="G675" s="166" t="s">
        <v>15</v>
      </c>
      <c r="H675" s="166" t="s">
        <v>1475</v>
      </c>
      <c r="I675" s="181">
        <v>2015</v>
      </c>
      <c r="J675" s="181" t="s">
        <v>1476</v>
      </c>
      <c r="K675" s="181" t="s">
        <v>1477</v>
      </c>
      <c r="L675" s="181" t="s">
        <v>19</v>
      </c>
      <c r="M675" s="556" t="s">
        <v>4249</v>
      </c>
      <c r="N675" s="214" t="s">
        <v>20</v>
      </c>
      <c r="O675" s="214" t="s">
        <v>15</v>
      </c>
      <c r="P675" s="214" t="s">
        <v>20</v>
      </c>
      <c r="Q675" s="214" t="s">
        <v>20</v>
      </c>
      <c r="R675" s="214" t="s">
        <v>20</v>
      </c>
      <c r="S675" s="214" t="s">
        <v>20</v>
      </c>
      <c r="T675" s="214" t="s">
        <v>20</v>
      </c>
      <c r="U675" s="214" t="s">
        <v>15</v>
      </c>
      <c r="V675" s="214" t="s">
        <v>15</v>
      </c>
      <c r="W675" s="214" t="s">
        <v>15</v>
      </c>
      <c r="X675" s="214" t="s">
        <v>15</v>
      </c>
      <c r="Y675" s="214" t="s">
        <v>15</v>
      </c>
      <c r="Z675" s="214"/>
      <c r="AA675" s="214" t="s">
        <v>1478</v>
      </c>
      <c r="AB675" s="214" t="s">
        <v>292</v>
      </c>
      <c r="AC675" s="214" t="s">
        <v>122</v>
      </c>
      <c r="AD675" s="320" t="s">
        <v>1479</v>
      </c>
      <c r="AE675" s="320" t="s">
        <v>604</v>
      </c>
      <c r="AF675" s="162" t="str">
        <f t="shared" si="49"/>
        <v/>
      </c>
      <c r="AG675" s="162" t="str">
        <f t="shared" si="52"/>
        <v/>
      </c>
      <c r="AH675" s="164" t="str">
        <f t="shared" si="50"/>
        <v/>
      </c>
      <c r="AI675" s="164">
        <f t="shared" si="51"/>
        <v>0.41424</v>
      </c>
      <c r="AJ675" s="369"/>
      <c r="AK675" s="369"/>
      <c r="AL675" s="369"/>
      <c r="AM675" s="369"/>
      <c r="AN675" s="369"/>
      <c r="AO675" s="369"/>
      <c r="AP675" s="369"/>
      <c r="AQ675" s="368"/>
      <c r="AR675" s="368"/>
      <c r="AS675" s="195"/>
      <c r="AT675" s="195"/>
      <c r="AU675" s="377"/>
      <c r="AV675" s="382"/>
      <c r="AW675" s="359"/>
      <c r="AX675" s="359">
        <v>8.702E-2</v>
      </c>
      <c r="AY675" s="359">
        <v>0.32722000000000001</v>
      </c>
      <c r="AZ675" s="359">
        <v>2.1930000000000002E-2</v>
      </c>
      <c r="BA675" s="359">
        <v>0.21873999999999999</v>
      </c>
      <c r="BB675" s="359"/>
      <c r="BC675" s="359"/>
      <c r="BD675" s="426"/>
      <c r="BE675" s="426"/>
      <c r="BF675" s="469"/>
      <c r="BG675" s="469">
        <f t="shared" ref="BG675:BG686" si="53">SUM(AV675:BB675)</f>
        <v>0.65490999999999999</v>
      </c>
      <c r="BH675" s="341"/>
      <c r="BI675" s="446" t="s">
        <v>47</v>
      </c>
      <c r="BJ675" s="507" t="s">
        <v>3098</v>
      </c>
    </row>
    <row r="676" spans="1:62" ht="15.75" customHeight="1" thickBot="1" x14ac:dyDescent="0.25">
      <c r="A676" s="174">
        <v>677</v>
      </c>
      <c r="B676" s="175">
        <v>1</v>
      </c>
      <c r="C676" s="166" t="s">
        <v>760</v>
      </c>
      <c r="D676" s="166" t="s">
        <v>1867</v>
      </c>
      <c r="E676" s="166" t="s">
        <v>13</v>
      </c>
      <c r="F676" s="166" t="s">
        <v>1480</v>
      </c>
      <c r="G676" s="166" t="s">
        <v>15</v>
      </c>
      <c r="H676" s="166" t="s">
        <v>1475</v>
      </c>
      <c r="I676" s="181">
        <v>2015</v>
      </c>
      <c r="J676" s="181" t="s">
        <v>1476</v>
      </c>
      <c r="K676" s="181" t="s">
        <v>1477</v>
      </c>
      <c r="L676" s="181" t="s">
        <v>19</v>
      </c>
      <c r="M676" s="556" t="s">
        <v>4249</v>
      </c>
      <c r="N676" s="214" t="s">
        <v>20</v>
      </c>
      <c r="O676" s="214" t="s">
        <v>15</v>
      </c>
      <c r="P676" s="214" t="s">
        <v>20</v>
      </c>
      <c r="Q676" s="214" t="s">
        <v>20</v>
      </c>
      <c r="R676" s="214" t="s">
        <v>20</v>
      </c>
      <c r="S676" s="214" t="s">
        <v>20</v>
      </c>
      <c r="T676" s="214" t="s">
        <v>20</v>
      </c>
      <c r="U676" s="214" t="s">
        <v>15</v>
      </c>
      <c r="V676" s="214" t="s">
        <v>15</v>
      </c>
      <c r="W676" s="214" t="s">
        <v>15</v>
      </c>
      <c r="X676" s="214" t="s">
        <v>15</v>
      </c>
      <c r="Y676" s="214" t="s">
        <v>15</v>
      </c>
      <c r="Z676" s="214"/>
      <c r="AA676" s="214" t="s">
        <v>1478</v>
      </c>
      <c r="AB676" s="214" t="s">
        <v>292</v>
      </c>
      <c r="AC676" s="214" t="s">
        <v>122</v>
      </c>
      <c r="AD676" s="320" t="s">
        <v>1479</v>
      </c>
      <c r="AE676" s="320" t="s">
        <v>604</v>
      </c>
      <c r="AF676" s="162" t="str">
        <f t="shared" si="49"/>
        <v/>
      </c>
      <c r="AG676" s="162" t="str">
        <f t="shared" si="52"/>
        <v/>
      </c>
      <c r="AH676" s="164" t="str">
        <f t="shared" si="50"/>
        <v/>
      </c>
      <c r="AI676" s="164">
        <f t="shared" si="51"/>
        <v>0.14235</v>
      </c>
      <c r="AJ676" s="369"/>
      <c r="AK676" s="369"/>
      <c r="AL676" s="369"/>
      <c r="AM676" s="369"/>
      <c r="AN676" s="369"/>
      <c r="AO676" s="369"/>
      <c r="AP676" s="369"/>
      <c r="AQ676" s="368"/>
      <c r="AR676" s="368"/>
      <c r="AS676" s="195"/>
      <c r="AT676" s="195"/>
      <c r="AU676" s="377"/>
      <c r="AV676" s="382"/>
      <c r="AW676" s="359"/>
      <c r="AX676" s="359">
        <v>8.702E-2</v>
      </c>
      <c r="AY676" s="359">
        <v>5.5329999999999997E-2</v>
      </c>
      <c r="AZ676" s="359">
        <v>2.1930000000000002E-2</v>
      </c>
      <c r="BA676" s="359">
        <v>0.21873999999999999</v>
      </c>
      <c r="BB676" s="359"/>
      <c r="BC676" s="359"/>
      <c r="BD676" s="426"/>
      <c r="BE676" s="426"/>
      <c r="BF676" s="469"/>
      <c r="BG676" s="469">
        <f t="shared" si="53"/>
        <v>0.38302000000000003</v>
      </c>
      <c r="BH676" s="341"/>
      <c r="BI676" s="446" t="s">
        <v>47</v>
      </c>
      <c r="BJ676" s="507" t="s">
        <v>3098</v>
      </c>
    </row>
    <row r="677" spans="1:62" ht="15.75" customHeight="1" thickBot="1" x14ac:dyDescent="0.25">
      <c r="A677" s="176">
        <v>678</v>
      </c>
      <c r="B677" s="175">
        <v>1</v>
      </c>
      <c r="C677" s="166" t="s">
        <v>760</v>
      </c>
      <c r="D677" s="166" t="s">
        <v>1867</v>
      </c>
      <c r="E677" s="166" t="s">
        <v>13</v>
      </c>
      <c r="F677" s="166" t="s">
        <v>1481</v>
      </c>
      <c r="G677" s="166" t="s">
        <v>15</v>
      </c>
      <c r="H677" s="166" t="s">
        <v>1475</v>
      </c>
      <c r="I677" s="181">
        <v>2015</v>
      </c>
      <c r="J677" s="181" t="s">
        <v>1476</v>
      </c>
      <c r="K677" s="181" t="s">
        <v>1477</v>
      </c>
      <c r="L677" s="181" t="s">
        <v>19</v>
      </c>
      <c r="M677" s="556" t="s">
        <v>4249</v>
      </c>
      <c r="N677" s="214" t="s">
        <v>20</v>
      </c>
      <c r="O677" s="214" t="s">
        <v>15</v>
      </c>
      <c r="P677" s="214" t="s">
        <v>20</v>
      </c>
      <c r="Q677" s="214" t="s">
        <v>20</v>
      </c>
      <c r="R677" s="214" t="s">
        <v>20</v>
      </c>
      <c r="S677" s="214" t="s">
        <v>20</v>
      </c>
      <c r="T677" s="214" t="s">
        <v>20</v>
      </c>
      <c r="U677" s="214" t="s">
        <v>15</v>
      </c>
      <c r="V677" s="214" t="s">
        <v>15</v>
      </c>
      <c r="W677" s="214" t="s">
        <v>15</v>
      </c>
      <c r="X677" s="214" t="s">
        <v>15</v>
      </c>
      <c r="Y677" s="214" t="s">
        <v>15</v>
      </c>
      <c r="Z677" s="214"/>
      <c r="AA677" s="214" t="s">
        <v>1478</v>
      </c>
      <c r="AB677" s="214" t="s">
        <v>292</v>
      </c>
      <c r="AC677" s="214" t="s">
        <v>122</v>
      </c>
      <c r="AD677" s="320" t="s">
        <v>1479</v>
      </c>
      <c r="AE677" s="320" t="s">
        <v>604</v>
      </c>
      <c r="AF677" s="162" t="str">
        <f t="shared" si="49"/>
        <v/>
      </c>
      <c r="AG677" s="162" t="str">
        <f t="shared" si="52"/>
        <v/>
      </c>
      <c r="AH677" s="164" t="str">
        <f t="shared" si="50"/>
        <v/>
      </c>
      <c r="AI677" s="164">
        <f t="shared" si="51"/>
        <v>1.9833500000000002</v>
      </c>
      <c r="AJ677" s="369"/>
      <c r="AK677" s="369"/>
      <c r="AL677" s="369"/>
      <c r="AM677" s="369"/>
      <c r="AN677" s="369"/>
      <c r="AO677" s="369"/>
      <c r="AP677" s="369"/>
      <c r="AQ677" s="368"/>
      <c r="AR677" s="368"/>
      <c r="AS677" s="195"/>
      <c r="AT677" s="195"/>
      <c r="AU677" s="377"/>
      <c r="AV677" s="382"/>
      <c r="AW677" s="359"/>
      <c r="AX677" s="359">
        <v>8.702E-2</v>
      </c>
      <c r="AY677" s="359">
        <v>1.8963300000000001</v>
      </c>
      <c r="AZ677" s="359">
        <v>2.1930000000000002E-2</v>
      </c>
      <c r="BA677" s="359">
        <v>0.21873999999999999</v>
      </c>
      <c r="BB677" s="359"/>
      <c r="BC677" s="359"/>
      <c r="BD677" s="426"/>
      <c r="BE677" s="426"/>
      <c r="BF677" s="469"/>
      <c r="BG677" s="469">
        <f t="shared" si="53"/>
        <v>2.2240199999999999</v>
      </c>
      <c r="BH677" s="341"/>
      <c r="BI677" s="446" t="s">
        <v>47</v>
      </c>
      <c r="BJ677" s="507" t="s">
        <v>3098</v>
      </c>
    </row>
    <row r="678" spans="1:62" ht="15.75" customHeight="1" thickBot="1" x14ac:dyDescent="0.25">
      <c r="A678" s="174">
        <v>679</v>
      </c>
      <c r="B678" s="175">
        <v>1</v>
      </c>
      <c r="C678" s="166" t="s">
        <v>760</v>
      </c>
      <c r="D678" s="166" t="s">
        <v>1867</v>
      </c>
      <c r="E678" s="166" t="s">
        <v>13</v>
      </c>
      <c r="F678" s="166" t="s">
        <v>1482</v>
      </c>
      <c r="G678" s="166" t="s">
        <v>15</v>
      </c>
      <c r="H678" s="166" t="s">
        <v>1475</v>
      </c>
      <c r="I678" s="181">
        <v>2015</v>
      </c>
      <c r="J678" s="181" t="s">
        <v>1476</v>
      </c>
      <c r="K678" s="181" t="s">
        <v>1477</v>
      </c>
      <c r="L678" s="181" t="s">
        <v>19</v>
      </c>
      <c r="M678" s="556" t="s">
        <v>4249</v>
      </c>
      <c r="N678" s="214" t="s">
        <v>20</v>
      </c>
      <c r="O678" s="214" t="s">
        <v>15</v>
      </c>
      <c r="P678" s="214" t="s">
        <v>20</v>
      </c>
      <c r="Q678" s="214" t="s">
        <v>20</v>
      </c>
      <c r="R678" s="214" t="s">
        <v>20</v>
      </c>
      <c r="S678" s="214" t="s">
        <v>20</v>
      </c>
      <c r="T678" s="214" t="s">
        <v>20</v>
      </c>
      <c r="U678" s="214" t="s">
        <v>15</v>
      </c>
      <c r="V678" s="214" t="s">
        <v>15</v>
      </c>
      <c r="W678" s="214" t="s">
        <v>15</v>
      </c>
      <c r="X678" s="214" t="s">
        <v>15</v>
      </c>
      <c r="Y678" s="214" t="s">
        <v>15</v>
      </c>
      <c r="Z678" s="214"/>
      <c r="AA678" s="214" t="s">
        <v>1478</v>
      </c>
      <c r="AB678" s="214" t="s">
        <v>292</v>
      </c>
      <c r="AC678" s="214" t="s">
        <v>122</v>
      </c>
      <c r="AD678" s="320" t="s">
        <v>1479</v>
      </c>
      <c r="AE678" s="320" t="s">
        <v>604</v>
      </c>
      <c r="AF678" s="162" t="str">
        <f t="shared" si="49"/>
        <v/>
      </c>
      <c r="AG678" s="162" t="str">
        <f t="shared" si="52"/>
        <v/>
      </c>
      <c r="AH678" s="164" t="str">
        <f t="shared" si="50"/>
        <v/>
      </c>
      <c r="AI678" s="164">
        <f t="shared" si="51"/>
        <v>3.2003399999999997</v>
      </c>
      <c r="AJ678" s="369"/>
      <c r="AK678" s="369"/>
      <c r="AL678" s="369"/>
      <c r="AM678" s="369"/>
      <c r="AN678" s="369"/>
      <c r="AO678" s="369"/>
      <c r="AP678" s="369"/>
      <c r="AQ678" s="368"/>
      <c r="AR678" s="368"/>
      <c r="AS678" s="195"/>
      <c r="AT678" s="195"/>
      <c r="AU678" s="377"/>
      <c r="AV678" s="382"/>
      <c r="AW678" s="359"/>
      <c r="AX678" s="359">
        <v>8.702E-2</v>
      </c>
      <c r="AY678" s="359">
        <v>3.1133199999999999</v>
      </c>
      <c r="AZ678" s="359">
        <v>2.1930000000000002E-2</v>
      </c>
      <c r="BA678" s="359">
        <v>0.21873999999999999</v>
      </c>
      <c r="BB678" s="359"/>
      <c r="BC678" s="359"/>
      <c r="BD678" s="426"/>
      <c r="BE678" s="426"/>
      <c r="BF678" s="469"/>
      <c r="BG678" s="469">
        <f t="shared" si="53"/>
        <v>3.4410099999999995</v>
      </c>
      <c r="BH678" s="341"/>
      <c r="BI678" s="446" t="s">
        <v>47</v>
      </c>
      <c r="BJ678" s="507" t="s">
        <v>3098</v>
      </c>
    </row>
    <row r="679" spans="1:62" ht="15.75" customHeight="1" thickBot="1" x14ac:dyDescent="0.25">
      <c r="A679" s="176">
        <v>680</v>
      </c>
      <c r="B679" s="175">
        <v>1</v>
      </c>
      <c r="C679" s="166" t="s">
        <v>760</v>
      </c>
      <c r="D679" s="166" t="s">
        <v>1867</v>
      </c>
      <c r="E679" s="166" t="s">
        <v>13</v>
      </c>
      <c r="F679" s="166" t="s">
        <v>1483</v>
      </c>
      <c r="G679" s="166" t="s">
        <v>15</v>
      </c>
      <c r="H679" s="166" t="s">
        <v>1475</v>
      </c>
      <c r="I679" s="181">
        <v>2015</v>
      </c>
      <c r="J679" s="181" t="s">
        <v>1476</v>
      </c>
      <c r="K679" s="181" t="s">
        <v>1477</v>
      </c>
      <c r="L679" s="181" t="s">
        <v>19</v>
      </c>
      <c r="M679" s="556" t="s">
        <v>4249</v>
      </c>
      <c r="N679" s="214" t="s">
        <v>20</v>
      </c>
      <c r="O679" s="214" t="s">
        <v>15</v>
      </c>
      <c r="P679" s="214" t="s">
        <v>20</v>
      </c>
      <c r="Q679" s="214" t="s">
        <v>20</v>
      </c>
      <c r="R679" s="214" t="s">
        <v>20</v>
      </c>
      <c r="S679" s="214" t="s">
        <v>20</v>
      </c>
      <c r="T679" s="214" t="s">
        <v>20</v>
      </c>
      <c r="U679" s="214" t="s">
        <v>15</v>
      </c>
      <c r="V679" s="214" t="s">
        <v>15</v>
      </c>
      <c r="W679" s="214" t="s">
        <v>15</v>
      </c>
      <c r="X679" s="214" t="s">
        <v>15</v>
      </c>
      <c r="Y679" s="214" t="s">
        <v>15</v>
      </c>
      <c r="Z679" s="214"/>
      <c r="AA679" s="214" t="s">
        <v>1478</v>
      </c>
      <c r="AB679" s="214" t="s">
        <v>292</v>
      </c>
      <c r="AC679" s="214" t="s">
        <v>122</v>
      </c>
      <c r="AD679" s="320" t="s">
        <v>1479</v>
      </c>
      <c r="AE679" s="320" t="s">
        <v>604</v>
      </c>
      <c r="AF679" s="162" t="str">
        <f t="shared" si="49"/>
        <v/>
      </c>
      <c r="AG679" s="162" t="str">
        <f t="shared" si="52"/>
        <v/>
      </c>
      <c r="AH679" s="164" t="str">
        <f t="shared" si="50"/>
        <v/>
      </c>
      <c r="AI679" s="164">
        <f t="shared" si="51"/>
        <v>1.1412</v>
      </c>
      <c r="AJ679" s="369"/>
      <c r="AK679" s="369"/>
      <c r="AL679" s="369"/>
      <c r="AM679" s="369"/>
      <c r="AN679" s="369"/>
      <c r="AO679" s="369"/>
      <c r="AP679" s="369"/>
      <c r="AQ679" s="368"/>
      <c r="AR679" s="368"/>
      <c r="AS679" s="195"/>
      <c r="AT679" s="195"/>
      <c r="AU679" s="377"/>
      <c r="AV679" s="382"/>
      <c r="AW679" s="359"/>
      <c r="AX679" s="359">
        <v>8.702E-2</v>
      </c>
      <c r="AY679" s="359">
        <v>1.0541799999999999</v>
      </c>
      <c r="AZ679" s="359">
        <v>2.1930000000000002E-2</v>
      </c>
      <c r="BA679" s="359">
        <v>0.21873999999999999</v>
      </c>
      <c r="BB679" s="359"/>
      <c r="BC679" s="359"/>
      <c r="BD679" s="426"/>
      <c r="BE679" s="426"/>
      <c r="BF679" s="469"/>
      <c r="BG679" s="469">
        <f t="shared" si="53"/>
        <v>1.3818699999999999</v>
      </c>
      <c r="BH679" s="341"/>
      <c r="BI679" s="446" t="s">
        <v>47</v>
      </c>
      <c r="BJ679" s="507" t="s">
        <v>3098</v>
      </c>
    </row>
    <row r="680" spans="1:62" ht="15.75" customHeight="1" thickBot="1" x14ac:dyDescent="0.25">
      <c r="A680" s="174">
        <v>681</v>
      </c>
      <c r="B680" s="175">
        <v>1</v>
      </c>
      <c r="C680" s="166" t="s">
        <v>760</v>
      </c>
      <c r="D680" s="166" t="s">
        <v>1867</v>
      </c>
      <c r="E680" s="166" t="s">
        <v>13</v>
      </c>
      <c r="F680" s="166" t="s">
        <v>1484</v>
      </c>
      <c r="G680" s="166" t="s">
        <v>15</v>
      </c>
      <c r="H680" s="166" t="s">
        <v>1475</v>
      </c>
      <c r="I680" s="181">
        <v>2015</v>
      </c>
      <c r="J680" s="181" t="s">
        <v>1476</v>
      </c>
      <c r="K680" s="181" t="s">
        <v>1477</v>
      </c>
      <c r="L680" s="181" t="s">
        <v>19</v>
      </c>
      <c r="M680" s="556" t="s">
        <v>4249</v>
      </c>
      <c r="N680" s="214" t="s">
        <v>20</v>
      </c>
      <c r="O680" s="214" t="s">
        <v>15</v>
      </c>
      <c r="P680" s="214" t="s">
        <v>20</v>
      </c>
      <c r="Q680" s="214" t="s">
        <v>20</v>
      </c>
      <c r="R680" s="214" t="s">
        <v>20</v>
      </c>
      <c r="S680" s="214" t="s">
        <v>20</v>
      </c>
      <c r="T680" s="214" t="s">
        <v>20</v>
      </c>
      <c r="U680" s="214" t="s">
        <v>15</v>
      </c>
      <c r="V680" s="214" t="s">
        <v>15</v>
      </c>
      <c r="W680" s="214" t="s">
        <v>15</v>
      </c>
      <c r="X680" s="214" t="s">
        <v>15</v>
      </c>
      <c r="Y680" s="214" t="s">
        <v>15</v>
      </c>
      <c r="Z680" s="214"/>
      <c r="AA680" s="214" t="s">
        <v>1478</v>
      </c>
      <c r="AB680" s="214" t="s">
        <v>292</v>
      </c>
      <c r="AC680" s="214" t="s">
        <v>122</v>
      </c>
      <c r="AD680" s="320" t="s">
        <v>1479</v>
      </c>
      <c r="AE680" s="320" t="s">
        <v>604</v>
      </c>
      <c r="AF680" s="162" t="str">
        <f t="shared" si="49"/>
        <v/>
      </c>
      <c r="AG680" s="162" t="str">
        <f t="shared" si="52"/>
        <v/>
      </c>
      <c r="AH680" s="164" t="str">
        <f t="shared" si="50"/>
        <v/>
      </c>
      <c r="AI680" s="164">
        <f t="shared" si="51"/>
        <v>2.2345999999999999</v>
      </c>
      <c r="AJ680" s="369"/>
      <c r="AK680" s="369"/>
      <c r="AL680" s="369"/>
      <c r="AM680" s="369"/>
      <c r="AN680" s="369"/>
      <c r="AO680" s="369"/>
      <c r="AP680" s="369"/>
      <c r="AQ680" s="368"/>
      <c r="AR680" s="368"/>
      <c r="AS680" s="195"/>
      <c r="AT680" s="195"/>
      <c r="AU680" s="377"/>
      <c r="AV680" s="382"/>
      <c r="AW680" s="359"/>
      <c r="AX680" s="359">
        <v>8.702E-2</v>
      </c>
      <c r="AY680" s="359">
        <v>2.14758</v>
      </c>
      <c r="AZ680" s="359">
        <v>2.1930000000000002E-2</v>
      </c>
      <c r="BA680" s="359">
        <v>0.21873999999999999</v>
      </c>
      <c r="BB680" s="359"/>
      <c r="BC680" s="359"/>
      <c r="BD680" s="426"/>
      <c r="BE680" s="426"/>
      <c r="BF680" s="469"/>
      <c r="BG680" s="469">
        <f t="shared" si="53"/>
        <v>2.4752699999999996</v>
      </c>
      <c r="BH680" s="341"/>
      <c r="BI680" s="446" t="s">
        <v>47</v>
      </c>
      <c r="BJ680" s="507" t="s">
        <v>3098</v>
      </c>
    </row>
    <row r="681" spans="1:62" ht="15.75" customHeight="1" thickBot="1" x14ac:dyDescent="0.25">
      <c r="A681" s="176">
        <v>682</v>
      </c>
      <c r="B681" s="175">
        <v>1</v>
      </c>
      <c r="C681" s="166" t="s">
        <v>760</v>
      </c>
      <c r="D681" s="166" t="s">
        <v>1867</v>
      </c>
      <c r="E681" s="166" t="s">
        <v>13</v>
      </c>
      <c r="F681" s="166" t="s">
        <v>1485</v>
      </c>
      <c r="G681" s="166" t="s">
        <v>15</v>
      </c>
      <c r="H681" s="166" t="s">
        <v>1475</v>
      </c>
      <c r="I681" s="181">
        <v>2015</v>
      </c>
      <c r="J681" s="181" t="s">
        <v>1476</v>
      </c>
      <c r="K681" s="181" t="s">
        <v>1477</v>
      </c>
      <c r="L681" s="181" t="s">
        <v>19</v>
      </c>
      <c r="M681" s="556" t="s">
        <v>4249</v>
      </c>
      <c r="N681" s="214" t="s">
        <v>20</v>
      </c>
      <c r="O681" s="214" t="s">
        <v>15</v>
      </c>
      <c r="P681" s="214" t="s">
        <v>20</v>
      </c>
      <c r="Q681" s="214" t="s">
        <v>20</v>
      </c>
      <c r="R681" s="214" t="s">
        <v>20</v>
      </c>
      <c r="S681" s="214" t="s">
        <v>20</v>
      </c>
      <c r="T681" s="214" t="s">
        <v>20</v>
      </c>
      <c r="U681" s="214" t="s">
        <v>15</v>
      </c>
      <c r="V681" s="214" t="s">
        <v>15</v>
      </c>
      <c r="W681" s="214" t="s">
        <v>15</v>
      </c>
      <c r="X681" s="214" t="s">
        <v>15</v>
      </c>
      <c r="Y681" s="214" t="s">
        <v>15</v>
      </c>
      <c r="Z681" s="214"/>
      <c r="AA681" s="214" t="s">
        <v>1478</v>
      </c>
      <c r="AB681" s="214" t="s">
        <v>292</v>
      </c>
      <c r="AC681" s="214" t="s">
        <v>122</v>
      </c>
      <c r="AD681" s="320" t="s">
        <v>1479</v>
      </c>
      <c r="AE681" s="320" t="s">
        <v>604</v>
      </c>
      <c r="AF681" s="162" t="str">
        <f t="shared" si="49"/>
        <v/>
      </c>
      <c r="AG681" s="162" t="str">
        <f t="shared" si="52"/>
        <v/>
      </c>
      <c r="AH681" s="164" t="str">
        <f t="shared" si="50"/>
        <v/>
      </c>
      <c r="AI681" s="164">
        <f t="shared" si="51"/>
        <v>1.97007</v>
      </c>
      <c r="AJ681" s="369"/>
      <c r="AK681" s="369"/>
      <c r="AL681" s="369"/>
      <c r="AM681" s="369"/>
      <c r="AN681" s="369"/>
      <c r="AO681" s="369"/>
      <c r="AP681" s="369"/>
      <c r="AQ681" s="368"/>
      <c r="AR681" s="368"/>
      <c r="AS681" s="195"/>
      <c r="AT681" s="195"/>
      <c r="AU681" s="377"/>
      <c r="AV681" s="382"/>
      <c r="AW681" s="359"/>
      <c r="AX681" s="359">
        <v>1.6428499999999999</v>
      </c>
      <c r="AY681" s="359">
        <v>0.32722000000000001</v>
      </c>
      <c r="AZ681" s="359">
        <v>2.0310000000000002E-2</v>
      </c>
      <c r="BA681" s="359">
        <v>0.36062</v>
      </c>
      <c r="BB681" s="359"/>
      <c r="BC681" s="359"/>
      <c r="BD681" s="426"/>
      <c r="BE681" s="426"/>
      <c r="BF681" s="469"/>
      <c r="BG681" s="469">
        <f t="shared" si="53"/>
        <v>2.351</v>
      </c>
      <c r="BH681" s="341"/>
      <c r="BI681" s="446" t="s">
        <v>47</v>
      </c>
      <c r="BJ681" s="507" t="s">
        <v>3098</v>
      </c>
    </row>
    <row r="682" spans="1:62" ht="15.75" customHeight="1" thickBot="1" x14ac:dyDescent="0.25">
      <c r="A682" s="174">
        <v>683</v>
      </c>
      <c r="B682" s="175">
        <v>1</v>
      </c>
      <c r="C682" s="166" t="s">
        <v>760</v>
      </c>
      <c r="D682" s="166" t="s">
        <v>1867</v>
      </c>
      <c r="E682" s="166" t="s">
        <v>13</v>
      </c>
      <c r="F682" s="166" t="s">
        <v>1486</v>
      </c>
      <c r="G682" s="166" t="s">
        <v>15</v>
      </c>
      <c r="H682" s="166" t="s">
        <v>1475</v>
      </c>
      <c r="I682" s="181">
        <v>2015</v>
      </c>
      <c r="J682" s="181" t="s">
        <v>1476</v>
      </c>
      <c r="K682" s="181" t="s">
        <v>1477</v>
      </c>
      <c r="L682" s="181" t="s">
        <v>19</v>
      </c>
      <c r="M682" s="556" t="s">
        <v>4249</v>
      </c>
      <c r="N682" s="214" t="s">
        <v>20</v>
      </c>
      <c r="O682" s="214" t="s">
        <v>15</v>
      </c>
      <c r="P682" s="214" t="s">
        <v>20</v>
      </c>
      <c r="Q682" s="214" t="s">
        <v>20</v>
      </c>
      <c r="R682" s="214" t="s">
        <v>20</v>
      </c>
      <c r="S682" s="214" t="s">
        <v>20</v>
      </c>
      <c r="T682" s="214" t="s">
        <v>20</v>
      </c>
      <c r="U682" s="214" t="s">
        <v>15</v>
      </c>
      <c r="V682" s="214" t="s">
        <v>15</v>
      </c>
      <c r="W682" s="214" t="s">
        <v>15</v>
      </c>
      <c r="X682" s="214" t="s">
        <v>15</v>
      </c>
      <c r="Y682" s="214" t="s">
        <v>15</v>
      </c>
      <c r="Z682" s="214"/>
      <c r="AA682" s="214" t="s">
        <v>1478</v>
      </c>
      <c r="AB682" s="214" t="s">
        <v>292</v>
      </c>
      <c r="AC682" s="214" t="s">
        <v>122</v>
      </c>
      <c r="AD682" s="320" t="s">
        <v>1479</v>
      </c>
      <c r="AE682" s="320" t="s">
        <v>604</v>
      </c>
      <c r="AF682" s="162" t="str">
        <f t="shared" si="49"/>
        <v/>
      </c>
      <c r="AG682" s="162" t="str">
        <f t="shared" si="52"/>
        <v/>
      </c>
      <c r="AH682" s="164" t="str">
        <f t="shared" si="50"/>
        <v/>
      </c>
      <c r="AI682" s="164">
        <f t="shared" si="51"/>
        <v>1.69818</v>
      </c>
      <c r="AJ682" s="369"/>
      <c r="AK682" s="369"/>
      <c r="AL682" s="369"/>
      <c r="AM682" s="369"/>
      <c r="AN682" s="369"/>
      <c r="AO682" s="369"/>
      <c r="AP682" s="369"/>
      <c r="AQ682" s="368"/>
      <c r="AR682" s="368"/>
      <c r="AS682" s="195"/>
      <c r="AT682" s="195"/>
      <c r="AU682" s="377"/>
      <c r="AV682" s="382"/>
      <c r="AW682" s="359"/>
      <c r="AX682" s="359">
        <v>1.6428499999999999</v>
      </c>
      <c r="AY682" s="359">
        <v>5.5329999999999997E-2</v>
      </c>
      <c r="AZ682" s="359">
        <v>2.0310000000000002E-2</v>
      </c>
      <c r="BA682" s="359">
        <v>0.36062</v>
      </c>
      <c r="BB682" s="359"/>
      <c r="BC682" s="359"/>
      <c r="BD682" s="426"/>
      <c r="BE682" s="426"/>
      <c r="BF682" s="469"/>
      <c r="BG682" s="469">
        <f t="shared" si="53"/>
        <v>2.07911</v>
      </c>
      <c r="BH682" s="341"/>
      <c r="BI682" s="446" t="s">
        <v>47</v>
      </c>
      <c r="BJ682" s="507" t="s">
        <v>3098</v>
      </c>
    </row>
    <row r="683" spans="1:62" ht="15.75" customHeight="1" thickBot="1" x14ac:dyDescent="0.25">
      <c r="A683" s="176">
        <v>684</v>
      </c>
      <c r="B683" s="175">
        <v>1</v>
      </c>
      <c r="C683" s="166" t="s">
        <v>760</v>
      </c>
      <c r="D683" s="166" t="s">
        <v>1867</v>
      </c>
      <c r="E683" s="166" t="s">
        <v>13</v>
      </c>
      <c r="F683" s="166" t="s">
        <v>1481</v>
      </c>
      <c r="G683" s="166" t="s">
        <v>15</v>
      </c>
      <c r="H683" s="166" t="s">
        <v>1475</v>
      </c>
      <c r="I683" s="181">
        <v>2015</v>
      </c>
      <c r="J683" s="181" t="s">
        <v>1476</v>
      </c>
      <c r="K683" s="181" t="s">
        <v>1477</v>
      </c>
      <c r="L683" s="181" t="s">
        <v>19</v>
      </c>
      <c r="M683" s="556" t="s">
        <v>4249</v>
      </c>
      <c r="N683" s="214" t="s">
        <v>20</v>
      </c>
      <c r="O683" s="214" t="s">
        <v>15</v>
      </c>
      <c r="P683" s="214" t="s">
        <v>20</v>
      </c>
      <c r="Q683" s="214" t="s">
        <v>20</v>
      </c>
      <c r="R683" s="214" t="s">
        <v>20</v>
      </c>
      <c r="S683" s="214" t="s">
        <v>20</v>
      </c>
      <c r="T683" s="214" t="s">
        <v>20</v>
      </c>
      <c r="U683" s="214" t="s">
        <v>15</v>
      </c>
      <c r="V683" s="214" t="s">
        <v>15</v>
      </c>
      <c r="W683" s="214" t="s">
        <v>15</v>
      </c>
      <c r="X683" s="214" t="s">
        <v>15</v>
      </c>
      <c r="Y683" s="214" t="s">
        <v>15</v>
      </c>
      <c r="Z683" s="214"/>
      <c r="AA683" s="214" t="s">
        <v>1478</v>
      </c>
      <c r="AB683" s="214" t="s">
        <v>292</v>
      </c>
      <c r="AC683" s="214" t="s">
        <v>122</v>
      </c>
      <c r="AD683" s="320" t="s">
        <v>1479</v>
      </c>
      <c r="AE683" s="320" t="s">
        <v>604</v>
      </c>
      <c r="AF683" s="162" t="str">
        <f t="shared" si="49"/>
        <v/>
      </c>
      <c r="AG683" s="162" t="str">
        <f t="shared" si="52"/>
        <v/>
      </c>
      <c r="AH683" s="164" t="str">
        <f t="shared" si="50"/>
        <v/>
      </c>
      <c r="AI683" s="164">
        <f t="shared" si="51"/>
        <v>3.53918</v>
      </c>
      <c r="AJ683" s="369"/>
      <c r="AK683" s="369"/>
      <c r="AL683" s="369"/>
      <c r="AM683" s="369"/>
      <c r="AN683" s="369"/>
      <c r="AO683" s="369"/>
      <c r="AP683" s="369"/>
      <c r="AQ683" s="368"/>
      <c r="AR683" s="368"/>
      <c r="AS683" s="195"/>
      <c r="AT683" s="195"/>
      <c r="AU683" s="377"/>
      <c r="AV683" s="382"/>
      <c r="AW683" s="359"/>
      <c r="AX683" s="359">
        <v>1.6428499999999999</v>
      </c>
      <c r="AY683" s="359">
        <v>1.8963300000000001</v>
      </c>
      <c r="AZ683" s="359">
        <v>2.0310000000000002E-2</v>
      </c>
      <c r="BA683" s="359">
        <v>0.36062</v>
      </c>
      <c r="BB683" s="359"/>
      <c r="BC683" s="359"/>
      <c r="BD683" s="426"/>
      <c r="BE683" s="426"/>
      <c r="BF683" s="469"/>
      <c r="BG683" s="469">
        <f t="shared" si="53"/>
        <v>3.9201099999999998</v>
      </c>
      <c r="BH683" s="341"/>
      <c r="BI683" s="446" t="s">
        <v>47</v>
      </c>
      <c r="BJ683" s="507" t="s">
        <v>3098</v>
      </c>
    </row>
    <row r="684" spans="1:62" ht="15.75" customHeight="1" thickBot="1" x14ac:dyDescent="0.25">
      <c r="A684" s="174">
        <v>685</v>
      </c>
      <c r="B684" s="175">
        <v>1</v>
      </c>
      <c r="C684" s="166" t="s">
        <v>760</v>
      </c>
      <c r="D684" s="166" t="s">
        <v>1867</v>
      </c>
      <c r="E684" s="166" t="s">
        <v>13</v>
      </c>
      <c r="F684" s="166" t="s">
        <v>1482</v>
      </c>
      <c r="G684" s="166" t="s">
        <v>15</v>
      </c>
      <c r="H684" s="166" t="s">
        <v>1475</v>
      </c>
      <c r="I684" s="181">
        <v>2015</v>
      </c>
      <c r="J684" s="181" t="s">
        <v>1476</v>
      </c>
      <c r="K684" s="181" t="s">
        <v>1477</v>
      </c>
      <c r="L684" s="181" t="s">
        <v>19</v>
      </c>
      <c r="M684" s="556" t="s">
        <v>4249</v>
      </c>
      <c r="N684" s="214" t="s">
        <v>20</v>
      </c>
      <c r="O684" s="214" t="s">
        <v>15</v>
      </c>
      <c r="P684" s="214" t="s">
        <v>20</v>
      </c>
      <c r="Q684" s="214" t="s">
        <v>20</v>
      </c>
      <c r="R684" s="214" t="s">
        <v>20</v>
      </c>
      <c r="S684" s="214" t="s">
        <v>20</v>
      </c>
      <c r="T684" s="214" t="s">
        <v>20</v>
      </c>
      <c r="U684" s="214" t="s">
        <v>15</v>
      </c>
      <c r="V684" s="214" t="s">
        <v>15</v>
      </c>
      <c r="W684" s="214" t="s">
        <v>15</v>
      </c>
      <c r="X684" s="214" t="s">
        <v>15</v>
      </c>
      <c r="Y684" s="214" t="s">
        <v>15</v>
      </c>
      <c r="Z684" s="214"/>
      <c r="AA684" s="214" t="s">
        <v>1478</v>
      </c>
      <c r="AB684" s="214" t="s">
        <v>292</v>
      </c>
      <c r="AC684" s="214" t="s">
        <v>122</v>
      </c>
      <c r="AD684" s="320" t="s">
        <v>1479</v>
      </c>
      <c r="AE684" s="320" t="s">
        <v>604</v>
      </c>
      <c r="AF684" s="162" t="str">
        <f t="shared" si="49"/>
        <v/>
      </c>
      <c r="AG684" s="162" t="str">
        <f t="shared" si="52"/>
        <v/>
      </c>
      <c r="AH684" s="164" t="str">
        <f t="shared" si="50"/>
        <v/>
      </c>
      <c r="AI684" s="164">
        <f t="shared" si="51"/>
        <v>4.75617</v>
      </c>
      <c r="AJ684" s="369"/>
      <c r="AK684" s="369"/>
      <c r="AL684" s="369"/>
      <c r="AM684" s="369"/>
      <c r="AN684" s="369"/>
      <c r="AO684" s="369"/>
      <c r="AP684" s="369"/>
      <c r="AQ684" s="368"/>
      <c r="AR684" s="368"/>
      <c r="AS684" s="195"/>
      <c r="AT684" s="195"/>
      <c r="AU684" s="377"/>
      <c r="AV684" s="382"/>
      <c r="AW684" s="359"/>
      <c r="AX684" s="359">
        <v>1.6428499999999999</v>
      </c>
      <c r="AY684" s="359">
        <v>3.1133199999999999</v>
      </c>
      <c r="AZ684" s="359">
        <v>2.0310000000000002E-2</v>
      </c>
      <c r="BA684" s="359">
        <v>0.36062</v>
      </c>
      <c r="BB684" s="359"/>
      <c r="BC684" s="359"/>
      <c r="BD684" s="426"/>
      <c r="BE684" s="426"/>
      <c r="BF684" s="469"/>
      <c r="BG684" s="469">
        <f t="shared" si="53"/>
        <v>5.1371000000000002</v>
      </c>
      <c r="BH684" s="341"/>
      <c r="BI684" s="446" t="s">
        <v>47</v>
      </c>
      <c r="BJ684" s="507" t="s">
        <v>3098</v>
      </c>
    </row>
    <row r="685" spans="1:62" ht="15.75" customHeight="1" thickBot="1" x14ac:dyDescent="0.25">
      <c r="A685" s="176">
        <v>686</v>
      </c>
      <c r="B685" s="175">
        <v>1</v>
      </c>
      <c r="C685" s="166" t="s">
        <v>760</v>
      </c>
      <c r="D685" s="166" t="s">
        <v>1867</v>
      </c>
      <c r="E685" s="166" t="s">
        <v>13</v>
      </c>
      <c r="F685" s="166" t="s">
        <v>1483</v>
      </c>
      <c r="G685" s="166" t="s">
        <v>15</v>
      </c>
      <c r="H685" s="166" t="s">
        <v>1475</v>
      </c>
      <c r="I685" s="181">
        <v>2015</v>
      </c>
      <c r="J685" s="181" t="s">
        <v>1476</v>
      </c>
      <c r="K685" s="181" t="s">
        <v>1477</v>
      </c>
      <c r="L685" s="181" t="s">
        <v>19</v>
      </c>
      <c r="M685" s="556" t="s">
        <v>4249</v>
      </c>
      <c r="N685" s="214" t="s">
        <v>20</v>
      </c>
      <c r="O685" s="214" t="s">
        <v>15</v>
      </c>
      <c r="P685" s="214" t="s">
        <v>20</v>
      </c>
      <c r="Q685" s="214" t="s">
        <v>20</v>
      </c>
      <c r="R685" s="214" t="s">
        <v>20</v>
      </c>
      <c r="S685" s="214" t="s">
        <v>20</v>
      </c>
      <c r="T685" s="214" t="s">
        <v>20</v>
      </c>
      <c r="U685" s="214" t="s">
        <v>15</v>
      </c>
      <c r="V685" s="214" t="s">
        <v>15</v>
      </c>
      <c r="W685" s="214" t="s">
        <v>15</v>
      </c>
      <c r="X685" s="214" t="s">
        <v>15</v>
      </c>
      <c r="Y685" s="214" t="s">
        <v>15</v>
      </c>
      <c r="Z685" s="214"/>
      <c r="AA685" s="214" t="s">
        <v>1478</v>
      </c>
      <c r="AB685" s="214" t="s">
        <v>292</v>
      </c>
      <c r="AC685" s="214" t="s">
        <v>122</v>
      </c>
      <c r="AD685" s="320" t="s">
        <v>1479</v>
      </c>
      <c r="AE685" s="320" t="s">
        <v>604</v>
      </c>
      <c r="AF685" s="162" t="str">
        <f t="shared" si="49"/>
        <v/>
      </c>
      <c r="AG685" s="162" t="str">
        <f t="shared" si="52"/>
        <v/>
      </c>
      <c r="AH685" s="164" t="str">
        <f t="shared" si="50"/>
        <v/>
      </c>
      <c r="AI685" s="164">
        <f t="shared" si="51"/>
        <v>2.6970299999999998</v>
      </c>
      <c r="AJ685" s="369"/>
      <c r="AK685" s="369"/>
      <c r="AL685" s="369"/>
      <c r="AM685" s="369"/>
      <c r="AN685" s="369"/>
      <c r="AO685" s="369"/>
      <c r="AP685" s="369"/>
      <c r="AQ685" s="368"/>
      <c r="AR685" s="368"/>
      <c r="AS685" s="195"/>
      <c r="AT685" s="195"/>
      <c r="AU685" s="377"/>
      <c r="AV685" s="382"/>
      <c r="AW685" s="359"/>
      <c r="AX685" s="359">
        <v>1.6428499999999999</v>
      </c>
      <c r="AY685" s="359">
        <v>1.0541799999999999</v>
      </c>
      <c r="AZ685" s="359">
        <v>2.0310000000000002E-2</v>
      </c>
      <c r="BA685" s="359">
        <v>0.36062</v>
      </c>
      <c r="BB685" s="359"/>
      <c r="BC685" s="359"/>
      <c r="BD685" s="426"/>
      <c r="BE685" s="426"/>
      <c r="BF685" s="469"/>
      <c r="BG685" s="469">
        <f t="shared" si="53"/>
        <v>3.0779599999999996</v>
      </c>
      <c r="BH685" s="341"/>
      <c r="BI685" s="446" t="s">
        <v>47</v>
      </c>
      <c r="BJ685" s="507" t="s">
        <v>3098</v>
      </c>
    </row>
    <row r="686" spans="1:62" ht="15.75" customHeight="1" thickBot="1" x14ac:dyDescent="0.25">
      <c r="A686" s="174">
        <v>687</v>
      </c>
      <c r="B686" s="175">
        <v>1</v>
      </c>
      <c r="C686" s="166" t="s">
        <v>760</v>
      </c>
      <c r="D686" s="166" t="s">
        <v>1867</v>
      </c>
      <c r="E686" s="166" t="s">
        <v>13</v>
      </c>
      <c r="F686" s="166" t="s">
        <v>1484</v>
      </c>
      <c r="G686" s="166" t="s">
        <v>15</v>
      </c>
      <c r="H686" s="166" t="s">
        <v>1475</v>
      </c>
      <c r="I686" s="181">
        <v>2015</v>
      </c>
      <c r="J686" s="181" t="s">
        <v>1476</v>
      </c>
      <c r="K686" s="181" t="s">
        <v>1477</v>
      </c>
      <c r="L686" s="181" t="s">
        <v>19</v>
      </c>
      <c r="M686" s="556" t="s">
        <v>4249</v>
      </c>
      <c r="N686" s="214" t="s">
        <v>20</v>
      </c>
      <c r="O686" s="214" t="s">
        <v>15</v>
      </c>
      <c r="P686" s="214" t="s">
        <v>20</v>
      </c>
      <c r="Q686" s="214" t="s">
        <v>20</v>
      </c>
      <c r="R686" s="214" t="s">
        <v>20</v>
      </c>
      <c r="S686" s="214" t="s">
        <v>20</v>
      </c>
      <c r="T686" s="214" t="s">
        <v>20</v>
      </c>
      <c r="U686" s="214" t="s">
        <v>15</v>
      </c>
      <c r="V686" s="214" t="s">
        <v>15</v>
      </c>
      <c r="W686" s="214" t="s">
        <v>15</v>
      </c>
      <c r="X686" s="214" t="s">
        <v>15</v>
      </c>
      <c r="Y686" s="214" t="s">
        <v>15</v>
      </c>
      <c r="Z686" s="214"/>
      <c r="AA686" s="214" t="s">
        <v>1478</v>
      </c>
      <c r="AB686" s="214" t="s">
        <v>292</v>
      </c>
      <c r="AC686" s="214" t="s">
        <v>122</v>
      </c>
      <c r="AD686" s="320" t="s">
        <v>1479</v>
      </c>
      <c r="AE686" s="320" t="s">
        <v>604</v>
      </c>
      <c r="AF686" s="162" t="str">
        <f t="shared" si="49"/>
        <v/>
      </c>
      <c r="AG686" s="162" t="str">
        <f t="shared" si="52"/>
        <v/>
      </c>
      <c r="AH686" s="164" t="str">
        <f t="shared" si="50"/>
        <v/>
      </c>
      <c r="AI686" s="164">
        <f t="shared" si="51"/>
        <v>3.7904299999999997</v>
      </c>
      <c r="AJ686" s="369"/>
      <c r="AK686" s="369"/>
      <c r="AL686" s="369"/>
      <c r="AM686" s="369"/>
      <c r="AN686" s="369"/>
      <c r="AO686" s="369"/>
      <c r="AP686" s="369"/>
      <c r="AQ686" s="368"/>
      <c r="AR686" s="368"/>
      <c r="AS686" s="195"/>
      <c r="AT686" s="195"/>
      <c r="AU686" s="377"/>
      <c r="AV686" s="382"/>
      <c r="AW686" s="359"/>
      <c r="AX686" s="359">
        <v>1.6428499999999999</v>
      </c>
      <c r="AY686" s="359">
        <v>2.14758</v>
      </c>
      <c r="AZ686" s="359">
        <v>2.0310000000000002E-2</v>
      </c>
      <c r="BA686" s="359">
        <v>0.36062</v>
      </c>
      <c r="BB686" s="359"/>
      <c r="BC686" s="359"/>
      <c r="BD686" s="426"/>
      <c r="BE686" s="426"/>
      <c r="BF686" s="469"/>
      <c r="BG686" s="469">
        <f t="shared" si="53"/>
        <v>4.17136</v>
      </c>
      <c r="BH686" s="341"/>
      <c r="BI686" s="446" t="s">
        <v>47</v>
      </c>
      <c r="BJ686" s="507" t="s">
        <v>3098</v>
      </c>
    </row>
    <row r="687" spans="1:62" ht="15.75" customHeight="1" thickBot="1" x14ac:dyDescent="0.25">
      <c r="A687" s="176">
        <v>688</v>
      </c>
      <c r="B687" s="175">
        <v>1</v>
      </c>
      <c r="C687" s="166" t="s">
        <v>1110</v>
      </c>
      <c r="D687" s="166" t="s">
        <v>1487</v>
      </c>
      <c r="E687" s="166" t="s">
        <v>13</v>
      </c>
      <c r="F687" s="167"/>
      <c r="G687" s="166" t="s">
        <v>122</v>
      </c>
      <c r="H687" s="166" t="s">
        <v>87</v>
      </c>
      <c r="I687" s="181">
        <v>2010</v>
      </c>
      <c r="J687" s="181" t="s">
        <v>1488</v>
      </c>
      <c r="K687" s="181" t="s">
        <v>1489</v>
      </c>
      <c r="L687" s="181" t="s">
        <v>19</v>
      </c>
      <c r="M687" s="556" t="s">
        <v>4250</v>
      </c>
      <c r="N687" s="214" t="s">
        <v>20</v>
      </c>
      <c r="O687" s="214" t="s">
        <v>15</v>
      </c>
      <c r="P687" s="214" t="s">
        <v>20</v>
      </c>
      <c r="Q687" s="214" t="s">
        <v>20</v>
      </c>
      <c r="R687" s="214" t="s">
        <v>20</v>
      </c>
      <c r="S687" s="214" t="s">
        <v>20</v>
      </c>
      <c r="T687" s="214" t="s">
        <v>15</v>
      </c>
      <c r="U687" s="214" t="s">
        <v>15</v>
      </c>
      <c r="V687" s="214" t="s">
        <v>15</v>
      </c>
      <c r="W687" s="214" t="s">
        <v>15</v>
      </c>
      <c r="X687" s="214" t="s">
        <v>15</v>
      </c>
      <c r="Y687" s="214" t="s">
        <v>15</v>
      </c>
      <c r="Z687" s="234"/>
      <c r="AA687" s="214" t="s">
        <v>1490</v>
      </c>
      <c r="AB687" s="214" t="s">
        <v>292</v>
      </c>
      <c r="AC687" s="214" t="s">
        <v>292</v>
      </c>
      <c r="AD687" s="320" t="s">
        <v>755</v>
      </c>
      <c r="AE687" s="319"/>
      <c r="AF687" s="162" t="str">
        <f t="shared" si="49"/>
        <v/>
      </c>
      <c r="AG687" s="162" t="str">
        <f t="shared" si="52"/>
        <v/>
      </c>
      <c r="AH687" s="164" t="str">
        <f t="shared" si="50"/>
        <v/>
      </c>
      <c r="AI687" s="164" t="str">
        <f t="shared" si="51"/>
        <v/>
      </c>
      <c r="AJ687" s="369"/>
      <c r="AK687" s="369"/>
      <c r="AL687" s="369"/>
      <c r="AM687" s="369"/>
      <c r="AN687" s="369"/>
      <c r="AO687" s="369"/>
      <c r="AP687" s="369"/>
      <c r="AQ687" s="368"/>
      <c r="AR687" s="368"/>
      <c r="AS687" s="195"/>
      <c r="AT687" s="198">
        <v>1086</v>
      </c>
      <c r="AU687" s="377"/>
      <c r="AW687" s="359"/>
      <c r="AX687" s="359"/>
      <c r="AY687" s="359"/>
      <c r="AZ687" s="359"/>
      <c r="BA687" s="359"/>
      <c r="BB687" s="359"/>
      <c r="BC687" s="359"/>
      <c r="BD687" s="426"/>
      <c r="BE687" s="426"/>
      <c r="BF687" s="469"/>
      <c r="BG687" s="474">
        <v>72.5</v>
      </c>
      <c r="BH687" s="341"/>
      <c r="BI687" s="447"/>
      <c r="BJ687" s="507"/>
    </row>
    <row r="688" spans="1:62" ht="15.75" customHeight="1" thickBot="1" x14ac:dyDescent="0.25">
      <c r="A688" s="174">
        <v>689</v>
      </c>
      <c r="B688" s="175">
        <v>1</v>
      </c>
      <c r="C688" s="166" t="s">
        <v>1110</v>
      </c>
      <c r="D688" s="166" t="s">
        <v>1491</v>
      </c>
      <c r="E688" s="166" t="s">
        <v>13</v>
      </c>
      <c r="F688" s="167"/>
      <c r="G688" s="166" t="s">
        <v>122</v>
      </c>
      <c r="H688" s="166" t="s">
        <v>87</v>
      </c>
      <c r="I688" s="181">
        <v>2010</v>
      </c>
      <c r="J688" s="181" t="s">
        <v>1488</v>
      </c>
      <c r="K688" s="181" t="s">
        <v>1489</v>
      </c>
      <c r="L688" s="181" t="s">
        <v>19</v>
      </c>
      <c r="M688" s="556" t="s">
        <v>4250</v>
      </c>
      <c r="N688" s="214" t="s">
        <v>20</v>
      </c>
      <c r="O688" s="214" t="s">
        <v>15</v>
      </c>
      <c r="P688" s="214" t="s">
        <v>20</v>
      </c>
      <c r="Q688" s="214" t="s">
        <v>20</v>
      </c>
      <c r="R688" s="214" t="s">
        <v>20</v>
      </c>
      <c r="S688" s="214" t="s">
        <v>20</v>
      </c>
      <c r="T688" s="214" t="s">
        <v>15</v>
      </c>
      <c r="U688" s="214" t="s">
        <v>15</v>
      </c>
      <c r="V688" s="214" t="s">
        <v>15</v>
      </c>
      <c r="W688" s="214" t="s">
        <v>15</v>
      </c>
      <c r="X688" s="214" t="s">
        <v>15</v>
      </c>
      <c r="Y688" s="214" t="s">
        <v>15</v>
      </c>
      <c r="Z688" s="234"/>
      <c r="AA688" s="214" t="s">
        <v>1490</v>
      </c>
      <c r="AB688" s="214" t="s">
        <v>292</v>
      </c>
      <c r="AC688" s="214" t="s">
        <v>292</v>
      </c>
      <c r="AD688" s="320" t="s">
        <v>755</v>
      </c>
      <c r="AE688" s="319"/>
      <c r="AF688" s="162" t="str">
        <f t="shared" si="49"/>
        <v/>
      </c>
      <c r="AG688" s="162" t="str">
        <f t="shared" si="52"/>
        <v/>
      </c>
      <c r="AH688" s="164" t="str">
        <f t="shared" si="50"/>
        <v/>
      </c>
      <c r="AI688" s="164" t="str">
        <f t="shared" si="51"/>
        <v/>
      </c>
      <c r="AJ688" s="369"/>
      <c r="AK688" s="369"/>
      <c r="AL688" s="369"/>
      <c r="AM688" s="369"/>
      <c r="AN688" s="369"/>
      <c r="AO688" s="369"/>
      <c r="AP688" s="369"/>
      <c r="AQ688" s="368"/>
      <c r="AR688" s="368"/>
      <c r="AS688" s="195"/>
      <c r="AT688" s="194">
        <v>675</v>
      </c>
      <c r="AU688" s="377"/>
      <c r="AW688" s="359"/>
      <c r="AX688" s="359"/>
      <c r="AY688" s="359"/>
      <c r="AZ688" s="359"/>
      <c r="BA688" s="359"/>
      <c r="BB688" s="359"/>
      <c r="BC688" s="359"/>
      <c r="BD688" s="426"/>
      <c r="BE688" s="426"/>
      <c r="BF688" s="469"/>
      <c r="BG688" s="468">
        <v>43</v>
      </c>
      <c r="BH688" s="341"/>
      <c r="BI688" s="447"/>
      <c r="BJ688" s="507"/>
    </row>
    <row r="689" spans="1:62" ht="15.75" customHeight="1" thickBot="1" x14ac:dyDescent="0.25">
      <c r="A689" s="176">
        <v>690</v>
      </c>
      <c r="B689" s="175">
        <v>1</v>
      </c>
      <c r="C689" s="166" t="s">
        <v>596</v>
      </c>
      <c r="D689" s="166" t="s">
        <v>3064</v>
      </c>
      <c r="E689" s="166" t="s">
        <v>13</v>
      </c>
      <c r="F689" s="166" t="s">
        <v>1492</v>
      </c>
      <c r="G689" s="166" t="s">
        <v>122</v>
      </c>
      <c r="H689" s="166" t="s">
        <v>87</v>
      </c>
      <c r="I689" s="181">
        <v>2010</v>
      </c>
      <c r="J689" s="181" t="s">
        <v>1488</v>
      </c>
      <c r="K689" s="181" t="s">
        <v>1489</v>
      </c>
      <c r="L689" s="181" t="s">
        <v>19</v>
      </c>
      <c r="M689" s="556" t="s">
        <v>4250</v>
      </c>
      <c r="N689" s="214" t="s">
        <v>20</v>
      </c>
      <c r="O689" s="214" t="s">
        <v>15</v>
      </c>
      <c r="P689" s="214" t="s">
        <v>20</v>
      </c>
      <c r="Q689" s="214" t="s">
        <v>20</v>
      </c>
      <c r="R689" s="214" t="s">
        <v>20</v>
      </c>
      <c r="S689" s="214" t="s">
        <v>20</v>
      </c>
      <c r="T689" s="214" t="s">
        <v>15</v>
      </c>
      <c r="U689" s="214" t="s">
        <v>15</v>
      </c>
      <c r="V689" s="214" t="s">
        <v>15</v>
      </c>
      <c r="W689" s="214" t="s">
        <v>15</v>
      </c>
      <c r="X689" s="214" t="s">
        <v>15</v>
      </c>
      <c r="Y689" s="214" t="s">
        <v>15</v>
      </c>
      <c r="Z689" s="234"/>
      <c r="AA689" s="214" t="s">
        <v>1490</v>
      </c>
      <c r="AB689" s="214" t="s">
        <v>292</v>
      </c>
      <c r="AC689" s="214" t="s">
        <v>292</v>
      </c>
      <c r="AD689" s="320" t="s">
        <v>755</v>
      </c>
      <c r="AE689" s="319"/>
      <c r="AF689" s="162">
        <f t="shared" si="49"/>
        <v>5.6</v>
      </c>
      <c r="AG689" s="162">
        <f t="shared" si="52"/>
        <v>8.3999999999999986</v>
      </c>
      <c r="AH689" s="164">
        <f t="shared" si="50"/>
        <v>0.47399999999999998</v>
      </c>
      <c r="AI689" s="164">
        <f t="shared" si="51"/>
        <v>0.55120000000000002</v>
      </c>
      <c r="AJ689" s="369">
        <v>5.6</v>
      </c>
      <c r="AK689" s="369"/>
      <c r="AL689" s="369">
        <v>2.8</v>
      </c>
      <c r="AM689" s="369"/>
      <c r="AN689" s="369">
        <v>5.6</v>
      </c>
      <c r="AO689" s="369"/>
      <c r="AP689" s="369"/>
      <c r="AQ689" s="368"/>
      <c r="AR689" s="368"/>
      <c r="AS689" s="195">
        <f>AJ689</f>
        <v>5.6</v>
      </c>
      <c r="AT689" s="194">
        <v>14</v>
      </c>
      <c r="AU689" s="377"/>
      <c r="AW689" s="359">
        <v>0.47399999999999998</v>
      </c>
      <c r="AX689" s="359"/>
      <c r="AY689" s="359">
        <v>7.7200000000000005E-2</v>
      </c>
      <c r="AZ689" s="359"/>
      <c r="BA689" s="359">
        <v>0.30790000000000001</v>
      </c>
      <c r="BB689" s="359"/>
      <c r="BC689" s="359"/>
      <c r="BD689" s="426"/>
      <c r="BE689" s="426"/>
      <c r="BF689" s="469">
        <f>AW689</f>
        <v>0.47399999999999998</v>
      </c>
      <c r="BG689" s="468">
        <f>SUM(AW689:BE689)</f>
        <v>0.85909999999999997</v>
      </c>
      <c r="BH689" s="341"/>
      <c r="BI689" s="447"/>
      <c r="BJ689" s="507"/>
    </row>
    <row r="690" spans="1:62" ht="15.75" customHeight="1" thickBot="1" x14ac:dyDescent="0.25">
      <c r="A690" s="174">
        <v>691</v>
      </c>
      <c r="B690" s="175">
        <v>1</v>
      </c>
      <c r="C690" s="166" t="s">
        <v>596</v>
      </c>
      <c r="D690" s="166" t="s">
        <v>2050</v>
      </c>
      <c r="E690" s="166" t="s">
        <v>13</v>
      </c>
      <c r="F690" s="166" t="s">
        <v>1493</v>
      </c>
      <c r="G690" s="166" t="s">
        <v>122</v>
      </c>
      <c r="H690" s="166" t="s">
        <v>87</v>
      </c>
      <c r="I690" s="181">
        <v>2010</v>
      </c>
      <c r="J690" s="181" t="s">
        <v>1488</v>
      </c>
      <c r="K690" s="181" t="s">
        <v>1489</v>
      </c>
      <c r="L690" s="181" t="s">
        <v>19</v>
      </c>
      <c r="M690" s="556" t="s">
        <v>4250</v>
      </c>
      <c r="N690" s="214" t="s">
        <v>20</v>
      </c>
      <c r="O690" s="214" t="s">
        <v>15</v>
      </c>
      <c r="P690" s="214" t="s">
        <v>20</v>
      </c>
      <c r="Q690" s="214" t="s">
        <v>20</v>
      </c>
      <c r="R690" s="214" t="s">
        <v>20</v>
      </c>
      <c r="S690" s="214" t="s">
        <v>20</v>
      </c>
      <c r="T690" s="214" t="s">
        <v>15</v>
      </c>
      <c r="U690" s="214" t="s">
        <v>15</v>
      </c>
      <c r="V690" s="214" t="s">
        <v>15</v>
      </c>
      <c r="W690" s="214" t="s">
        <v>15</v>
      </c>
      <c r="X690" s="214" t="s">
        <v>15</v>
      </c>
      <c r="Y690" s="214" t="s">
        <v>15</v>
      </c>
      <c r="Z690" s="234"/>
      <c r="AA690" s="214" t="s">
        <v>1490</v>
      </c>
      <c r="AB690" s="214" t="s">
        <v>292</v>
      </c>
      <c r="AC690" s="214" t="s">
        <v>292</v>
      </c>
      <c r="AD690" s="320" t="s">
        <v>755</v>
      </c>
      <c r="AE690" s="319"/>
      <c r="AF690" s="162">
        <f t="shared" si="49"/>
        <v>4</v>
      </c>
      <c r="AG690" s="162">
        <f t="shared" si="52"/>
        <v>6</v>
      </c>
      <c r="AH690" s="164">
        <f t="shared" si="50"/>
        <v>0.26400000000000001</v>
      </c>
      <c r="AI690" s="164">
        <f t="shared" si="51"/>
        <v>0.33160000000000001</v>
      </c>
      <c r="AJ690" s="369">
        <f>4</f>
        <v>4</v>
      </c>
      <c r="AK690" s="369"/>
      <c r="AL690" s="369">
        <v>2</v>
      </c>
      <c r="AM690" s="369"/>
      <c r="AN690" s="369">
        <v>4</v>
      </c>
      <c r="AO690" s="369"/>
      <c r="AP690" s="369"/>
      <c r="AQ690" s="368"/>
      <c r="AR690" s="368"/>
      <c r="AS690" s="195">
        <f>AJ690</f>
        <v>4</v>
      </c>
      <c r="AT690" s="194">
        <v>9.8000000000000007</v>
      </c>
      <c r="AU690" s="377"/>
      <c r="AW690" s="359">
        <v>0.26400000000000001</v>
      </c>
      <c r="AX690" s="359"/>
      <c r="AY690" s="359">
        <v>6.7599999999999993E-2</v>
      </c>
      <c r="AZ690" s="359"/>
      <c r="BA690" s="359">
        <v>0.28999999999999998</v>
      </c>
      <c r="BB690" s="359"/>
      <c r="BC690" s="359"/>
      <c r="BD690" s="426"/>
      <c r="BE690" s="426"/>
      <c r="BF690" s="469">
        <f>AW690</f>
        <v>0.26400000000000001</v>
      </c>
      <c r="BG690" s="468">
        <f>SUM(AW690:BE690)</f>
        <v>0.62159999999999993</v>
      </c>
      <c r="BH690" s="341"/>
      <c r="BI690" s="447"/>
      <c r="BJ690" s="507"/>
    </row>
    <row r="691" spans="1:62" ht="15.75" customHeight="1" thickBot="1" x14ac:dyDescent="0.25">
      <c r="A691" s="176">
        <v>692</v>
      </c>
      <c r="B691" s="175">
        <v>1</v>
      </c>
      <c r="C691" s="166" t="s">
        <v>596</v>
      </c>
      <c r="D691" s="166" t="s">
        <v>3066</v>
      </c>
      <c r="E691" s="166" t="s">
        <v>1068</v>
      </c>
      <c r="F691" s="166" t="s">
        <v>1494</v>
      </c>
      <c r="G691" s="166" t="s">
        <v>122</v>
      </c>
      <c r="H691" s="166" t="s">
        <v>87</v>
      </c>
      <c r="I691" s="181">
        <v>2010</v>
      </c>
      <c r="J691" s="181" t="s">
        <v>1488</v>
      </c>
      <c r="K691" s="181" t="s">
        <v>1489</v>
      </c>
      <c r="L691" s="181" t="s">
        <v>19</v>
      </c>
      <c r="M691" s="556" t="s">
        <v>4250</v>
      </c>
      <c r="N691" s="214" t="s">
        <v>20</v>
      </c>
      <c r="O691" s="214" t="s">
        <v>15</v>
      </c>
      <c r="P691" s="214" t="s">
        <v>20</v>
      </c>
      <c r="Q691" s="214" t="s">
        <v>20</v>
      </c>
      <c r="R691" s="214" t="s">
        <v>20</v>
      </c>
      <c r="S691" s="214" t="s">
        <v>20</v>
      </c>
      <c r="T691" s="214" t="s">
        <v>15</v>
      </c>
      <c r="U691" s="214" t="s">
        <v>15</v>
      </c>
      <c r="V691" s="214" t="s">
        <v>15</v>
      </c>
      <c r="W691" s="214" t="s">
        <v>15</v>
      </c>
      <c r="X691" s="214" t="s">
        <v>15</v>
      </c>
      <c r="Y691" s="214" t="s">
        <v>15</v>
      </c>
      <c r="Z691" s="234"/>
      <c r="AA691" s="214" t="s">
        <v>1490</v>
      </c>
      <c r="AB691" s="214" t="s">
        <v>292</v>
      </c>
      <c r="AC691" s="214" t="s">
        <v>292</v>
      </c>
      <c r="AD691" s="320" t="s">
        <v>755</v>
      </c>
      <c r="AE691" s="319"/>
      <c r="AF691" s="162" t="str">
        <f t="shared" si="49"/>
        <v/>
      </c>
      <c r="AG691" s="162" t="str">
        <f t="shared" si="52"/>
        <v/>
      </c>
      <c r="AH691" s="164" t="str">
        <f t="shared" si="50"/>
        <v/>
      </c>
      <c r="AI691" s="164" t="str">
        <f t="shared" si="51"/>
        <v/>
      </c>
      <c r="AJ691" s="369"/>
      <c r="AK691" s="369"/>
      <c r="AL691" s="369"/>
      <c r="AM691" s="369"/>
      <c r="AN691" s="369"/>
      <c r="AO691" s="369"/>
      <c r="AP691" s="369"/>
      <c r="AQ691" s="368"/>
      <c r="AR691" s="368"/>
      <c r="AS691" s="195"/>
      <c r="AT691" s="194">
        <v>108</v>
      </c>
      <c r="AU691" s="377"/>
      <c r="AW691" s="359"/>
      <c r="AX691" s="359"/>
      <c r="AY691" s="359"/>
      <c r="AZ691" s="359"/>
      <c r="BA691" s="359"/>
      <c r="BB691" s="359"/>
      <c r="BC691" s="359"/>
      <c r="BD691" s="426"/>
      <c r="BE691" s="426"/>
      <c r="BF691" s="469"/>
      <c r="BG691" s="468">
        <v>5.7</v>
      </c>
      <c r="BH691" s="341"/>
      <c r="BI691" s="447"/>
      <c r="BJ691" s="507"/>
    </row>
    <row r="692" spans="1:62" ht="15.75" customHeight="1" thickBot="1" x14ac:dyDescent="0.25">
      <c r="A692" s="174">
        <v>693</v>
      </c>
      <c r="B692" s="175">
        <v>1</v>
      </c>
      <c r="C692" s="166" t="s">
        <v>596</v>
      </c>
      <c r="D692" s="166" t="s">
        <v>3065</v>
      </c>
      <c r="E692" s="166" t="s">
        <v>1068</v>
      </c>
      <c r="F692" s="166" t="s">
        <v>1495</v>
      </c>
      <c r="G692" s="166" t="s">
        <v>122</v>
      </c>
      <c r="H692" s="166" t="s">
        <v>87</v>
      </c>
      <c r="I692" s="181">
        <v>2010</v>
      </c>
      <c r="J692" s="181" t="s">
        <v>1488</v>
      </c>
      <c r="K692" s="181" t="s">
        <v>1489</v>
      </c>
      <c r="L692" s="181" t="s">
        <v>19</v>
      </c>
      <c r="M692" s="556" t="s">
        <v>4250</v>
      </c>
      <c r="N692" s="214" t="s">
        <v>20</v>
      </c>
      <c r="O692" s="214" t="s">
        <v>15</v>
      </c>
      <c r="P692" s="214" t="s">
        <v>20</v>
      </c>
      <c r="Q692" s="214" t="s">
        <v>20</v>
      </c>
      <c r="R692" s="214" t="s">
        <v>20</v>
      </c>
      <c r="S692" s="214" t="s">
        <v>20</v>
      </c>
      <c r="T692" s="214" t="s">
        <v>15</v>
      </c>
      <c r="U692" s="214" t="s">
        <v>15</v>
      </c>
      <c r="V692" s="214" t="s">
        <v>15</v>
      </c>
      <c r="W692" s="214" t="s">
        <v>15</v>
      </c>
      <c r="X692" s="214" t="s">
        <v>15</v>
      </c>
      <c r="Y692" s="214" t="s">
        <v>15</v>
      </c>
      <c r="Z692" s="234"/>
      <c r="AA692" s="214" t="s">
        <v>1490</v>
      </c>
      <c r="AB692" s="214" t="s">
        <v>292</v>
      </c>
      <c r="AC692" s="214" t="s">
        <v>292</v>
      </c>
      <c r="AD692" s="320" t="s">
        <v>755</v>
      </c>
      <c r="AE692" s="319"/>
      <c r="AF692" s="162" t="str">
        <f t="shared" si="49"/>
        <v/>
      </c>
      <c r="AG692" s="162" t="str">
        <f t="shared" si="52"/>
        <v/>
      </c>
      <c r="AH692" s="164" t="str">
        <f t="shared" si="50"/>
        <v/>
      </c>
      <c r="AI692" s="164" t="str">
        <f t="shared" si="51"/>
        <v/>
      </c>
      <c r="AJ692" s="369"/>
      <c r="AK692" s="369"/>
      <c r="AL692" s="369"/>
      <c r="AM692" s="369"/>
      <c r="AN692" s="369"/>
      <c r="AO692" s="369"/>
      <c r="AP692" s="369"/>
      <c r="AQ692" s="368"/>
      <c r="AR692" s="368"/>
      <c r="AS692" s="195"/>
      <c r="AT692" s="194">
        <v>76</v>
      </c>
      <c r="AU692" s="377"/>
      <c r="AW692" s="359"/>
      <c r="AX692" s="359"/>
      <c r="AY692" s="359"/>
      <c r="AZ692" s="359"/>
      <c r="BA692" s="359"/>
      <c r="BB692" s="359"/>
      <c r="BC692" s="359"/>
      <c r="BD692" s="426"/>
      <c r="BE692" s="426"/>
      <c r="BF692" s="469"/>
      <c r="BG692" s="468">
        <v>4</v>
      </c>
      <c r="BH692" s="341"/>
      <c r="BI692" s="447"/>
      <c r="BJ692" s="507"/>
    </row>
    <row r="693" spans="1:62" ht="15.75" customHeight="1" thickBot="1" x14ac:dyDescent="0.25">
      <c r="A693" s="176">
        <v>694</v>
      </c>
      <c r="B693" s="175">
        <v>1</v>
      </c>
      <c r="C693" s="166" t="s">
        <v>236</v>
      </c>
      <c r="D693" s="166" t="s">
        <v>2098</v>
      </c>
      <c r="E693" s="166" t="s">
        <v>1246</v>
      </c>
      <c r="F693" s="166" t="s">
        <v>1496</v>
      </c>
      <c r="G693" s="166" t="s">
        <v>122</v>
      </c>
      <c r="H693" s="166" t="s">
        <v>87</v>
      </c>
      <c r="I693" s="181">
        <v>2010</v>
      </c>
      <c r="J693" s="181" t="s">
        <v>1497</v>
      </c>
      <c r="K693" s="181" t="s">
        <v>1498</v>
      </c>
      <c r="L693" s="181" t="s">
        <v>19</v>
      </c>
      <c r="M693" s="556" t="s">
        <v>4251</v>
      </c>
      <c r="N693" s="214" t="s">
        <v>20</v>
      </c>
      <c r="O693" s="214" t="s">
        <v>15</v>
      </c>
      <c r="P693" s="214" t="s">
        <v>20</v>
      </c>
      <c r="Q693" s="214" t="s">
        <v>20</v>
      </c>
      <c r="R693" s="214" t="s">
        <v>20</v>
      </c>
      <c r="S693" s="214" t="s">
        <v>15</v>
      </c>
      <c r="T693" s="214" t="s">
        <v>15</v>
      </c>
      <c r="U693" s="214" t="s">
        <v>15</v>
      </c>
      <c r="V693" s="214" t="s">
        <v>15</v>
      </c>
      <c r="W693" s="214" t="s">
        <v>15</v>
      </c>
      <c r="X693" s="214" t="s">
        <v>15</v>
      </c>
      <c r="Y693" s="214" t="s">
        <v>15</v>
      </c>
      <c r="Z693" s="234"/>
      <c r="AA693" s="214" t="s">
        <v>1499</v>
      </c>
      <c r="AB693" s="214" t="s">
        <v>292</v>
      </c>
      <c r="AC693" s="214" t="s">
        <v>292</v>
      </c>
      <c r="AD693" s="323" t="s">
        <v>1500</v>
      </c>
      <c r="AE693" s="323" t="s">
        <v>1501</v>
      </c>
      <c r="AF693" s="162">
        <f t="shared" si="49"/>
        <v>7.7979999999999992</v>
      </c>
      <c r="AG693" s="162" t="str">
        <f t="shared" si="52"/>
        <v/>
      </c>
      <c r="AH693" s="164">
        <f t="shared" si="50"/>
        <v>0.56869999999999998</v>
      </c>
      <c r="AI693" s="164" t="str">
        <f t="shared" si="51"/>
        <v/>
      </c>
      <c r="AJ693" s="369"/>
      <c r="AK693" s="369"/>
      <c r="AL693" s="369"/>
      <c r="AM693" s="369"/>
      <c r="AN693" s="369"/>
      <c r="AO693" s="369"/>
      <c r="AP693" s="369"/>
      <c r="AQ693" s="368"/>
      <c r="AR693" s="368"/>
      <c r="AS693" s="195">
        <f>779.8/100</f>
        <v>7.7979999999999992</v>
      </c>
      <c r="AT693" s="199">
        <f>1684.1/100</f>
        <v>16.840999999999998</v>
      </c>
      <c r="AU693" s="377"/>
      <c r="AW693" s="359"/>
      <c r="AX693" s="359"/>
      <c r="AY693" s="359"/>
      <c r="AZ693" s="359"/>
      <c r="BA693" s="359"/>
      <c r="BB693" s="359"/>
      <c r="BC693" s="359"/>
      <c r="BD693" s="426"/>
      <c r="BE693" s="426"/>
      <c r="BF693" s="469">
        <f>56.87/100</f>
        <v>0.56869999999999998</v>
      </c>
      <c r="BG693" s="467">
        <f>913.1/100</f>
        <v>9.1310000000000002</v>
      </c>
      <c r="BH693" s="341"/>
      <c r="BI693" s="447"/>
      <c r="BJ693" s="507"/>
    </row>
    <row r="694" spans="1:62" ht="15.75" customHeight="1" thickBot="1" x14ac:dyDescent="0.25">
      <c r="A694" s="174">
        <v>695</v>
      </c>
      <c r="B694" s="175">
        <v>1</v>
      </c>
      <c r="C694" s="166" t="s">
        <v>236</v>
      </c>
      <c r="D694" s="166" t="s">
        <v>2098</v>
      </c>
      <c r="E694" s="166" t="s">
        <v>1246</v>
      </c>
      <c r="F694" s="166" t="s">
        <v>1502</v>
      </c>
      <c r="G694" s="166" t="s">
        <v>122</v>
      </c>
      <c r="H694" s="166" t="s">
        <v>87</v>
      </c>
      <c r="I694" s="181">
        <v>2010</v>
      </c>
      <c r="J694" s="181" t="s">
        <v>1497</v>
      </c>
      <c r="K694" s="181" t="s">
        <v>1498</v>
      </c>
      <c r="L694" s="181" t="s">
        <v>19</v>
      </c>
      <c r="M694" s="556" t="s">
        <v>4251</v>
      </c>
      <c r="N694" s="214" t="s">
        <v>20</v>
      </c>
      <c r="O694" s="214" t="s">
        <v>15</v>
      </c>
      <c r="P694" s="214" t="s">
        <v>20</v>
      </c>
      <c r="Q694" s="214" t="s">
        <v>20</v>
      </c>
      <c r="R694" s="214" t="s">
        <v>20</v>
      </c>
      <c r="S694" s="214" t="s">
        <v>15</v>
      </c>
      <c r="T694" s="214" t="s">
        <v>15</v>
      </c>
      <c r="U694" s="214" t="s">
        <v>15</v>
      </c>
      <c r="V694" s="214" t="s">
        <v>15</v>
      </c>
      <c r="W694" s="214" t="s">
        <v>15</v>
      </c>
      <c r="X694" s="214" t="s">
        <v>15</v>
      </c>
      <c r="Y694" s="214" t="s">
        <v>15</v>
      </c>
      <c r="Z694" s="234"/>
      <c r="AA694" s="214" t="s">
        <v>1499</v>
      </c>
      <c r="AB694" s="214" t="s">
        <v>292</v>
      </c>
      <c r="AC694" s="214" t="s">
        <v>292</v>
      </c>
      <c r="AD694" s="323" t="s">
        <v>1500</v>
      </c>
      <c r="AE694" s="323" t="s">
        <v>1501</v>
      </c>
      <c r="AF694" s="162">
        <f t="shared" si="49"/>
        <v>7.7979999999999992</v>
      </c>
      <c r="AG694" s="162" t="str">
        <f t="shared" si="52"/>
        <v/>
      </c>
      <c r="AH694" s="164">
        <f t="shared" si="50"/>
        <v>0.56869999999999998</v>
      </c>
      <c r="AI694" s="164" t="str">
        <f t="shared" si="51"/>
        <v/>
      </c>
      <c r="AJ694" s="369"/>
      <c r="AK694" s="369"/>
      <c r="AL694" s="369"/>
      <c r="AM694" s="369"/>
      <c r="AN694" s="369"/>
      <c r="AO694" s="369"/>
      <c r="AP694" s="369"/>
      <c r="AQ694" s="368"/>
      <c r="AR694" s="368"/>
      <c r="AS694" s="199">
        <f>779.8/100</f>
        <v>7.7979999999999992</v>
      </c>
      <c r="AT694" s="199">
        <f>1977.5/100</f>
        <v>19.774999999999999</v>
      </c>
      <c r="AU694" s="377"/>
      <c r="AW694" s="359"/>
      <c r="AX694" s="359"/>
      <c r="AY694" s="359"/>
      <c r="AZ694" s="359"/>
      <c r="BA694" s="359"/>
      <c r="BB694" s="359"/>
      <c r="BC694" s="359"/>
      <c r="BD694" s="426"/>
      <c r="BE694" s="426"/>
      <c r="BF694" s="467">
        <f>56.87/100</f>
        <v>0.56869999999999998</v>
      </c>
      <c r="BG694" s="467">
        <f>838.4/100</f>
        <v>8.3840000000000003</v>
      </c>
      <c r="BH694" s="341"/>
      <c r="BI694" s="447"/>
      <c r="BJ694" s="507"/>
    </row>
    <row r="695" spans="1:62" ht="15.75" customHeight="1" thickBot="1" x14ac:dyDescent="0.25">
      <c r="A695" s="176">
        <v>696</v>
      </c>
      <c r="B695" s="175">
        <v>1</v>
      </c>
      <c r="C695" s="166" t="s">
        <v>236</v>
      </c>
      <c r="D695" s="167" t="s">
        <v>2282</v>
      </c>
      <c r="E695" s="166" t="s">
        <v>13</v>
      </c>
      <c r="F695" s="166" t="s">
        <v>670</v>
      </c>
      <c r="G695" s="166" t="s">
        <v>20</v>
      </c>
      <c r="H695" s="166" t="s">
        <v>87</v>
      </c>
      <c r="I695" s="181">
        <v>2015</v>
      </c>
      <c r="J695" s="181" t="s">
        <v>1503</v>
      </c>
      <c r="K695" s="181" t="s">
        <v>1504</v>
      </c>
      <c r="L695" s="181" t="s">
        <v>19</v>
      </c>
      <c r="M695" s="556" t="s">
        <v>4252</v>
      </c>
      <c r="N695" s="214" t="s">
        <v>20</v>
      </c>
      <c r="O695" s="214" t="s">
        <v>20</v>
      </c>
      <c r="P695" s="214" t="s">
        <v>20</v>
      </c>
      <c r="Q695" s="214" t="s">
        <v>20</v>
      </c>
      <c r="R695" s="214" t="s">
        <v>20</v>
      </c>
      <c r="S695" s="214" t="s">
        <v>20</v>
      </c>
      <c r="T695" s="214" t="s">
        <v>20</v>
      </c>
      <c r="U695" s="214" t="s">
        <v>15</v>
      </c>
      <c r="V695" s="214" t="s">
        <v>15</v>
      </c>
      <c r="W695" s="214" t="s">
        <v>15</v>
      </c>
      <c r="X695" s="214" t="s">
        <v>15</v>
      </c>
      <c r="Y695" s="214" t="s">
        <v>15</v>
      </c>
      <c r="Z695" s="214" t="s">
        <v>1505</v>
      </c>
      <c r="AA695" s="234"/>
      <c r="AB695" s="214" t="s">
        <v>122</v>
      </c>
      <c r="AC695" s="214" t="s">
        <v>122</v>
      </c>
      <c r="AD695" s="320" t="s">
        <v>2446</v>
      </c>
      <c r="AE695" s="320" t="s">
        <v>1506</v>
      </c>
      <c r="AF695" s="162">
        <f t="shared" si="49"/>
        <v>9.6999999999999993</v>
      </c>
      <c r="AG695" s="162" t="str">
        <f t="shared" si="52"/>
        <v/>
      </c>
      <c r="AH695" s="164">
        <f t="shared" si="50"/>
        <v>0.32400000000000001</v>
      </c>
      <c r="AI695" s="164" t="str">
        <f t="shared" si="51"/>
        <v/>
      </c>
      <c r="AJ695" s="368">
        <v>9.6999999999999993</v>
      </c>
      <c r="AK695" s="368"/>
      <c r="AL695" s="368"/>
      <c r="AM695" s="368">
        <v>4.484</v>
      </c>
      <c r="AN695" s="368">
        <v>0.6</v>
      </c>
      <c r="AO695" s="368"/>
      <c r="AP695" s="368"/>
      <c r="AQ695" s="368">
        <f>0.005/0.25</f>
        <v>0.02</v>
      </c>
      <c r="AR695" s="368"/>
      <c r="AS695" s="199">
        <v>9.6999999999999993</v>
      </c>
      <c r="AT695" s="199">
        <v>14.8</v>
      </c>
      <c r="AU695" s="378" t="s">
        <v>1507</v>
      </c>
      <c r="AV695" s="382"/>
      <c r="AW695" s="426">
        <v>0.32400000000000001</v>
      </c>
      <c r="AX695" s="426"/>
      <c r="AY695" s="426"/>
      <c r="AZ695" s="426">
        <v>0.16400000000000001</v>
      </c>
      <c r="BA695" s="426">
        <v>0.04</v>
      </c>
      <c r="BB695" s="426"/>
      <c r="BC695" s="426"/>
      <c r="BD695" s="426">
        <f>0.006/0.25</f>
        <v>2.4E-2</v>
      </c>
      <c r="BE695" s="426"/>
      <c r="BF695" s="467">
        <f>AW695</f>
        <v>0.32400000000000001</v>
      </c>
      <c r="BG695" s="467">
        <v>0.55200000000000005</v>
      </c>
      <c r="BH695" s="341"/>
      <c r="BI695" s="446" t="s">
        <v>1508</v>
      </c>
      <c r="BJ695" s="505"/>
    </row>
    <row r="696" spans="1:62" ht="15.75" customHeight="1" thickBot="1" x14ac:dyDescent="0.25">
      <c r="A696" s="174">
        <v>697</v>
      </c>
      <c r="B696" s="175">
        <v>1</v>
      </c>
      <c r="C696" s="166" t="s">
        <v>236</v>
      </c>
      <c r="D696" s="166" t="s">
        <v>1837</v>
      </c>
      <c r="E696" s="166" t="s">
        <v>13</v>
      </c>
      <c r="F696" s="166" t="s">
        <v>1509</v>
      </c>
      <c r="G696" s="166" t="s">
        <v>20</v>
      </c>
      <c r="H696" s="166" t="s">
        <v>87</v>
      </c>
      <c r="I696" s="181">
        <v>2015</v>
      </c>
      <c r="J696" s="181" t="s">
        <v>1503</v>
      </c>
      <c r="K696" s="181" t="s">
        <v>1504</v>
      </c>
      <c r="L696" s="181" t="s">
        <v>19</v>
      </c>
      <c r="M696" s="556" t="s">
        <v>4252</v>
      </c>
      <c r="N696" s="214" t="s">
        <v>20</v>
      </c>
      <c r="O696" s="214" t="s">
        <v>20</v>
      </c>
      <c r="P696" s="214" t="s">
        <v>20</v>
      </c>
      <c r="Q696" s="214" t="s">
        <v>20</v>
      </c>
      <c r="R696" s="214" t="s">
        <v>20</v>
      </c>
      <c r="S696" s="214" t="s">
        <v>20</v>
      </c>
      <c r="T696" s="214" t="s">
        <v>20</v>
      </c>
      <c r="U696" s="214" t="s">
        <v>15</v>
      </c>
      <c r="V696" s="214" t="s">
        <v>15</v>
      </c>
      <c r="W696" s="214" t="s">
        <v>15</v>
      </c>
      <c r="X696" s="214" t="s">
        <v>15</v>
      </c>
      <c r="Y696" s="214" t="s">
        <v>15</v>
      </c>
      <c r="Z696" s="214" t="s">
        <v>1505</v>
      </c>
      <c r="AA696" s="234"/>
      <c r="AB696" s="214" t="s">
        <v>122</v>
      </c>
      <c r="AC696" s="214" t="s">
        <v>122</v>
      </c>
      <c r="AD696" s="320" t="s">
        <v>1510</v>
      </c>
      <c r="AE696" s="320" t="s">
        <v>1511</v>
      </c>
      <c r="AF696" s="162">
        <f t="shared" si="49"/>
        <v>3.2320000000000002</v>
      </c>
      <c r="AG696" s="162" t="str">
        <f t="shared" si="52"/>
        <v/>
      </c>
      <c r="AH696" s="164">
        <f t="shared" si="50"/>
        <v>0.16800000000000001</v>
      </c>
      <c r="AI696" s="164" t="str">
        <f t="shared" si="51"/>
        <v/>
      </c>
      <c r="AJ696" s="368">
        <v>3.2320000000000002</v>
      </c>
      <c r="AK696" s="368"/>
      <c r="AL696" s="368"/>
      <c r="AM696" s="368">
        <v>4.4880000000000004</v>
      </c>
      <c r="AN696" s="369">
        <v>1.248</v>
      </c>
      <c r="AO696" s="368"/>
      <c r="AP696" s="368"/>
      <c r="AQ696" s="368">
        <f>0.002/0.125</f>
        <v>1.6E-2</v>
      </c>
      <c r="AR696" s="368"/>
      <c r="AS696" s="195">
        <v>3.2320000000000002</v>
      </c>
      <c r="AT696" s="195">
        <v>8.984</v>
      </c>
      <c r="AU696" s="378" t="s">
        <v>1507</v>
      </c>
      <c r="AV696" s="382"/>
      <c r="AW696" s="426">
        <v>0.16800000000000001</v>
      </c>
      <c r="AX696" s="426"/>
      <c r="AY696" s="426"/>
      <c r="AZ696" s="426">
        <v>0.16800000000000001</v>
      </c>
      <c r="BA696" s="426">
        <v>0.08</v>
      </c>
      <c r="BB696" s="426"/>
      <c r="BC696" s="426"/>
      <c r="BD696" s="426">
        <v>2.4E-2</v>
      </c>
      <c r="BE696" s="426"/>
      <c r="BF696" s="469">
        <v>0.16800000000000001</v>
      </c>
      <c r="BG696" s="469">
        <v>0.44</v>
      </c>
      <c r="BH696" s="341"/>
      <c r="BI696" s="446" t="s">
        <v>1508</v>
      </c>
      <c r="BJ696" s="505"/>
    </row>
    <row r="697" spans="1:62" ht="15.75" customHeight="1" thickBot="1" x14ac:dyDescent="0.25">
      <c r="A697" s="176">
        <v>698</v>
      </c>
      <c r="B697" s="175">
        <v>1</v>
      </c>
      <c r="C697" s="166" t="s">
        <v>236</v>
      </c>
      <c r="D697" s="166" t="s">
        <v>2230</v>
      </c>
      <c r="E697" s="166" t="s">
        <v>13</v>
      </c>
      <c r="F697" s="166" t="s">
        <v>2230</v>
      </c>
      <c r="G697" s="166" t="s">
        <v>20</v>
      </c>
      <c r="H697" s="166" t="s">
        <v>87</v>
      </c>
      <c r="I697" s="181">
        <v>2015</v>
      </c>
      <c r="J697" s="181" t="s">
        <v>1503</v>
      </c>
      <c r="K697" s="181" t="s">
        <v>1504</v>
      </c>
      <c r="L697" s="181" t="s">
        <v>19</v>
      </c>
      <c r="M697" s="556" t="s">
        <v>4252</v>
      </c>
      <c r="N697" s="214" t="s">
        <v>20</v>
      </c>
      <c r="O697" s="214" t="s">
        <v>20</v>
      </c>
      <c r="P697" s="214" t="s">
        <v>20</v>
      </c>
      <c r="Q697" s="214" t="s">
        <v>20</v>
      </c>
      <c r="R697" s="214" t="s">
        <v>20</v>
      </c>
      <c r="S697" s="214" t="s">
        <v>20</v>
      </c>
      <c r="T697" s="214" t="s">
        <v>20</v>
      </c>
      <c r="U697" s="214" t="s">
        <v>15</v>
      </c>
      <c r="V697" s="214" t="s">
        <v>15</v>
      </c>
      <c r="W697" s="214" t="s">
        <v>15</v>
      </c>
      <c r="X697" s="214" t="s">
        <v>15</v>
      </c>
      <c r="Y697" s="214" t="s">
        <v>15</v>
      </c>
      <c r="Z697" s="214" t="s">
        <v>1505</v>
      </c>
      <c r="AA697" s="234"/>
      <c r="AB697" s="214" t="s">
        <v>122</v>
      </c>
      <c r="AC697" s="214" t="s">
        <v>122</v>
      </c>
      <c r="AD697" s="320" t="s">
        <v>1510</v>
      </c>
      <c r="AE697" s="320" t="s">
        <v>1511</v>
      </c>
      <c r="AF697" s="162">
        <f t="shared" si="49"/>
        <v>3.8479999999999999</v>
      </c>
      <c r="AG697" s="162" t="str">
        <f t="shared" si="52"/>
        <v/>
      </c>
      <c r="AH697" s="164">
        <f t="shared" si="50"/>
        <v>0.192</v>
      </c>
      <c r="AI697" s="164" t="str">
        <f t="shared" si="51"/>
        <v/>
      </c>
      <c r="AJ697" s="368">
        <v>3.8479999999999999</v>
      </c>
      <c r="AK697" s="368"/>
      <c r="AL697" s="368"/>
      <c r="AM697" s="368">
        <v>4.4880000000000004</v>
      </c>
      <c r="AN697" s="369">
        <v>0.6</v>
      </c>
      <c r="AO697" s="368"/>
      <c r="AP697" s="368"/>
      <c r="AQ697" s="368">
        <f>0.002/0.125</f>
        <v>1.6E-2</v>
      </c>
      <c r="AR697" s="368"/>
      <c r="AS697" s="195">
        <v>3.8479999999999999</v>
      </c>
      <c r="AT697" s="195">
        <v>8.952</v>
      </c>
      <c r="AU697" s="378" t="s">
        <v>1507</v>
      </c>
      <c r="AW697" s="426">
        <f>0.024/0.125</f>
        <v>0.192</v>
      </c>
      <c r="AX697" s="426"/>
      <c r="AY697" s="426"/>
      <c r="AZ697" s="426">
        <f>(0.016+0.005)/0.125</f>
        <v>0.16800000000000001</v>
      </c>
      <c r="BA697" s="426">
        <f>0.004/0.125</f>
        <v>3.2000000000000001E-2</v>
      </c>
      <c r="BB697" s="426"/>
      <c r="BC697" s="426"/>
      <c r="BD697" s="426">
        <f>0.003/0.125</f>
        <v>2.4E-2</v>
      </c>
      <c r="BE697" s="426"/>
      <c r="BF697" s="469">
        <v>0.192</v>
      </c>
      <c r="BG697" s="469">
        <v>0.41599999999999998</v>
      </c>
      <c r="BH697" s="341"/>
      <c r="BI697" s="446" t="s">
        <v>1508</v>
      </c>
      <c r="BJ697" s="505"/>
    </row>
    <row r="698" spans="1:62" ht="15.75" customHeight="1" thickBot="1" x14ac:dyDescent="0.25">
      <c r="A698" s="174">
        <v>699</v>
      </c>
      <c r="B698" s="175">
        <v>1</v>
      </c>
      <c r="C698" s="166" t="s">
        <v>760</v>
      </c>
      <c r="D698" s="166" t="s">
        <v>2029</v>
      </c>
      <c r="E698" s="166" t="s">
        <v>13</v>
      </c>
      <c r="F698" s="166" t="s">
        <v>1512</v>
      </c>
      <c r="G698" s="166" t="s">
        <v>122</v>
      </c>
      <c r="H698" s="166" t="s">
        <v>1161</v>
      </c>
      <c r="I698" s="181">
        <v>2015</v>
      </c>
      <c r="J698" s="181" t="s">
        <v>1513</v>
      </c>
      <c r="K698" s="181" t="s">
        <v>1514</v>
      </c>
      <c r="L698" s="181" t="s">
        <v>19</v>
      </c>
      <c r="M698" s="556" t="s">
        <v>4253</v>
      </c>
      <c r="N698" s="214" t="s">
        <v>20</v>
      </c>
      <c r="O698" s="214" t="s">
        <v>15</v>
      </c>
      <c r="P698" s="214" t="s">
        <v>15</v>
      </c>
      <c r="Q698" s="214" t="s">
        <v>15</v>
      </c>
      <c r="R698" s="214" t="s">
        <v>15</v>
      </c>
      <c r="S698" s="214" t="s">
        <v>15</v>
      </c>
      <c r="T698" s="214" t="s">
        <v>15</v>
      </c>
      <c r="U698" s="214" t="s">
        <v>15</v>
      </c>
      <c r="V698" s="214" t="s">
        <v>15</v>
      </c>
      <c r="W698" s="214" t="s">
        <v>15</v>
      </c>
      <c r="X698" s="214" t="s">
        <v>15</v>
      </c>
      <c r="Y698" s="214" t="s">
        <v>20</v>
      </c>
      <c r="Z698" s="234"/>
      <c r="AA698" s="214" t="s">
        <v>1515</v>
      </c>
      <c r="AB698" s="214" t="s">
        <v>292</v>
      </c>
      <c r="AC698" s="214" t="s">
        <v>292</v>
      </c>
      <c r="AD698" s="320" t="s">
        <v>1516</v>
      </c>
      <c r="AE698" s="320" t="s">
        <v>485</v>
      </c>
      <c r="AF698" s="162" t="str">
        <f t="shared" si="49"/>
        <v/>
      </c>
      <c r="AG698" s="162" t="str">
        <f t="shared" si="52"/>
        <v/>
      </c>
      <c r="AH698" s="164" t="str">
        <f t="shared" si="50"/>
        <v/>
      </c>
      <c r="AI698" s="164" t="str">
        <f t="shared" si="51"/>
        <v/>
      </c>
      <c r="AJ698" s="368"/>
      <c r="AK698" s="368"/>
      <c r="AL698" s="368"/>
      <c r="AM698" s="368"/>
      <c r="AN698" s="369"/>
      <c r="AO698" s="368"/>
      <c r="AP698" s="368"/>
      <c r="AQ698" s="368"/>
      <c r="AR698" s="368"/>
      <c r="AS698" s="195"/>
      <c r="AT698" s="195"/>
      <c r="AU698" s="377"/>
      <c r="AV698" s="382"/>
      <c r="AW698" s="426"/>
      <c r="AX698" s="426"/>
      <c r="AY698" s="426"/>
      <c r="AZ698" s="426"/>
      <c r="BA698" s="426"/>
      <c r="BB698" s="426"/>
      <c r="BC698" s="426"/>
      <c r="BD698" s="426"/>
      <c r="BE698" s="426"/>
      <c r="BF698" s="469"/>
      <c r="BG698" s="474">
        <f>775.23/1000</f>
        <v>0.77522999999999997</v>
      </c>
      <c r="BH698" s="341"/>
      <c r="BI698" s="446" t="s">
        <v>1517</v>
      </c>
      <c r="BJ698" s="505"/>
    </row>
    <row r="699" spans="1:62" ht="15.75" customHeight="1" thickBot="1" x14ac:dyDescent="0.25">
      <c r="A699" s="176">
        <v>700</v>
      </c>
      <c r="B699" s="175">
        <v>1</v>
      </c>
      <c r="C699" s="166" t="s">
        <v>760</v>
      </c>
      <c r="D699" s="166" t="s">
        <v>2029</v>
      </c>
      <c r="E699" s="166" t="s">
        <v>13</v>
      </c>
      <c r="F699" s="166" t="s">
        <v>1518</v>
      </c>
      <c r="G699" s="166" t="s">
        <v>122</v>
      </c>
      <c r="H699" s="166" t="s">
        <v>1161</v>
      </c>
      <c r="I699" s="181">
        <v>2015</v>
      </c>
      <c r="J699" s="181" t="s">
        <v>1513</v>
      </c>
      <c r="K699" s="181" t="s">
        <v>1514</v>
      </c>
      <c r="L699" s="181" t="s">
        <v>19</v>
      </c>
      <c r="M699" s="556" t="s">
        <v>4253</v>
      </c>
      <c r="N699" s="214" t="s">
        <v>20</v>
      </c>
      <c r="O699" s="214" t="s">
        <v>15</v>
      </c>
      <c r="P699" s="214" t="s">
        <v>15</v>
      </c>
      <c r="Q699" s="214" t="s">
        <v>15</v>
      </c>
      <c r="R699" s="214" t="s">
        <v>15</v>
      </c>
      <c r="S699" s="214" t="s">
        <v>15</v>
      </c>
      <c r="T699" s="214" t="s">
        <v>15</v>
      </c>
      <c r="U699" s="214" t="s">
        <v>15</v>
      </c>
      <c r="V699" s="214" t="s">
        <v>15</v>
      </c>
      <c r="W699" s="214" t="s">
        <v>15</v>
      </c>
      <c r="X699" s="214" t="s">
        <v>15</v>
      </c>
      <c r="Y699" s="214" t="s">
        <v>20</v>
      </c>
      <c r="Z699" s="234"/>
      <c r="AA699" s="214" t="s">
        <v>1515</v>
      </c>
      <c r="AB699" s="214" t="s">
        <v>292</v>
      </c>
      <c r="AC699" s="214" t="s">
        <v>292</v>
      </c>
      <c r="AD699" s="320" t="s">
        <v>1516</v>
      </c>
      <c r="AE699" s="320" t="s">
        <v>485</v>
      </c>
      <c r="AF699" s="162" t="str">
        <f t="shared" si="49"/>
        <v/>
      </c>
      <c r="AG699" s="162" t="str">
        <f t="shared" si="52"/>
        <v/>
      </c>
      <c r="AH699" s="164" t="str">
        <f t="shared" si="50"/>
        <v/>
      </c>
      <c r="AI699" s="164" t="str">
        <f t="shared" si="51"/>
        <v/>
      </c>
      <c r="AJ699" s="368"/>
      <c r="AK699" s="368"/>
      <c r="AL699" s="368"/>
      <c r="AM699" s="368"/>
      <c r="AN699" s="369"/>
      <c r="AO699" s="368"/>
      <c r="AP699" s="368"/>
      <c r="AQ699" s="368"/>
      <c r="AR699" s="368"/>
      <c r="AS699" s="195"/>
      <c r="AT699" s="195"/>
      <c r="AU699" s="377"/>
      <c r="AV699" s="382"/>
      <c r="AW699" s="426"/>
      <c r="AX699" s="426"/>
      <c r="AY699" s="426"/>
      <c r="AZ699" s="426"/>
      <c r="BA699" s="426"/>
      <c r="BB699" s="426"/>
      <c r="BC699" s="426"/>
      <c r="BD699" s="426"/>
      <c r="BE699" s="426"/>
      <c r="BF699" s="469"/>
      <c r="BG699" s="468">
        <f>665.99/1000</f>
        <v>0.66598999999999997</v>
      </c>
      <c r="BH699" s="341"/>
      <c r="BI699" s="446" t="s">
        <v>1517</v>
      </c>
      <c r="BJ699" s="505"/>
    </row>
    <row r="700" spans="1:62" ht="15.75" customHeight="1" thickBot="1" x14ac:dyDescent="0.25">
      <c r="A700" s="174">
        <v>701</v>
      </c>
      <c r="B700" s="175">
        <v>1</v>
      </c>
      <c r="C700" s="166" t="s">
        <v>760</v>
      </c>
      <c r="D700" s="166" t="s">
        <v>2029</v>
      </c>
      <c r="E700" s="166" t="s">
        <v>13</v>
      </c>
      <c r="F700" s="166" t="s">
        <v>1519</v>
      </c>
      <c r="G700" s="166" t="s">
        <v>122</v>
      </c>
      <c r="H700" s="166" t="s">
        <v>1161</v>
      </c>
      <c r="I700" s="181">
        <v>2015</v>
      </c>
      <c r="J700" s="181" t="s">
        <v>1513</v>
      </c>
      <c r="K700" s="181" t="s">
        <v>1514</v>
      </c>
      <c r="L700" s="181" t="s">
        <v>19</v>
      </c>
      <c r="M700" s="556" t="s">
        <v>4253</v>
      </c>
      <c r="N700" s="214" t="s">
        <v>20</v>
      </c>
      <c r="O700" s="214" t="s">
        <v>15</v>
      </c>
      <c r="P700" s="214" t="s">
        <v>15</v>
      </c>
      <c r="Q700" s="214" t="s">
        <v>15</v>
      </c>
      <c r="R700" s="214" t="s">
        <v>15</v>
      </c>
      <c r="S700" s="214" t="s">
        <v>15</v>
      </c>
      <c r="T700" s="214" t="s">
        <v>15</v>
      </c>
      <c r="U700" s="214" t="s">
        <v>15</v>
      </c>
      <c r="V700" s="214" t="s">
        <v>15</v>
      </c>
      <c r="W700" s="214" t="s">
        <v>15</v>
      </c>
      <c r="X700" s="214" t="s">
        <v>15</v>
      </c>
      <c r="Y700" s="214" t="s">
        <v>20</v>
      </c>
      <c r="Z700" s="234"/>
      <c r="AA700" s="214" t="s">
        <v>1515</v>
      </c>
      <c r="AB700" s="214" t="s">
        <v>292</v>
      </c>
      <c r="AC700" s="214" t="s">
        <v>292</v>
      </c>
      <c r="AD700" s="320" t="s">
        <v>1516</v>
      </c>
      <c r="AE700" s="320" t="s">
        <v>485</v>
      </c>
      <c r="AF700" s="162" t="str">
        <f t="shared" si="49"/>
        <v/>
      </c>
      <c r="AG700" s="162" t="str">
        <f t="shared" si="52"/>
        <v/>
      </c>
      <c r="AH700" s="164" t="str">
        <f t="shared" si="50"/>
        <v/>
      </c>
      <c r="AI700" s="164" t="str">
        <f t="shared" si="51"/>
        <v/>
      </c>
      <c r="AJ700" s="368"/>
      <c r="AK700" s="368"/>
      <c r="AL700" s="368"/>
      <c r="AM700" s="368"/>
      <c r="AN700" s="369"/>
      <c r="AO700" s="368"/>
      <c r="AP700" s="368"/>
      <c r="AQ700" s="368"/>
      <c r="AR700" s="368"/>
      <c r="AS700" s="195"/>
      <c r="AT700" s="195"/>
      <c r="AU700" s="377"/>
      <c r="AV700" s="382"/>
      <c r="AW700" s="426"/>
      <c r="AX700" s="426"/>
      <c r="AY700" s="426"/>
      <c r="AZ700" s="426"/>
      <c r="BA700" s="426"/>
      <c r="BB700" s="426"/>
      <c r="BC700" s="426"/>
      <c r="BD700" s="426"/>
      <c r="BE700" s="426"/>
      <c r="BF700" s="469"/>
      <c r="BG700" s="467">
        <f>750.46/1000</f>
        <v>0.75046000000000002</v>
      </c>
      <c r="BH700" s="341"/>
      <c r="BI700" s="446" t="s">
        <v>1517</v>
      </c>
      <c r="BJ700" s="505"/>
    </row>
    <row r="701" spans="1:62" ht="15.75" customHeight="1" thickBot="1" x14ac:dyDescent="0.25">
      <c r="A701" s="176">
        <v>702</v>
      </c>
      <c r="B701" s="175">
        <v>1</v>
      </c>
      <c r="C701" s="166" t="s">
        <v>596</v>
      </c>
      <c r="D701" s="166" t="s">
        <v>3064</v>
      </c>
      <c r="E701" s="166" t="s">
        <v>1317</v>
      </c>
      <c r="F701" s="166" t="s">
        <v>1520</v>
      </c>
      <c r="G701" s="166" t="s">
        <v>122</v>
      </c>
      <c r="H701" s="166" t="s">
        <v>375</v>
      </c>
      <c r="I701" s="181">
        <v>2011</v>
      </c>
      <c r="J701" s="181" t="s">
        <v>1521</v>
      </c>
      <c r="K701" s="181" t="s">
        <v>1522</v>
      </c>
      <c r="L701" s="181" t="s">
        <v>19</v>
      </c>
      <c r="M701" s="556" t="s">
        <v>4254</v>
      </c>
      <c r="N701" s="214" t="s">
        <v>20</v>
      </c>
      <c r="O701" s="214" t="s">
        <v>20</v>
      </c>
      <c r="P701" s="214" t="s">
        <v>15</v>
      </c>
      <c r="Q701" s="214" t="s">
        <v>15</v>
      </c>
      <c r="R701" s="214" t="s">
        <v>15</v>
      </c>
      <c r="S701" s="214" t="s">
        <v>15</v>
      </c>
      <c r="T701" s="214" t="s">
        <v>15</v>
      </c>
      <c r="U701" s="214" t="s">
        <v>15</v>
      </c>
      <c r="V701" s="214" t="s">
        <v>15</v>
      </c>
      <c r="W701" s="214" t="s">
        <v>15</v>
      </c>
      <c r="X701" s="214" t="s">
        <v>15</v>
      </c>
      <c r="Y701" s="214" t="s">
        <v>15</v>
      </c>
      <c r="Z701" s="234"/>
      <c r="AA701" s="214" t="s">
        <v>1523</v>
      </c>
      <c r="AB701" s="214" t="s">
        <v>292</v>
      </c>
      <c r="AC701" s="214" t="s">
        <v>122</v>
      </c>
      <c r="AD701" s="320" t="s">
        <v>1524</v>
      </c>
      <c r="AE701" s="320" t="s">
        <v>485</v>
      </c>
      <c r="AF701" s="162">
        <f t="shared" si="49"/>
        <v>0.95199999999999996</v>
      </c>
      <c r="AG701" s="162" t="str">
        <f t="shared" si="52"/>
        <v/>
      </c>
      <c r="AH701" s="164">
        <f t="shared" si="50"/>
        <v>0.114</v>
      </c>
      <c r="AI701" s="164" t="str">
        <f t="shared" si="51"/>
        <v/>
      </c>
      <c r="AJ701" s="368"/>
      <c r="AK701" s="368"/>
      <c r="AL701" s="368"/>
      <c r="AM701" s="368"/>
      <c r="AN701" s="369"/>
      <c r="AO701" s="368"/>
      <c r="AP701" s="368"/>
      <c r="AQ701" s="368"/>
      <c r="AR701" s="368"/>
      <c r="AS701" s="198">
        <f>952/1000</f>
        <v>0.95199999999999996</v>
      </c>
      <c r="AT701" s="195"/>
      <c r="AU701" s="377"/>
      <c r="AV701" s="382"/>
      <c r="AW701" s="426"/>
      <c r="AX701" s="426"/>
      <c r="AY701" s="426"/>
      <c r="AZ701" s="426"/>
      <c r="BA701" s="426"/>
      <c r="BB701" s="426"/>
      <c r="BC701" s="426"/>
      <c r="BD701" s="426"/>
      <c r="BE701" s="426"/>
      <c r="BF701" s="469">
        <f>114/1000</f>
        <v>0.114</v>
      </c>
      <c r="BG701" s="467"/>
      <c r="BH701" s="341"/>
      <c r="BI701" s="446" t="s">
        <v>1525</v>
      </c>
      <c r="BJ701" s="505"/>
    </row>
    <row r="702" spans="1:62" ht="15.75" customHeight="1" thickBot="1" x14ac:dyDescent="0.25">
      <c r="A702" s="174">
        <v>703</v>
      </c>
      <c r="B702" s="175">
        <v>1</v>
      </c>
      <c r="C702" s="166" t="s">
        <v>596</v>
      </c>
      <c r="D702" s="166" t="s">
        <v>3064</v>
      </c>
      <c r="E702" s="166" t="s">
        <v>13</v>
      </c>
      <c r="F702" s="166" t="s">
        <v>1526</v>
      </c>
      <c r="G702" s="166" t="s">
        <v>122</v>
      </c>
      <c r="H702" s="166" t="s">
        <v>375</v>
      </c>
      <c r="I702" s="181">
        <v>2011</v>
      </c>
      <c r="J702" s="181" t="s">
        <v>1521</v>
      </c>
      <c r="K702" s="181" t="s">
        <v>1522</v>
      </c>
      <c r="L702" s="181" t="s">
        <v>19</v>
      </c>
      <c r="M702" s="556" t="s">
        <v>4254</v>
      </c>
      <c r="N702" s="214" t="s">
        <v>20</v>
      </c>
      <c r="O702" s="214" t="s">
        <v>20</v>
      </c>
      <c r="P702" s="214" t="s">
        <v>20</v>
      </c>
      <c r="Q702" s="214" t="s">
        <v>20</v>
      </c>
      <c r="R702" s="214" t="s">
        <v>20</v>
      </c>
      <c r="S702" s="214" t="s">
        <v>20</v>
      </c>
      <c r="T702" s="214" t="s">
        <v>15</v>
      </c>
      <c r="U702" s="214" t="s">
        <v>15</v>
      </c>
      <c r="V702" s="214" t="s">
        <v>15</v>
      </c>
      <c r="W702" s="214" t="s">
        <v>15</v>
      </c>
      <c r="X702" s="214" t="s">
        <v>15</v>
      </c>
      <c r="Y702" s="214" t="s">
        <v>15</v>
      </c>
      <c r="Z702" s="234"/>
      <c r="AA702" s="214" t="s">
        <v>1527</v>
      </c>
      <c r="AB702" s="214" t="s">
        <v>292</v>
      </c>
      <c r="AC702" s="214" t="s">
        <v>292</v>
      </c>
      <c r="AD702" s="320" t="s">
        <v>1528</v>
      </c>
      <c r="AE702" s="320" t="s">
        <v>1529</v>
      </c>
      <c r="AF702" s="162">
        <f t="shared" si="49"/>
        <v>0.89312977099236635</v>
      </c>
      <c r="AG702" s="162">
        <f t="shared" si="52"/>
        <v>2.7452290076335877</v>
      </c>
      <c r="AH702" s="164">
        <f t="shared" si="50"/>
        <v>0.10305343511450381</v>
      </c>
      <c r="AI702" s="164">
        <f t="shared" si="51"/>
        <v>0.17080152671755722</v>
      </c>
      <c r="AJ702" s="368">
        <f>(0.227+0.709)/1.048</f>
        <v>0.89312977099236635</v>
      </c>
      <c r="AK702" s="368"/>
      <c r="AL702" s="368">
        <f>1.941/1.048</f>
        <v>1.8520992366412214</v>
      </c>
      <c r="AM702" s="368"/>
      <c r="AN702" s="369">
        <f>3.822/1.048</f>
        <v>3.646946564885496</v>
      </c>
      <c r="AO702" s="368"/>
      <c r="AP702" s="368"/>
      <c r="AQ702" s="368"/>
      <c r="AR702" s="368"/>
      <c r="AS702" s="194">
        <f>AJ702</f>
        <v>0.89312977099236635</v>
      </c>
      <c r="AT702" s="195">
        <f>6.699/1.048</f>
        <v>6.3921755725190836</v>
      </c>
      <c r="AU702" s="377"/>
      <c r="AW702" s="426">
        <f>(0.012+0.096)/1.048</f>
        <v>0.10305343511450381</v>
      </c>
      <c r="AX702" s="426"/>
      <c r="AY702" s="426">
        <f>0.071/1.048</f>
        <v>6.7748091603053423E-2</v>
      </c>
      <c r="AZ702" s="426"/>
      <c r="BA702" s="426">
        <f>0.244/1.048</f>
        <v>0.23282442748091603</v>
      </c>
      <c r="BB702" s="426"/>
      <c r="BC702" s="426"/>
      <c r="BD702" s="426"/>
      <c r="BE702" s="426"/>
      <c r="BF702" s="467">
        <f>AW702</f>
        <v>0.10305343511450381</v>
      </c>
      <c r="BG702" s="467">
        <f>0.424/1.048</f>
        <v>0.40458015267175568</v>
      </c>
      <c r="BH702" s="341"/>
      <c r="BI702" s="446" t="s">
        <v>1525</v>
      </c>
      <c r="BJ702" s="505"/>
    </row>
    <row r="703" spans="1:62" ht="15.75" customHeight="1" thickBot="1" x14ac:dyDescent="0.25">
      <c r="A703" s="176">
        <v>704</v>
      </c>
      <c r="B703" s="175">
        <v>1</v>
      </c>
      <c r="C703" s="166" t="s">
        <v>596</v>
      </c>
      <c r="D703" s="166" t="s">
        <v>3064</v>
      </c>
      <c r="E703" s="166" t="s">
        <v>13</v>
      </c>
      <c r="F703" s="166" t="s">
        <v>1530</v>
      </c>
      <c r="G703" s="166" t="s">
        <v>122</v>
      </c>
      <c r="H703" s="166" t="s">
        <v>375</v>
      </c>
      <c r="I703" s="181">
        <v>2011</v>
      </c>
      <c r="J703" s="181" t="s">
        <v>1521</v>
      </c>
      <c r="K703" s="181" t="s">
        <v>1522</v>
      </c>
      <c r="L703" s="181" t="s">
        <v>19</v>
      </c>
      <c r="M703" s="556" t="s">
        <v>4254</v>
      </c>
      <c r="N703" s="214" t="s">
        <v>20</v>
      </c>
      <c r="O703" s="214" t="s">
        <v>20</v>
      </c>
      <c r="P703" s="214" t="s">
        <v>15</v>
      </c>
      <c r="Q703" s="214" t="s">
        <v>15</v>
      </c>
      <c r="R703" s="214" t="s">
        <v>15</v>
      </c>
      <c r="S703" s="214" t="s">
        <v>15</v>
      </c>
      <c r="T703" s="214" t="s">
        <v>15</v>
      </c>
      <c r="U703" s="214" t="s">
        <v>15</v>
      </c>
      <c r="V703" s="214" t="s">
        <v>15</v>
      </c>
      <c r="W703" s="214" t="s">
        <v>15</v>
      </c>
      <c r="X703" s="214" t="s">
        <v>15</v>
      </c>
      <c r="Y703" s="214" t="s">
        <v>15</v>
      </c>
      <c r="Z703" s="234"/>
      <c r="AA703" s="214" t="s">
        <v>1527</v>
      </c>
      <c r="AB703" s="214" t="s">
        <v>292</v>
      </c>
      <c r="AC703" s="214" t="s">
        <v>292</v>
      </c>
      <c r="AD703" s="320" t="s">
        <v>1524</v>
      </c>
      <c r="AE703" s="320" t="s">
        <v>485</v>
      </c>
      <c r="AF703" s="162">
        <f t="shared" si="49"/>
        <v>1.2649999999999999</v>
      </c>
      <c r="AG703" s="162" t="str">
        <f t="shared" si="52"/>
        <v/>
      </c>
      <c r="AH703" s="164">
        <f t="shared" si="50"/>
        <v>0.112</v>
      </c>
      <c r="AI703" s="164" t="str">
        <f t="shared" si="51"/>
        <v/>
      </c>
      <c r="AJ703" s="368"/>
      <c r="AK703" s="368"/>
      <c r="AL703" s="368"/>
      <c r="AM703" s="368"/>
      <c r="AN703" s="369"/>
      <c r="AO703" s="368"/>
      <c r="AP703" s="368"/>
      <c r="AQ703" s="368"/>
      <c r="AR703" s="368"/>
      <c r="AS703" s="194">
        <f>1265/1000</f>
        <v>1.2649999999999999</v>
      </c>
      <c r="AT703" s="199"/>
      <c r="AU703" s="377"/>
      <c r="AV703" s="382"/>
      <c r="AW703" s="426"/>
      <c r="AX703" s="426"/>
      <c r="AY703" s="426"/>
      <c r="AZ703" s="426"/>
      <c r="BA703" s="426"/>
      <c r="BB703" s="426"/>
      <c r="BC703" s="426"/>
      <c r="BD703" s="426"/>
      <c r="BE703" s="426"/>
      <c r="BF703" s="467">
        <f>112/1000</f>
        <v>0.112</v>
      </c>
      <c r="BG703" s="467"/>
      <c r="BH703" s="341"/>
      <c r="BI703" s="446" t="s">
        <v>1525</v>
      </c>
      <c r="BJ703" s="505"/>
    </row>
    <row r="704" spans="1:62" ht="15.75" customHeight="1" thickBot="1" x14ac:dyDescent="0.25">
      <c r="A704" s="174">
        <v>705</v>
      </c>
      <c r="B704" s="175">
        <v>1</v>
      </c>
      <c r="C704" s="166" t="s">
        <v>236</v>
      </c>
      <c r="D704" s="167" t="s">
        <v>2136</v>
      </c>
      <c r="E704" s="166" t="s">
        <v>13</v>
      </c>
      <c r="F704" s="295" t="s">
        <v>1531</v>
      </c>
      <c r="G704" s="166" t="s">
        <v>20</v>
      </c>
      <c r="H704" s="166" t="s">
        <v>73</v>
      </c>
      <c r="I704" s="181">
        <v>2015</v>
      </c>
      <c r="J704" s="181" t="s">
        <v>1532</v>
      </c>
      <c r="K704" s="181" t="s">
        <v>1533</v>
      </c>
      <c r="L704" s="181" t="s">
        <v>19</v>
      </c>
      <c r="M704" s="556" t="s">
        <v>4255</v>
      </c>
      <c r="N704" s="214" t="s">
        <v>20</v>
      </c>
      <c r="O704" s="214" t="s">
        <v>20</v>
      </c>
      <c r="P704" s="214" t="s">
        <v>15</v>
      </c>
      <c r="Q704" s="214" t="s">
        <v>15</v>
      </c>
      <c r="R704" s="214" t="s">
        <v>15</v>
      </c>
      <c r="S704" s="214" t="s">
        <v>15</v>
      </c>
      <c r="T704" s="214" t="s">
        <v>15</v>
      </c>
      <c r="U704" s="214" t="s">
        <v>15</v>
      </c>
      <c r="V704" s="214" t="s">
        <v>15</v>
      </c>
      <c r="W704" s="214" t="s">
        <v>15</v>
      </c>
      <c r="X704" s="214" t="s">
        <v>15</v>
      </c>
      <c r="Y704" s="214" t="s">
        <v>20</v>
      </c>
      <c r="Z704" s="234"/>
      <c r="AA704" s="214" t="s">
        <v>1534</v>
      </c>
      <c r="AB704" s="214" t="s">
        <v>292</v>
      </c>
      <c r="AC704" s="214" t="s">
        <v>292</v>
      </c>
      <c r="AD704" s="320" t="s">
        <v>1535</v>
      </c>
      <c r="AE704" s="319"/>
      <c r="AF704" s="162">
        <f t="shared" si="49"/>
        <v>2.38</v>
      </c>
      <c r="AG704" s="162" t="str">
        <f t="shared" si="52"/>
        <v/>
      </c>
      <c r="AH704" s="164">
        <f t="shared" si="50"/>
        <v>0.125</v>
      </c>
      <c r="AI704" s="164" t="str">
        <f t="shared" si="51"/>
        <v/>
      </c>
      <c r="AJ704" s="368"/>
      <c r="AK704" s="368"/>
      <c r="AL704" s="368"/>
      <c r="AM704" s="368"/>
      <c r="AN704" s="369"/>
      <c r="AO704" s="368"/>
      <c r="AP704" s="368"/>
      <c r="AQ704" s="368"/>
      <c r="AR704" s="368"/>
      <c r="AS704" s="194">
        <v>2.38</v>
      </c>
      <c r="AT704" s="195"/>
      <c r="AU704" s="377"/>
      <c r="AV704" s="382"/>
      <c r="AW704" s="426"/>
      <c r="AX704" s="426"/>
      <c r="AY704" s="426"/>
      <c r="AZ704" s="426"/>
      <c r="BA704" s="426"/>
      <c r="BB704" s="426"/>
      <c r="BC704" s="426"/>
      <c r="BD704" s="426"/>
      <c r="BE704" s="426"/>
      <c r="BF704" s="468">
        <v>0.125</v>
      </c>
      <c r="BG704" s="469"/>
      <c r="BH704" s="341"/>
      <c r="BI704" s="447"/>
      <c r="BJ704" s="505"/>
    </row>
    <row r="705" spans="1:62" ht="15.75" customHeight="1" thickBot="1" x14ac:dyDescent="0.25">
      <c r="A705" s="176">
        <v>706</v>
      </c>
      <c r="B705" s="175">
        <v>1</v>
      </c>
      <c r="C705" s="166" t="s">
        <v>236</v>
      </c>
      <c r="D705" s="167" t="s">
        <v>2136</v>
      </c>
      <c r="E705" s="166" t="s">
        <v>13</v>
      </c>
      <c r="F705" s="295" t="s">
        <v>1536</v>
      </c>
      <c r="G705" s="166" t="s">
        <v>20</v>
      </c>
      <c r="H705" s="166" t="s">
        <v>73</v>
      </c>
      <c r="I705" s="181">
        <v>2015</v>
      </c>
      <c r="J705" s="181" t="s">
        <v>1532</v>
      </c>
      <c r="K705" s="181" t="s">
        <v>1533</v>
      </c>
      <c r="L705" s="181" t="s">
        <v>19</v>
      </c>
      <c r="M705" s="556" t="s">
        <v>4255</v>
      </c>
      <c r="N705" s="214" t="s">
        <v>20</v>
      </c>
      <c r="O705" s="214" t="s">
        <v>20</v>
      </c>
      <c r="P705" s="214" t="s">
        <v>15</v>
      </c>
      <c r="Q705" s="214" t="s">
        <v>15</v>
      </c>
      <c r="R705" s="214" t="s">
        <v>15</v>
      </c>
      <c r="S705" s="214" t="s">
        <v>15</v>
      </c>
      <c r="T705" s="214" t="s">
        <v>15</v>
      </c>
      <c r="U705" s="214" t="s">
        <v>15</v>
      </c>
      <c r="V705" s="214" t="s">
        <v>15</v>
      </c>
      <c r="W705" s="214" t="s">
        <v>15</v>
      </c>
      <c r="X705" s="214" t="s">
        <v>15</v>
      </c>
      <c r="Y705" s="214" t="s">
        <v>20</v>
      </c>
      <c r="Z705" s="234"/>
      <c r="AA705" s="214" t="s">
        <v>1534</v>
      </c>
      <c r="AB705" s="214" t="s">
        <v>292</v>
      </c>
      <c r="AC705" s="214" t="s">
        <v>292</v>
      </c>
      <c r="AD705" s="320" t="s">
        <v>1535</v>
      </c>
      <c r="AE705" s="319"/>
      <c r="AF705" s="162">
        <f t="shared" si="49"/>
        <v>1.76</v>
      </c>
      <c r="AG705" s="162" t="str">
        <f t="shared" si="52"/>
        <v/>
      </c>
      <c r="AH705" s="164">
        <f t="shared" si="50"/>
        <v>0.183</v>
      </c>
      <c r="AI705" s="164" t="str">
        <f t="shared" si="51"/>
        <v/>
      </c>
      <c r="AJ705" s="368"/>
      <c r="AK705" s="368"/>
      <c r="AL705" s="368"/>
      <c r="AM705" s="368"/>
      <c r="AN705" s="369"/>
      <c r="AO705" s="368"/>
      <c r="AP705" s="368"/>
      <c r="AQ705" s="368"/>
      <c r="AR705" s="368"/>
      <c r="AS705" s="194">
        <v>1.76</v>
      </c>
      <c r="AT705" s="195"/>
      <c r="AU705" s="377"/>
      <c r="AV705" s="382"/>
      <c r="AW705" s="426"/>
      <c r="AX705" s="426"/>
      <c r="AY705" s="426"/>
      <c r="AZ705" s="426"/>
      <c r="BA705" s="426"/>
      <c r="BB705" s="426"/>
      <c r="BC705" s="426"/>
      <c r="BD705" s="426"/>
      <c r="BE705" s="426"/>
      <c r="BF705" s="468">
        <v>0.183</v>
      </c>
      <c r="BG705" s="469"/>
      <c r="BH705" s="341"/>
      <c r="BI705" s="447"/>
      <c r="BJ705" s="505"/>
    </row>
    <row r="706" spans="1:62" ht="15.75" customHeight="1" thickBot="1" x14ac:dyDescent="0.25">
      <c r="A706" s="174">
        <v>707</v>
      </c>
      <c r="B706" s="175">
        <v>1</v>
      </c>
      <c r="C706" s="166" t="s">
        <v>236</v>
      </c>
      <c r="D706" s="167" t="s">
        <v>2136</v>
      </c>
      <c r="E706" s="166" t="s">
        <v>13</v>
      </c>
      <c r="F706" s="295" t="s">
        <v>1537</v>
      </c>
      <c r="G706" s="166" t="s">
        <v>20</v>
      </c>
      <c r="H706" s="166" t="s">
        <v>73</v>
      </c>
      <c r="I706" s="181">
        <v>2015</v>
      </c>
      <c r="J706" s="181" t="s">
        <v>1532</v>
      </c>
      <c r="K706" s="181" t="s">
        <v>1533</v>
      </c>
      <c r="L706" s="181" t="s">
        <v>19</v>
      </c>
      <c r="M706" s="556" t="s">
        <v>4255</v>
      </c>
      <c r="N706" s="214" t="s">
        <v>20</v>
      </c>
      <c r="O706" s="214" t="s">
        <v>20</v>
      </c>
      <c r="P706" s="214" t="s">
        <v>15</v>
      </c>
      <c r="Q706" s="214" t="s">
        <v>15</v>
      </c>
      <c r="R706" s="214" t="s">
        <v>15</v>
      </c>
      <c r="S706" s="214" t="s">
        <v>15</v>
      </c>
      <c r="T706" s="214" t="s">
        <v>15</v>
      </c>
      <c r="U706" s="214" t="s">
        <v>15</v>
      </c>
      <c r="V706" s="214" t="s">
        <v>15</v>
      </c>
      <c r="W706" s="214" t="s">
        <v>15</v>
      </c>
      <c r="X706" s="214" t="s">
        <v>15</v>
      </c>
      <c r="Y706" s="214" t="s">
        <v>20</v>
      </c>
      <c r="Z706" s="234"/>
      <c r="AA706" s="214" t="s">
        <v>1534</v>
      </c>
      <c r="AB706" s="214" t="s">
        <v>292</v>
      </c>
      <c r="AC706" s="214" t="s">
        <v>292</v>
      </c>
      <c r="AD706" s="320" t="s">
        <v>1535</v>
      </c>
      <c r="AE706" s="319"/>
      <c r="AF706" s="162">
        <f t="shared" ref="AF706:AF769" si="54">IF(AS706&lt;&gt;0,AS706,"")</f>
        <v>1.0900000000000001</v>
      </c>
      <c r="AG706" s="162" t="str">
        <f t="shared" si="52"/>
        <v/>
      </c>
      <c r="AH706" s="164">
        <f t="shared" ref="AH706:AH769" si="55">IF(BF706&lt;&gt;0,BF706,"")</f>
        <v>0.125</v>
      </c>
      <c r="AI706" s="164" t="str">
        <f t="shared" ref="AI706:AI769" si="56">IF(AND(SUM(AW706:AY706)&lt;&gt;0,SUM(AW706:AY706)&lt;&gt;AW706),SUM(AW706:AY706),"")</f>
        <v/>
      </c>
      <c r="AJ706" s="368"/>
      <c r="AK706" s="368"/>
      <c r="AL706" s="368"/>
      <c r="AM706" s="368"/>
      <c r="AN706" s="369"/>
      <c r="AO706" s="368"/>
      <c r="AP706" s="368"/>
      <c r="AQ706" s="368"/>
      <c r="AR706" s="368"/>
      <c r="AS706" s="194">
        <v>1.0900000000000001</v>
      </c>
      <c r="AT706" s="195"/>
      <c r="AU706" s="377"/>
      <c r="AV706" s="382"/>
      <c r="AW706" s="426"/>
      <c r="AX706" s="426"/>
      <c r="AY706" s="426"/>
      <c r="AZ706" s="426"/>
      <c r="BA706" s="426"/>
      <c r="BB706" s="426"/>
      <c r="BC706" s="426"/>
      <c r="BD706" s="426"/>
      <c r="BE706" s="426"/>
      <c r="BF706" s="468">
        <v>0.125</v>
      </c>
      <c r="BG706" s="469"/>
      <c r="BH706" s="341"/>
      <c r="BI706" s="447"/>
      <c r="BJ706" s="505"/>
    </row>
    <row r="707" spans="1:62" ht="15.75" customHeight="1" thickBot="1" x14ac:dyDescent="0.25">
      <c r="A707" s="176">
        <v>708</v>
      </c>
      <c r="B707" s="175">
        <v>1</v>
      </c>
      <c r="C707" s="166" t="s">
        <v>236</v>
      </c>
      <c r="D707" s="167" t="s">
        <v>2136</v>
      </c>
      <c r="E707" s="166" t="s">
        <v>13</v>
      </c>
      <c r="F707" s="295" t="s">
        <v>1538</v>
      </c>
      <c r="G707" s="166" t="s">
        <v>20</v>
      </c>
      <c r="H707" s="166" t="s">
        <v>73</v>
      </c>
      <c r="I707" s="181">
        <v>2015</v>
      </c>
      <c r="J707" s="181" t="s">
        <v>1532</v>
      </c>
      <c r="K707" s="181" t="s">
        <v>1533</v>
      </c>
      <c r="L707" s="181" t="s">
        <v>19</v>
      </c>
      <c r="M707" s="556" t="s">
        <v>4255</v>
      </c>
      <c r="N707" s="214" t="s">
        <v>20</v>
      </c>
      <c r="O707" s="214" t="s">
        <v>20</v>
      </c>
      <c r="P707" s="214" t="s">
        <v>15</v>
      </c>
      <c r="Q707" s="214" t="s">
        <v>15</v>
      </c>
      <c r="R707" s="214" t="s">
        <v>15</v>
      </c>
      <c r="S707" s="214" t="s">
        <v>15</v>
      </c>
      <c r="T707" s="214" t="s">
        <v>15</v>
      </c>
      <c r="U707" s="214" t="s">
        <v>15</v>
      </c>
      <c r="V707" s="214" t="s">
        <v>15</v>
      </c>
      <c r="W707" s="214" t="s">
        <v>15</v>
      </c>
      <c r="X707" s="214" t="s">
        <v>15</v>
      </c>
      <c r="Y707" s="214" t="s">
        <v>20</v>
      </c>
      <c r="Z707" s="234"/>
      <c r="AA707" s="214" t="s">
        <v>1534</v>
      </c>
      <c r="AB707" s="214" t="s">
        <v>292</v>
      </c>
      <c r="AC707" s="214" t="s">
        <v>292</v>
      </c>
      <c r="AD707" s="320" t="s">
        <v>1535</v>
      </c>
      <c r="AE707" s="319"/>
      <c r="AF707" s="162">
        <f t="shared" si="54"/>
        <v>1.62</v>
      </c>
      <c r="AG707" s="162" t="str">
        <f t="shared" si="52"/>
        <v/>
      </c>
      <c r="AH707" s="164">
        <f t="shared" si="55"/>
        <v>0.16200000000000001</v>
      </c>
      <c r="AI707" s="164" t="str">
        <f t="shared" si="56"/>
        <v/>
      </c>
      <c r="AJ707" s="368"/>
      <c r="AK707" s="368"/>
      <c r="AL707" s="368"/>
      <c r="AM707" s="368"/>
      <c r="AN707" s="369"/>
      <c r="AO707" s="368"/>
      <c r="AP707" s="368"/>
      <c r="AQ707" s="368"/>
      <c r="AR707" s="368"/>
      <c r="AS707" s="194">
        <v>1.62</v>
      </c>
      <c r="AT707" s="195"/>
      <c r="AU707" s="377"/>
      <c r="AV707" s="382"/>
      <c r="AW707" s="426"/>
      <c r="AX707" s="426"/>
      <c r="AY707" s="426"/>
      <c r="AZ707" s="426"/>
      <c r="BA707" s="426"/>
      <c r="BB707" s="426"/>
      <c r="BC707" s="426"/>
      <c r="BD707" s="426"/>
      <c r="BE707" s="426"/>
      <c r="BF707" s="468">
        <v>0.16200000000000001</v>
      </c>
      <c r="BG707" s="469"/>
      <c r="BH707" s="341"/>
      <c r="BI707" s="447"/>
      <c r="BJ707" s="505"/>
    </row>
    <row r="708" spans="1:62" ht="15.75" customHeight="1" thickBot="1" x14ac:dyDescent="0.25">
      <c r="A708" s="174">
        <v>709</v>
      </c>
      <c r="B708" s="175">
        <v>1</v>
      </c>
      <c r="C708" s="166" t="s">
        <v>236</v>
      </c>
      <c r="D708" s="166" t="s">
        <v>1539</v>
      </c>
      <c r="E708" s="166" t="s">
        <v>13</v>
      </c>
      <c r="F708" s="166" t="s">
        <v>1540</v>
      </c>
      <c r="G708" s="166" t="s">
        <v>292</v>
      </c>
      <c r="H708" s="166" t="s">
        <v>1541</v>
      </c>
      <c r="I708" s="181">
        <v>2013</v>
      </c>
      <c r="J708" s="181" t="s">
        <v>1542</v>
      </c>
      <c r="K708" s="181" t="s">
        <v>1543</v>
      </c>
      <c r="L708" s="181" t="s">
        <v>19</v>
      </c>
      <c r="M708" s="556" t="s">
        <v>4256</v>
      </c>
      <c r="N708" s="214" t="s">
        <v>20</v>
      </c>
      <c r="O708" s="214" t="s">
        <v>15</v>
      </c>
      <c r="P708" s="214" t="s">
        <v>15</v>
      </c>
      <c r="Q708" s="214" t="s">
        <v>15</v>
      </c>
      <c r="R708" s="214" t="s">
        <v>15</v>
      </c>
      <c r="S708" s="214" t="s">
        <v>15</v>
      </c>
      <c r="T708" s="214" t="s">
        <v>15</v>
      </c>
      <c r="U708" s="214" t="s">
        <v>15</v>
      </c>
      <c r="V708" s="214" t="s">
        <v>15</v>
      </c>
      <c r="W708" s="214" t="s">
        <v>15</v>
      </c>
      <c r="X708" s="214" t="s">
        <v>15</v>
      </c>
      <c r="Y708" s="214" t="s">
        <v>15</v>
      </c>
      <c r="Z708" s="234"/>
      <c r="AA708" s="214" t="s">
        <v>1131</v>
      </c>
      <c r="AB708" s="214" t="s">
        <v>15</v>
      </c>
      <c r="AC708" s="214" t="s">
        <v>15</v>
      </c>
      <c r="AD708" s="320" t="s">
        <v>1544</v>
      </c>
      <c r="AE708" s="320" t="s">
        <v>1545</v>
      </c>
      <c r="AF708" s="162" t="str">
        <f t="shared" si="54"/>
        <v/>
      </c>
      <c r="AG708" s="162" t="str">
        <f t="shared" si="52"/>
        <v/>
      </c>
      <c r="AH708" s="164">
        <f t="shared" si="55"/>
        <v>0.17</v>
      </c>
      <c r="AI708" s="164" t="str">
        <f t="shared" si="56"/>
        <v/>
      </c>
      <c r="AJ708" s="368"/>
      <c r="AK708" s="368"/>
      <c r="AL708" s="368"/>
      <c r="AM708" s="368"/>
      <c r="AN708" s="369"/>
      <c r="AO708" s="368"/>
      <c r="AP708" s="368"/>
      <c r="AQ708" s="368"/>
      <c r="AR708" s="368"/>
      <c r="AS708" s="199"/>
      <c r="AT708" s="195"/>
      <c r="AU708" s="377"/>
      <c r="AV708" s="382"/>
      <c r="AW708" s="426"/>
      <c r="AX708" s="426"/>
      <c r="AY708" s="426"/>
      <c r="AZ708" s="426"/>
      <c r="BA708" s="426"/>
      <c r="BB708" s="426"/>
      <c r="BC708" s="426"/>
      <c r="BD708" s="426"/>
      <c r="BE708" s="426"/>
      <c r="BF708" s="468">
        <v>0.17</v>
      </c>
      <c r="BG708" s="469"/>
      <c r="BH708" s="341"/>
      <c r="BI708" s="447"/>
      <c r="BJ708" s="505"/>
    </row>
    <row r="709" spans="1:62" ht="15.75" customHeight="1" thickBot="1" x14ac:dyDescent="0.25">
      <c r="A709" s="176">
        <v>710</v>
      </c>
      <c r="B709" s="175">
        <v>1</v>
      </c>
      <c r="C709" s="166" t="s">
        <v>236</v>
      </c>
      <c r="D709" s="166" t="s">
        <v>1546</v>
      </c>
      <c r="E709" s="166" t="s">
        <v>13</v>
      </c>
      <c r="F709" s="166" t="s">
        <v>1546</v>
      </c>
      <c r="G709" s="166" t="s">
        <v>292</v>
      </c>
      <c r="H709" s="166" t="s">
        <v>1541</v>
      </c>
      <c r="I709" s="181">
        <v>2013</v>
      </c>
      <c r="J709" s="181" t="s">
        <v>1542</v>
      </c>
      <c r="K709" s="181" t="s">
        <v>1543</v>
      </c>
      <c r="L709" s="181" t="s">
        <v>19</v>
      </c>
      <c r="M709" s="556" t="s">
        <v>4256</v>
      </c>
      <c r="N709" s="214" t="s">
        <v>20</v>
      </c>
      <c r="O709" s="214" t="s">
        <v>15</v>
      </c>
      <c r="P709" s="214" t="s">
        <v>15</v>
      </c>
      <c r="Q709" s="214" t="s">
        <v>15</v>
      </c>
      <c r="R709" s="214" t="s">
        <v>15</v>
      </c>
      <c r="S709" s="214" t="s">
        <v>15</v>
      </c>
      <c r="T709" s="214" t="s">
        <v>15</v>
      </c>
      <c r="U709" s="214" t="s">
        <v>15</v>
      </c>
      <c r="V709" s="214" t="s">
        <v>15</v>
      </c>
      <c r="W709" s="214" t="s">
        <v>15</v>
      </c>
      <c r="X709" s="214" t="s">
        <v>15</v>
      </c>
      <c r="Y709" s="214" t="s">
        <v>15</v>
      </c>
      <c r="Z709" s="234"/>
      <c r="AA709" s="214" t="s">
        <v>1131</v>
      </c>
      <c r="AB709" s="214" t="s">
        <v>15</v>
      </c>
      <c r="AC709" s="214" t="s">
        <v>15</v>
      </c>
      <c r="AD709" s="320" t="s">
        <v>1544</v>
      </c>
      <c r="AE709" s="320" t="s">
        <v>1545</v>
      </c>
      <c r="AF709" s="162" t="str">
        <f t="shared" si="54"/>
        <v/>
      </c>
      <c r="AG709" s="162" t="str">
        <f t="shared" si="52"/>
        <v/>
      </c>
      <c r="AH709" s="164">
        <f t="shared" si="55"/>
        <v>0.38700000000000001</v>
      </c>
      <c r="AI709" s="164" t="str">
        <f t="shared" si="56"/>
        <v/>
      </c>
      <c r="AJ709" s="368"/>
      <c r="AK709" s="368"/>
      <c r="AL709" s="368"/>
      <c r="AM709" s="368"/>
      <c r="AN709" s="369"/>
      <c r="AO709" s="368"/>
      <c r="AP709" s="368"/>
      <c r="AQ709" s="368"/>
      <c r="AR709" s="368"/>
      <c r="AS709" s="195"/>
      <c r="AT709" s="195"/>
      <c r="AU709" s="377"/>
      <c r="AV709" s="382"/>
      <c r="AW709" s="426"/>
      <c r="AX709" s="426"/>
      <c r="AY709" s="426"/>
      <c r="AZ709" s="426"/>
      <c r="BA709" s="426"/>
      <c r="BB709" s="426"/>
      <c r="BC709" s="426"/>
      <c r="BD709" s="426"/>
      <c r="BE709" s="426"/>
      <c r="BF709" s="468">
        <v>0.38700000000000001</v>
      </c>
      <c r="BG709" s="469"/>
      <c r="BH709" s="341"/>
      <c r="BI709" s="447"/>
      <c r="BJ709" s="505"/>
    </row>
    <row r="710" spans="1:62" ht="15.75" customHeight="1" thickBot="1" x14ac:dyDescent="0.25">
      <c r="A710" s="174">
        <v>711</v>
      </c>
      <c r="B710" s="175">
        <v>1</v>
      </c>
      <c r="C710" s="166" t="s">
        <v>236</v>
      </c>
      <c r="D710" s="166" t="s">
        <v>1547</v>
      </c>
      <c r="E710" s="166" t="s">
        <v>13</v>
      </c>
      <c r="F710" s="166" t="s">
        <v>1547</v>
      </c>
      <c r="G710" s="166" t="s">
        <v>292</v>
      </c>
      <c r="H710" s="166" t="s">
        <v>1541</v>
      </c>
      <c r="I710" s="181">
        <v>2013</v>
      </c>
      <c r="J710" s="181" t="s">
        <v>1542</v>
      </c>
      <c r="K710" s="181" t="s">
        <v>1543</v>
      </c>
      <c r="L710" s="181" t="s">
        <v>19</v>
      </c>
      <c r="M710" s="556" t="s">
        <v>4256</v>
      </c>
      <c r="N710" s="214" t="s">
        <v>20</v>
      </c>
      <c r="O710" s="214" t="s">
        <v>15</v>
      </c>
      <c r="P710" s="214" t="s">
        <v>15</v>
      </c>
      <c r="Q710" s="214" t="s">
        <v>15</v>
      </c>
      <c r="R710" s="214" t="s">
        <v>15</v>
      </c>
      <c r="S710" s="214" t="s">
        <v>15</v>
      </c>
      <c r="T710" s="214" t="s">
        <v>15</v>
      </c>
      <c r="U710" s="214" t="s">
        <v>15</v>
      </c>
      <c r="V710" s="214" t="s">
        <v>15</v>
      </c>
      <c r="W710" s="214" t="s">
        <v>15</v>
      </c>
      <c r="X710" s="214" t="s">
        <v>15</v>
      </c>
      <c r="Y710" s="214" t="s">
        <v>15</v>
      </c>
      <c r="Z710" s="234"/>
      <c r="AA710" s="214" t="s">
        <v>1131</v>
      </c>
      <c r="AB710" s="214" t="s">
        <v>15</v>
      </c>
      <c r="AC710" s="214" t="s">
        <v>15</v>
      </c>
      <c r="AD710" s="320" t="s">
        <v>1544</v>
      </c>
      <c r="AE710" s="320" t="s">
        <v>1545</v>
      </c>
      <c r="AF710" s="162" t="str">
        <f t="shared" si="54"/>
        <v/>
      </c>
      <c r="AG710" s="162" t="str">
        <f t="shared" si="52"/>
        <v/>
      </c>
      <c r="AH710" s="164">
        <f t="shared" si="55"/>
        <v>0.125</v>
      </c>
      <c r="AI710" s="164" t="str">
        <f t="shared" si="56"/>
        <v/>
      </c>
      <c r="AJ710" s="368"/>
      <c r="AK710" s="368"/>
      <c r="AL710" s="368"/>
      <c r="AM710" s="368"/>
      <c r="AN710" s="369"/>
      <c r="AO710" s="368"/>
      <c r="AP710" s="368"/>
      <c r="AQ710" s="368"/>
      <c r="AR710" s="368"/>
      <c r="AS710" s="195"/>
      <c r="AT710" s="195"/>
      <c r="AU710" s="377"/>
      <c r="AV710" s="382"/>
      <c r="AW710" s="426"/>
      <c r="AX710" s="426"/>
      <c r="AY710" s="426"/>
      <c r="AZ710" s="426"/>
      <c r="BA710" s="426"/>
      <c r="BB710" s="426"/>
      <c r="BC710" s="426"/>
      <c r="BD710" s="426"/>
      <c r="BE710" s="426"/>
      <c r="BF710" s="468">
        <v>0.125</v>
      </c>
      <c r="BG710" s="469"/>
      <c r="BH710" s="341"/>
      <c r="BI710" s="447"/>
      <c r="BJ710" s="505"/>
    </row>
    <row r="711" spans="1:62" ht="15.75" customHeight="1" thickBot="1" x14ac:dyDescent="0.25">
      <c r="A711" s="176">
        <v>712</v>
      </c>
      <c r="B711" s="175">
        <v>1</v>
      </c>
      <c r="C711" s="166" t="s">
        <v>236</v>
      </c>
      <c r="D711" s="166" t="s">
        <v>1548</v>
      </c>
      <c r="E711" s="166" t="s">
        <v>13</v>
      </c>
      <c r="F711" s="166" t="s">
        <v>1548</v>
      </c>
      <c r="G711" s="166" t="s">
        <v>292</v>
      </c>
      <c r="H711" s="166" t="s">
        <v>1541</v>
      </c>
      <c r="I711" s="181">
        <v>2013</v>
      </c>
      <c r="J711" s="181" t="s">
        <v>1542</v>
      </c>
      <c r="K711" s="181" t="s">
        <v>1543</v>
      </c>
      <c r="L711" s="181" t="s">
        <v>19</v>
      </c>
      <c r="M711" s="556" t="s">
        <v>4256</v>
      </c>
      <c r="N711" s="214" t="s">
        <v>20</v>
      </c>
      <c r="O711" s="214" t="s">
        <v>15</v>
      </c>
      <c r="P711" s="214" t="s">
        <v>15</v>
      </c>
      <c r="Q711" s="214" t="s">
        <v>15</v>
      </c>
      <c r="R711" s="214" t="s">
        <v>15</v>
      </c>
      <c r="S711" s="214" t="s">
        <v>15</v>
      </c>
      <c r="T711" s="214" t="s">
        <v>15</v>
      </c>
      <c r="U711" s="214" t="s">
        <v>15</v>
      </c>
      <c r="V711" s="214" t="s">
        <v>15</v>
      </c>
      <c r="W711" s="214" t="s">
        <v>15</v>
      </c>
      <c r="X711" s="214" t="s">
        <v>15</v>
      </c>
      <c r="Y711" s="214" t="s">
        <v>15</v>
      </c>
      <c r="Z711" s="234"/>
      <c r="AA711" s="214" t="s">
        <v>1131</v>
      </c>
      <c r="AB711" s="214" t="s">
        <v>15</v>
      </c>
      <c r="AC711" s="214" t="s">
        <v>15</v>
      </c>
      <c r="AD711" s="320" t="s">
        <v>1544</v>
      </c>
      <c r="AE711" s="320" t="s">
        <v>1545</v>
      </c>
      <c r="AF711" s="162" t="str">
        <f t="shared" si="54"/>
        <v/>
      </c>
      <c r="AG711" s="162" t="str">
        <f t="shared" si="52"/>
        <v/>
      </c>
      <c r="AH711" s="164">
        <f t="shared" si="55"/>
        <v>0.34499999999999997</v>
      </c>
      <c r="AI711" s="164" t="str">
        <f t="shared" si="56"/>
        <v/>
      </c>
      <c r="AJ711" s="368"/>
      <c r="AK711" s="368"/>
      <c r="AL711" s="368"/>
      <c r="AM711" s="368"/>
      <c r="AN711" s="369"/>
      <c r="AO711" s="368"/>
      <c r="AP711" s="368"/>
      <c r="AQ711" s="368"/>
      <c r="AR711" s="368"/>
      <c r="AS711" s="195"/>
      <c r="AT711" s="195"/>
      <c r="AU711" s="377"/>
      <c r="AV711" s="382"/>
      <c r="AW711" s="426"/>
      <c r="AX711" s="426"/>
      <c r="AY711" s="426"/>
      <c r="AZ711" s="426"/>
      <c r="BA711" s="426"/>
      <c r="BB711" s="426"/>
      <c r="BC711" s="426"/>
      <c r="BD711" s="426"/>
      <c r="BE711" s="426"/>
      <c r="BF711" s="468">
        <v>0.34499999999999997</v>
      </c>
      <c r="BG711" s="469"/>
      <c r="BH711" s="341"/>
      <c r="BI711" s="447"/>
      <c r="BJ711" s="505"/>
    </row>
    <row r="712" spans="1:62" ht="15.75" customHeight="1" thickBot="1" x14ac:dyDescent="0.25">
      <c r="A712" s="174">
        <v>713</v>
      </c>
      <c r="B712" s="175">
        <v>1</v>
      </c>
      <c r="C712" s="166" t="s">
        <v>236</v>
      </c>
      <c r="D712" s="166" t="s">
        <v>1549</v>
      </c>
      <c r="E712" s="166" t="s">
        <v>13</v>
      </c>
      <c r="F712" s="166" t="s">
        <v>1549</v>
      </c>
      <c r="G712" s="166" t="s">
        <v>292</v>
      </c>
      <c r="H712" s="166" t="s">
        <v>1541</v>
      </c>
      <c r="I712" s="181">
        <v>2013</v>
      </c>
      <c r="J712" s="181" t="s">
        <v>1542</v>
      </c>
      <c r="K712" s="181" t="s">
        <v>1543</v>
      </c>
      <c r="L712" s="181" t="s">
        <v>19</v>
      </c>
      <c r="M712" s="556" t="s">
        <v>4256</v>
      </c>
      <c r="N712" s="214" t="s">
        <v>20</v>
      </c>
      <c r="O712" s="214" t="s">
        <v>15</v>
      </c>
      <c r="P712" s="214" t="s">
        <v>15</v>
      </c>
      <c r="Q712" s="214" t="s">
        <v>15</v>
      </c>
      <c r="R712" s="214" t="s">
        <v>15</v>
      </c>
      <c r="S712" s="214" t="s">
        <v>15</v>
      </c>
      <c r="T712" s="214" t="s">
        <v>15</v>
      </c>
      <c r="U712" s="214" t="s">
        <v>15</v>
      </c>
      <c r="V712" s="214" t="s">
        <v>15</v>
      </c>
      <c r="W712" s="214" t="s">
        <v>15</v>
      </c>
      <c r="X712" s="214" t="s">
        <v>15</v>
      </c>
      <c r="Y712" s="214" t="s">
        <v>15</v>
      </c>
      <c r="Z712" s="234"/>
      <c r="AA712" s="214" t="s">
        <v>1131</v>
      </c>
      <c r="AB712" s="214" t="s">
        <v>15</v>
      </c>
      <c r="AC712" s="214" t="s">
        <v>15</v>
      </c>
      <c r="AD712" s="320" t="s">
        <v>1544</v>
      </c>
      <c r="AE712" s="320" t="s">
        <v>1545</v>
      </c>
      <c r="AF712" s="162" t="str">
        <f t="shared" si="54"/>
        <v/>
      </c>
      <c r="AG712" s="162" t="str">
        <f t="shared" si="52"/>
        <v/>
      </c>
      <c r="AH712" s="164">
        <f t="shared" si="55"/>
        <v>0.189</v>
      </c>
      <c r="AI712" s="164" t="str">
        <f t="shared" si="56"/>
        <v/>
      </c>
      <c r="AJ712" s="368"/>
      <c r="AK712" s="368"/>
      <c r="AL712" s="368"/>
      <c r="AM712" s="368"/>
      <c r="AN712" s="369"/>
      <c r="AO712" s="368"/>
      <c r="AP712" s="368"/>
      <c r="AQ712" s="368"/>
      <c r="AR712" s="368"/>
      <c r="AS712" s="195"/>
      <c r="AT712" s="195"/>
      <c r="AU712" s="377"/>
      <c r="AV712" s="382"/>
      <c r="AW712" s="426"/>
      <c r="AX712" s="426"/>
      <c r="AY712" s="426"/>
      <c r="AZ712" s="426"/>
      <c r="BA712" s="426"/>
      <c r="BB712" s="426"/>
      <c r="BC712" s="426"/>
      <c r="BD712" s="426"/>
      <c r="BE712" s="426"/>
      <c r="BF712" s="468">
        <v>0.189</v>
      </c>
      <c r="BG712" s="469"/>
      <c r="BH712" s="341"/>
      <c r="BI712" s="447"/>
      <c r="BJ712" s="505"/>
    </row>
    <row r="713" spans="1:62" ht="15.75" customHeight="1" thickBot="1" x14ac:dyDescent="0.25">
      <c r="A713" s="176">
        <v>714</v>
      </c>
      <c r="B713" s="175">
        <v>1</v>
      </c>
      <c r="C713" s="166" t="s">
        <v>236</v>
      </c>
      <c r="D713" s="166" t="s">
        <v>480</v>
      </c>
      <c r="E713" s="166" t="s">
        <v>13</v>
      </c>
      <c r="F713" s="166" t="s">
        <v>480</v>
      </c>
      <c r="G713" s="166" t="s">
        <v>292</v>
      </c>
      <c r="H713" s="166" t="s">
        <v>1541</v>
      </c>
      <c r="I713" s="181">
        <v>2013</v>
      </c>
      <c r="J713" s="181" t="s">
        <v>1542</v>
      </c>
      <c r="K713" s="181" t="s">
        <v>1543</v>
      </c>
      <c r="L713" s="181" t="s">
        <v>19</v>
      </c>
      <c r="M713" s="556" t="s">
        <v>4256</v>
      </c>
      <c r="N713" s="214" t="s">
        <v>20</v>
      </c>
      <c r="O713" s="214" t="s">
        <v>15</v>
      </c>
      <c r="P713" s="214" t="s">
        <v>15</v>
      </c>
      <c r="Q713" s="214" t="s">
        <v>15</v>
      </c>
      <c r="R713" s="214" t="s">
        <v>15</v>
      </c>
      <c r="S713" s="214" t="s">
        <v>15</v>
      </c>
      <c r="T713" s="214" t="s">
        <v>15</v>
      </c>
      <c r="U713" s="214" t="s">
        <v>15</v>
      </c>
      <c r="V713" s="214" t="s">
        <v>15</v>
      </c>
      <c r="W713" s="214" t="s">
        <v>15</v>
      </c>
      <c r="X713" s="214" t="s">
        <v>15</v>
      </c>
      <c r="Y713" s="214" t="s">
        <v>15</v>
      </c>
      <c r="Z713" s="234"/>
      <c r="AA713" s="214" t="s">
        <v>1131</v>
      </c>
      <c r="AB713" s="214" t="s">
        <v>15</v>
      </c>
      <c r="AC713" s="214" t="s">
        <v>15</v>
      </c>
      <c r="AD713" s="320" t="s">
        <v>1544</v>
      </c>
      <c r="AE713" s="320" t="s">
        <v>1545</v>
      </c>
      <c r="AF713" s="162" t="str">
        <f t="shared" si="54"/>
        <v/>
      </c>
      <c r="AG713" s="162" t="str">
        <f t="shared" si="52"/>
        <v/>
      </c>
      <c r="AH713" s="164">
        <f t="shared" si="55"/>
        <v>0.60499999999999998</v>
      </c>
      <c r="AI713" s="164" t="str">
        <f t="shared" si="56"/>
        <v/>
      </c>
      <c r="AJ713" s="368"/>
      <c r="AK713" s="368"/>
      <c r="AL713" s="368"/>
      <c r="AM713" s="368"/>
      <c r="AN713" s="369"/>
      <c r="AO713" s="368"/>
      <c r="AP713" s="368"/>
      <c r="AQ713" s="368"/>
      <c r="AR713" s="368"/>
      <c r="AS713" s="195"/>
      <c r="AT713" s="195"/>
      <c r="AU713" s="377"/>
      <c r="AV713" s="382"/>
      <c r="AW713" s="426"/>
      <c r="AX713" s="426"/>
      <c r="AY713" s="426"/>
      <c r="AZ713" s="426"/>
      <c r="BA713" s="426"/>
      <c r="BB713" s="426"/>
      <c r="BC713" s="426"/>
      <c r="BD713" s="426"/>
      <c r="BE713" s="426"/>
      <c r="BF713" s="468">
        <v>0.60499999999999998</v>
      </c>
      <c r="BG713" s="469"/>
      <c r="BH713" s="341"/>
      <c r="BI713" s="447"/>
      <c r="BJ713" s="505"/>
    </row>
    <row r="714" spans="1:62" ht="15.75" customHeight="1" thickBot="1" x14ac:dyDescent="0.25">
      <c r="A714" s="174">
        <v>715</v>
      </c>
      <c r="B714" s="175">
        <v>1</v>
      </c>
      <c r="C714" s="166" t="s">
        <v>236</v>
      </c>
      <c r="D714" s="166" t="s">
        <v>859</v>
      </c>
      <c r="E714" s="166" t="s">
        <v>13</v>
      </c>
      <c r="F714" s="166" t="s">
        <v>1550</v>
      </c>
      <c r="G714" s="166" t="s">
        <v>292</v>
      </c>
      <c r="H714" s="166" t="s">
        <v>1541</v>
      </c>
      <c r="I714" s="181">
        <v>2013</v>
      </c>
      <c r="J714" s="181" t="s">
        <v>1542</v>
      </c>
      <c r="K714" s="181" t="s">
        <v>1543</v>
      </c>
      <c r="L714" s="181" t="s">
        <v>19</v>
      </c>
      <c r="M714" s="556" t="s">
        <v>4256</v>
      </c>
      <c r="N714" s="214" t="s">
        <v>20</v>
      </c>
      <c r="O714" s="214" t="s">
        <v>15</v>
      </c>
      <c r="P714" s="214" t="s">
        <v>15</v>
      </c>
      <c r="Q714" s="214" t="s">
        <v>15</v>
      </c>
      <c r="R714" s="214" t="s">
        <v>15</v>
      </c>
      <c r="S714" s="214" t="s">
        <v>15</v>
      </c>
      <c r="T714" s="214" t="s">
        <v>15</v>
      </c>
      <c r="U714" s="214" t="s">
        <v>15</v>
      </c>
      <c r="V714" s="214" t="s">
        <v>15</v>
      </c>
      <c r="W714" s="214" t="s">
        <v>15</v>
      </c>
      <c r="X714" s="214" t="s">
        <v>15</v>
      </c>
      <c r="Y714" s="214" t="s">
        <v>15</v>
      </c>
      <c r="Z714" s="234"/>
      <c r="AA714" s="214" t="s">
        <v>1131</v>
      </c>
      <c r="AB714" s="214" t="s">
        <v>15</v>
      </c>
      <c r="AC714" s="214" t="s">
        <v>15</v>
      </c>
      <c r="AD714" s="320" t="s">
        <v>1544</v>
      </c>
      <c r="AE714" s="320" t="s">
        <v>1545</v>
      </c>
      <c r="AF714" s="162" t="str">
        <f t="shared" si="54"/>
        <v/>
      </c>
      <c r="AG714" s="162" t="str">
        <f t="shared" si="52"/>
        <v/>
      </c>
      <c r="AH714" s="164">
        <f t="shared" si="55"/>
        <v>0.17</v>
      </c>
      <c r="AI714" s="164" t="str">
        <f t="shared" si="56"/>
        <v/>
      </c>
      <c r="AJ714" s="368"/>
      <c r="AK714" s="368"/>
      <c r="AL714" s="368"/>
      <c r="AM714" s="368"/>
      <c r="AN714" s="369"/>
      <c r="AO714" s="368"/>
      <c r="AP714" s="368"/>
      <c r="AQ714" s="368"/>
      <c r="AR714" s="368"/>
      <c r="AS714" s="195"/>
      <c r="AT714" s="195"/>
      <c r="AU714" s="377"/>
      <c r="AV714" s="382"/>
      <c r="AW714" s="426"/>
      <c r="AX714" s="426"/>
      <c r="AY714" s="426"/>
      <c r="AZ714" s="426"/>
      <c r="BA714" s="426"/>
      <c r="BB714" s="426"/>
      <c r="BC714" s="426"/>
      <c r="BD714" s="426"/>
      <c r="BE714" s="426"/>
      <c r="BF714" s="468">
        <v>0.17</v>
      </c>
      <c r="BG714" s="469"/>
      <c r="BH714" s="341"/>
      <c r="BI714" s="447"/>
      <c r="BJ714" s="505"/>
    </row>
    <row r="715" spans="1:62" ht="15.75" customHeight="1" thickBot="1" x14ac:dyDescent="0.25">
      <c r="A715" s="176">
        <v>716</v>
      </c>
      <c r="B715" s="175">
        <v>1</v>
      </c>
      <c r="C715" s="166" t="s">
        <v>236</v>
      </c>
      <c r="D715" s="166" t="s">
        <v>1551</v>
      </c>
      <c r="E715" s="166" t="s">
        <v>13</v>
      </c>
      <c r="F715" s="166" t="s">
        <v>1551</v>
      </c>
      <c r="G715" s="166" t="s">
        <v>292</v>
      </c>
      <c r="H715" s="166" t="s">
        <v>1541</v>
      </c>
      <c r="I715" s="181">
        <v>2013</v>
      </c>
      <c r="J715" s="181" t="s">
        <v>1542</v>
      </c>
      <c r="K715" s="181" t="s">
        <v>1543</v>
      </c>
      <c r="L715" s="181" t="s">
        <v>19</v>
      </c>
      <c r="M715" s="556" t="s">
        <v>4256</v>
      </c>
      <c r="N715" s="214" t="s">
        <v>20</v>
      </c>
      <c r="O715" s="214" t="s">
        <v>15</v>
      </c>
      <c r="P715" s="214" t="s">
        <v>15</v>
      </c>
      <c r="Q715" s="214" t="s">
        <v>15</v>
      </c>
      <c r="R715" s="214" t="s">
        <v>15</v>
      </c>
      <c r="S715" s="214" t="s">
        <v>15</v>
      </c>
      <c r="T715" s="214" t="s">
        <v>15</v>
      </c>
      <c r="U715" s="214" t="s">
        <v>15</v>
      </c>
      <c r="V715" s="214" t="s">
        <v>15</v>
      </c>
      <c r="W715" s="214" t="s">
        <v>15</v>
      </c>
      <c r="X715" s="214" t="s">
        <v>15</v>
      </c>
      <c r="Y715" s="214" t="s">
        <v>15</v>
      </c>
      <c r="Z715" s="234"/>
      <c r="AA715" s="214" t="s">
        <v>1131</v>
      </c>
      <c r="AB715" s="214" t="s">
        <v>15</v>
      </c>
      <c r="AC715" s="214" t="s">
        <v>15</v>
      </c>
      <c r="AD715" s="320" t="s">
        <v>1544</v>
      </c>
      <c r="AE715" s="320" t="s">
        <v>1545</v>
      </c>
      <c r="AF715" s="162" t="str">
        <f t="shared" si="54"/>
        <v/>
      </c>
      <c r="AG715" s="162" t="str">
        <f t="shared" si="52"/>
        <v/>
      </c>
      <c r="AH715" s="164">
        <f t="shared" si="55"/>
        <v>0.441</v>
      </c>
      <c r="AI715" s="164" t="str">
        <f t="shared" si="56"/>
        <v/>
      </c>
      <c r="AJ715" s="368"/>
      <c r="AK715" s="368"/>
      <c r="AL715" s="368"/>
      <c r="AM715" s="368"/>
      <c r="AN715" s="369"/>
      <c r="AO715" s="368"/>
      <c r="AP715" s="368"/>
      <c r="AQ715" s="368"/>
      <c r="AR715" s="368"/>
      <c r="AS715" s="195"/>
      <c r="AT715" s="195"/>
      <c r="AU715" s="377"/>
      <c r="AV715" s="382"/>
      <c r="AW715" s="426"/>
      <c r="AX715" s="426"/>
      <c r="AY715" s="426"/>
      <c r="AZ715" s="426"/>
      <c r="BA715" s="426"/>
      <c r="BB715" s="426"/>
      <c r="BC715" s="426"/>
      <c r="BD715" s="426"/>
      <c r="BE715" s="426"/>
      <c r="BF715" s="468">
        <v>0.441</v>
      </c>
      <c r="BG715" s="469"/>
      <c r="BH715" s="341"/>
      <c r="BI715" s="447"/>
      <c r="BJ715" s="505"/>
    </row>
    <row r="716" spans="1:62" ht="15.75" customHeight="1" thickBot="1" x14ac:dyDescent="0.25">
      <c r="A716" s="174">
        <v>717</v>
      </c>
      <c r="B716" s="175">
        <v>1</v>
      </c>
      <c r="C716" s="166" t="s">
        <v>236</v>
      </c>
      <c r="D716" s="159" t="s">
        <v>1739</v>
      </c>
      <c r="E716" s="166" t="s">
        <v>13</v>
      </c>
      <c r="F716" s="166" t="s">
        <v>1552</v>
      </c>
      <c r="G716" s="166" t="s">
        <v>292</v>
      </c>
      <c r="H716" s="166" t="s">
        <v>108</v>
      </c>
      <c r="I716" s="181">
        <v>2015</v>
      </c>
      <c r="J716" s="181" t="s">
        <v>1553</v>
      </c>
      <c r="K716" s="181" t="s">
        <v>1554</v>
      </c>
      <c r="L716" s="181" t="s">
        <v>19</v>
      </c>
      <c r="M716" s="556" t="s">
        <v>4257</v>
      </c>
      <c r="N716" s="214" t="s">
        <v>20</v>
      </c>
      <c r="O716" s="214" t="s">
        <v>15</v>
      </c>
      <c r="P716" s="214" t="s">
        <v>20</v>
      </c>
      <c r="Q716" s="214" t="s">
        <v>20</v>
      </c>
      <c r="R716" s="214" t="s">
        <v>15</v>
      </c>
      <c r="S716" s="214" t="s">
        <v>20</v>
      </c>
      <c r="T716" s="214" t="s">
        <v>15</v>
      </c>
      <c r="U716" s="214" t="s">
        <v>15</v>
      </c>
      <c r="V716" s="214" t="s">
        <v>15</v>
      </c>
      <c r="W716" s="214" t="s">
        <v>20</v>
      </c>
      <c r="X716" s="214" t="s">
        <v>15</v>
      </c>
      <c r="Y716" s="214" t="s">
        <v>15</v>
      </c>
      <c r="Z716" s="234"/>
      <c r="AA716" s="214" t="s">
        <v>1555</v>
      </c>
      <c r="AB716" s="214" t="s">
        <v>15</v>
      </c>
      <c r="AC716" s="214" t="s">
        <v>15</v>
      </c>
      <c r="AD716" s="320" t="s">
        <v>1556</v>
      </c>
      <c r="AE716" s="320"/>
      <c r="AF716" s="162" t="str">
        <f t="shared" si="54"/>
        <v/>
      </c>
      <c r="AG716" s="162" t="str">
        <f t="shared" si="52"/>
        <v/>
      </c>
      <c r="AH716" s="164">
        <f t="shared" si="55"/>
        <v>0.32</v>
      </c>
      <c r="AI716" s="164" t="str">
        <f t="shared" si="56"/>
        <v/>
      </c>
      <c r="AJ716" s="368"/>
      <c r="AK716" s="368"/>
      <c r="AL716" s="368"/>
      <c r="AM716" s="368"/>
      <c r="AN716" s="369"/>
      <c r="AO716" s="368"/>
      <c r="AP716" s="368"/>
      <c r="AQ716" s="368"/>
      <c r="AR716" s="368"/>
      <c r="AS716" s="195"/>
      <c r="AT716" s="195"/>
      <c r="AU716" s="377"/>
      <c r="AV716" s="382"/>
      <c r="AW716" s="426"/>
      <c r="AX716" s="426"/>
      <c r="AY716" s="426"/>
      <c r="AZ716" s="426"/>
      <c r="BA716" s="426"/>
      <c r="BB716" s="426"/>
      <c r="BC716" s="426"/>
      <c r="BD716" s="426"/>
      <c r="BE716" s="426"/>
      <c r="BF716" s="468">
        <v>0.32</v>
      </c>
      <c r="BG716" s="474">
        <v>0.41799999999999998</v>
      </c>
      <c r="BH716" s="341"/>
      <c r="BI716" s="446" t="s">
        <v>1557</v>
      </c>
      <c r="BJ716" s="505"/>
    </row>
    <row r="717" spans="1:62" ht="15.75" customHeight="1" thickBot="1" x14ac:dyDescent="0.25">
      <c r="A717" s="176">
        <v>718</v>
      </c>
      <c r="B717" s="175">
        <v>1</v>
      </c>
      <c r="C717" s="166" t="s">
        <v>236</v>
      </c>
      <c r="D717" s="166" t="s">
        <v>1879</v>
      </c>
      <c r="E717" s="166" t="s">
        <v>13</v>
      </c>
      <c r="F717" s="166" t="s">
        <v>1558</v>
      </c>
      <c r="G717" s="166" t="s">
        <v>292</v>
      </c>
      <c r="H717" s="166" t="s">
        <v>108</v>
      </c>
      <c r="I717" s="181">
        <v>2015</v>
      </c>
      <c r="J717" s="181" t="s">
        <v>1553</v>
      </c>
      <c r="K717" s="181" t="s">
        <v>1554</v>
      </c>
      <c r="L717" s="181" t="s">
        <v>19</v>
      </c>
      <c r="M717" s="556" t="s">
        <v>4257</v>
      </c>
      <c r="N717" s="214" t="s">
        <v>20</v>
      </c>
      <c r="O717" s="214" t="s">
        <v>15</v>
      </c>
      <c r="P717" s="214" t="s">
        <v>20</v>
      </c>
      <c r="Q717" s="214" t="s">
        <v>20</v>
      </c>
      <c r="R717" s="214" t="s">
        <v>15</v>
      </c>
      <c r="S717" s="214" t="s">
        <v>20</v>
      </c>
      <c r="T717" s="214" t="s">
        <v>15</v>
      </c>
      <c r="U717" s="214" t="s">
        <v>15</v>
      </c>
      <c r="V717" s="214" t="s">
        <v>15</v>
      </c>
      <c r="W717" s="214" t="s">
        <v>20</v>
      </c>
      <c r="X717" s="214" t="s">
        <v>15</v>
      </c>
      <c r="Y717" s="214" t="s">
        <v>15</v>
      </c>
      <c r="Z717" s="234"/>
      <c r="AA717" s="214" t="s">
        <v>1555</v>
      </c>
      <c r="AB717" s="214" t="s">
        <v>15</v>
      </c>
      <c r="AC717" s="214" t="s">
        <v>15</v>
      </c>
      <c r="AD717" s="320" t="s">
        <v>1556</v>
      </c>
      <c r="AE717" s="319"/>
      <c r="AF717" s="162" t="str">
        <f t="shared" si="54"/>
        <v/>
      </c>
      <c r="AG717" s="162" t="str">
        <f t="shared" si="52"/>
        <v/>
      </c>
      <c r="AH717" s="164">
        <f t="shared" si="55"/>
        <v>0.32</v>
      </c>
      <c r="AI717" s="164" t="str">
        <f t="shared" si="56"/>
        <v/>
      </c>
      <c r="AJ717" s="368"/>
      <c r="AK717" s="368"/>
      <c r="AL717" s="368"/>
      <c r="AM717" s="368"/>
      <c r="AN717" s="369"/>
      <c r="AO717" s="368"/>
      <c r="AP717" s="368"/>
      <c r="AQ717" s="368"/>
      <c r="AR717" s="368"/>
      <c r="AS717" s="195"/>
      <c r="AT717" s="195"/>
      <c r="AU717" s="377"/>
      <c r="AV717" s="382"/>
      <c r="AW717" s="426"/>
      <c r="AX717" s="426"/>
      <c r="AY717" s="426"/>
      <c r="AZ717" s="426"/>
      <c r="BA717" s="426"/>
      <c r="BB717" s="426"/>
      <c r="BC717" s="426"/>
      <c r="BD717" s="426"/>
      <c r="BE717" s="426"/>
      <c r="BF717" s="468">
        <v>0.32</v>
      </c>
      <c r="BG717" s="468">
        <v>0.41799999999999998</v>
      </c>
      <c r="BH717" s="341"/>
      <c r="BI717" s="446" t="s">
        <v>1557</v>
      </c>
      <c r="BJ717" s="505"/>
    </row>
    <row r="718" spans="1:62" ht="15.75" customHeight="1" thickBot="1" x14ac:dyDescent="0.25">
      <c r="A718" s="174">
        <v>719</v>
      </c>
      <c r="B718" s="175">
        <v>1</v>
      </c>
      <c r="C718" s="166" t="s">
        <v>236</v>
      </c>
      <c r="D718" s="167" t="s">
        <v>2282</v>
      </c>
      <c r="E718" s="166" t="s">
        <v>13</v>
      </c>
      <c r="F718" s="166" t="s">
        <v>1559</v>
      </c>
      <c r="G718" s="166" t="s">
        <v>292</v>
      </c>
      <c r="H718" s="166" t="s">
        <v>108</v>
      </c>
      <c r="I718" s="181">
        <v>2015</v>
      </c>
      <c r="J718" s="181" t="s">
        <v>1553</v>
      </c>
      <c r="K718" s="181" t="s">
        <v>1554</v>
      </c>
      <c r="L718" s="181" t="s">
        <v>19</v>
      </c>
      <c r="M718" s="556" t="s">
        <v>4257</v>
      </c>
      <c r="N718" s="214" t="s">
        <v>20</v>
      </c>
      <c r="O718" s="214" t="s">
        <v>15</v>
      </c>
      <c r="P718" s="214" t="s">
        <v>20</v>
      </c>
      <c r="Q718" s="214" t="s">
        <v>20</v>
      </c>
      <c r="R718" s="214" t="s">
        <v>15</v>
      </c>
      <c r="S718" s="214" t="s">
        <v>20</v>
      </c>
      <c r="T718" s="214" t="s">
        <v>15</v>
      </c>
      <c r="U718" s="214" t="s">
        <v>15</v>
      </c>
      <c r="V718" s="214" t="s">
        <v>15</v>
      </c>
      <c r="W718" s="214" t="s">
        <v>20</v>
      </c>
      <c r="X718" s="214" t="s">
        <v>15</v>
      </c>
      <c r="Y718" s="214" t="s">
        <v>15</v>
      </c>
      <c r="Z718" s="234"/>
      <c r="AA718" s="214" t="s">
        <v>1555</v>
      </c>
      <c r="AB718" s="214" t="s">
        <v>15</v>
      </c>
      <c r="AC718" s="214" t="s">
        <v>15</v>
      </c>
      <c r="AD718" s="320" t="s">
        <v>1556</v>
      </c>
      <c r="AE718" s="319"/>
      <c r="AF718" s="162" t="str">
        <f t="shared" si="54"/>
        <v/>
      </c>
      <c r="AG718" s="162" t="str">
        <f t="shared" si="52"/>
        <v/>
      </c>
      <c r="AH718" s="164">
        <f t="shared" si="55"/>
        <v>0.84</v>
      </c>
      <c r="AI718" s="164" t="str">
        <f t="shared" si="56"/>
        <v/>
      </c>
      <c r="AJ718" s="368"/>
      <c r="AK718" s="368"/>
      <c r="AL718" s="368"/>
      <c r="AM718" s="368"/>
      <c r="AN718" s="369"/>
      <c r="AO718" s="368"/>
      <c r="AP718" s="368"/>
      <c r="AQ718" s="368"/>
      <c r="AR718" s="368"/>
      <c r="AS718" s="195"/>
      <c r="AT718" s="195"/>
      <c r="AU718" s="377"/>
      <c r="AV718" s="382"/>
      <c r="AW718" s="426"/>
      <c r="AX718" s="426"/>
      <c r="AY718" s="426"/>
      <c r="AZ718" s="426"/>
      <c r="BA718" s="426"/>
      <c r="BB718" s="426"/>
      <c r="BC718" s="426"/>
      <c r="BD718" s="426"/>
      <c r="BE718" s="426"/>
      <c r="BF718" s="468">
        <v>0.84</v>
      </c>
      <c r="BG718" s="468">
        <v>0.93799999999999994</v>
      </c>
      <c r="BH718" s="341"/>
      <c r="BI718" s="446" t="s">
        <v>1557</v>
      </c>
      <c r="BJ718" s="505"/>
    </row>
    <row r="719" spans="1:62" ht="15.75" customHeight="1" thickBot="1" x14ac:dyDescent="0.25">
      <c r="A719" s="176">
        <v>720</v>
      </c>
      <c r="B719" s="175">
        <v>1</v>
      </c>
      <c r="C719" s="166" t="s">
        <v>162</v>
      </c>
      <c r="D719" s="166" t="s">
        <v>1995</v>
      </c>
      <c r="E719" s="166" t="s">
        <v>13</v>
      </c>
      <c r="F719" s="166" t="s">
        <v>1560</v>
      </c>
      <c r="G719" s="166" t="s">
        <v>292</v>
      </c>
      <c r="H719" s="166" t="s">
        <v>108</v>
      </c>
      <c r="I719" s="181">
        <v>2015</v>
      </c>
      <c r="J719" s="181" t="s">
        <v>1553</v>
      </c>
      <c r="K719" s="181" t="s">
        <v>1554</v>
      </c>
      <c r="L719" s="181" t="s">
        <v>19</v>
      </c>
      <c r="M719" s="556" t="s">
        <v>4257</v>
      </c>
      <c r="N719" s="214" t="s">
        <v>20</v>
      </c>
      <c r="O719" s="214" t="s">
        <v>15</v>
      </c>
      <c r="P719" s="214" t="s">
        <v>20</v>
      </c>
      <c r="Q719" s="214" t="s">
        <v>20</v>
      </c>
      <c r="R719" s="214" t="s">
        <v>15</v>
      </c>
      <c r="S719" s="214" t="s">
        <v>20</v>
      </c>
      <c r="T719" s="214" t="s">
        <v>15</v>
      </c>
      <c r="U719" s="214" t="s">
        <v>15</v>
      </c>
      <c r="V719" s="214" t="s">
        <v>15</v>
      </c>
      <c r="W719" s="214" t="s">
        <v>20</v>
      </c>
      <c r="X719" s="214" t="s">
        <v>15</v>
      </c>
      <c r="Y719" s="214" t="s">
        <v>15</v>
      </c>
      <c r="Z719" s="234"/>
      <c r="AA719" s="214" t="s">
        <v>1555</v>
      </c>
      <c r="AB719" s="214" t="s">
        <v>15</v>
      </c>
      <c r="AC719" s="214" t="s">
        <v>15</v>
      </c>
      <c r="AD719" s="320" t="s">
        <v>1556</v>
      </c>
      <c r="AE719" s="319"/>
      <c r="AF719" s="162" t="str">
        <f t="shared" si="54"/>
        <v/>
      </c>
      <c r="AG719" s="162" t="str">
        <f t="shared" si="52"/>
        <v/>
      </c>
      <c r="AH719" s="164">
        <f t="shared" si="55"/>
        <v>0.56999999999999995</v>
      </c>
      <c r="AI719" s="164" t="str">
        <f t="shared" si="56"/>
        <v/>
      </c>
      <c r="AJ719" s="368"/>
      <c r="AK719" s="368"/>
      <c r="AL719" s="368"/>
      <c r="AM719" s="368"/>
      <c r="AN719" s="369"/>
      <c r="AO719" s="368"/>
      <c r="AP719" s="368"/>
      <c r="AQ719" s="368"/>
      <c r="AR719" s="368"/>
      <c r="AS719" s="195"/>
      <c r="AT719" s="195"/>
      <c r="AU719" s="377"/>
      <c r="AV719" s="382"/>
      <c r="AW719" s="426"/>
      <c r="AX719" s="426"/>
      <c r="AY719" s="426"/>
      <c r="AZ719" s="426"/>
      <c r="BA719" s="426"/>
      <c r="BB719" s="426"/>
      <c r="BC719" s="426"/>
      <c r="BD719" s="426"/>
      <c r="BE719" s="426"/>
      <c r="BF719" s="468">
        <v>0.56999999999999995</v>
      </c>
      <c r="BG719" s="468">
        <v>0.66800000000000004</v>
      </c>
      <c r="BH719" s="341"/>
      <c r="BI719" s="446" t="s">
        <v>1557</v>
      </c>
      <c r="BJ719" s="505"/>
    </row>
    <row r="720" spans="1:62" ht="15.75" customHeight="1" thickBot="1" x14ac:dyDescent="0.25">
      <c r="A720" s="174">
        <v>721</v>
      </c>
      <c r="B720" s="175">
        <v>1</v>
      </c>
      <c r="C720" s="166" t="s">
        <v>162</v>
      </c>
      <c r="D720" s="159" t="s">
        <v>2134</v>
      </c>
      <c r="E720" s="166" t="s">
        <v>13</v>
      </c>
      <c r="F720" s="166" t="s">
        <v>1561</v>
      </c>
      <c r="G720" s="166" t="s">
        <v>292</v>
      </c>
      <c r="H720" s="166" t="s">
        <v>108</v>
      </c>
      <c r="I720" s="181">
        <v>2015</v>
      </c>
      <c r="J720" s="181" t="s">
        <v>1553</v>
      </c>
      <c r="K720" s="181" t="s">
        <v>1554</v>
      </c>
      <c r="L720" s="181" t="s">
        <v>19</v>
      </c>
      <c r="M720" s="556" t="s">
        <v>4257</v>
      </c>
      <c r="N720" s="214" t="s">
        <v>20</v>
      </c>
      <c r="O720" s="214" t="s">
        <v>15</v>
      </c>
      <c r="P720" s="214" t="s">
        <v>20</v>
      </c>
      <c r="Q720" s="214" t="s">
        <v>20</v>
      </c>
      <c r="R720" s="214" t="s">
        <v>15</v>
      </c>
      <c r="S720" s="214" t="s">
        <v>20</v>
      </c>
      <c r="T720" s="214" t="s">
        <v>15</v>
      </c>
      <c r="U720" s="214" t="s">
        <v>15</v>
      </c>
      <c r="V720" s="214" t="s">
        <v>15</v>
      </c>
      <c r="W720" s="214" t="s">
        <v>20</v>
      </c>
      <c r="X720" s="214" t="s">
        <v>15</v>
      </c>
      <c r="Y720" s="214" t="s">
        <v>15</v>
      </c>
      <c r="Z720" s="234"/>
      <c r="AA720" s="214" t="s">
        <v>1555</v>
      </c>
      <c r="AB720" s="214" t="s">
        <v>15</v>
      </c>
      <c r="AC720" s="214" t="s">
        <v>15</v>
      </c>
      <c r="AD720" s="320" t="s">
        <v>1556</v>
      </c>
      <c r="AE720" s="319"/>
      <c r="AF720" s="162" t="str">
        <f t="shared" si="54"/>
        <v/>
      </c>
      <c r="AG720" s="162" t="str">
        <f t="shared" si="52"/>
        <v/>
      </c>
      <c r="AH720" s="164">
        <f t="shared" si="55"/>
        <v>0.28999999999999998</v>
      </c>
      <c r="AI720" s="164" t="str">
        <f t="shared" si="56"/>
        <v/>
      </c>
      <c r="AJ720" s="368"/>
      <c r="AK720" s="368"/>
      <c r="AL720" s="368"/>
      <c r="AM720" s="368"/>
      <c r="AN720" s="369"/>
      <c r="AO720" s="368"/>
      <c r="AP720" s="368"/>
      <c r="AQ720" s="368"/>
      <c r="AR720" s="368"/>
      <c r="AS720" s="195"/>
      <c r="AT720" s="195"/>
      <c r="AU720" s="377"/>
      <c r="AV720" s="382"/>
      <c r="AW720" s="426"/>
      <c r="AX720" s="426"/>
      <c r="AY720" s="426"/>
      <c r="AZ720" s="426"/>
      <c r="BA720" s="426"/>
      <c r="BB720" s="426"/>
      <c r="BC720" s="426"/>
      <c r="BD720" s="426"/>
      <c r="BE720" s="426"/>
      <c r="BF720" s="468">
        <v>0.28999999999999998</v>
      </c>
      <c r="BG720" s="468">
        <v>0.38800000000000001</v>
      </c>
      <c r="BH720" s="341"/>
      <c r="BI720" s="446" t="s">
        <v>1557</v>
      </c>
      <c r="BJ720" s="505"/>
    </row>
    <row r="721" spans="1:62" ht="15.75" customHeight="1" thickBot="1" x14ac:dyDescent="0.25">
      <c r="A721" s="176">
        <v>722</v>
      </c>
      <c r="B721" s="175">
        <v>1</v>
      </c>
      <c r="C721" s="166" t="s">
        <v>236</v>
      </c>
      <c r="D721" s="159" t="s">
        <v>1739</v>
      </c>
      <c r="E721" s="166" t="s">
        <v>13</v>
      </c>
      <c r="F721" s="166" t="s">
        <v>1562</v>
      </c>
      <c r="G721" s="166" t="s">
        <v>292</v>
      </c>
      <c r="H721" s="166" t="s">
        <v>108</v>
      </c>
      <c r="I721" s="181">
        <v>2015</v>
      </c>
      <c r="J721" s="181" t="s">
        <v>1553</v>
      </c>
      <c r="K721" s="181" t="s">
        <v>1554</v>
      </c>
      <c r="L721" s="181" t="s">
        <v>19</v>
      </c>
      <c r="M721" s="556" t="s">
        <v>4257</v>
      </c>
      <c r="N721" s="214" t="s">
        <v>20</v>
      </c>
      <c r="O721" s="214" t="s">
        <v>15</v>
      </c>
      <c r="P721" s="214" t="s">
        <v>20</v>
      </c>
      <c r="Q721" s="214" t="s">
        <v>20</v>
      </c>
      <c r="R721" s="214" t="s">
        <v>15</v>
      </c>
      <c r="S721" s="214" t="s">
        <v>20</v>
      </c>
      <c r="T721" s="214" t="s">
        <v>15</v>
      </c>
      <c r="U721" s="214" t="s">
        <v>15</v>
      </c>
      <c r="V721" s="214" t="s">
        <v>15</v>
      </c>
      <c r="W721" s="214" t="s">
        <v>20</v>
      </c>
      <c r="X721" s="214" t="s">
        <v>15</v>
      </c>
      <c r="Y721" s="214" t="s">
        <v>15</v>
      </c>
      <c r="Z721" s="234"/>
      <c r="AA721" s="214" t="s">
        <v>1555</v>
      </c>
      <c r="AB721" s="214" t="s">
        <v>15</v>
      </c>
      <c r="AC721" s="214" t="s">
        <v>15</v>
      </c>
      <c r="AD721" s="320" t="s">
        <v>1556</v>
      </c>
      <c r="AE721" s="319"/>
      <c r="AF721" s="162" t="str">
        <f t="shared" si="54"/>
        <v/>
      </c>
      <c r="AG721" s="162" t="str">
        <f t="shared" si="52"/>
        <v/>
      </c>
      <c r="AH721" s="164">
        <f t="shared" si="55"/>
        <v>0.43</v>
      </c>
      <c r="AI721" s="164" t="str">
        <f t="shared" si="56"/>
        <v/>
      </c>
      <c r="AJ721" s="368"/>
      <c r="AK721" s="368"/>
      <c r="AL721" s="368"/>
      <c r="AM721" s="368"/>
      <c r="AN721" s="369"/>
      <c r="AO721" s="368"/>
      <c r="AP721" s="368"/>
      <c r="AQ721" s="368"/>
      <c r="AR721" s="368"/>
      <c r="AS721" s="195"/>
      <c r="AT721" s="195"/>
      <c r="AU721" s="377"/>
      <c r="AV721" s="382"/>
      <c r="AW721" s="426"/>
      <c r="AX721" s="426"/>
      <c r="AY721" s="426"/>
      <c r="AZ721" s="426"/>
      <c r="BA721" s="426"/>
      <c r="BB721" s="426"/>
      <c r="BC721" s="426"/>
      <c r="BD721" s="426"/>
      <c r="BE721" s="426"/>
      <c r="BF721" s="468">
        <v>0.43</v>
      </c>
      <c r="BG721" s="468">
        <v>0.55000000000000004</v>
      </c>
      <c r="BH721" s="341"/>
      <c r="BI721" s="446" t="s">
        <v>1557</v>
      </c>
      <c r="BJ721" s="505"/>
    </row>
    <row r="722" spans="1:62" ht="15.75" customHeight="1" thickBot="1" x14ac:dyDescent="0.25">
      <c r="A722" s="174">
        <v>723</v>
      </c>
      <c r="B722" s="175">
        <v>1</v>
      </c>
      <c r="C722" s="166" t="s">
        <v>236</v>
      </c>
      <c r="D722" s="166" t="s">
        <v>1879</v>
      </c>
      <c r="E722" s="166" t="s">
        <v>13</v>
      </c>
      <c r="F722" s="166" t="s">
        <v>1563</v>
      </c>
      <c r="G722" s="166" t="s">
        <v>292</v>
      </c>
      <c r="H722" s="166" t="s">
        <v>108</v>
      </c>
      <c r="I722" s="181">
        <v>2015</v>
      </c>
      <c r="J722" s="181" t="s">
        <v>1553</v>
      </c>
      <c r="K722" s="181" t="s">
        <v>1554</v>
      </c>
      <c r="L722" s="181" t="s">
        <v>19</v>
      </c>
      <c r="M722" s="556" t="s">
        <v>4257</v>
      </c>
      <c r="N722" s="214" t="s">
        <v>20</v>
      </c>
      <c r="O722" s="214" t="s">
        <v>15</v>
      </c>
      <c r="P722" s="214" t="s">
        <v>20</v>
      </c>
      <c r="Q722" s="214" t="s">
        <v>20</v>
      </c>
      <c r="R722" s="214" t="s">
        <v>15</v>
      </c>
      <c r="S722" s="214" t="s">
        <v>20</v>
      </c>
      <c r="T722" s="214" t="s">
        <v>15</v>
      </c>
      <c r="U722" s="214" t="s">
        <v>15</v>
      </c>
      <c r="V722" s="214" t="s">
        <v>15</v>
      </c>
      <c r="W722" s="214" t="s">
        <v>20</v>
      </c>
      <c r="X722" s="214" t="s">
        <v>15</v>
      </c>
      <c r="Y722" s="214" t="s">
        <v>15</v>
      </c>
      <c r="Z722" s="234"/>
      <c r="AA722" s="214" t="s">
        <v>1555</v>
      </c>
      <c r="AB722" s="214" t="s">
        <v>15</v>
      </c>
      <c r="AC722" s="214" t="s">
        <v>15</v>
      </c>
      <c r="AD722" s="320" t="s">
        <v>1556</v>
      </c>
      <c r="AE722" s="319"/>
      <c r="AF722" s="162" t="str">
        <f t="shared" si="54"/>
        <v/>
      </c>
      <c r="AG722" s="162" t="str">
        <f t="shared" si="52"/>
        <v/>
      </c>
      <c r="AH722" s="164">
        <f t="shared" si="55"/>
        <v>0.43</v>
      </c>
      <c r="AI722" s="164" t="str">
        <f t="shared" si="56"/>
        <v/>
      </c>
      <c r="AJ722" s="368"/>
      <c r="AK722" s="368"/>
      <c r="AL722" s="368"/>
      <c r="AM722" s="368"/>
      <c r="AN722" s="369"/>
      <c r="AO722" s="368"/>
      <c r="AP722" s="368"/>
      <c r="AQ722" s="368"/>
      <c r="AR722" s="368"/>
      <c r="AS722" s="195"/>
      <c r="AT722" s="195"/>
      <c r="AU722" s="377"/>
      <c r="AV722" s="382"/>
      <c r="AW722" s="426"/>
      <c r="AX722" s="426"/>
      <c r="AY722" s="426"/>
      <c r="AZ722" s="426"/>
      <c r="BA722" s="426"/>
      <c r="BB722" s="426"/>
      <c r="BC722" s="426"/>
      <c r="BD722" s="426"/>
      <c r="BE722" s="426"/>
      <c r="BF722" s="468">
        <v>0.43</v>
      </c>
      <c r="BG722" s="468">
        <v>0.67600000000000005</v>
      </c>
      <c r="BH722" s="341"/>
      <c r="BI722" s="446" t="s">
        <v>1557</v>
      </c>
      <c r="BJ722" s="505"/>
    </row>
    <row r="723" spans="1:62" ht="15.75" customHeight="1" thickBot="1" x14ac:dyDescent="0.25">
      <c r="A723" s="176">
        <v>724</v>
      </c>
      <c r="B723" s="175">
        <v>1</v>
      </c>
      <c r="C723" s="166" t="s">
        <v>236</v>
      </c>
      <c r="D723" s="167" t="s">
        <v>2282</v>
      </c>
      <c r="E723" s="166" t="s">
        <v>13</v>
      </c>
      <c r="F723" s="166" t="s">
        <v>1564</v>
      </c>
      <c r="G723" s="166" t="s">
        <v>292</v>
      </c>
      <c r="H723" s="166" t="s">
        <v>108</v>
      </c>
      <c r="I723" s="181">
        <v>2015</v>
      </c>
      <c r="J723" s="181" t="s">
        <v>1553</v>
      </c>
      <c r="K723" s="181" t="s">
        <v>1554</v>
      </c>
      <c r="L723" s="181" t="s">
        <v>19</v>
      </c>
      <c r="M723" s="556" t="s">
        <v>4257</v>
      </c>
      <c r="N723" s="214" t="s">
        <v>20</v>
      </c>
      <c r="O723" s="214" t="s">
        <v>15</v>
      </c>
      <c r="P723" s="214" t="s">
        <v>20</v>
      </c>
      <c r="Q723" s="214" t="s">
        <v>20</v>
      </c>
      <c r="R723" s="214" t="s">
        <v>15</v>
      </c>
      <c r="S723" s="214" t="s">
        <v>20</v>
      </c>
      <c r="T723" s="214" t="s">
        <v>15</v>
      </c>
      <c r="U723" s="214" t="s">
        <v>15</v>
      </c>
      <c r="V723" s="214" t="s">
        <v>15</v>
      </c>
      <c r="W723" s="214" t="s">
        <v>20</v>
      </c>
      <c r="X723" s="214" t="s">
        <v>15</v>
      </c>
      <c r="Y723" s="214" t="s">
        <v>15</v>
      </c>
      <c r="Z723" s="234"/>
      <c r="AA723" s="214" t="s">
        <v>1555</v>
      </c>
      <c r="AB723" s="214" t="s">
        <v>15</v>
      </c>
      <c r="AC723" s="214" t="s">
        <v>15</v>
      </c>
      <c r="AD723" s="320" t="s">
        <v>1556</v>
      </c>
      <c r="AE723" s="319"/>
      <c r="AF723" s="162" t="str">
        <f t="shared" si="54"/>
        <v/>
      </c>
      <c r="AG723" s="162" t="str">
        <f t="shared" ref="AG723:AG786" si="57">IF(AND(SUM(AJ723:AL723)&lt;&gt;0,SUM(AJ723:AL723)&lt;&gt;AJ723),SUM(AJ723:AL723),"")</f>
        <v/>
      </c>
      <c r="AH723" s="164">
        <f t="shared" si="55"/>
        <v>1.06</v>
      </c>
      <c r="AI723" s="164" t="str">
        <f t="shared" si="56"/>
        <v/>
      </c>
      <c r="AJ723" s="368"/>
      <c r="AK723" s="368"/>
      <c r="AL723" s="368"/>
      <c r="AM723" s="368"/>
      <c r="AN723" s="369"/>
      <c r="AO723" s="368"/>
      <c r="AP723" s="368"/>
      <c r="AQ723" s="368"/>
      <c r="AR723" s="368"/>
      <c r="AS723" s="195"/>
      <c r="AT723" s="195"/>
      <c r="AU723" s="377"/>
      <c r="AV723" s="382"/>
      <c r="AW723" s="426"/>
      <c r="AX723" s="426"/>
      <c r="AY723" s="426"/>
      <c r="AZ723" s="426"/>
      <c r="BA723" s="426"/>
      <c r="BB723" s="426"/>
      <c r="BC723" s="426"/>
      <c r="BD723" s="426"/>
      <c r="BE723" s="426"/>
      <c r="BF723" s="468">
        <v>1.06</v>
      </c>
      <c r="BG723" s="468">
        <v>1.2270000000000001</v>
      </c>
      <c r="BH723" s="341"/>
      <c r="BI723" s="446" t="s">
        <v>1557</v>
      </c>
      <c r="BJ723" s="505"/>
    </row>
    <row r="724" spans="1:62" ht="15.75" customHeight="1" thickBot="1" x14ac:dyDescent="0.25">
      <c r="A724" s="174">
        <v>725</v>
      </c>
      <c r="B724" s="175">
        <v>1</v>
      </c>
      <c r="C724" s="166" t="s">
        <v>162</v>
      </c>
      <c r="D724" s="166" t="s">
        <v>1995</v>
      </c>
      <c r="E724" s="166" t="s">
        <v>13</v>
      </c>
      <c r="F724" s="166" t="s">
        <v>1565</v>
      </c>
      <c r="G724" s="166" t="s">
        <v>292</v>
      </c>
      <c r="H724" s="166" t="s">
        <v>108</v>
      </c>
      <c r="I724" s="181">
        <v>2015</v>
      </c>
      <c r="J724" s="181" t="s">
        <v>1553</v>
      </c>
      <c r="K724" s="181" t="s">
        <v>1554</v>
      </c>
      <c r="L724" s="181" t="s">
        <v>19</v>
      </c>
      <c r="M724" s="556" t="s">
        <v>4257</v>
      </c>
      <c r="N724" s="214" t="s">
        <v>20</v>
      </c>
      <c r="O724" s="214" t="s">
        <v>15</v>
      </c>
      <c r="P724" s="214" t="s">
        <v>20</v>
      </c>
      <c r="Q724" s="214" t="s">
        <v>20</v>
      </c>
      <c r="R724" s="214" t="s">
        <v>15</v>
      </c>
      <c r="S724" s="214" t="s">
        <v>20</v>
      </c>
      <c r="T724" s="214" t="s">
        <v>15</v>
      </c>
      <c r="U724" s="214" t="s">
        <v>15</v>
      </c>
      <c r="V724" s="214" t="s">
        <v>15</v>
      </c>
      <c r="W724" s="214" t="s">
        <v>20</v>
      </c>
      <c r="X724" s="214" t="s">
        <v>15</v>
      </c>
      <c r="Y724" s="214" t="s">
        <v>15</v>
      </c>
      <c r="Z724" s="234"/>
      <c r="AA724" s="214" t="s">
        <v>1555</v>
      </c>
      <c r="AB724" s="214" t="s">
        <v>15</v>
      </c>
      <c r="AC724" s="214" t="s">
        <v>15</v>
      </c>
      <c r="AD724" s="320" t="s">
        <v>1556</v>
      </c>
      <c r="AE724" s="319"/>
      <c r="AF724" s="162" t="str">
        <f t="shared" si="54"/>
        <v/>
      </c>
      <c r="AG724" s="162" t="str">
        <f t="shared" si="57"/>
        <v/>
      </c>
      <c r="AH724" s="164">
        <f t="shared" si="55"/>
        <v>0.68</v>
      </c>
      <c r="AI724" s="164" t="str">
        <f t="shared" si="56"/>
        <v/>
      </c>
      <c r="AJ724" s="368"/>
      <c r="AK724" s="368"/>
      <c r="AL724" s="368"/>
      <c r="AM724" s="368"/>
      <c r="AN724" s="369"/>
      <c r="AO724" s="368"/>
      <c r="AP724" s="368"/>
      <c r="AQ724" s="368"/>
      <c r="AR724" s="368"/>
      <c r="AS724" s="195"/>
      <c r="AT724" s="195"/>
      <c r="AU724" s="377"/>
      <c r="AV724" s="382"/>
      <c r="AW724" s="426"/>
      <c r="AX724" s="426"/>
      <c r="AY724" s="426"/>
      <c r="AZ724" s="426"/>
      <c r="BA724" s="426"/>
      <c r="BB724" s="426"/>
      <c r="BC724" s="426"/>
      <c r="BD724" s="426"/>
      <c r="BE724" s="426"/>
      <c r="BF724" s="468">
        <v>0.68</v>
      </c>
      <c r="BG724" s="468">
        <v>0.874</v>
      </c>
      <c r="BH724" s="341"/>
      <c r="BI724" s="446" t="s">
        <v>1557</v>
      </c>
      <c r="BJ724" s="505"/>
    </row>
    <row r="725" spans="1:62" ht="15.75" customHeight="1" thickBot="1" x14ac:dyDescent="0.25">
      <c r="A725" s="176">
        <v>726</v>
      </c>
      <c r="B725" s="175">
        <v>1</v>
      </c>
      <c r="C725" s="166" t="s">
        <v>162</v>
      </c>
      <c r="D725" s="159" t="s">
        <v>2134</v>
      </c>
      <c r="E725" s="166" t="s">
        <v>13</v>
      </c>
      <c r="F725" s="166" t="s">
        <v>1566</v>
      </c>
      <c r="G725" s="166" t="s">
        <v>292</v>
      </c>
      <c r="H725" s="166" t="s">
        <v>108</v>
      </c>
      <c r="I725" s="181">
        <v>2015</v>
      </c>
      <c r="J725" s="181" t="s">
        <v>1553</v>
      </c>
      <c r="K725" s="181" t="s">
        <v>1554</v>
      </c>
      <c r="L725" s="181" t="s">
        <v>19</v>
      </c>
      <c r="M725" s="556" t="s">
        <v>4257</v>
      </c>
      <c r="N725" s="214" t="s">
        <v>20</v>
      </c>
      <c r="O725" s="214" t="s">
        <v>15</v>
      </c>
      <c r="P725" s="214" t="s">
        <v>20</v>
      </c>
      <c r="Q725" s="214" t="s">
        <v>20</v>
      </c>
      <c r="R725" s="214" t="s">
        <v>15</v>
      </c>
      <c r="S725" s="214" t="s">
        <v>20</v>
      </c>
      <c r="T725" s="214" t="s">
        <v>15</v>
      </c>
      <c r="U725" s="214" t="s">
        <v>15</v>
      </c>
      <c r="V725" s="214" t="s">
        <v>15</v>
      </c>
      <c r="W725" s="214" t="s">
        <v>20</v>
      </c>
      <c r="X725" s="214" t="s">
        <v>15</v>
      </c>
      <c r="Y725" s="214" t="s">
        <v>15</v>
      </c>
      <c r="Z725" s="234"/>
      <c r="AA725" s="214" t="s">
        <v>1555</v>
      </c>
      <c r="AB725" s="214" t="s">
        <v>15</v>
      </c>
      <c r="AC725" s="214" t="s">
        <v>15</v>
      </c>
      <c r="AD725" s="320" t="s">
        <v>1556</v>
      </c>
      <c r="AE725" s="319"/>
      <c r="AF725" s="162" t="str">
        <f t="shared" si="54"/>
        <v/>
      </c>
      <c r="AG725" s="162" t="str">
        <f t="shared" si="57"/>
        <v/>
      </c>
      <c r="AH725" s="164">
        <f t="shared" si="55"/>
        <v>0.4</v>
      </c>
      <c r="AI725" s="164" t="str">
        <f t="shared" si="56"/>
        <v/>
      </c>
      <c r="AJ725" s="368"/>
      <c r="AK725" s="368"/>
      <c r="AL725" s="368"/>
      <c r="AM725" s="368"/>
      <c r="AN725" s="369"/>
      <c r="AO725" s="368"/>
      <c r="AP725" s="368"/>
      <c r="AQ725" s="368"/>
      <c r="AR725" s="368"/>
      <c r="AS725" s="195"/>
      <c r="AT725" s="195"/>
      <c r="AU725" s="377"/>
      <c r="AV725" s="382"/>
      <c r="AW725" s="426"/>
      <c r="AX725" s="426"/>
      <c r="AY725" s="426"/>
      <c r="AZ725" s="426"/>
      <c r="BA725" s="426"/>
      <c r="BB725" s="426"/>
      <c r="BC725" s="426"/>
      <c r="BD725" s="426"/>
      <c r="BE725" s="426"/>
      <c r="BF725" s="468">
        <v>0.4</v>
      </c>
      <c r="BG725" s="468">
        <v>0.59699999999999998</v>
      </c>
      <c r="BH725" s="341"/>
      <c r="BI725" s="446" t="s">
        <v>1557</v>
      </c>
      <c r="BJ725" s="505"/>
    </row>
    <row r="726" spans="1:62" ht="15.75" customHeight="1" thickBot="1" x14ac:dyDescent="0.25">
      <c r="A726" s="174">
        <v>727</v>
      </c>
      <c r="B726" s="175">
        <v>1</v>
      </c>
      <c r="C726" s="166" t="s">
        <v>236</v>
      </c>
      <c r="D726" s="159" t="s">
        <v>1739</v>
      </c>
      <c r="E726" s="166" t="s">
        <v>13</v>
      </c>
      <c r="F726" s="166" t="s">
        <v>1567</v>
      </c>
      <c r="G726" s="166" t="s">
        <v>292</v>
      </c>
      <c r="H726" s="166" t="s">
        <v>108</v>
      </c>
      <c r="I726" s="181">
        <v>2015</v>
      </c>
      <c r="J726" s="181" t="s">
        <v>1553</v>
      </c>
      <c r="K726" s="181" t="s">
        <v>1554</v>
      </c>
      <c r="L726" s="181" t="s">
        <v>19</v>
      </c>
      <c r="M726" s="556" t="s">
        <v>4257</v>
      </c>
      <c r="N726" s="214" t="s">
        <v>20</v>
      </c>
      <c r="O726" s="214" t="s">
        <v>15</v>
      </c>
      <c r="P726" s="214" t="s">
        <v>20</v>
      </c>
      <c r="Q726" s="214" t="s">
        <v>20</v>
      </c>
      <c r="R726" s="214" t="s">
        <v>15</v>
      </c>
      <c r="S726" s="214" t="s">
        <v>20</v>
      </c>
      <c r="T726" s="214" t="s">
        <v>15</v>
      </c>
      <c r="U726" s="214" t="s">
        <v>15</v>
      </c>
      <c r="V726" s="214" t="s">
        <v>15</v>
      </c>
      <c r="W726" s="214" t="s">
        <v>20</v>
      </c>
      <c r="X726" s="214" t="s">
        <v>15</v>
      </c>
      <c r="Y726" s="214" t="s">
        <v>15</v>
      </c>
      <c r="Z726" s="234"/>
      <c r="AA726" s="214" t="s">
        <v>1555</v>
      </c>
      <c r="AB726" s="214" t="s">
        <v>15</v>
      </c>
      <c r="AC726" s="214" t="s">
        <v>15</v>
      </c>
      <c r="AD726" s="320" t="s">
        <v>1556</v>
      </c>
      <c r="AE726" s="319"/>
      <c r="AF726" s="162" t="str">
        <f t="shared" si="54"/>
        <v/>
      </c>
      <c r="AG726" s="162" t="str">
        <f t="shared" si="57"/>
        <v/>
      </c>
      <c r="AH726" s="164">
        <f t="shared" si="55"/>
        <v>0.88</v>
      </c>
      <c r="AI726" s="164" t="str">
        <f t="shared" si="56"/>
        <v/>
      </c>
      <c r="AJ726" s="368"/>
      <c r="AK726" s="368"/>
      <c r="AL726" s="368"/>
      <c r="AM726" s="368"/>
      <c r="AN726" s="369"/>
      <c r="AO726" s="368"/>
      <c r="AP726" s="368"/>
      <c r="AQ726" s="368"/>
      <c r="AR726" s="368"/>
      <c r="AS726" s="195"/>
      <c r="AT726" s="195"/>
      <c r="AU726" s="377"/>
      <c r="AV726" s="382"/>
      <c r="AW726" s="426"/>
      <c r="AX726" s="426"/>
      <c r="AY726" s="426"/>
      <c r="AZ726" s="426"/>
      <c r="BA726" s="426"/>
      <c r="BB726" s="426"/>
      <c r="BC726" s="426"/>
      <c r="BD726" s="426"/>
      <c r="BE726" s="426"/>
      <c r="BF726" s="468">
        <v>0.88</v>
      </c>
      <c r="BG726" s="468">
        <v>13.093</v>
      </c>
      <c r="BH726" s="341"/>
      <c r="BI726" s="446" t="s">
        <v>1557</v>
      </c>
      <c r="BJ726" s="505"/>
    </row>
    <row r="727" spans="1:62" ht="15.75" customHeight="1" thickBot="1" x14ac:dyDescent="0.25">
      <c r="A727" s="176">
        <v>728</v>
      </c>
      <c r="B727" s="175">
        <v>1</v>
      </c>
      <c r="C727" s="166" t="s">
        <v>236</v>
      </c>
      <c r="D727" s="166" t="s">
        <v>1879</v>
      </c>
      <c r="E727" s="166" t="s">
        <v>13</v>
      </c>
      <c r="F727" s="166" t="s">
        <v>1568</v>
      </c>
      <c r="G727" s="166" t="s">
        <v>292</v>
      </c>
      <c r="H727" s="166" t="s">
        <v>108</v>
      </c>
      <c r="I727" s="181">
        <v>2015</v>
      </c>
      <c r="J727" s="181" t="s">
        <v>1553</v>
      </c>
      <c r="K727" s="181" t="s">
        <v>1554</v>
      </c>
      <c r="L727" s="181" t="s">
        <v>19</v>
      </c>
      <c r="M727" s="556" t="s">
        <v>4257</v>
      </c>
      <c r="N727" s="214" t="s">
        <v>20</v>
      </c>
      <c r="O727" s="214" t="s">
        <v>15</v>
      </c>
      <c r="P727" s="214" t="s">
        <v>20</v>
      </c>
      <c r="Q727" s="214" t="s">
        <v>20</v>
      </c>
      <c r="R727" s="214" t="s">
        <v>15</v>
      </c>
      <c r="S727" s="214" t="s">
        <v>20</v>
      </c>
      <c r="T727" s="214" t="s">
        <v>15</v>
      </c>
      <c r="U727" s="214" t="s">
        <v>15</v>
      </c>
      <c r="V727" s="214" t="s">
        <v>15</v>
      </c>
      <c r="W727" s="214" t="s">
        <v>20</v>
      </c>
      <c r="X727" s="214" t="s">
        <v>15</v>
      </c>
      <c r="Y727" s="214" t="s">
        <v>15</v>
      </c>
      <c r="Z727" s="234"/>
      <c r="AA727" s="214" t="s">
        <v>1555</v>
      </c>
      <c r="AB727" s="214" t="s">
        <v>15</v>
      </c>
      <c r="AC727" s="214" t="s">
        <v>15</v>
      </c>
      <c r="AD727" s="320" t="s">
        <v>1556</v>
      </c>
      <c r="AE727" s="319"/>
      <c r="AF727" s="162" t="str">
        <f t="shared" si="54"/>
        <v/>
      </c>
      <c r="AG727" s="162" t="str">
        <f t="shared" si="57"/>
        <v/>
      </c>
      <c r="AH727" s="164">
        <f t="shared" si="55"/>
        <v>0.88</v>
      </c>
      <c r="AI727" s="164" t="str">
        <f t="shared" si="56"/>
        <v/>
      </c>
      <c r="AJ727" s="368"/>
      <c r="AK727" s="368"/>
      <c r="AL727" s="368"/>
      <c r="AM727" s="368"/>
      <c r="AN727" s="369"/>
      <c r="AO727" s="368"/>
      <c r="AP727" s="368"/>
      <c r="AQ727" s="368"/>
      <c r="AR727" s="368"/>
      <c r="AS727" s="195"/>
      <c r="AT727" s="195"/>
      <c r="AU727" s="377"/>
      <c r="AV727" s="382"/>
      <c r="AW727" s="426"/>
      <c r="AX727" s="426"/>
      <c r="AY727" s="426"/>
      <c r="AZ727" s="426"/>
      <c r="BA727" s="426"/>
      <c r="BB727" s="426"/>
      <c r="BC727" s="426"/>
      <c r="BD727" s="426"/>
      <c r="BE727" s="426"/>
      <c r="BF727" s="468">
        <v>0.88</v>
      </c>
      <c r="BG727" s="468">
        <v>12.157</v>
      </c>
      <c r="BH727" s="341"/>
      <c r="BI727" s="446" t="s">
        <v>1557</v>
      </c>
      <c r="BJ727" s="505"/>
    </row>
    <row r="728" spans="1:62" ht="15.75" customHeight="1" thickBot="1" x14ac:dyDescent="0.25">
      <c r="A728" s="174">
        <v>729</v>
      </c>
      <c r="B728" s="175">
        <v>1</v>
      </c>
      <c r="C728" s="166" t="s">
        <v>236</v>
      </c>
      <c r="D728" s="167" t="s">
        <v>2282</v>
      </c>
      <c r="E728" s="166" t="s">
        <v>13</v>
      </c>
      <c r="F728" s="166" t="s">
        <v>1569</v>
      </c>
      <c r="G728" s="166" t="s">
        <v>292</v>
      </c>
      <c r="H728" s="166" t="s">
        <v>108</v>
      </c>
      <c r="I728" s="181">
        <v>2015</v>
      </c>
      <c r="J728" s="181" t="s">
        <v>1553</v>
      </c>
      <c r="K728" s="181" t="s">
        <v>1554</v>
      </c>
      <c r="L728" s="181" t="s">
        <v>19</v>
      </c>
      <c r="M728" s="556" t="s">
        <v>4257</v>
      </c>
      <c r="N728" s="214" t="s">
        <v>20</v>
      </c>
      <c r="O728" s="214" t="s">
        <v>15</v>
      </c>
      <c r="P728" s="214" t="s">
        <v>20</v>
      </c>
      <c r="Q728" s="214" t="s">
        <v>20</v>
      </c>
      <c r="R728" s="214" t="s">
        <v>15</v>
      </c>
      <c r="S728" s="214" t="s">
        <v>20</v>
      </c>
      <c r="T728" s="214" t="s">
        <v>15</v>
      </c>
      <c r="U728" s="214" t="s">
        <v>15</v>
      </c>
      <c r="V728" s="214" t="s">
        <v>15</v>
      </c>
      <c r="W728" s="214" t="s">
        <v>20</v>
      </c>
      <c r="X728" s="214" t="s">
        <v>15</v>
      </c>
      <c r="Y728" s="214" t="s">
        <v>15</v>
      </c>
      <c r="Z728" s="234"/>
      <c r="AA728" s="214" t="s">
        <v>1555</v>
      </c>
      <c r="AB728" s="214" t="s">
        <v>15</v>
      </c>
      <c r="AC728" s="214" t="s">
        <v>15</v>
      </c>
      <c r="AD728" s="320" t="s">
        <v>1556</v>
      </c>
      <c r="AE728" s="319"/>
      <c r="AF728" s="162" t="str">
        <f t="shared" si="54"/>
        <v/>
      </c>
      <c r="AG728" s="162" t="str">
        <f t="shared" si="57"/>
        <v/>
      </c>
      <c r="AH728" s="164">
        <f t="shared" si="55"/>
        <v>1.39</v>
      </c>
      <c r="AI728" s="164" t="str">
        <f t="shared" si="56"/>
        <v/>
      </c>
      <c r="AJ728" s="368"/>
      <c r="AK728" s="368"/>
      <c r="AL728" s="368"/>
      <c r="AM728" s="368"/>
      <c r="AN728" s="369"/>
      <c r="AO728" s="368"/>
      <c r="AP728" s="368"/>
      <c r="AQ728" s="368"/>
      <c r="AR728" s="368"/>
      <c r="AS728" s="195"/>
      <c r="AT728" s="195"/>
      <c r="AU728" s="377"/>
      <c r="AV728" s="382"/>
      <c r="AW728" s="426"/>
      <c r="AX728" s="426"/>
      <c r="AY728" s="426"/>
      <c r="AZ728" s="426"/>
      <c r="BA728" s="426"/>
      <c r="BB728" s="426"/>
      <c r="BC728" s="426"/>
      <c r="BD728" s="426"/>
      <c r="BE728" s="426"/>
      <c r="BF728" s="468">
        <v>1.39</v>
      </c>
      <c r="BG728" s="468">
        <v>7.3520000000000003</v>
      </c>
      <c r="BH728" s="341"/>
      <c r="BI728" s="446" t="s">
        <v>1557</v>
      </c>
      <c r="BJ728" s="505"/>
    </row>
    <row r="729" spans="1:62" ht="15.75" customHeight="1" thickBot="1" x14ac:dyDescent="0.25">
      <c r="A729" s="176">
        <v>730</v>
      </c>
      <c r="B729" s="175">
        <v>1</v>
      </c>
      <c r="C729" s="166" t="s">
        <v>162</v>
      </c>
      <c r="D729" s="166" t="s">
        <v>1995</v>
      </c>
      <c r="E729" s="166" t="s">
        <v>13</v>
      </c>
      <c r="F729" s="166" t="s">
        <v>1570</v>
      </c>
      <c r="G729" s="166" t="s">
        <v>292</v>
      </c>
      <c r="H729" s="166" t="s">
        <v>108</v>
      </c>
      <c r="I729" s="181">
        <v>2015</v>
      </c>
      <c r="J729" s="181" t="s">
        <v>1553</v>
      </c>
      <c r="K729" s="181" t="s">
        <v>1554</v>
      </c>
      <c r="L729" s="181" t="s">
        <v>19</v>
      </c>
      <c r="M729" s="556" t="s">
        <v>4257</v>
      </c>
      <c r="N729" s="214" t="s">
        <v>20</v>
      </c>
      <c r="O729" s="214" t="s">
        <v>15</v>
      </c>
      <c r="P729" s="214" t="s">
        <v>20</v>
      </c>
      <c r="Q729" s="214" t="s">
        <v>20</v>
      </c>
      <c r="R729" s="214" t="s">
        <v>15</v>
      </c>
      <c r="S729" s="214" t="s">
        <v>20</v>
      </c>
      <c r="T729" s="214" t="s">
        <v>15</v>
      </c>
      <c r="U729" s="214" t="s">
        <v>15</v>
      </c>
      <c r="V729" s="214" t="s">
        <v>15</v>
      </c>
      <c r="W729" s="214" t="s">
        <v>20</v>
      </c>
      <c r="X729" s="214" t="s">
        <v>15</v>
      </c>
      <c r="Y729" s="214" t="s">
        <v>15</v>
      </c>
      <c r="Z729" s="234"/>
      <c r="AA729" s="214" t="s">
        <v>1555</v>
      </c>
      <c r="AB729" s="214" t="s">
        <v>15</v>
      </c>
      <c r="AC729" s="214" t="s">
        <v>15</v>
      </c>
      <c r="AD729" s="320" t="s">
        <v>1556</v>
      </c>
      <c r="AE729" s="319"/>
      <c r="AF729" s="162" t="str">
        <f t="shared" si="54"/>
        <v/>
      </c>
      <c r="AG729" s="162" t="str">
        <f t="shared" si="57"/>
        <v/>
      </c>
      <c r="AH729" s="164">
        <f t="shared" si="55"/>
        <v>0.68700000000000006</v>
      </c>
      <c r="AI729" s="164" t="str">
        <f t="shared" si="56"/>
        <v/>
      </c>
      <c r="AJ729" s="368"/>
      <c r="AK729" s="368"/>
      <c r="AL729" s="368"/>
      <c r="AM729" s="368"/>
      <c r="AN729" s="369"/>
      <c r="AO729" s="368"/>
      <c r="AP729" s="368"/>
      <c r="AQ729" s="368"/>
      <c r="AR729" s="368"/>
      <c r="AS729" s="195"/>
      <c r="AT729" s="195"/>
      <c r="AU729" s="377"/>
      <c r="AV729" s="382"/>
      <c r="AW729" s="426"/>
      <c r="AX729" s="426"/>
      <c r="AY729" s="426"/>
      <c r="AZ729" s="426"/>
      <c r="BA729" s="426"/>
      <c r="BB729" s="426"/>
      <c r="BC729" s="426"/>
      <c r="BD729" s="426"/>
      <c r="BE729" s="426"/>
      <c r="BF729" s="468">
        <v>0.68700000000000006</v>
      </c>
      <c r="BG729" s="468">
        <v>11.420999999999999</v>
      </c>
      <c r="BH729" s="341"/>
      <c r="BI729" s="446" t="s">
        <v>1557</v>
      </c>
      <c r="BJ729" s="505"/>
    </row>
    <row r="730" spans="1:62" ht="15.75" customHeight="1" thickBot="1" x14ac:dyDescent="0.25">
      <c r="A730" s="174">
        <v>731</v>
      </c>
      <c r="B730" s="175">
        <v>1</v>
      </c>
      <c r="C730" s="166" t="s">
        <v>162</v>
      </c>
      <c r="D730" s="159" t="s">
        <v>2134</v>
      </c>
      <c r="E730" s="166" t="s">
        <v>13</v>
      </c>
      <c r="F730" s="166" t="s">
        <v>1571</v>
      </c>
      <c r="G730" s="166" t="s">
        <v>292</v>
      </c>
      <c r="H730" s="166" t="s">
        <v>108</v>
      </c>
      <c r="I730" s="181">
        <v>2015</v>
      </c>
      <c r="J730" s="181" t="s">
        <v>1553</v>
      </c>
      <c r="K730" s="181" t="s">
        <v>1554</v>
      </c>
      <c r="L730" s="181" t="s">
        <v>19</v>
      </c>
      <c r="M730" s="556" t="s">
        <v>4257</v>
      </c>
      <c r="N730" s="214" t="s">
        <v>20</v>
      </c>
      <c r="O730" s="214" t="s">
        <v>15</v>
      </c>
      <c r="P730" s="214" t="s">
        <v>20</v>
      </c>
      <c r="Q730" s="214" t="s">
        <v>20</v>
      </c>
      <c r="R730" s="214" t="s">
        <v>15</v>
      </c>
      <c r="S730" s="214" t="s">
        <v>20</v>
      </c>
      <c r="T730" s="214" t="s">
        <v>15</v>
      </c>
      <c r="U730" s="214" t="s">
        <v>15</v>
      </c>
      <c r="V730" s="214" t="s">
        <v>15</v>
      </c>
      <c r="W730" s="214" t="s">
        <v>20</v>
      </c>
      <c r="X730" s="214" t="s">
        <v>15</v>
      </c>
      <c r="Y730" s="214" t="s">
        <v>15</v>
      </c>
      <c r="Z730" s="234"/>
      <c r="AA730" s="214" t="s">
        <v>1555</v>
      </c>
      <c r="AB730" s="214" t="s">
        <v>15</v>
      </c>
      <c r="AC730" s="214" t="s">
        <v>15</v>
      </c>
      <c r="AD730" s="320" t="s">
        <v>1556</v>
      </c>
      <c r="AE730" s="319"/>
      <c r="AF730" s="162" t="str">
        <f t="shared" si="54"/>
        <v/>
      </c>
      <c r="AG730" s="162" t="str">
        <f t="shared" si="57"/>
        <v/>
      </c>
      <c r="AH730" s="164">
        <f t="shared" si="55"/>
        <v>0.4</v>
      </c>
      <c r="AI730" s="164" t="str">
        <f t="shared" si="56"/>
        <v/>
      </c>
      <c r="AJ730" s="368"/>
      <c r="AK730" s="368"/>
      <c r="AL730" s="368"/>
      <c r="AM730" s="368"/>
      <c r="AN730" s="369"/>
      <c r="AO730" s="368"/>
      <c r="AP730" s="368"/>
      <c r="AQ730" s="368"/>
      <c r="AR730" s="368"/>
      <c r="AS730" s="195"/>
      <c r="AT730" s="195"/>
      <c r="AU730" s="377"/>
      <c r="AV730" s="382"/>
      <c r="AW730" s="426"/>
      <c r="AX730" s="426"/>
      <c r="AY730" s="426"/>
      <c r="AZ730" s="426"/>
      <c r="BA730" s="426"/>
      <c r="BB730" s="426"/>
      <c r="BC730" s="426"/>
      <c r="BD730" s="426"/>
      <c r="BE730" s="426"/>
      <c r="BF730" s="468">
        <v>0.4</v>
      </c>
      <c r="BG730" s="468">
        <v>10.635</v>
      </c>
      <c r="BH730" s="341"/>
      <c r="BI730" s="446" t="s">
        <v>1557</v>
      </c>
      <c r="BJ730" s="505"/>
    </row>
    <row r="731" spans="1:62" ht="15.75" customHeight="1" thickBot="1" x14ac:dyDescent="0.25">
      <c r="A731" s="176">
        <v>732</v>
      </c>
      <c r="B731" s="175">
        <v>1</v>
      </c>
      <c r="C731" s="166" t="s">
        <v>236</v>
      </c>
      <c r="D731" s="160" t="s">
        <v>2042</v>
      </c>
      <c r="E731" s="166" t="s">
        <v>13</v>
      </c>
      <c r="F731" s="166" t="s">
        <v>1572</v>
      </c>
      <c r="G731" s="166" t="s">
        <v>122</v>
      </c>
      <c r="H731" s="166" t="s">
        <v>700</v>
      </c>
      <c r="I731" s="181">
        <v>2014</v>
      </c>
      <c r="J731" s="181" t="s">
        <v>1573</v>
      </c>
      <c r="K731" s="181" t="s">
        <v>1574</v>
      </c>
      <c r="L731" s="181" t="s">
        <v>19</v>
      </c>
      <c r="M731" s="556" t="s">
        <v>4258</v>
      </c>
      <c r="N731" s="214" t="s">
        <v>20</v>
      </c>
      <c r="O731" s="214" t="s">
        <v>15</v>
      </c>
      <c r="P731" s="214" t="s">
        <v>15</v>
      </c>
      <c r="Q731" s="214" t="s">
        <v>15</v>
      </c>
      <c r="R731" s="214" t="s">
        <v>15</v>
      </c>
      <c r="S731" s="214" t="s">
        <v>15</v>
      </c>
      <c r="T731" s="214" t="s">
        <v>15</v>
      </c>
      <c r="U731" s="214" t="s">
        <v>15</v>
      </c>
      <c r="V731" s="214" t="s">
        <v>15</v>
      </c>
      <c r="W731" s="214" t="s">
        <v>15</v>
      </c>
      <c r="X731" s="214" t="s">
        <v>15</v>
      </c>
      <c r="Y731" s="214" t="s">
        <v>15</v>
      </c>
      <c r="Z731" s="234"/>
      <c r="AA731" s="214" t="s">
        <v>1131</v>
      </c>
      <c r="AB731" s="214" t="s">
        <v>15</v>
      </c>
      <c r="AC731" s="214" t="s">
        <v>15</v>
      </c>
      <c r="AD731" s="320" t="s">
        <v>1575</v>
      </c>
      <c r="AE731" s="319"/>
      <c r="AF731" s="162" t="str">
        <f t="shared" si="54"/>
        <v/>
      </c>
      <c r="AG731" s="162" t="str">
        <f t="shared" si="57"/>
        <v/>
      </c>
      <c r="AH731" s="164">
        <f t="shared" si="55"/>
        <v>0.217</v>
      </c>
      <c r="AI731" s="164" t="str">
        <f t="shared" si="56"/>
        <v/>
      </c>
      <c r="AJ731" s="368"/>
      <c r="AK731" s="368"/>
      <c r="AL731" s="368"/>
      <c r="AM731" s="368"/>
      <c r="AN731" s="369"/>
      <c r="AO731" s="368"/>
      <c r="AP731" s="368"/>
      <c r="AQ731" s="368"/>
      <c r="AR731" s="368"/>
      <c r="AS731" s="195"/>
      <c r="AT731" s="195"/>
      <c r="AU731" s="377"/>
      <c r="AV731" s="382"/>
      <c r="AW731" s="426"/>
      <c r="AX731" s="426"/>
      <c r="AY731" s="426"/>
      <c r="AZ731" s="426"/>
      <c r="BA731" s="426"/>
      <c r="BB731" s="426"/>
      <c r="BC731" s="426"/>
      <c r="BD731" s="426"/>
      <c r="BE731" s="426"/>
      <c r="BF731" s="468">
        <v>0.217</v>
      </c>
      <c r="BG731" s="468"/>
      <c r="BH731" s="335" t="s">
        <v>1576</v>
      </c>
      <c r="BI731" s="446" t="s">
        <v>638</v>
      </c>
      <c r="BJ731" s="505"/>
    </row>
    <row r="732" spans="1:62" ht="15.75" customHeight="1" thickBot="1" x14ac:dyDescent="0.25">
      <c r="A732" s="174">
        <v>733</v>
      </c>
      <c r="B732" s="175">
        <v>1</v>
      </c>
      <c r="C732" s="166" t="s">
        <v>236</v>
      </c>
      <c r="D732" s="160" t="s">
        <v>2042</v>
      </c>
      <c r="E732" s="166" t="s">
        <v>13</v>
      </c>
      <c r="F732" s="166" t="s">
        <v>1577</v>
      </c>
      <c r="G732" s="166" t="s">
        <v>122</v>
      </c>
      <c r="H732" s="166" t="s">
        <v>700</v>
      </c>
      <c r="I732" s="181">
        <v>2014</v>
      </c>
      <c r="J732" s="181" t="s">
        <v>1573</v>
      </c>
      <c r="K732" s="181" t="s">
        <v>1574</v>
      </c>
      <c r="L732" s="181" t="s">
        <v>19</v>
      </c>
      <c r="M732" s="556" t="s">
        <v>4258</v>
      </c>
      <c r="N732" s="214" t="s">
        <v>20</v>
      </c>
      <c r="O732" s="214" t="s">
        <v>15</v>
      </c>
      <c r="P732" s="214" t="s">
        <v>15</v>
      </c>
      <c r="Q732" s="214" t="s">
        <v>15</v>
      </c>
      <c r="R732" s="214" t="s">
        <v>15</v>
      </c>
      <c r="S732" s="214" t="s">
        <v>15</v>
      </c>
      <c r="T732" s="214" t="s">
        <v>15</v>
      </c>
      <c r="U732" s="214" t="s">
        <v>15</v>
      </c>
      <c r="V732" s="214" t="s">
        <v>15</v>
      </c>
      <c r="W732" s="214" t="s">
        <v>15</v>
      </c>
      <c r="X732" s="214" t="s">
        <v>15</v>
      </c>
      <c r="Y732" s="214" t="s">
        <v>15</v>
      </c>
      <c r="Z732" s="234"/>
      <c r="AA732" s="214" t="s">
        <v>1131</v>
      </c>
      <c r="AB732" s="214" t="s">
        <v>15</v>
      </c>
      <c r="AC732" s="214" t="s">
        <v>15</v>
      </c>
      <c r="AD732" s="320" t="s">
        <v>1575</v>
      </c>
      <c r="AE732" s="319"/>
      <c r="AF732" s="162" t="str">
        <f t="shared" si="54"/>
        <v/>
      </c>
      <c r="AG732" s="162" t="str">
        <f t="shared" si="57"/>
        <v/>
      </c>
      <c r="AH732" s="164">
        <f t="shared" si="55"/>
        <v>0.13500000000000001</v>
      </c>
      <c r="AI732" s="164" t="str">
        <f t="shared" si="56"/>
        <v/>
      </c>
      <c r="AJ732" s="368"/>
      <c r="AK732" s="368"/>
      <c r="AL732" s="368"/>
      <c r="AM732" s="368"/>
      <c r="AN732" s="369"/>
      <c r="AO732" s="368"/>
      <c r="AP732" s="368"/>
      <c r="AQ732" s="368"/>
      <c r="AR732" s="368"/>
      <c r="AS732" s="195"/>
      <c r="AT732" s="195"/>
      <c r="AU732" s="377"/>
      <c r="AV732" s="382"/>
      <c r="AW732" s="426"/>
      <c r="AX732" s="426"/>
      <c r="AY732" s="426"/>
      <c r="AZ732" s="426"/>
      <c r="BA732" s="426"/>
      <c r="BB732" s="426"/>
      <c r="BC732" s="426"/>
      <c r="BD732" s="426"/>
      <c r="BE732" s="426"/>
      <c r="BF732" s="468">
        <v>0.13500000000000001</v>
      </c>
      <c r="BG732" s="468"/>
      <c r="BH732" s="335" t="s">
        <v>1578</v>
      </c>
      <c r="BI732" s="446" t="s">
        <v>638</v>
      </c>
      <c r="BJ732" s="505"/>
    </row>
    <row r="733" spans="1:62" ht="15.75" customHeight="1" thickBot="1" x14ac:dyDescent="0.25">
      <c r="A733" s="176">
        <v>734</v>
      </c>
      <c r="B733" s="175">
        <v>1</v>
      </c>
      <c r="C733" s="166" t="s">
        <v>236</v>
      </c>
      <c r="D733" s="160" t="s">
        <v>2042</v>
      </c>
      <c r="E733" s="166" t="s">
        <v>13</v>
      </c>
      <c r="F733" s="166" t="s">
        <v>1579</v>
      </c>
      <c r="G733" s="166" t="s">
        <v>122</v>
      </c>
      <c r="H733" s="166" t="s">
        <v>700</v>
      </c>
      <c r="I733" s="181">
        <v>2014</v>
      </c>
      <c r="J733" s="181" t="s">
        <v>1573</v>
      </c>
      <c r="K733" s="181" t="s">
        <v>1574</v>
      </c>
      <c r="L733" s="181" t="s">
        <v>19</v>
      </c>
      <c r="M733" s="556" t="s">
        <v>4258</v>
      </c>
      <c r="N733" s="214" t="s">
        <v>20</v>
      </c>
      <c r="O733" s="214" t="s">
        <v>15</v>
      </c>
      <c r="P733" s="214" t="s">
        <v>15</v>
      </c>
      <c r="Q733" s="214" t="s">
        <v>15</v>
      </c>
      <c r="R733" s="214" t="s">
        <v>15</v>
      </c>
      <c r="S733" s="214" t="s">
        <v>15</v>
      </c>
      <c r="T733" s="214" t="s">
        <v>15</v>
      </c>
      <c r="U733" s="214" t="s">
        <v>15</v>
      </c>
      <c r="V733" s="214" t="s">
        <v>15</v>
      </c>
      <c r="W733" s="214" t="s">
        <v>15</v>
      </c>
      <c r="X733" s="214" t="s">
        <v>15</v>
      </c>
      <c r="Y733" s="214" t="s">
        <v>15</v>
      </c>
      <c r="Z733" s="234"/>
      <c r="AA733" s="214" t="s">
        <v>1131</v>
      </c>
      <c r="AB733" s="214" t="s">
        <v>15</v>
      </c>
      <c r="AC733" s="214" t="s">
        <v>15</v>
      </c>
      <c r="AD733" s="320" t="s">
        <v>1575</v>
      </c>
      <c r="AE733" s="319"/>
      <c r="AF733" s="162" t="str">
        <f t="shared" si="54"/>
        <v/>
      </c>
      <c r="AG733" s="162" t="str">
        <f t="shared" si="57"/>
        <v/>
      </c>
      <c r="AH733" s="164">
        <f t="shared" si="55"/>
        <v>0.14599999999999999</v>
      </c>
      <c r="AI733" s="164" t="str">
        <f t="shared" si="56"/>
        <v/>
      </c>
      <c r="AJ733" s="368"/>
      <c r="AK733" s="368"/>
      <c r="AL733" s="368"/>
      <c r="AM733" s="368"/>
      <c r="AN733" s="369"/>
      <c r="AO733" s="368"/>
      <c r="AP733" s="368"/>
      <c r="AQ733" s="368"/>
      <c r="AR733" s="368"/>
      <c r="AS733" s="195"/>
      <c r="AT733" s="195"/>
      <c r="AU733" s="377"/>
      <c r="AV733" s="382"/>
      <c r="AW733" s="426"/>
      <c r="AX733" s="426"/>
      <c r="AY733" s="426"/>
      <c r="AZ733" s="426"/>
      <c r="BA733" s="426"/>
      <c r="BB733" s="426"/>
      <c r="BC733" s="426"/>
      <c r="BD733" s="426"/>
      <c r="BE733" s="426"/>
      <c r="BF733" s="468">
        <v>0.14599999999999999</v>
      </c>
      <c r="BG733" s="468"/>
      <c r="BH733" s="335" t="s">
        <v>1580</v>
      </c>
      <c r="BI733" s="446" t="s">
        <v>638</v>
      </c>
      <c r="BJ733" s="505"/>
    </row>
    <row r="734" spans="1:62" ht="15.75" customHeight="1" thickBot="1" x14ac:dyDescent="0.25">
      <c r="A734" s="174">
        <v>735</v>
      </c>
      <c r="B734" s="175">
        <v>1</v>
      </c>
      <c r="C734" s="166" t="s">
        <v>236</v>
      </c>
      <c r="D734" s="160" t="s">
        <v>2042</v>
      </c>
      <c r="E734" s="166" t="s">
        <v>13</v>
      </c>
      <c r="F734" s="166" t="s">
        <v>1581</v>
      </c>
      <c r="G734" s="166" t="s">
        <v>122</v>
      </c>
      <c r="H734" s="166" t="s">
        <v>700</v>
      </c>
      <c r="I734" s="181">
        <v>2014</v>
      </c>
      <c r="J734" s="181" t="s">
        <v>1573</v>
      </c>
      <c r="K734" s="181" t="s">
        <v>1574</v>
      </c>
      <c r="L734" s="181" t="s">
        <v>19</v>
      </c>
      <c r="M734" s="556" t="s">
        <v>4258</v>
      </c>
      <c r="N734" s="214" t="s">
        <v>20</v>
      </c>
      <c r="O734" s="214" t="s">
        <v>15</v>
      </c>
      <c r="P734" s="214" t="s">
        <v>15</v>
      </c>
      <c r="Q734" s="214" t="s">
        <v>15</v>
      </c>
      <c r="R734" s="214" t="s">
        <v>15</v>
      </c>
      <c r="S734" s="214" t="s">
        <v>15</v>
      </c>
      <c r="T734" s="214" t="s">
        <v>15</v>
      </c>
      <c r="U734" s="214" t="s">
        <v>15</v>
      </c>
      <c r="V734" s="214" t="s">
        <v>15</v>
      </c>
      <c r="W734" s="214" t="s">
        <v>15</v>
      </c>
      <c r="X734" s="214" t="s">
        <v>15</v>
      </c>
      <c r="Y734" s="214" t="s">
        <v>15</v>
      </c>
      <c r="Z734" s="234"/>
      <c r="AA734" s="214" t="s">
        <v>1131</v>
      </c>
      <c r="AB734" s="214" t="s">
        <v>15</v>
      </c>
      <c r="AC734" s="214" t="s">
        <v>15</v>
      </c>
      <c r="AD734" s="320" t="s">
        <v>1575</v>
      </c>
      <c r="AE734" s="319"/>
      <c r="AF734" s="162" t="str">
        <f t="shared" si="54"/>
        <v/>
      </c>
      <c r="AG734" s="162" t="str">
        <f t="shared" si="57"/>
        <v/>
      </c>
      <c r="AH734" s="164">
        <f t="shared" si="55"/>
        <v>0.20399999999999999</v>
      </c>
      <c r="AI734" s="164" t="str">
        <f t="shared" si="56"/>
        <v/>
      </c>
      <c r="AJ734" s="368"/>
      <c r="AK734" s="368"/>
      <c r="AL734" s="368"/>
      <c r="AM734" s="368"/>
      <c r="AN734" s="369"/>
      <c r="AO734" s="368"/>
      <c r="AP734" s="368"/>
      <c r="AQ734" s="368"/>
      <c r="AR734" s="368"/>
      <c r="AS734" s="195"/>
      <c r="AT734" s="195"/>
      <c r="AU734" s="377"/>
      <c r="AV734" s="382"/>
      <c r="AW734" s="426"/>
      <c r="AX734" s="426"/>
      <c r="AY734" s="426"/>
      <c r="AZ734" s="426"/>
      <c r="BA734" s="426"/>
      <c r="BB734" s="426"/>
      <c r="BC734" s="426"/>
      <c r="BD734" s="426"/>
      <c r="BE734" s="426"/>
      <c r="BF734" s="468">
        <v>0.20399999999999999</v>
      </c>
      <c r="BG734" s="468"/>
      <c r="BH734" s="335" t="s">
        <v>1582</v>
      </c>
      <c r="BI734" s="446" t="s">
        <v>638</v>
      </c>
      <c r="BJ734" s="505"/>
    </row>
    <row r="735" spans="1:62" ht="15.75" customHeight="1" thickBot="1" x14ac:dyDescent="0.25">
      <c r="A735" s="176">
        <v>736</v>
      </c>
      <c r="B735" s="175">
        <v>1</v>
      </c>
      <c r="C735" s="166" t="s">
        <v>39</v>
      </c>
      <c r="D735" s="166" t="s">
        <v>40</v>
      </c>
      <c r="E735" s="166" t="s">
        <v>13</v>
      </c>
      <c r="F735" s="166" t="s">
        <v>1583</v>
      </c>
      <c r="G735" s="166" t="s">
        <v>20</v>
      </c>
      <c r="H735" s="166" t="s">
        <v>108</v>
      </c>
      <c r="I735" s="181">
        <v>2011</v>
      </c>
      <c r="J735" s="181" t="s">
        <v>1584</v>
      </c>
      <c r="K735" s="181" t="s">
        <v>1585</v>
      </c>
      <c r="L735" s="181" t="s">
        <v>19</v>
      </c>
      <c r="M735" s="556" t="s">
        <v>4177</v>
      </c>
      <c r="N735" s="214" t="s">
        <v>20</v>
      </c>
      <c r="O735" s="214" t="s">
        <v>15</v>
      </c>
      <c r="P735" s="214" t="s">
        <v>15</v>
      </c>
      <c r="Q735" s="214" t="s">
        <v>15</v>
      </c>
      <c r="R735" s="214" t="s">
        <v>15</v>
      </c>
      <c r="S735" s="214" t="s">
        <v>15</v>
      </c>
      <c r="T735" s="214" t="s">
        <v>15</v>
      </c>
      <c r="U735" s="214" t="s">
        <v>15</v>
      </c>
      <c r="V735" s="214" t="s">
        <v>15</v>
      </c>
      <c r="W735" s="214" t="s">
        <v>15</v>
      </c>
      <c r="X735" s="214" t="s">
        <v>15</v>
      </c>
      <c r="Y735" s="214" t="s">
        <v>15</v>
      </c>
      <c r="Z735" s="234"/>
      <c r="AA735" s="214" t="s">
        <v>1131</v>
      </c>
      <c r="AB735" s="214" t="s">
        <v>15</v>
      </c>
      <c r="AC735" s="214" t="s">
        <v>15</v>
      </c>
      <c r="AD735" s="320" t="s">
        <v>1586</v>
      </c>
      <c r="AE735" s="320" t="s">
        <v>1545</v>
      </c>
      <c r="AF735" s="162">
        <f t="shared" si="54"/>
        <v>16.88</v>
      </c>
      <c r="AG735" s="162" t="str">
        <f t="shared" si="57"/>
        <v/>
      </c>
      <c r="AH735" s="164">
        <f t="shared" si="55"/>
        <v>2.92</v>
      </c>
      <c r="AI735" s="164" t="str">
        <f t="shared" si="56"/>
        <v/>
      </c>
      <c r="AJ735" s="368"/>
      <c r="AK735" s="368"/>
      <c r="AL735" s="368"/>
      <c r="AM735" s="368"/>
      <c r="AN735" s="369"/>
      <c r="AO735" s="368"/>
      <c r="AP735" s="368"/>
      <c r="AQ735" s="368"/>
      <c r="AR735" s="368"/>
      <c r="AS735" s="198">
        <v>16.88</v>
      </c>
      <c r="AT735" s="195"/>
      <c r="AU735" s="377"/>
      <c r="AV735" s="382"/>
      <c r="AW735" s="426"/>
      <c r="AX735" s="426"/>
      <c r="AY735" s="426"/>
      <c r="AZ735" s="426"/>
      <c r="BA735" s="426"/>
      <c r="BB735" s="426"/>
      <c r="BC735" s="426"/>
      <c r="BD735" s="426"/>
      <c r="BE735" s="426"/>
      <c r="BF735" s="468">
        <v>2.92</v>
      </c>
      <c r="BG735" s="467"/>
      <c r="BH735" s="335" t="s">
        <v>1587</v>
      </c>
      <c r="BI735" s="446" t="s">
        <v>47</v>
      </c>
      <c r="BJ735" s="505"/>
    </row>
    <row r="736" spans="1:62" ht="15.75" customHeight="1" thickBot="1" x14ac:dyDescent="0.25">
      <c r="A736" s="174">
        <v>737</v>
      </c>
      <c r="B736" s="175">
        <v>1</v>
      </c>
      <c r="C736" s="166" t="s">
        <v>39</v>
      </c>
      <c r="D736" s="166" t="s">
        <v>40</v>
      </c>
      <c r="E736" s="166" t="s">
        <v>13</v>
      </c>
      <c r="F736" s="166" t="s">
        <v>1588</v>
      </c>
      <c r="G736" s="166" t="s">
        <v>20</v>
      </c>
      <c r="H736" s="166" t="s">
        <v>108</v>
      </c>
      <c r="I736" s="181">
        <v>2011</v>
      </c>
      <c r="J736" s="181" t="s">
        <v>1584</v>
      </c>
      <c r="K736" s="181" t="s">
        <v>1585</v>
      </c>
      <c r="L736" s="181" t="s">
        <v>19</v>
      </c>
      <c r="M736" s="556" t="s">
        <v>4177</v>
      </c>
      <c r="N736" s="214" t="s">
        <v>20</v>
      </c>
      <c r="O736" s="214" t="s">
        <v>15</v>
      </c>
      <c r="P736" s="214" t="s">
        <v>15</v>
      </c>
      <c r="Q736" s="214" t="s">
        <v>15</v>
      </c>
      <c r="R736" s="214" t="s">
        <v>15</v>
      </c>
      <c r="S736" s="214" t="s">
        <v>15</v>
      </c>
      <c r="T736" s="214" t="s">
        <v>15</v>
      </c>
      <c r="U736" s="214" t="s">
        <v>15</v>
      </c>
      <c r="V736" s="214" t="s">
        <v>15</v>
      </c>
      <c r="W736" s="214" t="s">
        <v>15</v>
      </c>
      <c r="X736" s="214" t="s">
        <v>15</v>
      </c>
      <c r="Y736" s="214" t="s">
        <v>15</v>
      </c>
      <c r="Z736" s="234"/>
      <c r="AA736" s="214" t="s">
        <v>1131</v>
      </c>
      <c r="AB736" s="214" t="s">
        <v>15</v>
      </c>
      <c r="AC736" s="214" t="s">
        <v>15</v>
      </c>
      <c r="AD736" s="320" t="s">
        <v>1586</v>
      </c>
      <c r="AE736" s="320" t="s">
        <v>1545</v>
      </c>
      <c r="AF736" s="162">
        <f t="shared" si="54"/>
        <v>22.2</v>
      </c>
      <c r="AG736" s="162" t="str">
        <f t="shared" si="57"/>
        <v/>
      </c>
      <c r="AH736" s="164">
        <f t="shared" si="55"/>
        <v>3.45</v>
      </c>
      <c r="AI736" s="164" t="str">
        <f t="shared" si="56"/>
        <v/>
      </c>
      <c r="AJ736" s="368"/>
      <c r="AK736" s="368"/>
      <c r="AL736" s="368"/>
      <c r="AM736" s="368"/>
      <c r="AN736" s="369"/>
      <c r="AO736" s="368"/>
      <c r="AP736" s="368"/>
      <c r="AQ736" s="368"/>
      <c r="AR736" s="368"/>
      <c r="AS736" s="194">
        <v>22.2</v>
      </c>
      <c r="AT736" s="195"/>
      <c r="AU736" s="377"/>
      <c r="AV736" s="382"/>
      <c r="AW736" s="426"/>
      <c r="AX736" s="426"/>
      <c r="AY736" s="426"/>
      <c r="AZ736" s="426"/>
      <c r="BA736" s="426"/>
      <c r="BB736" s="426"/>
      <c r="BC736" s="426"/>
      <c r="BD736" s="426"/>
      <c r="BE736" s="426"/>
      <c r="BF736" s="468">
        <v>3.45</v>
      </c>
      <c r="BG736" s="467"/>
      <c r="BH736" s="335" t="s">
        <v>1589</v>
      </c>
      <c r="BI736" s="446" t="s">
        <v>47</v>
      </c>
      <c r="BJ736" s="505"/>
    </row>
    <row r="737" spans="1:62" ht="15.75" customHeight="1" thickBot="1" x14ac:dyDescent="0.25">
      <c r="A737" s="176">
        <v>738</v>
      </c>
      <c r="B737" s="175">
        <v>1</v>
      </c>
      <c r="C737" s="166" t="s">
        <v>39</v>
      </c>
      <c r="D737" s="166" t="s">
        <v>40</v>
      </c>
      <c r="E737" s="166" t="s">
        <v>13</v>
      </c>
      <c r="F737" s="166" t="s">
        <v>1590</v>
      </c>
      <c r="G737" s="166" t="s">
        <v>20</v>
      </c>
      <c r="H737" s="166" t="s">
        <v>108</v>
      </c>
      <c r="I737" s="181">
        <v>2011</v>
      </c>
      <c r="J737" s="181" t="s">
        <v>1584</v>
      </c>
      <c r="K737" s="181" t="s">
        <v>1585</v>
      </c>
      <c r="L737" s="181" t="s">
        <v>19</v>
      </c>
      <c r="M737" s="556" t="s">
        <v>4177</v>
      </c>
      <c r="N737" s="214" t="s">
        <v>20</v>
      </c>
      <c r="O737" s="214" t="s">
        <v>15</v>
      </c>
      <c r="P737" s="214" t="s">
        <v>15</v>
      </c>
      <c r="Q737" s="214" t="s">
        <v>15</v>
      </c>
      <c r="R737" s="214" t="s">
        <v>15</v>
      </c>
      <c r="S737" s="214" t="s">
        <v>15</v>
      </c>
      <c r="T737" s="214" t="s">
        <v>15</v>
      </c>
      <c r="U737" s="214" t="s">
        <v>15</v>
      </c>
      <c r="V737" s="214" t="s">
        <v>15</v>
      </c>
      <c r="W737" s="214" t="s">
        <v>15</v>
      </c>
      <c r="X737" s="214" t="s">
        <v>15</v>
      </c>
      <c r="Y737" s="214" t="s">
        <v>15</v>
      </c>
      <c r="Z737" s="234"/>
      <c r="AA737" s="214" t="s">
        <v>1131</v>
      </c>
      <c r="AB737" s="214" t="s">
        <v>15</v>
      </c>
      <c r="AC737" s="214" t="s">
        <v>15</v>
      </c>
      <c r="AD737" s="320" t="s">
        <v>1586</v>
      </c>
      <c r="AE737" s="320" t="s">
        <v>1545</v>
      </c>
      <c r="AF737" s="162">
        <f t="shared" si="54"/>
        <v>18.78</v>
      </c>
      <c r="AG737" s="162" t="str">
        <f t="shared" si="57"/>
        <v/>
      </c>
      <c r="AH737" s="164">
        <f t="shared" si="55"/>
        <v>3.38</v>
      </c>
      <c r="AI737" s="164" t="str">
        <f t="shared" si="56"/>
        <v/>
      </c>
      <c r="AJ737" s="368"/>
      <c r="AK737" s="368"/>
      <c r="AL737" s="368"/>
      <c r="AM737" s="368"/>
      <c r="AN737" s="369"/>
      <c r="AO737" s="368"/>
      <c r="AP737" s="368"/>
      <c r="AQ737" s="368"/>
      <c r="AR737" s="368"/>
      <c r="AS737" s="194">
        <v>18.78</v>
      </c>
      <c r="AT737" s="195"/>
      <c r="AU737" s="377"/>
      <c r="AV737" s="382"/>
      <c r="AW737" s="426"/>
      <c r="AX737" s="426"/>
      <c r="AY737" s="426"/>
      <c r="AZ737" s="426"/>
      <c r="BA737" s="426"/>
      <c r="BB737" s="426"/>
      <c r="BC737" s="426"/>
      <c r="BD737" s="426"/>
      <c r="BE737" s="426"/>
      <c r="BF737" s="468">
        <v>3.38</v>
      </c>
      <c r="BG737" s="467"/>
      <c r="BH737" s="335" t="s">
        <v>1591</v>
      </c>
      <c r="BI737" s="446" t="s">
        <v>47</v>
      </c>
      <c r="BJ737" s="505"/>
    </row>
    <row r="738" spans="1:62" ht="15.75" customHeight="1" thickBot="1" x14ac:dyDescent="0.25">
      <c r="A738" s="174">
        <v>739</v>
      </c>
      <c r="B738" s="175">
        <v>1</v>
      </c>
      <c r="C738" s="166" t="s">
        <v>39</v>
      </c>
      <c r="D738" s="166" t="s">
        <v>40</v>
      </c>
      <c r="E738" s="166" t="s">
        <v>13</v>
      </c>
      <c r="F738" s="166" t="s">
        <v>1592</v>
      </c>
      <c r="G738" s="166" t="s">
        <v>20</v>
      </c>
      <c r="H738" s="166" t="s">
        <v>108</v>
      </c>
      <c r="I738" s="181">
        <v>2011</v>
      </c>
      <c r="J738" s="181" t="s">
        <v>1584</v>
      </c>
      <c r="K738" s="181" t="s">
        <v>1585</v>
      </c>
      <c r="L738" s="181" t="s">
        <v>19</v>
      </c>
      <c r="M738" s="556" t="s">
        <v>4177</v>
      </c>
      <c r="N738" s="214" t="s">
        <v>20</v>
      </c>
      <c r="O738" s="214" t="s">
        <v>15</v>
      </c>
      <c r="P738" s="214" t="s">
        <v>15</v>
      </c>
      <c r="Q738" s="214" t="s">
        <v>15</v>
      </c>
      <c r="R738" s="214" t="s">
        <v>15</v>
      </c>
      <c r="S738" s="214" t="s">
        <v>15</v>
      </c>
      <c r="T738" s="214" t="s">
        <v>15</v>
      </c>
      <c r="U738" s="214" t="s">
        <v>15</v>
      </c>
      <c r="V738" s="214" t="s">
        <v>15</v>
      </c>
      <c r="W738" s="214" t="s">
        <v>15</v>
      </c>
      <c r="X738" s="214" t="s">
        <v>15</v>
      </c>
      <c r="Y738" s="214" t="s">
        <v>15</v>
      </c>
      <c r="Z738" s="234"/>
      <c r="AA738" s="214" t="s">
        <v>1131</v>
      </c>
      <c r="AB738" s="214" t="s">
        <v>15</v>
      </c>
      <c r="AC738" s="214" t="s">
        <v>15</v>
      </c>
      <c r="AD738" s="320" t="s">
        <v>1586</v>
      </c>
      <c r="AE738" s="320" t="s">
        <v>1545</v>
      </c>
      <c r="AF738" s="162">
        <f t="shared" si="54"/>
        <v>26.41</v>
      </c>
      <c r="AG738" s="162" t="str">
        <f t="shared" si="57"/>
        <v/>
      </c>
      <c r="AH738" s="164">
        <f t="shared" si="55"/>
        <v>3.42</v>
      </c>
      <c r="AI738" s="164" t="str">
        <f t="shared" si="56"/>
        <v/>
      </c>
      <c r="AJ738" s="368"/>
      <c r="AK738" s="368"/>
      <c r="AL738" s="368"/>
      <c r="AM738" s="368"/>
      <c r="AN738" s="369"/>
      <c r="AO738" s="368"/>
      <c r="AP738" s="368"/>
      <c r="AQ738" s="368"/>
      <c r="AR738" s="368"/>
      <c r="AS738" s="194">
        <v>26.41</v>
      </c>
      <c r="AT738" s="195"/>
      <c r="AU738" s="377"/>
      <c r="AV738" s="382"/>
      <c r="AW738" s="426"/>
      <c r="AX738" s="426"/>
      <c r="AY738" s="426"/>
      <c r="AZ738" s="426"/>
      <c r="BA738" s="426"/>
      <c r="BB738" s="426"/>
      <c r="BC738" s="426"/>
      <c r="BD738" s="426"/>
      <c r="BE738" s="426"/>
      <c r="BF738" s="468">
        <v>3.42</v>
      </c>
      <c r="BG738" s="467"/>
      <c r="BH738" s="335" t="s">
        <v>1593</v>
      </c>
      <c r="BI738" s="446" t="s">
        <v>47</v>
      </c>
      <c r="BJ738" s="505"/>
    </row>
    <row r="739" spans="1:62" ht="15.75" customHeight="1" thickBot="1" x14ac:dyDescent="0.25">
      <c r="A739" s="176">
        <v>740</v>
      </c>
      <c r="B739" s="175">
        <v>1</v>
      </c>
      <c r="C739" s="166" t="s">
        <v>162</v>
      </c>
      <c r="D739" s="166" t="s">
        <v>2311</v>
      </c>
      <c r="E739" s="166" t="s">
        <v>13</v>
      </c>
      <c r="F739" s="166" t="s">
        <v>1594</v>
      </c>
      <c r="G739" s="166" t="s">
        <v>15</v>
      </c>
      <c r="H739" s="166" t="s">
        <v>173</v>
      </c>
      <c r="I739" s="181">
        <v>2011</v>
      </c>
      <c r="J739" s="181" t="s">
        <v>1595</v>
      </c>
      <c r="K739" s="181" t="s">
        <v>1596</v>
      </c>
      <c r="L739" s="181" t="s">
        <v>19</v>
      </c>
      <c r="M739" s="556" t="s">
        <v>4259</v>
      </c>
      <c r="N739" s="214" t="s">
        <v>20</v>
      </c>
      <c r="O739" s="214" t="s">
        <v>15</v>
      </c>
      <c r="P739" s="214" t="s">
        <v>20</v>
      </c>
      <c r="Q739" s="214" t="s">
        <v>20</v>
      </c>
      <c r="R739" s="214" t="s">
        <v>20</v>
      </c>
      <c r="S739" s="214" t="s">
        <v>20</v>
      </c>
      <c r="T739" s="214" t="s">
        <v>15</v>
      </c>
      <c r="U739" s="214" t="s">
        <v>15</v>
      </c>
      <c r="V739" s="214" t="s">
        <v>15</v>
      </c>
      <c r="W739" s="214" t="s">
        <v>15</v>
      </c>
      <c r="X739" s="214" t="s">
        <v>15</v>
      </c>
      <c r="Y739" s="214" t="s">
        <v>15</v>
      </c>
      <c r="Z739" s="234"/>
      <c r="AA739" s="214" t="s">
        <v>1597</v>
      </c>
      <c r="AB739" s="214" t="s">
        <v>20</v>
      </c>
      <c r="AC739" s="214" t="s">
        <v>20</v>
      </c>
      <c r="AD739" s="320" t="s">
        <v>1598</v>
      </c>
      <c r="AE739" s="320" t="s">
        <v>1545</v>
      </c>
      <c r="AF739" s="162">
        <f t="shared" si="54"/>
        <v>0.93</v>
      </c>
      <c r="AG739" s="162">
        <f t="shared" si="57"/>
        <v>1.0088000000000001</v>
      </c>
      <c r="AH739" s="164">
        <f t="shared" si="55"/>
        <v>8.9300000000000004E-2</v>
      </c>
      <c r="AI739" s="164">
        <f t="shared" si="56"/>
        <v>9.0400000000000008E-2</v>
      </c>
      <c r="AJ739" s="368">
        <v>0.93</v>
      </c>
      <c r="AK739" s="368">
        <v>7.8799999999999995E-2</v>
      </c>
      <c r="AL739" s="368"/>
      <c r="AM739" s="368">
        <f>0.09+0.0162+0.486</f>
        <v>0.59219999999999995</v>
      </c>
      <c r="AN739" s="368">
        <f>0.8081</f>
        <v>0.80810000000000004</v>
      </c>
      <c r="AO739" s="368"/>
      <c r="AP739" s="368"/>
      <c r="AQ739" s="368">
        <v>3.5000000000000001E-3</v>
      </c>
      <c r="AR739" s="368"/>
      <c r="AS739" s="199">
        <v>0.93</v>
      </c>
      <c r="AT739" s="195">
        <v>2.4127999999999998</v>
      </c>
      <c r="AU739" s="377"/>
      <c r="AV739" s="401"/>
      <c r="AW739" s="426">
        <v>8.9300000000000004E-2</v>
      </c>
      <c r="AX739" s="426">
        <v>1.1000000000000001E-3</v>
      </c>
      <c r="AY739" s="426"/>
      <c r="AZ739" s="426">
        <v>8.0399999999999999E-2</v>
      </c>
      <c r="BA739" s="426">
        <v>1.12E-2</v>
      </c>
      <c r="BB739" s="426"/>
      <c r="BC739" s="426"/>
      <c r="BD739" s="426">
        <v>6.8500000000000002E-3</v>
      </c>
      <c r="BE739" s="426"/>
      <c r="BF739" s="467">
        <v>8.9300000000000004E-2</v>
      </c>
      <c r="BG739" s="467">
        <v>0.18940000000000001</v>
      </c>
      <c r="BH739" s="341"/>
      <c r="BI739" s="447"/>
      <c r="BJ739" s="505"/>
    </row>
    <row r="740" spans="1:62" ht="15.75" customHeight="1" thickBot="1" x14ac:dyDescent="0.25">
      <c r="A740" s="174">
        <v>741</v>
      </c>
      <c r="B740" s="175">
        <v>1</v>
      </c>
      <c r="C740" s="166" t="s">
        <v>162</v>
      </c>
      <c r="D740" s="166" t="s">
        <v>2316</v>
      </c>
      <c r="E740" s="166" t="s">
        <v>13</v>
      </c>
      <c r="F740" s="166" t="s">
        <v>1599</v>
      </c>
      <c r="G740" s="166" t="s">
        <v>15</v>
      </c>
      <c r="H740" s="166" t="s">
        <v>173</v>
      </c>
      <c r="I740" s="181">
        <v>2011</v>
      </c>
      <c r="J740" s="181" t="s">
        <v>1595</v>
      </c>
      <c r="K740" s="181" t="s">
        <v>1596</v>
      </c>
      <c r="L740" s="181" t="s">
        <v>19</v>
      </c>
      <c r="M740" s="556" t="s">
        <v>4259</v>
      </c>
      <c r="N740" s="214" t="s">
        <v>20</v>
      </c>
      <c r="O740" s="214" t="s">
        <v>15</v>
      </c>
      <c r="P740" s="214" t="s">
        <v>20</v>
      </c>
      <c r="Q740" s="214" t="s">
        <v>20</v>
      </c>
      <c r="R740" s="214" t="s">
        <v>20</v>
      </c>
      <c r="S740" s="214" t="s">
        <v>20</v>
      </c>
      <c r="T740" s="214" t="s">
        <v>15</v>
      </c>
      <c r="U740" s="214" t="s">
        <v>15</v>
      </c>
      <c r="V740" s="214" t="s">
        <v>15</v>
      </c>
      <c r="W740" s="214" t="s">
        <v>15</v>
      </c>
      <c r="X740" s="214" t="s">
        <v>15</v>
      </c>
      <c r="Y740" s="214" t="s">
        <v>15</v>
      </c>
      <c r="Z740" s="234"/>
      <c r="AA740" s="214" t="s">
        <v>1597</v>
      </c>
      <c r="AB740" s="214" t="s">
        <v>20</v>
      </c>
      <c r="AC740" s="214" t="s">
        <v>20</v>
      </c>
      <c r="AD740" s="320" t="s">
        <v>1598</v>
      </c>
      <c r="AE740" s="320" t="s">
        <v>1545</v>
      </c>
      <c r="AF740" s="162">
        <f t="shared" si="54"/>
        <v>0.93</v>
      </c>
      <c r="AG740" s="162">
        <f t="shared" si="57"/>
        <v>1.4378</v>
      </c>
      <c r="AH740" s="164">
        <f t="shared" si="55"/>
        <v>8.9300000000000004E-2</v>
      </c>
      <c r="AI740" s="164">
        <f t="shared" si="56"/>
        <v>0.11840000000000001</v>
      </c>
      <c r="AJ740" s="368">
        <v>0.93</v>
      </c>
      <c r="AK740" s="369">
        <v>0.1613</v>
      </c>
      <c r="AL740" s="369">
        <v>0.34649999999999997</v>
      </c>
      <c r="AM740" s="369">
        <v>0.1772</v>
      </c>
      <c r="AN740" s="369">
        <v>3.1339999999999999</v>
      </c>
      <c r="AO740" s="368"/>
      <c r="AP740" s="368"/>
      <c r="AQ740" s="368"/>
      <c r="AR740" s="368"/>
      <c r="AS740" s="195">
        <v>0.93</v>
      </c>
      <c r="AT740" s="195">
        <v>4.7489999999999997</v>
      </c>
      <c r="AU740" s="377"/>
      <c r="AW740" s="426">
        <v>8.9300000000000004E-2</v>
      </c>
      <c r="AX740" s="359">
        <v>2.3E-3</v>
      </c>
      <c r="AY740" s="359">
        <v>2.6800000000000001E-2</v>
      </c>
      <c r="AZ740" s="359">
        <v>2.07E-2</v>
      </c>
      <c r="BA740" s="359">
        <v>4.3499999999999997E-2</v>
      </c>
      <c r="BB740" s="426"/>
      <c r="BC740" s="426"/>
      <c r="BD740" s="426"/>
      <c r="BE740" s="426"/>
      <c r="BF740" s="469">
        <v>8.9300000000000004E-2</v>
      </c>
      <c r="BG740" s="469">
        <v>0.18260000000000001</v>
      </c>
      <c r="BH740" s="341"/>
      <c r="BI740" s="447"/>
      <c r="BJ740" s="505"/>
    </row>
    <row r="741" spans="1:62" ht="15.75" customHeight="1" thickBot="1" x14ac:dyDescent="0.25">
      <c r="A741" s="176">
        <v>742</v>
      </c>
      <c r="B741" s="175">
        <v>1</v>
      </c>
      <c r="C741" s="166" t="s">
        <v>162</v>
      </c>
      <c r="D741" s="166" t="s">
        <v>3074</v>
      </c>
      <c r="E741" s="166" t="s">
        <v>13</v>
      </c>
      <c r="F741" s="166" t="s">
        <v>1600</v>
      </c>
      <c r="G741" s="166" t="s">
        <v>15</v>
      </c>
      <c r="H741" s="166" t="s">
        <v>173</v>
      </c>
      <c r="I741" s="181">
        <v>2011</v>
      </c>
      <c r="J741" s="181" t="s">
        <v>1595</v>
      </c>
      <c r="K741" s="181" t="s">
        <v>1596</v>
      </c>
      <c r="L741" s="181" t="s">
        <v>19</v>
      </c>
      <c r="M741" s="556" t="s">
        <v>4259</v>
      </c>
      <c r="N741" s="214" t="s">
        <v>20</v>
      </c>
      <c r="O741" s="214" t="s">
        <v>15</v>
      </c>
      <c r="P741" s="214" t="s">
        <v>20</v>
      </c>
      <c r="Q741" s="214" t="s">
        <v>20</v>
      </c>
      <c r="R741" s="214" t="s">
        <v>20</v>
      </c>
      <c r="S741" s="214" t="s">
        <v>20</v>
      </c>
      <c r="T741" s="214" t="s">
        <v>15</v>
      </c>
      <c r="U741" s="214" t="s">
        <v>15</v>
      </c>
      <c r="V741" s="214" t="s">
        <v>15</v>
      </c>
      <c r="W741" s="214" t="s">
        <v>15</v>
      </c>
      <c r="X741" s="214" t="s">
        <v>15</v>
      </c>
      <c r="Y741" s="214" t="s">
        <v>15</v>
      </c>
      <c r="Z741" s="234"/>
      <c r="AA741" s="214" t="s">
        <v>1597</v>
      </c>
      <c r="AB741" s="214" t="s">
        <v>20</v>
      </c>
      <c r="AC741" s="214" t="s">
        <v>20</v>
      </c>
      <c r="AD741" s="320" t="s">
        <v>1598</v>
      </c>
      <c r="AE741" s="320" t="s">
        <v>1545</v>
      </c>
      <c r="AF741" s="162">
        <f t="shared" si="54"/>
        <v>0.93</v>
      </c>
      <c r="AG741" s="162">
        <f t="shared" si="57"/>
        <v>1.1055999999999999</v>
      </c>
      <c r="AH741" s="164">
        <f t="shared" si="55"/>
        <v>8.9300000000000004E-2</v>
      </c>
      <c r="AI741" s="164">
        <f t="shared" si="56"/>
        <v>9.2700000000000005E-2</v>
      </c>
      <c r="AJ741" s="368">
        <v>0.93</v>
      </c>
      <c r="AK741" s="369">
        <v>0.1613</v>
      </c>
      <c r="AL741" s="369">
        <v>1.43E-2</v>
      </c>
      <c r="AM741" s="369">
        <v>0.90380000000000005</v>
      </c>
      <c r="AN741" s="369">
        <v>15.9834</v>
      </c>
      <c r="AO741" s="368"/>
      <c r="AP741" s="368"/>
      <c r="AQ741" s="368"/>
      <c r="AR741" s="368"/>
      <c r="AS741" s="195">
        <v>0.93</v>
      </c>
      <c r="AT741" s="195">
        <v>18.020800000000001</v>
      </c>
      <c r="AU741" s="377"/>
      <c r="AW741" s="426">
        <v>8.9300000000000004E-2</v>
      </c>
      <c r="AX741" s="359">
        <v>2.3E-3</v>
      </c>
      <c r="AY741" s="359">
        <v>1.1000000000000001E-3</v>
      </c>
      <c r="AZ741" s="359">
        <v>0.106</v>
      </c>
      <c r="BA741" s="359">
        <v>0.22189999999999999</v>
      </c>
      <c r="BB741" s="426"/>
      <c r="BC741" s="426"/>
      <c r="BD741" s="426">
        <v>1.1000000000000001E-3</v>
      </c>
      <c r="BE741" s="426"/>
      <c r="BF741" s="469">
        <v>8.9300000000000004E-2</v>
      </c>
      <c r="BG741" s="469">
        <v>0.40920000000000001</v>
      </c>
      <c r="BH741" s="341"/>
      <c r="BI741" s="447"/>
      <c r="BJ741" s="505"/>
    </row>
    <row r="742" spans="1:62" ht="15.75" customHeight="1" thickBot="1" x14ac:dyDescent="0.25">
      <c r="A742" s="174">
        <v>743</v>
      </c>
      <c r="B742" s="175">
        <v>1</v>
      </c>
      <c r="C742" s="166" t="s">
        <v>162</v>
      </c>
      <c r="D742" s="166" t="s">
        <v>3073</v>
      </c>
      <c r="E742" s="166" t="s">
        <v>13</v>
      </c>
      <c r="F742" s="166" t="s">
        <v>1601</v>
      </c>
      <c r="G742" s="166" t="s">
        <v>15</v>
      </c>
      <c r="H742" s="166" t="s">
        <v>173</v>
      </c>
      <c r="I742" s="181">
        <v>2011</v>
      </c>
      <c r="J742" s="181" t="s">
        <v>1595</v>
      </c>
      <c r="K742" s="181" t="s">
        <v>1596</v>
      </c>
      <c r="L742" s="181" t="s">
        <v>19</v>
      </c>
      <c r="M742" s="556" t="s">
        <v>4259</v>
      </c>
      <c r="N742" s="214" t="s">
        <v>20</v>
      </c>
      <c r="O742" s="214" t="s">
        <v>15</v>
      </c>
      <c r="P742" s="214" t="s">
        <v>20</v>
      </c>
      <c r="Q742" s="214" t="s">
        <v>20</v>
      </c>
      <c r="R742" s="214" t="s">
        <v>20</v>
      </c>
      <c r="S742" s="214" t="s">
        <v>20</v>
      </c>
      <c r="T742" s="214" t="s">
        <v>15</v>
      </c>
      <c r="U742" s="214" t="s">
        <v>15</v>
      </c>
      <c r="V742" s="214" t="s">
        <v>15</v>
      </c>
      <c r="W742" s="214" t="s">
        <v>15</v>
      </c>
      <c r="X742" s="214" t="s">
        <v>15</v>
      </c>
      <c r="Y742" s="214" t="s">
        <v>15</v>
      </c>
      <c r="Z742" s="234"/>
      <c r="AA742" s="214" t="s">
        <v>1597</v>
      </c>
      <c r="AB742" s="214" t="s">
        <v>20</v>
      </c>
      <c r="AC742" s="214" t="s">
        <v>20</v>
      </c>
      <c r="AD742" s="320" t="s">
        <v>1598</v>
      </c>
      <c r="AE742" s="320" t="s">
        <v>1545</v>
      </c>
      <c r="AF742" s="162">
        <f t="shared" si="54"/>
        <v>0.93</v>
      </c>
      <c r="AG742" s="162">
        <f t="shared" si="57"/>
        <v>1.1055999999999999</v>
      </c>
      <c r="AH742" s="164">
        <f t="shared" si="55"/>
        <v>8.9300000000000004E-2</v>
      </c>
      <c r="AI742" s="164">
        <f t="shared" si="56"/>
        <v>9.2700000000000005E-2</v>
      </c>
      <c r="AJ742" s="368">
        <v>0.93</v>
      </c>
      <c r="AK742" s="369">
        <v>0.1613</v>
      </c>
      <c r="AL742" s="369">
        <v>1.43E-2</v>
      </c>
      <c r="AM742" s="369">
        <v>0.90380000000000005</v>
      </c>
      <c r="AN742" s="369">
        <v>15.9834</v>
      </c>
      <c r="AO742" s="368"/>
      <c r="AP742" s="368"/>
      <c r="AQ742" s="368"/>
      <c r="AR742" s="368"/>
      <c r="AS742" s="195">
        <v>0.93</v>
      </c>
      <c r="AT742" s="195">
        <v>18.0227</v>
      </c>
      <c r="AU742" s="377"/>
      <c r="AW742" s="426">
        <v>8.9300000000000004E-2</v>
      </c>
      <c r="AX742" s="359">
        <v>2.3E-3</v>
      </c>
      <c r="AY742" s="359">
        <v>1.1000000000000001E-3</v>
      </c>
      <c r="AZ742" s="359">
        <v>0.106</v>
      </c>
      <c r="BA742" s="359">
        <v>0.22189999999999999</v>
      </c>
      <c r="BB742" s="426"/>
      <c r="BC742" s="426"/>
      <c r="BD742" s="426">
        <v>1.1000000000000001E-3</v>
      </c>
      <c r="BE742" s="426"/>
      <c r="BF742" s="469">
        <v>8.9300000000000004E-2</v>
      </c>
      <c r="BG742" s="469">
        <v>0.40920000000000001</v>
      </c>
      <c r="BH742" s="341"/>
      <c r="BI742" s="447"/>
      <c r="BJ742" s="505"/>
    </row>
    <row r="743" spans="1:62" ht="15.75" customHeight="1" thickBot="1" x14ac:dyDescent="0.25">
      <c r="A743" s="176">
        <v>744</v>
      </c>
      <c r="B743" s="175">
        <v>1</v>
      </c>
      <c r="C743" s="166" t="s">
        <v>162</v>
      </c>
      <c r="D743" s="166" t="s">
        <v>2315</v>
      </c>
      <c r="E743" s="166" t="s">
        <v>13</v>
      </c>
      <c r="F743" s="166" t="s">
        <v>1602</v>
      </c>
      <c r="G743" s="166" t="s">
        <v>15</v>
      </c>
      <c r="H743" s="166" t="s">
        <v>173</v>
      </c>
      <c r="I743" s="181">
        <v>2011</v>
      </c>
      <c r="J743" s="181" t="s">
        <v>1595</v>
      </c>
      <c r="K743" s="181" t="s">
        <v>1596</v>
      </c>
      <c r="L743" s="181" t="s">
        <v>19</v>
      </c>
      <c r="M743" s="556" t="s">
        <v>4259</v>
      </c>
      <c r="N743" s="214" t="s">
        <v>20</v>
      </c>
      <c r="O743" s="214" t="s">
        <v>15</v>
      </c>
      <c r="P743" s="214" t="s">
        <v>20</v>
      </c>
      <c r="Q743" s="214" t="s">
        <v>20</v>
      </c>
      <c r="R743" s="214" t="s">
        <v>20</v>
      </c>
      <c r="S743" s="214" t="s">
        <v>20</v>
      </c>
      <c r="T743" s="214" t="s">
        <v>15</v>
      </c>
      <c r="U743" s="214" t="s">
        <v>15</v>
      </c>
      <c r="V743" s="214" t="s">
        <v>15</v>
      </c>
      <c r="W743" s="214" t="s">
        <v>15</v>
      </c>
      <c r="X743" s="214" t="s">
        <v>15</v>
      </c>
      <c r="Y743" s="214" t="s">
        <v>15</v>
      </c>
      <c r="Z743" s="234"/>
      <c r="AA743" s="214" t="s">
        <v>1597</v>
      </c>
      <c r="AB743" s="214" t="s">
        <v>20</v>
      </c>
      <c r="AC743" s="214" t="s">
        <v>20</v>
      </c>
      <c r="AD743" s="320" t="s">
        <v>1598</v>
      </c>
      <c r="AE743" s="320" t="s">
        <v>1545</v>
      </c>
      <c r="AF743" s="162">
        <f t="shared" si="54"/>
        <v>0.93</v>
      </c>
      <c r="AG743" s="162">
        <f t="shared" si="57"/>
        <v>1.6705000000000001</v>
      </c>
      <c r="AH743" s="164">
        <f t="shared" si="55"/>
        <v>8.9300000000000004E-2</v>
      </c>
      <c r="AI743" s="164">
        <f t="shared" si="56"/>
        <v>0.1002</v>
      </c>
      <c r="AJ743" s="368">
        <v>0.93</v>
      </c>
      <c r="AK743" s="369">
        <v>0.1613</v>
      </c>
      <c r="AL743" s="369">
        <v>0.57920000000000005</v>
      </c>
      <c r="AM743" s="369">
        <v>1.1700999999999999</v>
      </c>
      <c r="AN743" s="369">
        <v>9.4019999999999992</v>
      </c>
      <c r="AO743" s="368"/>
      <c r="AP743" s="368"/>
      <c r="AQ743" s="368"/>
      <c r="AR743" s="368"/>
      <c r="AS743" s="195">
        <v>0.93</v>
      </c>
      <c r="AT743" s="195">
        <v>12.242599999999999</v>
      </c>
      <c r="AU743" s="377"/>
      <c r="AW743" s="426">
        <v>8.9300000000000004E-2</v>
      </c>
      <c r="AX743" s="359">
        <v>2.3E-3</v>
      </c>
      <c r="AY743" s="359">
        <v>8.6E-3</v>
      </c>
      <c r="AZ743" s="359">
        <v>0.3412</v>
      </c>
      <c r="BA743" s="359">
        <v>0.1305</v>
      </c>
      <c r="BB743" s="426"/>
      <c r="BC743" s="426"/>
      <c r="BD743" s="429">
        <v>8.0000000000000004E-4</v>
      </c>
      <c r="BE743" s="426"/>
      <c r="BF743" s="469">
        <v>8.9300000000000004E-2</v>
      </c>
      <c r="BG743" s="469">
        <v>0.57269999999999999</v>
      </c>
      <c r="BH743" s="341"/>
      <c r="BI743" s="447"/>
      <c r="BJ743" s="505"/>
    </row>
    <row r="744" spans="1:62" ht="15.75" customHeight="1" thickBot="1" x14ac:dyDescent="0.25">
      <c r="A744" s="174">
        <v>745</v>
      </c>
      <c r="B744" s="175">
        <v>1</v>
      </c>
      <c r="C744" s="166" t="s">
        <v>162</v>
      </c>
      <c r="D744" s="166" t="s">
        <v>2311</v>
      </c>
      <c r="E744" s="166" t="s">
        <v>13</v>
      </c>
      <c r="F744" s="166" t="s">
        <v>1603</v>
      </c>
      <c r="G744" s="166" t="s">
        <v>20</v>
      </c>
      <c r="H744" s="166" t="s">
        <v>73</v>
      </c>
      <c r="I744" s="181">
        <v>2011</v>
      </c>
      <c r="J744" s="181" t="s">
        <v>1604</v>
      </c>
      <c r="K744" s="181" t="s">
        <v>1605</v>
      </c>
      <c r="L744" s="181" t="s">
        <v>19</v>
      </c>
      <c r="M744" s="556" t="s">
        <v>4260</v>
      </c>
      <c r="N744" s="214" t="s">
        <v>20</v>
      </c>
      <c r="O744" s="214" t="s">
        <v>15</v>
      </c>
      <c r="P744" s="214" t="s">
        <v>15</v>
      </c>
      <c r="Q744" s="214" t="s">
        <v>15</v>
      </c>
      <c r="R744" s="214" t="s">
        <v>15</v>
      </c>
      <c r="S744" s="214" t="s">
        <v>15</v>
      </c>
      <c r="T744" s="214" t="s">
        <v>15</v>
      </c>
      <c r="U744" s="214" t="s">
        <v>15</v>
      </c>
      <c r="V744" s="214" t="s">
        <v>15</v>
      </c>
      <c r="W744" s="214" t="s">
        <v>15</v>
      </c>
      <c r="X744" s="214" t="s">
        <v>15</v>
      </c>
      <c r="Y744" s="214" t="s">
        <v>15</v>
      </c>
      <c r="Z744" s="234"/>
      <c r="AA744" s="214" t="s">
        <v>1131</v>
      </c>
      <c r="AB744" s="214" t="s">
        <v>20</v>
      </c>
      <c r="AC744" s="214" t="s">
        <v>15</v>
      </c>
      <c r="AD744" s="320" t="s">
        <v>1606</v>
      </c>
      <c r="AE744" s="320" t="s">
        <v>1545</v>
      </c>
      <c r="AF744" s="162">
        <f t="shared" si="54"/>
        <v>3.9775999999999998</v>
      </c>
      <c r="AG744" s="162" t="str">
        <f t="shared" si="57"/>
        <v/>
      </c>
      <c r="AH744" s="164">
        <f t="shared" si="55"/>
        <v>0.28916999999999998</v>
      </c>
      <c r="AI744" s="164" t="str">
        <f t="shared" si="56"/>
        <v/>
      </c>
      <c r="AJ744" s="368"/>
      <c r="AK744" s="369"/>
      <c r="AL744" s="369"/>
      <c r="AM744" s="369"/>
      <c r="AN744" s="369"/>
      <c r="AO744" s="368"/>
      <c r="AP744" s="368"/>
      <c r="AQ744" s="368"/>
      <c r="AR744" s="368"/>
      <c r="AS744" s="198">
        <v>3.9775999999999998</v>
      </c>
      <c r="AT744" s="195"/>
      <c r="AU744" s="378"/>
      <c r="AV744" s="382"/>
      <c r="AW744" s="426"/>
      <c r="AX744" s="359"/>
      <c r="AY744" s="359"/>
      <c r="AZ744" s="359"/>
      <c r="BA744" s="359"/>
      <c r="BB744" s="426"/>
      <c r="BC744" s="426"/>
      <c r="BD744" s="426"/>
      <c r="BE744" s="426"/>
      <c r="BF744" s="474">
        <v>0.28916999999999998</v>
      </c>
      <c r="BG744" s="469"/>
      <c r="BH744" s="341"/>
      <c r="BI744" s="446" t="s">
        <v>1607</v>
      </c>
      <c r="BJ744" s="505"/>
    </row>
    <row r="745" spans="1:62" ht="15.75" customHeight="1" thickBot="1" x14ac:dyDescent="0.25">
      <c r="A745" s="176">
        <v>746</v>
      </c>
      <c r="B745" s="175">
        <v>1</v>
      </c>
      <c r="C745" s="166" t="s">
        <v>162</v>
      </c>
      <c r="D745" s="166" t="s">
        <v>2311</v>
      </c>
      <c r="E745" s="166" t="s">
        <v>13</v>
      </c>
      <c r="F745" s="166" t="s">
        <v>1608</v>
      </c>
      <c r="G745" s="166" t="s">
        <v>20</v>
      </c>
      <c r="H745" s="166" t="s">
        <v>73</v>
      </c>
      <c r="I745" s="181">
        <v>2011</v>
      </c>
      <c r="J745" s="181" t="s">
        <v>1604</v>
      </c>
      <c r="K745" s="181" t="s">
        <v>1605</v>
      </c>
      <c r="L745" s="181" t="s">
        <v>19</v>
      </c>
      <c r="M745" s="556" t="s">
        <v>4260</v>
      </c>
      <c r="N745" s="214" t="s">
        <v>20</v>
      </c>
      <c r="O745" s="214" t="s">
        <v>15</v>
      </c>
      <c r="P745" s="214" t="s">
        <v>15</v>
      </c>
      <c r="Q745" s="214" t="s">
        <v>15</v>
      </c>
      <c r="R745" s="214" t="s">
        <v>15</v>
      </c>
      <c r="S745" s="214" t="s">
        <v>15</v>
      </c>
      <c r="T745" s="214" t="s">
        <v>15</v>
      </c>
      <c r="U745" s="214" t="s">
        <v>15</v>
      </c>
      <c r="V745" s="214" t="s">
        <v>15</v>
      </c>
      <c r="W745" s="214" t="s">
        <v>15</v>
      </c>
      <c r="X745" s="214" t="s">
        <v>15</v>
      </c>
      <c r="Y745" s="214" t="s">
        <v>15</v>
      </c>
      <c r="Z745" s="234"/>
      <c r="AA745" s="214" t="s">
        <v>1131</v>
      </c>
      <c r="AB745" s="214" t="s">
        <v>20</v>
      </c>
      <c r="AC745" s="214" t="s">
        <v>15</v>
      </c>
      <c r="AD745" s="320" t="s">
        <v>1606</v>
      </c>
      <c r="AE745" s="320" t="s">
        <v>1545</v>
      </c>
      <c r="AF745" s="162">
        <f t="shared" si="54"/>
        <v>2.2599999999999998</v>
      </c>
      <c r="AG745" s="162" t="str">
        <f t="shared" si="57"/>
        <v/>
      </c>
      <c r="AH745" s="164">
        <f t="shared" si="55"/>
        <v>0.15606</v>
      </c>
      <c r="AI745" s="164" t="str">
        <f t="shared" si="56"/>
        <v/>
      </c>
      <c r="AJ745" s="368"/>
      <c r="AK745" s="369"/>
      <c r="AL745" s="369"/>
      <c r="AM745" s="369"/>
      <c r="AN745" s="369"/>
      <c r="AO745" s="368"/>
      <c r="AP745" s="368"/>
      <c r="AQ745" s="368"/>
      <c r="AR745" s="368"/>
      <c r="AS745" s="194">
        <v>2.2599999999999998</v>
      </c>
      <c r="AT745" s="195"/>
      <c r="AU745" s="378"/>
      <c r="AV745" s="382"/>
      <c r="AW745" s="426"/>
      <c r="AX745" s="359"/>
      <c r="AY745" s="359"/>
      <c r="AZ745" s="359"/>
      <c r="BA745" s="359"/>
      <c r="BB745" s="426"/>
      <c r="BC745" s="426"/>
      <c r="BD745" s="426"/>
      <c r="BE745" s="426"/>
      <c r="BF745" s="468">
        <v>0.15606</v>
      </c>
      <c r="BG745" s="469"/>
      <c r="BH745" s="341"/>
      <c r="BI745" s="446" t="s">
        <v>1607</v>
      </c>
      <c r="BJ745" s="505"/>
    </row>
    <row r="746" spans="1:62" ht="15.75" customHeight="1" thickBot="1" x14ac:dyDescent="0.25">
      <c r="A746" s="174">
        <v>747</v>
      </c>
      <c r="B746" s="175">
        <v>1</v>
      </c>
      <c r="C746" s="166" t="s">
        <v>162</v>
      </c>
      <c r="D746" s="166" t="s">
        <v>2311</v>
      </c>
      <c r="E746" s="166" t="s">
        <v>13</v>
      </c>
      <c r="F746" s="166" t="s">
        <v>1609</v>
      </c>
      <c r="G746" s="166" t="s">
        <v>20</v>
      </c>
      <c r="H746" s="166" t="s">
        <v>73</v>
      </c>
      <c r="I746" s="181">
        <v>2011</v>
      </c>
      <c r="J746" s="181" t="s">
        <v>1604</v>
      </c>
      <c r="K746" s="181" t="s">
        <v>1605</v>
      </c>
      <c r="L746" s="181" t="s">
        <v>19</v>
      </c>
      <c r="M746" s="556" t="s">
        <v>4260</v>
      </c>
      <c r="N746" s="214" t="s">
        <v>20</v>
      </c>
      <c r="O746" s="214" t="s">
        <v>15</v>
      </c>
      <c r="P746" s="214" t="s">
        <v>15</v>
      </c>
      <c r="Q746" s="214" t="s">
        <v>15</v>
      </c>
      <c r="R746" s="214" t="s">
        <v>15</v>
      </c>
      <c r="S746" s="214" t="s">
        <v>15</v>
      </c>
      <c r="T746" s="214" t="s">
        <v>15</v>
      </c>
      <c r="U746" s="214" t="s">
        <v>15</v>
      </c>
      <c r="V746" s="214" t="s">
        <v>15</v>
      </c>
      <c r="W746" s="214" t="s">
        <v>15</v>
      </c>
      <c r="X746" s="214" t="s">
        <v>15</v>
      </c>
      <c r="Y746" s="214" t="s">
        <v>15</v>
      </c>
      <c r="Z746" s="234"/>
      <c r="AA746" s="214" t="s">
        <v>1131</v>
      </c>
      <c r="AB746" s="214" t="s">
        <v>20</v>
      </c>
      <c r="AC746" s="214" t="s">
        <v>15</v>
      </c>
      <c r="AD746" s="320" t="s">
        <v>1606</v>
      </c>
      <c r="AE746" s="320" t="s">
        <v>1545</v>
      </c>
      <c r="AF746" s="162">
        <f t="shared" si="54"/>
        <v>3.1414</v>
      </c>
      <c r="AG746" s="162" t="str">
        <f t="shared" si="57"/>
        <v/>
      </c>
      <c r="AH746" s="164">
        <f t="shared" si="55"/>
        <v>0.18207000000000001</v>
      </c>
      <c r="AI746" s="164" t="str">
        <f t="shared" si="56"/>
        <v/>
      </c>
      <c r="AJ746" s="368"/>
      <c r="AK746" s="369"/>
      <c r="AL746" s="369"/>
      <c r="AM746" s="369"/>
      <c r="AN746" s="369"/>
      <c r="AO746" s="368"/>
      <c r="AP746" s="368"/>
      <c r="AQ746" s="368"/>
      <c r="AR746" s="368"/>
      <c r="AS746" s="194">
        <v>3.1414</v>
      </c>
      <c r="AT746" s="195"/>
      <c r="AU746" s="378"/>
      <c r="AV746" s="382"/>
      <c r="AW746" s="426"/>
      <c r="AX746" s="359"/>
      <c r="AY746" s="359"/>
      <c r="AZ746" s="359"/>
      <c r="BA746" s="359"/>
      <c r="BB746" s="426"/>
      <c r="BC746" s="426"/>
      <c r="BD746" s="426"/>
      <c r="BE746" s="426"/>
      <c r="BF746" s="468">
        <v>0.18207000000000001</v>
      </c>
      <c r="BG746" s="469"/>
      <c r="BH746" s="341"/>
      <c r="BI746" s="446" t="s">
        <v>1607</v>
      </c>
      <c r="BJ746" s="505"/>
    </row>
    <row r="747" spans="1:62" ht="15.75" customHeight="1" thickBot="1" x14ac:dyDescent="0.25">
      <c r="A747" s="176">
        <v>748</v>
      </c>
      <c r="B747" s="175">
        <v>1</v>
      </c>
      <c r="C747" s="166" t="s">
        <v>162</v>
      </c>
      <c r="D747" s="166" t="s">
        <v>2311</v>
      </c>
      <c r="E747" s="166" t="s">
        <v>13</v>
      </c>
      <c r="F747" s="166" t="s">
        <v>1610</v>
      </c>
      <c r="G747" s="166" t="s">
        <v>20</v>
      </c>
      <c r="H747" s="166" t="s">
        <v>73</v>
      </c>
      <c r="I747" s="181">
        <v>2011</v>
      </c>
      <c r="J747" s="181" t="s">
        <v>1604</v>
      </c>
      <c r="K747" s="181" t="s">
        <v>1605</v>
      </c>
      <c r="L747" s="181" t="s">
        <v>19</v>
      </c>
      <c r="M747" s="556" t="s">
        <v>4260</v>
      </c>
      <c r="N747" s="214" t="s">
        <v>20</v>
      </c>
      <c r="O747" s="214" t="s">
        <v>15</v>
      </c>
      <c r="P747" s="214" t="s">
        <v>15</v>
      </c>
      <c r="Q747" s="214" t="s">
        <v>15</v>
      </c>
      <c r="R747" s="214" t="s">
        <v>15</v>
      </c>
      <c r="S747" s="214" t="s">
        <v>15</v>
      </c>
      <c r="T747" s="214" t="s">
        <v>15</v>
      </c>
      <c r="U747" s="214" t="s">
        <v>15</v>
      </c>
      <c r="V747" s="214" t="s">
        <v>15</v>
      </c>
      <c r="W747" s="214" t="s">
        <v>15</v>
      </c>
      <c r="X747" s="214" t="s">
        <v>15</v>
      </c>
      <c r="Y747" s="214" t="s">
        <v>15</v>
      </c>
      <c r="Z747" s="234"/>
      <c r="AA747" s="214" t="s">
        <v>1131</v>
      </c>
      <c r="AB747" s="214" t="s">
        <v>20</v>
      </c>
      <c r="AC747" s="214" t="s">
        <v>15</v>
      </c>
      <c r="AD747" s="320" t="s">
        <v>1606</v>
      </c>
      <c r="AE747" s="320" t="s">
        <v>1545</v>
      </c>
      <c r="AF747" s="162">
        <f t="shared" si="54"/>
        <v>2.5537999999999998</v>
      </c>
      <c r="AG747" s="162" t="str">
        <f t="shared" si="57"/>
        <v/>
      </c>
      <c r="AH747" s="164">
        <f t="shared" si="55"/>
        <v>0.153</v>
      </c>
      <c r="AI747" s="164" t="str">
        <f t="shared" si="56"/>
        <v/>
      </c>
      <c r="AJ747" s="368"/>
      <c r="AK747" s="369"/>
      <c r="AL747" s="369"/>
      <c r="AM747" s="369"/>
      <c r="AN747" s="369"/>
      <c r="AO747" s="368"/>
      <c r="AP747" s="368"/>
      <c r="AQ747" s="368"/>
      <c r="AR747" s="368"/>
      <c r="AS747" s="194">
        <v>2.5537999999999998</v>
      </c>
      <c r="AT747" s="195"/>
      <c r="AU747" s="378"/>
      <c r="AV747" s="382"/>
      <c r="AW747" s="426"/>
      <c r="AX747" s="359"/>
      <c r="AY747" s="359"/>
      <c r="AZ747" s="359"/>
      <c r="BA747" s="359"/>
      <c r="BB747" s="426"/>
      <c r="BC747" s="426"/>
      <c r="BD747" s="426"/>
      <c r="BE747" s="426"/>
      <c r="BF747" s="468">
        <v>0.153</v>
      </c>
      <c r="BG747" s="469"/>
      <c r="BH747" s="341"/>
      <c r="BI747" s="446" t="s">
        <v>1607</v>
      </c>
      <c r="BJ747" s="505"/>
    </row>
    <row r="748" spans="1:62" ht="15.75" customHeight="1" thickBot="1" x14ac:dyDescent="0.25">
      <c r="A748" s="174">
        <v>749</v>
      </c>
      <c r="B748" s="175">
        <v>1</v>
      </c>
      <c r="C748" s="166" t="s">
        <v>162</v>
      </c>
      <c r="D748" s="159" t="s">
        <v>2057</v>
      </c>
      <c r="E748" s="166" t="s">
        <v>13</v>
      </c>
      <c r="F748" s="166" t="s">
        <v>1611</v>
      </c>
      <c r="G748" s="166" t="s">
        <v>15</v>
      </c>
      <c r="H748" s="166" t="s">
        <v>351</v>
      </c>
      <c r="I748" s="181">
        <v>2013</v>
      </c>
      <c r="J748" s="181" t="s">
        <v>1612</v>
      </c>
      <c r="K748" s="181" t="s">
        <v>1613</v>
      </c>
      <c r="L748" s="181" t="s">
        <v>9</v>
      </c>
      <c r="M748" s="556" t="s">
        <v>4261</v>
      </c>
      <c r="N748" s="214" t="s">
        <v>20</v>
      </c>
      <c r="O748" s="214" t="s">
        <v>15</v>
      </c>
      <c r="P748" s="214" t="s">
        <v>15</v>
      </c>
      <c r="Q748" s="214" t="s">
        <v>15</v>
      </c>
      <c r="R748" s="214" t="s">
        <v>15</v>
      </c>
      <c r="S748" s="214" t="s">
        <v>20</v>
      </c>
      <c r="T748" s="214" t="s">
        <v>15</v>
      </c>
      <c r="U748" s="214" t="s">
        <v>15</v>
      </c>
      <c r="V748" s="214" t="s">
        <v>15</v>
      </c>
      <c r="W748" s="214" t="s">
        <v>15</v>
      </c>
      <c r="X748" s="214" t="s">
        <v>15</v>
      </c>
      <c r="Y748" s="214" t="s">
        <v>15</v>
      </c>
      <c r="Z748" s="234"/>
      <c r="AA748" s="214" t="s">
        <v>626</v>
      </c>
      <c r="AB748" s="214" t="s">
        <v>15</v>
      </c>
      <c r="AC748" s="214" t="s">
        <v>15</v>
      </c>
      <c r="AD748" s="320" t="s">
        <v>649</v>
      </c>
      <c r="AE748" s="320" t="s">
        <v>1331</v>
      </c>
      <c r="AF748" s="162" t="str">
        <f t="shared" si="54"/>
        <v/>
      </c>
      <c r="AG748" s="162" t="str">
        <f t="shared" si="57"/>
        <v/>
      </c>
      <c r="AH748" s="164" t="str">
        <f t="shared" si="55"/>
        <v/>
      </c>
      <c r="AI748" s="164" t="str">
        <f t="shared" si="56"/>
        <v/>
      </c>
      <c r="AJ748" s="368"/>
      <c r="AK748" s="369"/>
      <c r="AL748" s="369"/>
      <c r="AM748" s="369"/>
      <c r="AN748" s="369"/>
      <c r="AO748" s="368"/>
      <c r="AP748" s="368"/>
      <c r="AQ748" s="368"/>
      <c r="AR748" s="368"/>
      <c r="AS748" s="199"/>
      <c r="AT748" s="195"/>
      <c r="AU748" s="377"/>
      <c r="AV748" s="382"/>
      <c r="AW748" s="426"/>
      <c r="AX748" s="359"/>
      <c r="AY748" s="359"/>
      <c r="AZ748" s="359"/>
      <c r="BA748" s="359"/>
      <c r="BB748" s="426"/>
      <c r="BC748" s="426"/>
      <c r="BD748" s="426"/>
      <c r="BE748" s="426"/>
      <c r="BF748" s="467"/>
      <c r="BG748" s="474">
        <v>0.19800000000000001</v>
      </c>
      <c r="BH748" s="341"/>
      <c r="BI748" s="446" t="s">
        <v>1614</v>
      </c>
      <c r="BJ748" s="505"/>
    </row>
    <row r="749" spans="1:62" ht="15.75" customHeight="1" thickBot="1" x14ac:dyDescent="0.25">
      <c r="A749" s="176">
        <v>750</v>
      </c>
      <c r="B749" s="175">
        <v>1</v>
      </c>
      <c r="C749" s="166" t="s">
        <v>162</v>
      </c>
      <c r="D749" s="159" t="s">
        <v>2057</v>
      </c>
      <c r="E749" s="166" t="s">
        <v>13</v>
      </c>
      <c r="F749" s="166" t="s">
        <v>1615</v>
      </c>
      <c r="G749" s="166" t="s">
        <v>15</v>
      </c>
      <c r="H749" s="166" t="s">
        <v>351</v>
      </c>
      <c r="I749" s="181">
        <v>2013</v>
      </c>
      <c r="J749" s="181" t="s">
        <v>1612</v>
      </c>
      <c r="K749" s="181" t="s">
        <v>1613</v>
      </c>
      <c r="L749" s="181" t="s">
        <v>9</v>
      </c>
      <c r="M749" s="556" t="s">
        <v>4261</v>
      </c>
      <c r="N749" s="214" t="s">
        <v>20</v>
      </c>
      <c r="O749" s="214" t="s">
        <v>15</v>
      </c>
      <c r="P749" s="214" t="s">
        <v>15</v>
      </c>
      <c r="Q749" s="214" t="s">
        <v>15</v>
      </c>
      <c r="R749" s="214" t="s">
        <v>15</v>
      </c>
      <c r="S749" s="214" t="s">
        <v>20</v>
      </c>
      <c r="T749" s="214" t="s">
        <v>15</v>
      </c>
      <c r="U749" s="214" t="s">
        <v>15</v>
      </c>
      <c r="V749" s="214" t="s">
        <v>15</v>
      </c>
      <c r="W749" s="214" t="s">
        <v>15</v>
      </c>
      <c r="X749" s="214" t="s">
        <v>15</v>
      </c>
      <c r="Y749" s="214" t="s">
        <v>15</v>
      </c>
      <c r="Z749" s="234"/>
      <c r="AA749" s="214" t="s">
        <v>626</v>
      </c>
      <c r="AB749" s="214" t="s">
        <v>15</v>
      </c>
      <c r="AC749" s="214" t="s">
        <v>15</v>
      </c>
      <c r="AD749" s="320" t="s">
        <v>649</v>
      </c>
      <c r="AE749" s="320" t="s">
        <v>1331</v>
      </c>
      <c r="AF749" s="162" t="str">
        <f t="shared" si="54"/>
        <v/>
      </c>
      <c r="AG749" s="162" t="str">
        <f t="shared" si="57"/>
        <v/>
      </c>
      <c r="AH749" s="164" t="str">
        <f t="shared" si="55"/>
        <v/>
      </c>
      <c r="AI749" s="164" t="str">
        <f t="shared" si="56"/>
        <v/>
      </c>
      <c r="AJ749" s="368"/>
      <c r="AK749" s="369"/>
      <c r="AL749" s="369"/>
      <c r="AM749" s="369"/>
      <c r="AN749" s="369"/>
      <c r="AO749" s="368"/>
      <c r="AP749" s="368"/>
      <c r="AQ749" s="368"/>
      <c r="AR749" s="368"/>
      <c r="AS749" s="195"/>
      <c r="AT749" s="195"/>
      <c r="AU749" s="377"/>
      <c r="AV749" s="382"/>
      <c r="AW749" s="426"/>
      <c r="AX749" s="359"/>
      <c r="AY749" s="359"/>
      <c r="AZ749" s="359"/>
      <c r="BA749" s="359"/>
      <c r="BB749" s="426"/>
      <c r="BC749" s="426"/>
      <c r="BD749" s="426"/>
      <c r="BE749" s="426"/>
      <c r="BF749" s="469"/>
      <c r="BG749" s="468">
        <v>0.85699999999999998</v>
      </c>
      <c r="BH749" s="341"/>
      <c r="BI749" s="446" t="s">
        <v>1614</v>
      </c>
      <c r="BJ749" s="505"/>
    </row>
    <row r="750" spans="1:62" ht="15.75" customHeight="1" thickBot="1" x14ac:dyDescent="0.25">
      <c r="A750" s="174">
        <v>751</v>
      </c>
      <c r="B750" s="175">
        <v>1</v>
      </c>
      <c r="C750" s="166" t="s">
        <v>236</v>
      </c>
      <c r="D750" s="167" t="s">
        <v>2136</v>
      </c>
      <c r="E750" s="166" t="s">
        <v>13</v>
      </c>
      <c r="F750" s="166" t="s">
        <v>1616</v>
      </c>
      <c r="G750" s="166" t="s">
        <v>15</v>
      </c>
      <c r="H750" s="166" t="s">
        <v>87</v>
      </c>
      <c r="I750" s="181">
        <v>2014</v>
      </c>
      <c r="J750" s="181" t="s">
        <v>1617</v>
      </c>
      <c r="K750" s="181" t="s">
        <v>1618</v>
      </c>
      <c r="L750" s="181" t="s">
        <v>19</v>
      </c>
      <c r="M750" s="556" t="s">
        <v>4262</v>
      </c>
      <c r="N750" s="214" t="s">
        <v>20</v>
      </c>
      <c r="O750" s="214" t="s">
        <v>20</v>
      </c>
      <c r="P750" s="214" t="s">
        <v>15</v>
      </c>
      <c r="Q750" s="214" t="s">
        <v>15</v>
      </c>
      <c r="R750" s="214" t="s">
        <v>15</v>
      </c>
      <c r="S750" s="214" t="s">
        <v>15</v>
      </c>
      <c r="T750" s="214" t="s">
        <v>15</v>
      </c>
      <c r="U750" s="214" t="s">
        <v>15</v>
      </c>
      <c r="V750" s="214" t="s">
        <v>15</v>
      </c>
      <c r="W750" s="214" t="s">
        <v>15</v>
      </c>
      <c r="X750" s="214" t="s">
        <v>15</v>
      </c>
      <c r="Y750" s="214" t="s">
        <v>20</v>
      </c>
      <c r="Z750" s="214" t="s">
        <v>1619</v>
      </c>
      <c r="AA750" s="214" t="s">
        <v>1620</v>
      </c>
      <c r="AB750" s="214" t="s">
        <v>292</v>
      </c>
      <c r="AC750" s="214" t="s">
        <v>15</v>
      </c>
      <c r="AD750" s="320" t="s">
        <v>1621</v>
      </c>
      <c r="AE750" s="320" t="s">
        <v>1622</v>
      </c>
      <c r="AF750" s="162" t="str">
        <f t="shared" si="54"/>
        <v/>
      </c>
      <c r="AG750" s="162" t="str">
        <f t="shared" si="57"/>
        <v/>
      </c>
      <c r="AH750" s="164" t="str">
        <f t="shared" si="55"/>
        <v/>
      </c>
      <c r="AI750" s="164" t="str">
        <f t="shared" si="56"/>
        <v/>
      </c>
      <c r="AJ750" s="368"/>
      <c r="AK750" s="369"/>
      <c r="AL750" s="369"/>
      <c r="AM750" s="369"/>
      <c r="AN750" s="369"/>
      <c r="AO750" s="368"/>
      <c r="AP750" s="368"/>
      <c r="AQ750" s="368"/>
      <c r="AR750" s="368"/>
      <c r="AS750" s="195"/>
      <c r="AT750" s="195">
        <f>2.73*100000/31500</f>
        <v>8.6666666666666661</v>
      </c>
      <c r="AU750" s="377"/>
      <c r="AW750" s="426"/>
      <c r="AX750" s="359"/>
      <c r="AY750" s="359"/>
      <c r="AZ750" s="359"/>
      <c r="BA750" s="359"/>
      <c r="BB750" s="426"/>
      <c r="BC750" s="426"/>
      <c r="BD750" s="426"/>
      <c r="BE750" s="426"/>
      <c r="BF750" s="469"/>
      <c r="BG750" s="467">
        <f>7.38*1000/31500</f>
        <v>0.23428571428571429</v>
      </c>
      <c r="BH750" s="341"/>
      <c r="BI750" s="447"/>
      <c r="BJ750" s="505"/>
    </row>
    <row r="751" spans="1:62" ht="15.75" customHeight="1" thickBot="1" x14ac:dyDescent="0.25">
      <c r="A751" s="176">
        <v>752</v>
      </c>
      <c r="B751" s="175">
        <v>1</v>
      </c>
      <c r="C751" s="166" t="s">
        <v>236</v>
      </c>
      <c r="D751" s="167" t="s">
        <v>2769</v>
      </c>
      <c r="E751" s="166" t="s">
        <v>13</v>
      </c>
      <c r="F751" s="166" t="s">
        <v>1623</v>
      </c>
      <c r="G751" s="166" t="s">
        <v>15</v>
      </c>
      <c r="H751" s="166" t="s">
        <v>375</v>
      </c>
      <c r="I751" s="181">
        <v>2009</v>
      </c>
      <c r="J751" s="181" t="s">
        <v>1624</v>
      </c>
      <c r="K751" s="181" t="s">
        <v>1625</v>
      </c>
      <c r="L751" s="181" t="s">
        <v>19</v>
      </c>
      <c r="M751" s="556" t="s">
        <v>4263</v>
      </c>
      <c r="N751" s="214" t="s">
        <v>20</v>
      </c>
      <c r="O751" s="214" t="s">
        <v>20</v>
      </c>
      <c r="P751" s="214" t="s">
        <v>20</v>
      </c>
      <c r="Q751" s="214" t="s">
        <v>15</v>
      </c>
      <c r="R751" s="214" t="s">
        <v>15</v>
      </c>
      <c r="S751" s="214" t="s">
        <v>15</v>
      </c>
      <c r="T751" s="214" t="s">
        <v>15</v>
      </c>
      <c r="U751" s="214" t="s">
        <v>15</v>
      </c>
      <c r="V751" s="214" t="s">
        <v>15</v>
      </c>
      <c r="W751" s="214" t="s">
        <v>15</v>
      </c>
      <c r="X751" s="214" t="s">
        <v>15</v>
      </c>
      <c r="Y751" s="214" t="s">
        <v>15</v>
      </c>
      <c r="Z751" s="234"/>
      <c r="AA751" s="214" t="s">
        <v>1626</v>
      </c>
      <c r="AB751" s="214" t="s">
        <v>292</v>
      </c>
      <c r="AC751" s="214" t="s">
        <v>292</v>
      </c>
      <c r="AD751" s="320" t="s">
        <v>1627</v>
      </c>
      <c r="AE751" s="320" t="s">
        <v>485</v>
      </c>
      <c r="AF751" s="162" t="str">
        <f t="shared" si="54"/>
        <v/>
      </c>
      <c r="AG751" s="162" t="str">
        <f t="shared" si="57"/>
        <v/>
      </c>
      <c r="AH751" s="164" t="str">
        <f t="shared" si="55"/>
        <v/>
      </c>
      <c r="AI751" s="164" t="str">
        <f t="shared" si="56"/>
        <v/>
      </c>
      <c r="AJ751" s="368"/>
      <c r="AK751" s="369"/>
      <c r="AL751" s="369"/>
      <c r="AM751" s="369"/>
      <c r="AN751" s="369"/>
      <c r="AO751" s="368"/>
      <c r="AP751" s="368"/>
      <c r="AQ751" s="368"/>
      <c r="AR751" s="368"/>
      <c r="AS751" s="195"/>
      <c r="AT751" s="194">
        <v>1.54</v>
      </c>
      <c r="AU751" s="377"/>
      <c r="AW751" s="426"/>
      <c r="AX751" s="359"/>
      <c r="AY751" s="359"/>
      <c r="AZ751" s="359"/>
      <c r="BA751" s="359"/>
      <c r="BB751" s="426"/>
      <c r="BC751" s="426"/>
      <c r="BD751" s="426"/>
      <c r="BE751" s="426"/>
      <c r="BF751" s="469"/>
      <c r="BG751" s="467"/>
      <c r="BH751" s="341"/>
      <c r="BI751" s="447"/>
      <c r="BJ751" s="505"/>
    </row>
    <row r="752" spans="1:62" ht="15.75" customHeight="1" thickBot="1" x14ac:dyDescent="0.25">
      <c r="A752" s="174">
        <v>753</v>
      </c>
      <c r="B752" s="175">
        <v>1</v>
      </c>
      <c r="C752" s="166" t="s">
        <v>236</v>
      </c>
      <c r="D752" s="166" t="s">
        <v>4060</v>
      </c>
      <c r="E752" s="166" t="s">
        <v>13</v>
      </c>
      <c r="F752" s="166" t="s">
        <v>1628</v>
      </c>
      <c r="G752" s="166" t="s">
        <v>20</v>
      </c>
      <c r="H752" s="166" t="s">
        <v>1161</v>
      </c>
      <c r="I752" s="181">
        <v>2013</v>
      </c>
      <c r="J752" s="181" t="s">
        <v>1629</v>
      </c>
      <c r="K752" s="181" t="s">
        <v>1630</v>
      </c>
      <c r="L752" s="181" t="s">
        <v>19</v>
      </c>
      <c r="M752" s="556" t="s">
        <v>4264</v>
      </c>
      <c r="N752" s="214" t="s">
        <v>20</v>
      </c>
      <c r="O752" s="214" t="s">
        <v>15</v>
      </c>
      <c r="P752" s="214" t="s">
        <v>15</v>
      </c>
      <c r="Q752" s="214" t="s">
        <v>15</v>
      </c>
      <c r="R752" s="214" t="s">
        <v>15</v>
      </c>
      <c r="S752" s="214" t="s">
        <v>15</v>
      </c>
      <c r="T752" s="214" t="s">
        <v>15</v>
      </c>
      <c r="U752" s="214" t="s">
        <v>15</v>
      </c>
      <c r="V752" s="214" t="s">
        <v>15</v>
      </c>
      <c r="W752" s="214" t="s">
        <v>15</v>
      </c>
      <c r="X752" s="214" t="s">
        <v>15</v>
      </c>
      <c r="Y752" s="214" t="s">
        <v>20</v>
      </c>
      <c r="Z752" s="234"/>
      <c r="AA752" s="214" t="s">
        <v>1631</v>
      </c>
      <c r="AB752" s="214" t="s">
        <v>15</v>
      </c>
      <c r="AC752" s="214" t="s">
        <v>15</v>
      </c>
      <c r="AD752" s="320" t="s">
        <v>1632</v>
      </c>
      <c r="AE752" s="320" t="s">
        <v>485</v>
      </c>
      <c r="AF752" s="162" t="str">
        <f t="shared" si="54"/>
        <v/>
      </c>
      <c r="AG752" s="162" t="str">
        <f t="shared" si="57"/>
        <v/>
      </c>
      <c r="AH752" s="164" t="str">
        <f t="shared" si="55"/>
        <v/>
      </c>
      <c r="AI752" s="164" t="str">
        <f t="shared" si="56"/>
        <v/>
      </c>
      <c r="AJ752" s="368"/>
      <c r="AK752" s="369"/>
      <c r="AL752" s="369"/>
      <c r="AM752" s="369"/>
      <c r="AN752" s="369"/>
      <c r="AO752" s="368"/>
      <c r="AP752" s="368"/>
      <c r="AQ752" s="368"/>
      <c r="AR752" s="368"/>
      <c r="AS752" s="195"/>
      <c r="AT752" s="199"/>
      <c r="AU752" s="377"/>
      <c r="AV752" s="382"/>
      <c r="AW752" s="426"/>
      <c r="AX752" s="359"/>
      <c r="AY752" s="359"/>
      <c r="AZ752" s="359"/>
      <c r="BA752" s="359"/>
      <c r="BB752" s="426"/>
      <c r="BC752" s="426"/>
      <c r="BD752" s="426"/>
      <c r="BE752" s="426"/>
      <c r="BF752" s="469"/>
      <c r="BG752" s="468">
        <v>0.69499999999999995</v>
      </c>
      <c r="BH752" s="341"/>
      <c r="BI752" s="446" t="s">
        <v>1633</v>
      </c>
      <c r="BJ752" s="505"/>
    </row>
    <row r="753" spans="1:62" ht="15.75" customHeight="1" thickBot="1" x14ac:dyDescent="0.25">
      <c r="A753" s="176">
        <v>754</v>
      </c>
      <c r="B753" s="175">
        <v>1</v>
      </c>
      <c r="C753" s="166" t="s">
        <v>236</v>
      </c>
      <c r="D753" s="167" t="s">
        <v>2282</v>
      </c>
      <c r="E753" s="166" t="s">
        <v>13</v>
      </c>
      <c r="F753" s="166" t="s">
        <v>1634</v>
      </c>
      <c r="G753" s="166" t="s">
        <v>20</v>
      </c>
      <c r="H753" s="166" t="s">
        <v>1161</v>
      </c>
      <c r="I753" s="181">
        <v>2013</v>
      </c>
      <c r="J753" s="181" t="s">
        <v>1629</v>
      </c>
      <c r="K753" s="181" t="s">
        <v>1630</v>
      </c>
      <c r="L753" s="181" t="s">
        <v>19</v>
      </c>
      <c r="M753" s="556" t="s">
        <v>4264</v>
      </c>
      <c r="N753" s="214" t="s">
        <v>20</v>
      </c>
      <c r="O753" s="214" t="s">
        <v>15</v>
      </c>
      <c r="P753" s="214" t="s">
        <v>15</v>
      </c>
      <c r="Q753" s="214" t="s">
        <v>15</v>
      </c>
      <c r="R753" s="214" t="s">
        <v>15</v>
      </c>
      <c r="S753" s="214" t="s">
        <v>15</v>
      </c>
      <c r="T753" s="214" t="s">
        <v>15</v>
      </c>
      <c r="U753" s="214" t="s">
        <v>15</v>
      </c>
      <c r="V753" s="214" t="s">
        <v>15</v>
      </c>
      <c r="W753" s="214" t="s">
        <v>15</v>
      </c>
      <c r="X753" s="214" t="s">
        <v>15</v>
      </c>
      <c r="Y753" s="214" t="s">
        <v>20</v>
      </c>
      <c r="Z753" s="234"/>
      <c r="AA753" s="214" t="s">
        <v>1631</v>
      </c>
      <c r="AB753" s="214" t="s">
        <v>15</v>
      </c>
      <c r="AC753" s="214" t="s">
        <v>15</v>
      </c>
      <c r="AD753" s="320" t="s">
        <v>1632</v>
      </c>
      <c r="AE753" s="320" t="s">
        <v>485</v>
      </c>
      <c r="AF753" s="162" t="str">
        <f t="shared" si="54"/>
        <v/>
      </c>
      <c r="AG753" s="162" t="str">
        <f t="shared" si="57"/>
        <v/>
      </c>
      <c r="AH753" s="164" t="str">
        <f t="shared" si="55"/>
        <v/>
      </c>
      <c r="AI753" s="164" t="str">
        <f t="shared" si="56"/>
        <v/>
      </c>
      <c r="AJ753" s="368"/>
      <c r="AK753" s="369"/>
      <c r="AL753" s="369"/>
      <c r="AM753" s="369"/>
      <c r="AN753" s="369"/>
      <c r="AO753" s="368"/>
      <c r="AP753" s="368"/>
      <c r="AQ753" s="368"/>
      <c r="AR753" s="368"/>
      <c r="AS753" s="195"/>
      <c r="AT753" s="195"/>
      <c r="AU753" s="377"/>
      <c r="AV753" s="382"/>
      <c r="AW753" s="426"/>
      <c r="AX753" s="359"/>
      <c r="AY753" s="359"/>
      <c r="AZ753" s="359"/>
      <c r="BA753" s="359"/>
      <c r="BB753" s="426"/>
      <c r="BC753" s="426"/>
      <c r="BD753" s="426"/>
      <c r="BE753" s="426"/>
      <c r="BF753" s="469"/>
      <c r="BG753" s="468">
        <v>0.58499999999999996</v>
      </c>
      <c r="BH753" s="341"/>
      <c r="BI753" s="446" t="s">
        <v>1633</v>
      </c>
      <c r="BJ753" s="505"/>
    </row>
    <row r="754" spans="1:62" ht="15.75" customHeight="1" thickBot="1" x14ac:dyDescent="0.25">
      <c r="A754" s="174">
        <v>755</v>
      </c>
      <c r="B754" s="175">
        <v>1</v>
      </c>
      <c r="C754" s="166" t="s">
        <v>162</v>
      </c>
      <c r="D754" s="167" t="s">
        <v>1864</v>
      </c>
      <c r="E754" s="166" t="s">
        <v>13</v>
      </c>
      <c r="F754" s="166" t="s">
        <v>1635</v>
      </c>
      <c r="G754" s="166" t="s">
        <v>20</v>
      </c>
      <c r="H754" s="166" t="s">
        <v>492</v>
      </c>
      <c r="I754" s="181">
        <v>2014</v>
      </c>
      <c r="J754" s="181" t="s">
        <v>1636</v>
      </c>
      <c r="K754" s="181" t="s">
        <v>1637</v>
      </c>
      <c r="L754" s="181" t="s">
        <v>692</v>
      </c>
      <c r="M754" s="556" t="s">
        <v>4265</v>
      </c>
      <c r="N754" s="214" t="s">
        <v>20</v>
      </c>
      <c r="O754" s="214" t="s">
        <v>15</v>
      </c>
      <c r="P754" s="214" t="s">
        <v>20</v>
      </c>
      <c r="Q754" s="214" t="s">
        <v>15</v>
      </c>
      <c r="R754" s="214" t="s">
        <v>15</v>
      </c>
      <c r="S754" s="214" t="s">
        <v>20</v>
      </c>
      <c r="T754" s="214" t="s">
        <v>15</v>
      </c>
      <c r="U754" s="214" t="s">
        <v>15</v>
      </c>
      <c r="V754" s="214" t="s">
        <v>15</v>
      </c>
      <c r="W754" s="214" t="s">
        <v>15</v>
      </c>
      <c r="X754" s="214" t="s">
        <v>15</v>
      </c>
      <c r="Y754" s="214" t="s">
        <v>15</v>
      </c>
      <c r="Z754" s="234"/>
      <c r="AA754" s="214" t="s">
        <v>1631</v>
      </c>
      <c r="AB754" s="214" t="s">
        <v>15</v>
      </c>
      <c r="AC754" s="214" t="s">
        <v>15</v>
      </c>
      <c r="AD754" s="320" t="s">
        <v>1638</v>
      </c>
      <c r="AE754" s="319"/>
      <c r="AF754" s="162" t="str">
        <f t="shared" si="54"/>
        <v/>
      </c>
      <c r="AG754" s="162" t="str">
        <f t="shared" si="57"/>
        <v/>
      </c>
      <c r="AH754" s="164" t="str">
        <f t="shared" si="55"/>
        <v/>
      </c>
      <c r="AI754" s="164" t="str">
        <f t="shared" si="56"/>
        <v/>
      </c>
      <c r="AJ754" s="368"/>
      <c r="AK754" s="369"/>
      <c r="AL754" s="369"/>
      <c r="AM754" s="369"/>
      <c r="AN754" s="369"/>
      <c r="AO754" s="368"/>
      <c r="AP754" s="368"/>
      <c r="AQ754" s="368"/>
      <c r="AR754" s="368"/>
      <c r="AS754" s="195"/>
      <c r="AT754" s="198">
        <v>1.33</v>
      </c>
      <c r="AU754" s="377"/>
      <c r="AW754" s="426"/>
      <c r="AX754" s="359"/>
      <c r="AY754" s="359"/>
      <c r="AZ754" s="359"/>
      <c r="BA754" s="359"/>
      <c r="BB754" s="426"/>
      <c r="BC754" s="426"/>
      <c r="BD754" s="426"/>
      <c r="BE754" s="426"/>
      <c r="BF754" s="469"/>
      <c r="BG754" s="468">
        <v>4.0000000000000001E-3</v>
      </c>
      <c r="BH754" s="341"/>
      <c r="BI754" s="446" t="s">
        <v>1639</v>
      </c>
      <c r="BJ754" s="505"/>
    </row>
    <row r="755" spans="1:62" ht="15.75" customHeight="1" thickBot="1" x14ac:dyDescent="0.25">
      <c r="A755" s="176">
        <v>756</v>
      </c>
      <c r="B755" s="175">
        <v>1</v>
      </c>
      <c r="C755" s="166" t="s">
        <v>162</v>
      </c>
      <c r="D755" s="167" t="s">
        <v>1864</v>
      </c>
      <c r="E755" s="166" t="s">
        <v>13</v>
      </c>
      <c r="F755" s="166" t="s">
        <v>246</v>
      </c>
      <c r="G755" s="166" t="s">
        <v>20</v>
      </c>
      <c r="H755" s="166" t="s">
        <v>87</v>
      </c>
      <c r="I755" s="181">
        <v>2014</v>
      </c>
      <c r="J755" s="181" t="s">
        <v>1636</v>
      </c>
      <c r="K755" s="181" t="s">
        <v>1637</v>
      </c>
      <c r="L755" s="181" t="s">
        <v>692</v>
      </c>
      <c r="M755" s="556" t="s">
        <v>4265</v>
      </c>
      <c r="N755" s="214" t="s">
        <v>20</v>
      </c>
      <c r="O755" s="214" t="s">
        <v>15</v>
      </c>
      <c r="P755" s="214" t="s">
        <v>20</v>
      </c>
      <c r="Q755" s="214" t="s">
        <v>15</v>
      </c>
      <c r="R755" s="214" t="s">
        <v>15</v>
      </c>
      <c r="S755" s="214" t="s">
        <v>20</v>
      </c>
      <c r="T755" s="214" t="s">
        <v>15</v>
      </c>
      <c r="U755" s="214" t="s">
        <v>15</v>
      </c>
      <c r="V755" s="214" t="s">
        <v>15</v>
      </c>
      <c r="W755" s="214" t="s">
        <v>15</v>
      </c>
      <c r="X755" s="214" t="s">
        <v>15</v>
      </c>
      <c r="Y755" s="214" t="s">
        <v>15</v>
      </c>
      <c r="Z755" s="234"/>
      <c r="AA755" s="214" t="s">
        <v>1631</v>
      </c>
      <c r="AB755" s="214" t="s">
        <v>15</v>
      </c>
      <c r="AC755" s="214" t="s">
        <v>15</v>
      </c>
      <c r="AD755" s="320" t="s">
        <v>1638</v>
      </c>
      <c r="AE755" s="319"/>
      <c r="AF755" s="162" t="str">
        <f t="shared" si="54"/>
        <v/>
      </c>
      <c r="AG755" s="162" t="str">
        <f t="shared" si="57"/>
        <v/>
      </c>
      <c r="AH755" s="164" t="str">
        <f t="shared" si="55"/>
        <v/>
      </c>
      <c r="AI755" s="164" t="str">
        <f t="shared" si="56"/>
        <v/>
      </c>
      <c r="AJ755" s="368"/>
      <c r="AK755" s="369"/>
      <c r="AL755" s="369"/>
      <c r="AM755" s="369"/>
      <c r="AN755" s="369"/>
      <c r="AO755" s="368"/>
      <c r="AP755" s="368"/>
      <c r="AQ755" s="368"/>
      <c r="AR755" s="368"/>
      <c r="AS755" s="195"/>
      <c r="AT755" s="194">
        <v>3.68</v>
      </c>
      <c r="AU755" s="377"/>
      <c r="AW755" s="426"/>
      <c r="AX755" s="359"/>
      <c r="AY755" s="359"/>
      <c r="AZ755" s="359"/>
      <c r="BA755" s="359"/>
      <c r="BB755" s="426"/>
      <c r="BC755" s="426"/>
      <c r="BD755" s="426"/>
      <c r="BE755" s="426"/>
      <c r="BF755" s="469"/>
      <c r="BG755" s="468">
        <v>0.28000000000000003</v>
      </c>
      <c r="BH755" s="341"/>
      <c r="BI755" s="446" t="s">
        <v>1639</v>
      </c>
      <c r="BJ755" s="505"/>
    </row>
    <row r="756" spans="1:62" ht="15.75" customHeight="1" thickBot="1" x14ac:dyDescent="0.25">
      <c r="A756" s="174">
        <v>757</v>
      </c>
      <c r="B756" s="175">
        <v>1</v>
      </c>
      <c r="C756" s="166" t="s">
        <v>162</v>
      </c>
      <c r="D756" s="167" t="s">
        <v>1864</v>
      </c>
      <c r="E756" s="166" t="s">
        <v>13</v>
      </c>
      <c r="F756" s="166" t="s">
        <v>246</v>
      </c>
      <c r="G756" s="166" t="s">
        <v>20</v>
      </c>
      <c r="H756" s="166" t="s">
        <v>492</v>
      </c>
      <c r="I756" s="183">
        <v>2014</v>
      </c>
      <c r="J756" s="181" t="s">
        <v>1636</v>
      </c>
      <c r="K756" s="181" t="s">
        <v>1637</v>
      </c>
      <c r="L756" s="181" t="s">
        <v>692</v>
      </c>
      <c r="M756" s="556" t="s">
        <v>4265</v>
      </c>
      <c r="N756" s="214" t="s">
        <v>20</v>
      </c>
      <c r="O756" s="214" t="s">
        <v>15</v>
      </c>
      <c r="P756" s="214" t="s">
        <v>20</v>
      </c>
      <c r="Q756" s="214" t="s">
        <v>15</v>
      </c>
      <c r="R756" s="214" t="s">
        <v>15</v>
      </c>
      <c r="S756" s="214" t="s">
        <v>20</v>
      </c>
      <c r="T756" s="214" t="s">
        <v>15</v>
      </c>
      <c r="U756" s="214" t="s">
        <v>15</v>
      </c>
      <c r="V756" s="214" t="s">
        <v>15</v>
      </c>
      <c r="W756" s="214" t="s">
        <v>15</v>
      </c>
      <c r="X756" s="214" t="s">
        <v>15</v>
      </c>
      <c r="Y756" s="214" t="s">
        <v>15</v>
      </c>
      <c r="Z756" s="311"/>
      <c r="AA756" s="214" t="s">
        <v>1631</v>
      </c>
      <c r="AB756" s="214" t="s">
        <v>15</v>
      </c>
      <c r="AC756" s="214" t="s">
        <v>15</v>
      </c>
      <c r="AD756" s="320" t="s">
        <v>1638</v>
      </c>
      <c r="AE756" s="319"/>
      <c r="AF756" s="162" t="str">
        <f t="shared" si="54"/>
        <v/>
      </c>
      <c r="AG756" s="162" t="str">
        <f t="shared" si="57"/>
        <v/>
      </c>
      <c r="AH756" s="164" t="str">
        <f t="shared" si="55"/>
        <v/>
      </c>
      <c r="AI756" s="164" t="str">
        <f t="shared" si="56"/>
        <v/>
      </c>
      <c r="AJ756" s="368"/>
      <c r="AK756" s="369"/>
      <c r="AL756" s="369"/>
      <c r="AM756" s="369"/>
      <c r="AN756" s="369"/>
      <c r="AO756" s="368"/>
      <c r="AP756" s="368"/>
      <c r="AQ756" s="368"/>
      <c r="AR756" s="368"/>
      <c r="AS756" s="195"/>
      <c r="AT756" s="194">
        <v>1.88</v>
      </c>
      <c r="AU756" s="377"/>
      <c r="AW756" s="426"/>
      <c r="AX756" s="359"/>
      <c r="AY756" s="359"/>
      <c r="AZ756" s="359"/>
      <c r="BA756" s="359"/>
      <c r="BB756" s="426"/>
      <c r="BC756" s="426"/>
      <c r="BD756" s="426"/>
      <c r="BE756" s="426"/>
      <c r="BF756" s="469"/>
      <c r="BG756" s="468">
        <v>0.14199999999999999</v>
      </c>
      <c r="BH756" s="341"/>
      <c r="BI756" s="446" t="s">
        <v>1639</v>
      </c>
      <c r="BJ756" s="505"/>
    </row>
    <row r="757" spans="1:62" ht="15.75" customHeight="1" thickBot="1" x14ac:dyDescent="0.25">
      <c r="A757" s="176">
        <v>758</v>
      </c>
      <c r="B757" s="175">
        <v>1</v>
      </c>
      <c r="C757" s="166" t="s">
        <v>236</v>
      </c>
      <c r="D757" s="167" t="s">
        <v>2769</v>
      </c>
      <c r="E757" s="166" t="s">
        <v>13</v>
      </c>
      <c r="F757" s="166" t="s">
        <v>1640</v>
      </c>
      <c r="G757" s="166" t="s">
        <v>15</v>
      </c>
      <c r="H757" s="166" t="s">
        <v>87</v>
      </c>
      <c r="I757" s="181">
        <v>2013</v>
      </c>
      <c r="J757" s="181" t="s">
        <v>1641</v>
      </c>
      <c r="K757" s="181" t="s">
        <v>1642</v>
      </c>
      <c r="L757" s="181" t="s">
        <v>19</v>
      </c>
      <c r="M757" s="556" t="s">
        <v>4266</v>
      </c>
      <c r="N757" s="214" t="s">
        <v>20</v>
      </c>
      <c r="O757" s="214" t="s">
        <v>15</v>
      </c>
      <c r="P757" s="214" t="s">
        <v>20</v>
      </c>
      <c r="Q757" s="214" t="s">
        <v>20</v>
      </c>
      <c r="R757" s="214" t="s">
        <v>20</v>
      </c>
      <c r="S757" s="214" t="s">
        <v>20</v>
      </c>
      <c r="T757" s="214" t="s">
        <v>15</v>
      </c>
      <c r="U757" s="214" t="s">
        <v>15</v>
      </c>
      <c r="V757" s="214" t="s">
        <v>15</v>
      </c>
      <c r="W757" s="214" t="s">
        <v>15</v>
      </c>
      <c r="X757" s="214" t="s">
        <v>15</v>
      </c>
      <c r="Y757" s="214" t="s">
        <v>20</v>
      </c>
      <c r="Z757" s="234"/>
      <c r="AA757" s="214" t="s">
        <v>719</v>
      </c>
      <c r="AB757" s="214" t="s">
        <v>15</v>
      </c>
      <c r="AC757" s="214" t="s">
        <v>15</v>
      </c>
      <c r="AD757" s="320" t="s">
        <v>1643</v>
      </c>
      <c r="AE757" s="320" t="s">
        <v>485</v>
      </c>
      <c r="AF757" s="162" t="str">
        <f t="shared" si="54"/>
        <v/>
      </c>
      <c r="AG757" s="162" t="str">
        <f t="shared" si="57"/>
        <v/>
      </c>
      <c r="AH757" s="164" t="str">
        <f t="shared" si="55"/>
        <v/>
      </c>
      <c r="AI757" s="164" t="str">
        <f t="shared" si="56"/>
        <v/>
      </c>
      <c r="AJ757" s="368"/>
      <c r="AK757" s="369"/>
      <c r="AL757" s="369"/>
      <c r="AM757" s="369"/>
      <c r="AN757" s="369"/>
      <c r="AO757" s="368"/>
      <c r="AP757" s="368"/>
      <c r="AQ757" s="368"/>
      <c r="AR757" s="368"/>
      <c r="AS757" s="195"/>
      <c r="AT757" s="194">
        <v>5.53</v>
      </c>
      <c r="AU757" s="377"/>
      <c r="AW757" s="426"/>
      <c r="AX757" s="359"/>
      <c r="AY757" s="359"/>
      <c r="AZ757" s="359"/>
      <c r="BA757" s="359"/>
      <c r="BB757" s="426"/>
      <c r="BC757" s="426"/>
      <c r="BD757" s="426"/>
      <c r="BE757" s="426"/>
      <c r="BF757" s="469"/>
      <c r="BG757" s="468">
        <v>0.25700000000000001</v>
      </c>
      <c r="BH757" s="341"/>
      <c r="BI757" s="446" t="s">
        <v>335</v>
      </c>
      <c r="BJ757" s="505"/>
    </row>
    <row r="758" spans="1:62" ht="15.75" customHeight="1" thickBot="1" x14ac:dyDescent="0.25">
      <c r="A758" s="174">
        <v>759</v>
      </c>
      <c r="B758" s="175">
        <v>1</v>
      </c>
      <c r="C758" s="166" t="s">
        <v>162</v>
      </c>
      <c r="D758" s="353" t="s">
        <v>4055</v>
      </c>
      <c r="E758" s="166" t="s">
        <v>13</v>
      </c>
      <c r="F758" s="166" t="s">
        <v>1644</v>
      </c>
      <c r="G758" s="166" t="s">
        <v>20</v>
      </c>
      <c r="H758" s="166" t="s">
        <v>87</v>
      </c>
      <c r="I758" s="181">
        <v>2014</v>
      </c>
      <c r="J758" s="181" t="s">
        <v>1645</v>
      </c>
      <c r="K758" s="181" t="s">
        <v>1646</v>
      </c>
      <c r="L758" s="181" t="s">
        <v>19</v>
      </c>
      <c r="M758" s="556" t="s">
        <v>4267</v>
      </c>
      <c r="N758" s="214" t="s">
        <v>20</v>
      </c>
      <c r="O758" s="214" t="s">
        <v>15</v>
      </c>
      <c r="P758" s="214" t="s">
        <v>15</v>
      </c>
      <c r="Q758" s="214" t="s">
        <v>15</v>
      </c>
      <c r="R758" s="214" t="s">
        <v>20</v>
      </c>
      <c r="S758" s="214" t="s">
        <v>15</v>
      </c>
      <c r="T758" s="214" t="s">
        <v>15</v>
      </c>
      <c r="U758" s="214" t="s">
        <v>15</v>
      </c>
      <c r="V758" s="214" t="s">
        <v>15</v>
      </c>
      <c r="W758" s="214" t="s">
        <v>15</v>
      </c>
      <c r="X758" s="214" t="s">
        <v>15</v>
      </c>
      <c r="Y758" s="214" t="s">
        <v>20</v>
      </c>
      <c r="Z758" s="234"/>
      <c r="AA758" s="214" t="s">
        <v>1620</v>
      </c>
      <c r="AB758" s="214" t="s">
        <v>15</v>
      </c>
      <c r="AC758" s="214" t="s">
        <v>20</v>
      </c>
      <c r="AD758" s="320" t="s">
        <v>1647</v>
      </c>
      <c r="AE758" s="319"/>
      <c r="AF758" s="162">
        <f t="shared" si="54"/>
        <v>22.352170000000001</v>
      </c>
      <c r="AG758" s="162" t="str">
        <f t="shared" si="57"/>
        <v/>
      </c>
      <c r="AH758" s="164">
        <f t="shared" si="55"/>
        <v>0.812253</v>
      </c>
      <c r="AI758" s="164" t="str">
        <f t="shared" si="56"/>
        <v/>
      </c>
      <c r="AJ758" s="368">
        <v>22.352170000000001</v>
      </c>
      <c r="AK758" s="368"/>
      <c r="AL758" s="368"/>
      <c r="AM758" s="369">
        <v>4.7519999999999998</v>
      </c>
      <c r="AN758" s="368"/>
      <c r="AO758" s="368"/>
      <c r="AP758" s="368"/>
      <c r="AQ758" s="369"/>
      <c r="AR758" s="369">
        <v>7.8029999999999999</v>
      </c>
      <c r="AS758" s="195">
        <f>AJ758</f>
        <v>22.352170000000001</v>
      </c>
      <c r="AT758" s="199">
        <v>35</v>
      </c>
      <c r="AU758" s="377"/>
      <c r="AW758" s="426">
        <v>0.812253</v>
      </c>
      <c r="AX758" s="426"/>
      <c r="AY758" s="426"/>
      <c r="AZ758" s="359">
        <v>5.0326999999999997E-2</v>
      </c>
      <c r="BA758" s="426"/>
      <c r="BB758" s="426"/>
      <c r="BC758" s="426"/>
      <c r="BD758" s="359"/>
      <c r="BE758" s="359">
        <v>0.49769999999999998</v>
      </c>
      <c r="BF758" s="469">
        <v>0.812253</v>
      </c>
      <c r="BG758" s="467">
        <v>1.37</v>
      </c>
      <c r="BH758" s="341"/>
      <c r="BI758" s="447"/>
      <c r="BJ758" s="505"/>
    </row>
    <row r="759" spans="1:62" ht="15.75" customHeight="1" thickBot="1" x14ac:dyDescent="0.25">
      <c r="A759" s="176">
        <v>760</v>
      </c>
      <c r="B759" s="175">
        <v>1</v>
      </c>
      <c r="C759" s="166" t="s">
        <v>162</v>
      </c>
      <c r="D759" s="353" t="s">
        <v>4055</v>
      </c>
      <c r="E759" s="166" t="s">
        <v>13</v>
      </c>
      <c r="F759" s="166" t="s">
        <v>1648</v>
      </c>
      <c r="G759" s="166" t="s">
        <v>20</v>
      </c>
      <c r="H759" s="166" t="s">
        <v>87</v>
      </c>
      <c r="I759" s="181">
        <v>2014</v>
      </c>
      <c r="J759" s="181" t="s">
        <v>1645</v>
      </c>
      <c r="K759" s="181" t="s">
        <v>1646</v>
      </c>
      <c r="L759" s="181" t="s">
        <v>19</v>
      </c>
      <c r="M759" s="556" t="s">
        <v>4267</v>
      </c>
      <c r="N759" s="214" t="s">
        <v>20</v>
      </c>
      <c r="O759" s="214" t="s">
        <v>15</v>
      </c>
      <c r="P759" s="214" t="s">
        <v>15</v>
      </c>
      <c r="Q759" s="214" t="s">
        <v>15</v>
      </c>
      <c r="R759" s="214" t="s">
        <v>20</v>
      </c>
      <c r="S759" s="214" t="s">
        <v>15</v>
      </c>
      <c r="T759" s="214" t="s">
        <v>15</v>
      </c>
      <c r="U759" s="214" t="s">
        <v>15</v>
      </c>
      <c r="V759" s="214" t="s">
        <v>15</v>
      </c>
      <c r="W759" s="214" t="s">
        <v>15</v>
      </c>
      <c r="X759" s="214" t="s">
        <v>15</v>
      </c>
      <c r="Y759" s="214" t="s">
        <v>20</v>
      </c>
      <c r="Z759" s="234"/>
      <c r="AA759" s="214" t="s">
        <v>1620</v>
      </c>
      <c r="AB759" s="214" t="s">
        <v>15</v>
      </c>
      <c r="AC759" s="214" t="s">
        <v>20</v>
      </c>
      <c r="AD759" s="320" t="s">
        <v>1647</v>
      </c>
      <c r="AE759" s="319"/>
      <c r="AF759" s="162">
        <f t="shared" si="54"/>
        <v>50.963999999999999</v>
      </c>
      <c r="AG759" s="162" t="str">
        <f t="shared" si="57"/>
        <v/>
      </c>
      <c r="AH759" s="164">
        <f t="shared" si="55"/>
        <v>3.0140340000000001</v>
      </c>
      <c r="AI759" s="164" t="str">
        <f t="shared" si="56"/>
        <v/>
      </c>
      <c r="AJ759" s="368">
        <v>50.963999999999999</v>
      </c>
      <c r="AK759" s="368"/>
      <c r="AL759" s="368"/>
      <c r="AM759" s="369">
        <v>4.7519999999999998</v>
      </c>
      <c r="AN759" s="368"/>
      <c r="AO759" s="368"/>
      <c r="AP759" s="368"/>
      <c r="AQ759" s="369"/>
      <c r="AR759" s="369">
        <v>7.8029999999999999</v>
      </c>
      <c r="AS759" s="195">
        <f>AJ759</f>
        <v>50.963999999999999</v>
      </c>
      <c r="AT759" s="195">
        <v>63.6</v>
      </c>
      <c r="AU759" s="377"/>
      <c r="AW759" s="426">
        <v>3.0140340000000001</v>
      </c>
      <c r="AX759" s="426"/>
      <c r="AY759" s="426"/>
      <c r="AZ759" s="359">
        <v>5.0326999999999997E-2</v>
      </c>
      <c r="BA759" s="426"/>
      <c r="BB759" s="426"/>
      <c r="BC759" s="426"/>
      <c r="BD759" s="359"/>
      <c r="BE759" s="359">
        <v>0.49769999999999998</v>
      </c>
      <c r="BF759" s="469">
        <v>3.0140340000000001</v>
      </c>
      <c r="BG759" s="469">
        <v>3.59</v>
      </c>
      <c r="BH759" s="341"/>
      <c r="BI759" s="447"/>
      <c r="BJ759" s="505"/>
    </row>
    <row r="760" spans="1:62" ht="15.75" customHeight="1" thickBot="1" x14ac:dyDescent="0.25">
      <c r="A760" s="514">
        <v>761</v>
      </c>
      <c r="B760" s="175">
        <v>1</v>
      </c>
      <c r="C760" s="166" t="s">
        <v>162</v>
      </c>
      <c r="D760" s="353" t="s">
        <v>4055</v>
      </c>
      <c r="E760" s="166" t="s">
        <v>13</v>
      </c>
      <c r="F760" s="166" t="s">
        <v>1649</v>
      </c>
      <c r="G760" s="166" t="s">
        <v>20</v>
      </c>
      <c r="H760" s="166" t="s">
        <v>87</v>
      </c>
      <c r="I760" s="181">
        <v>2014</v>
      </c>
      <c r="J760" s="181" t="s">
        <v>1645</v>
      </c>
      <c r="K760" s="181" t="s">
        <v>1646</v>
      </c>
      <c r="L760" s="181" t="s">
        <v>19</v>
      </c>
      <c r="M760" s="556" t="s">
        <v>4267</v>
      </c>
      <c r="N760" s="214" t="s">
        <v>20</v>
      </c>
      <c r="O760" s="214" t="s">
        <v>15</v>
      </c>
      <c r="P760" s="214" t="s">
        <v>15</v>
      </c>
      <c r="Q760" s="214" t="s">
        <v>15</v>
      </c>
      <c r="R760" s="214" t="s">
        <v>20</v>
      </c>
      <c r="S760" s="214" t="s">
        <v>15</v>
      </c>
      <c r="T760" s="214" t="s">
        <v>15</v>
      </c>
      <c r="U760" s="214" t="s">
        <v>15</v>
      </c>
      <c r="V760" s="214" t="s">
        <v>15</v>
      </c>
      <c r="W760" s="214" t="s">
        <v>15</v>
      </c>
      <c r="X760" s="214" t="s">
        <v>15</v>
      </c>
      <c r="Y760" s="214" t="s">
        <v>20</v>
      </c>
      <c r="Z760" s="234"/>
      <c r="AA760" s="214" t="s">
        <v>1620</v>
      </c>
      <c r="AB760" s="214" t="s">
        <v>15</v>
      </c>
      <c r="AC760" s="214" t="s">
        <v>20</v>
      </c>
      <c r="AD760" s="320" t="s">
        <v>1647</v>
      </c>
      <c r="AE760" s="319"/>
      <c r="AF760" s="209">
        <f t="shared" si="54"/>
        <v>31.48611</v>
      </c>
      <c r="AG760" s="162" t="str">
        <f t="shared" si="57"/>
        <v/>
      </c>
      <c r="AH760" s="210">
        <f t="shared" si="55"/>
        <v>2.1017410000000001</v>
      </c>
      <c r="AI760" s="164" t="str">
        <f t="shared" si="56"/>
        <v/>
      </c>
      <c r="AJ760" s="375">
        <v>31.48611</v>
      </c>
      <c r="AK760" s="375"/>
      <c r="AL760" s="375"/>
      <c r="AM760" s="376">
        <v>4.7519999999999998</v>
      </c>
      <c r="AN760" s="375"/>
      <c r="AO760" s="375"/>
      <c r="AP760" s="375"/>
      <c r="AQ760" s="376"/>
      <c r="AR760" s="376">
        <v>7.8029999999999999</v>
      </c>
      <c r="AS760" s="211">
        <f>AJ760</f>
        <v>31.48611</v>
      </c>
      <c r="AT760" s="211">
        <v>44</v>
      </c>
      <c r="AU760" s="409"/>
      <c r="AV760" s="531"/>
      <c r="AW760" s="431">
        <v>2.1017410000000001</v>
      </c>
      <c r="AX760" s="431"/>
      <c r="AY760" s="431"/>
      <c r="AZ760" s="432">
        <v>5.0326999999999997E-2</v>
      </c>
      <c r="BA760" s="431"/>
      <c r="BB760" s="431"/>
      <c r="BC760" s="431"/>
      <c r="BD760" s="432"/>
      <c r="BE760" s="432">
        <v>0.49769999999999998</v>
      </c>
      <c r="BF760" s="487">
        <v>2.1017410000000001</v>
      </c>
      <c r="BG760" s="487">
        <v>2.69</v>
      </c>
      <c r="BH760" s="550"/>
      <c r="BI760" s="553"/>
      <c r="BJ760" s="510"/>
    </row>
    <row r="761" spans="1:62" s="87" customFormat="1" ht="15.75" customHeight="1" thickBot="1" x14ac:dyDescent="0.25">
      <c r="A761" s="176">
        <v>762</v>
      </c>
      <c r="B761" s="175">
        <v>1</v>
      </c>
      <c r="C761" s="166" t="s">
        <v>162</v>
      </c>
      <c r="D761" s="166" t="s">
        <v>736</v>
      </c>
      <c r="E761" s="166" t="s">
        <v>13</v>
      </c>
      <c r="F761" s="166" t="s">
        <v>1650</v>
      </c>
      <c r="G761" s="166" t="s">
        <v>15</v>
      </c>
      <c r="H761" s="166" t="s">
        <v>1436</v>
      </c>
      <c r="I761" s="181">
        <v>2014</v>
      </c>
      <c r="J761" s="181" t="s">
        <v>1651</v>
      </c>
      <c r="K761" s="181" t="s">
        <v>1652</v>
      </c>
      <c r="L761" s="181" t="s">
        <v>19</v>
      </c>
      <c r="M761" s="556" t="s">
        <v>4268</v>
      </c>
      <c r="N761" s="214" t="s">
        <v>20</v>
      </c>
      <c r="O761" s="214" t="s">
        <v>15</v>
      </c>
      <c r="P761" s="214" t="s">
        <v>15</v>
      </c>
      <c r="Q761" s="214" t="s">
        <v>15</v>
      </c>
      <c r="R761" s="214" t="s">
        <v>15</v>
      </c>
      <c r="S761" s="214" t="s">
        <v>15</v>
      </c>
      <c r="T761" s="214" t="s">
        <v>15</v>
      </c>
      <c r="U761" s="214" t="s">
        <v>15</v>
      </c>
      <c r="V761" s="214" t="s">
        <v>15</v>
      </c>
      <c r="W761" s="214" t="s">
        <v>15</v>
      </c>
      <c r="X761" s="214" t="s">
        <v>15</v>
      </c>
      <c r="Y761" s="214" t="s">
        <v>15</v>
      </c>
      <c r="Z761" s="234"/>
      <c r="AA761" s="214" t="s">
        <v>1131</v>
      </c>
      <c r="AB761" s="214" t="s">
        <v>15</v>
      </c>
      <c r="AC761" s="214" t="s">
        <v>15</v>
      </c>
      <c r="AD761" s="320" t="s">
        <v>1653</v>
      </c>
      <c r="AE761" s="320" t="s">
        <v>92</v>
      </c>
      <c r="AF761" s="162">
        <f t="shared" si="54"/>
        <v>4.9137899999999997</v>
      </c>
      <c r="AG761" s="162" t="str">
        <f t="shared" si="57"/>
        <v/>
      </c>
      <c r="AH761" s="164">
        <f t="shared" si="55"/>
        <v>3.0145179999999998</v>
      </c>
      <c r="AI761" s="164" t="str">
        <f t="shared" si="56"/>
        <v/>
      </c>
      <c r="AJ761" s="377"/>
      <c r="AK761" s="377"/>
      <c r="AL761" s="377"/>
      <c r="AM761" s="378"/>
      <c r="AN761" s="377"/>
      <c r="AO761" s="377"/>
      <c r="AP761" s="377"/>
      <c r="AQ761" s="378"/>
      <c r="AR761" s="378"/>
      <c r="AS761" s="199">
        <f>0.116995*42</f>
        <v>4.9137899999999997</v>
      </c>
      <c r="AT761" s="199"/>
      <c r="AU761" s="377"/>
      <c r="AV761" s="382"/>
      <c r="AW761" s="341"/>
      <c r="AX761" s="341"/>
      <c r="AY761" s="341"/>
      <c r="AZ761" s="335"/>
      <c r="BA761" s="341"/>
      <c r="BB761" s="341"/>
      <c r="BC761" s="341"/>
      <c r="BD761" s="335"/>
      <c r="BE761" s="335"/>
      <c r="BF761" s="468">
        <v>3.0145179999999998</v>
      </c>
      <c r="BG761" s="467"/>
      <c r="BH761" s="341"/>
      <c r="BI761" s="335" t="s">
        <v>47</v>
      </c>
      <c r="BJ761" s="334"/>
    </row>
    <row r="762" spans="1:62" ht="15.75" customHeight="1" thickBot="1" x14ac:dyDescent="0.25">
      <c r="A762" s="259">
        <v>763</v>
      </c>
      <c r="B762" s="175">
        <v>1</v>
      </c>
      <c r="C762" s="166" t="s">
        <v>162</v>
      </c>
      <c r="D762" s="166" t="s">
        <v>736</v>
      </c>
      <c r="E762" s="166" t="s">
        <v>13</v>
      </c>
      <c r="F762" s="166" t="s">
        <v>1654</v>
      </c>
      <c r="G762" s="166" t="s">
        <v>15</v>
      </c>
      <c r="H762" s="166" t="s">
        <v>1436</v>
      </c>
      <c r="I762" s="181">
        <v>2014</v>
      </c>
      <c r="J762" s="181" t="s">
        <v>1651</v>
      </c>
      <c r="K762" s="181" t="s">
        <v>1652</v>
      </c>
      <c r="L762" s="181" t="s">
        <v>19</v>
      </c>
      <c r="M762" s="556" t="s">
        <v>4268</v>
      </c>
      <c r="N762" s="214" t="s">
        <v>20</v>
      </c>
      <c r="O762" s="214" t="s">
        <v>15</v>
      </c>
      <c r="P762" s="214" t="s">
        <v>15</v>
      </c>
      <c r="Q762" s="214" t="s">
        <v>15</v>
      </c>
      <c r="R762" s="214" t="s">
        <v>15</v>
      </c>
      <c r="S762" s="214" t="s">
        <v>15</v>
      </c>
      <c r="T762" s="214" t="s">
        <v>15</v>
      </c>
      <c r="U762" s="214" t="s">
        <v>15</v>
      </c>
      <c r="V762" s="214" t="s">
        <v>15</v>
      </c>
      <c r="W762" s="214" t="s">
        <v>15</v>
      </c>
      <c r="X762" s="214" t="s">
        <v>15</v>
      </c>
      <c r="Y762" s="214" t="s">
        <v>15</v>
      </c>
      <c r="Z762" s="234"/>
      <c r="AA762" s="214" t="s">
        <v>1131</v>
      </c>
      <c r="AB762" s="214" t="s">
        <v>15</v>
      </c>
      <c r="AC762" s="214" t="s">
        <v>15</v>
      </c>
      <c r="AD762" s="320" t="s">
        <v>1653</v>
      </c>
      <c r="AE762" s="320" t="s">
        <v>92</v>
      </c>
      <c r="AF762" s="212">
        <f t="shared" si="54"/>
        <v>5.2694879999999999</v>
      </c>
      <c r="AG762" s="162" t="str">
        <f t="shared" si="57"/>
        <v/>
      </c>
      <c r="AH762" s="213">
        <f t="shared" si="55"/>
        <v>5.0029450000000004</v>
      </c>
      <c r="AI762" s="164" t="str">
        <f t="shared" si="56"/>
        <v/>
      </c>
      <c r="AJ762" s="379"/>
      <c r="AK762" s="379"/>
      <c r="AL762" s="379"/>
      <c r="AM762" s="380"/>
      <c r="AN762" s="379"/>
      <c r="AO762" s="379"/>
      <c r="AP762" s="379"/>
      <c r="AQ762" s="380"/>
      <c r="AR762" s="380"/>
      <c r="AS762" s="266">
        <f>0.125464*42</f>
        <v>5.2694879999999999</v>
      </c>
      <c r="AT762" s="201"/>
      <c r="AU762" s="408"/>
      <c r="AV762" s="407"/>
      <c r="AW762" s="433"/>
      <c r="AX762" s="433"/>
      <c r="AY762" s="433"/>
      <c r="AZ762" s="434"/>
      <c r="BA762" s="433"/>
      <c r="BB762" s="433"/>
      <c r="BC762" s="433"/>
      <c r="BD762" s="434"/>
      <c r="BE762" s="434"/>
      <c r="BF762" s="545">
        <v>5.0029450000000004</v>
      </c>
      <c r="BG762" s="486"/>
      <c r="BH762" s="454"/>
      <c r="BI762" s="456" t="s">
        <v>47</v>
      </c>
      <c r="BJ762" s="509"/>
    </row>
    <row r="763" spans="1:62" ht="15.75" customHeight="1" thickBot="1" x14ac:dyDescent="0.25">
      <c r="A763" s="176">
        <v>764</v>
      </c>
      <c r="B763" s="175">
        <v>1</v>
      </c>
      <c r="C763" s="166" t="s">
        <v>162</v>
      </c>
      <c r="D763" s="166" t="s">
        <v>736</v>
      </c>
      <c r="E763" s="166" t="s">
        <v>13</v>
      </c>
      <c r="F763" s="166" t="s">
        <v>1655</v>
      </c>
      <c r="G763" s="166" t="s">
        <v>15</v>
      </c>
      <c r="H763" s="166" t="s">
        <v>1436</v>
      </c>
      <c r="I763" s="181">
        <v>2014</v>
      </c>
      <c r="J763" s="181" t="s">
        <v>1651</v>
      </c>
      <c r="K763" s="181" t="s">
        <v>1652</v>
      </c>
      <c r="L763" s="181" t="s">
        <v>19</v>
      </c>
      <c r="M763" s="556" t="s">
        <v>4268</v>
      </c>
      <c r="N763" s="214" t="s">
        <v>20</v>
      </c>
      <c r="O763" s="214" t="s">
        <v>15</v>
      </c>
      <c r="P763" s="214" t="s">
        <v>15</v>
      </c>
      <c r="Q763" s="214" t="s">
        <v>15</v>
      </c>
      <c r="R763" s="214" t="s">
        <v>15</v>
      </c>
      <c r="S763" s="214" t="s">
        <v>15</v>
      </c>
      <c r="T763" s="214" t="s">
        <v>15</v>
      </c>
      <c r="U763" s="214" t="s">
        <v>15</v>
      </c>
      <c r="V763" s="214" t="s">
        <v>15</v>
      </c>
      <c r="W763" s="214" t="s">
        <v>15</v>
      </c>
      <c r="X763" s="214" t="s">
        <v>15</v>
      </c>
      <c r="Y763" s="214" t="s">
        <v>15</v>
      </c>
      <c r="Z763" s="234"/>
      <c r="AA763" s="214" t="s">
        <v>1131</v>
      </c>
      <c r="AB763" s="214" t="s">
        <v>15</v>
      </c>
      <c r="AC763" s="214" t="s">
        <v>15</v>
      </c>
      <c r="AD763" s="320" t="s">
        <v>1653</v>
      </c>
      <c r="AE763" s="320" t="s">
        <v>92</v>
      </c>
      <c r="AF763" s="162">
        <f t="shared" si="54"/>
        <v>4.3407419999999997</v>
      </c>
      <c r="AG763" s="162" t="str">
        <f t="shared" si="57"/>
        <v/>
      </c>
      <c r="AH763" s="164">
        <f t="shared" si="55"/>
        <v>3.371086</v>
      </c>
      <c r="AI763" s="164" t="str">
        <f t="shared" si="56"/>
        <v/>
      </c>
      <c r="AJ763" s="368"/>
      <c r="AK763" s="368"/>
      <c r="AL763" s="368"/>
      <c r="AM763" s="369"/>
      <c r="AN763" s="368"/>
      <c r="AO763" s="368"/>
      <c r="AP763" s="368"/>
      <c r="AQ763" s="369"/>
      <c r="AR763" s="369"/>
      <c r="AS763" s="199">
        <f>0.103351*42</f>
        <v>4.3407419999999997</v>
      </c>
      <c r="AT763" s="195"/>
      <c r="AU763" s="377"/>
      <c r="AV763" s="382"/>
      <c r="AW763" s="426"/>
      <c r="AX763" s="426"/>
      <c r="AY763" s="426"/>
      <c r="AZ763" s="359"/>
      <c r="BA763" s="426"/>
      <c r="BB763" s="426"/>
      <c r="BC763" s="426"/>
      <c r="BD763" s="359"/>
      <c r="BE763" s="359"/>
      <c r="BF763" s="468">
        <v>3.371086</v>
      </c>
      <c r="BG763" s="469"/>
      <c r="BH763" s="341"/>
      <c r="BI763" s="446" t="s">
        <v>47</v>
      </c>
      <c r="BJ763" s="505"/>
    </row>
    <row r="764" spans="1:62" ht="15.75" customHeight="1" thickBot="1" x14ac:dyDescent="0.25">
      <c r="A764" s="174">
        <v>765</v>
      </c>
      <c r="B764" s="175">
        <v>1</v>
      </c>
      <c r="C764" s="166" t="s">
        <v>162</v>
      </c>
      <c r="D764" s="166" t="s">
        <v>846</v>
      </c>
      <c r="E764" s="166" t="s">
        <v>13</v>
      </c>
      <c r="F764" s="166" t="s">
        <v>1656</v>
      </c>
      <c r="G764" s="166" t="s">
        <v>15</v>
      </c>
      <c r="H764" s="166" t="s">
        <v>1161</v>
      </c>
      <c r="I764" s="181">
        <v>2013</v>
      </c>
      <c r="J764" s="181" t="s">
        <v>1657</v>
      </c>
      <c r="K764" s="181"/>
      <c r="L764" s="181" t="s">
        <v>19</v>
      </c>
      <c r="M764" s="556" t="s">
        <v>4264</v>
      </c>
      <c r="N764" s="214" t="s">
        <v>20</v>
      </c>
      <c r="O764" s="214" t="s">
        <v>15</v>
      </c>
      <c r="P764" s="214" t="s">
        <v>15</v>
      </c>
      <c r="Q764" s="214" t="s">
        <v>15</v>
      </c>
      <c r="R764" s="214" t="s">
        <v>15</v>
      </c>
      <c r="S764" s="214" t="s">
        <v>15</v>
      </c>
      <c r="T764" s="214" t="s">
        <v>15</v>
      </c>
      <c r="U764" s="214" t="s">
        <v>15</v>
      </c>
      <c r="V764" s="214" t="s">
        <v>15</v>
      </c>
      <c r="W764" s="214" t="s">
        <v>15</v>
      </c>
      <c r="X764" s="214" t="s">
        <v>15</v>
      </c>
      <c r="Y764" s="214" t="s">
        <v>15</v>
      </c>
      <c r="Z764" s="234"/>
      <c r="AA764" s="214" t="s">
        <v>1131</v>
      </c>
      <c r="AB764" s="214" t="s">
        <v>15</v>
      </c>
      <c r="AC764" s="214" t="s">
        <v>15</v>
      </c>
      <c r="AD764" s="320" t="s">
        <v>1658</v>
      </c>
      <c r="AE764" s="320" t="s">
        <v>1545</v>
      </c>
      <c r="AF764" s="162" t="str">
        <f t="shared" si="54"/>
        <v/>
      </c>
      <c r="AG764" s="162" t="str">
        <f t="shared" si="57"/>
        <v/>
      </c>
      <c r="AH764" s="164">
        <f t="shared" si="55"/>
        <v>0.12938999999999998</v>
      </c>
      <c r="AI764" s="164" t="str">
        <f t="shared" si="56"/>
        <v/>
      </c>
      <c r="AJ764" s="368"/>
      <c r="AK764" s="368"/>
      <c r="AL764" s="368"/>
      <c r="AM764" s="369"/>
      <c r="AN764" s="368"/>
      <c r="AO764" s="368"/>
      <c r="AP764" s="368"/>
      <c r="AQ764" s="369"/>
      <c r="AR764" s="369"/>
      <c r="AS764" s="199"/>
      <c r="AT764" s="195"/>
      <c r="AU764" s="377"/>
      <c r="AV764" s="382"/>
      <c r="AW764" s="426"/>
      <c r="AX764" s="426"/>
      <c r="AY764" s="426"/>
      <c r="AZ764" s="359"/>
      <c r="BA764" s="426"/>
      <c r="BB764" s="426"/>
      <c r="BC764" s="426"/>
      <c r="BD764" s="359"/>
      <c r="BE764" s="359"/>
      <c r="BF764" s="468">
        <f>129.39/1000</f>
        <v>0.12938999999999998</v>
      </c>
      <c r="BG764" s="469"/>
      <c r="BH764" s="341"/>
      <c r="BI764" s="447"/>
      <c r="BJ764" s="505"/>
    </row>
    <row r="765" spans="1:62" ht="15.75" customHeight="1" thickBot="1" x14ac:dyDescent="0.25">
      <c r="A765" s="176">
        <v>766</v>
      </c>
      <c r="B765" s="175">
        <v>1</v>
      </c>
      <c r="C765" s="166" t="s">
        <v>162</v>
      </c>
      <c r="D765" s="353" t="s">
        <v>4055</v>
      </c>
      <c r="E765" s="166" t="s">
        <v>13</v>
      </c>
      <c r="F765" s="166" t="s">
        <v>1659</v>
      </c>
      <c r="G765" s="166" t="s">
        <v>15</v>
      </c>
      <c r="H765" s="166" t="s">
        <v>1161</v>
      </c>
      <c r="I765" s="181">
        <v>2013</v>
      </c>
      <c r="J765" s="181" t="s">
        <v>1657</v>
      </c>
      <c r="K765" s="181"/>
      <c r="L765" s="181" t="s">
        <v>19</v>
      </c>
      <c r="M765" s="556" t="s">
        <v>4264</v>
      </c>
      <c r="N765" s="214" t="s">
        <v>20</v>
      </c>
      <c r="O765" s="214" t="s">
        <v>15</v>
      </c>
      <c r="P765" s="214" t="s">
        <v>15</v>
      </c>
      <c r="Q765" s="214" t="s">
        <v>15</v>
      </c>
      <c r="R765" s="214" t="s">
        <v>15</v>
      </c>
      <c r="S765" s="214" t="s">
        <v>15</v>
      </c>
      <c r="T765" s="214" t="s">
        <v>15</v>
      </c>
      <c r="U765" s="214" t="s">
        <v>15</v>
      </c>
      <c r="V765" s="214" t="s">
        <v>15</v>
      </c>
      <c r="W765" s="214" t="s">
        <v>15</v>
      </c>
      <c r="X765" s="214" t="s">
        <v>15</v>
      </c>
      <c r="Y765" s="214" t="s">
        <v>15</v>
      </c>
      <c r="Z765" s="234"/>
      <c r="AA765" s="214" t="s">
        <v>1131</v>
      </c>
      <c r="AB765" s="214" t="s">
        <v>15</v>
      </c>
      <c r="AC765" s="214" t="s">
        <v>15</v>
      </c>
      <c r="AD765" s="320" t="s">
        <v>1658</v>
      </c>
      <c r="AE765" s="320" t="s">
        <v>1545</v>
      </c>
      <c r="AF765" s="162" t="str">
        <f t="shared" si="54"/>
        <v/>
      </c>
      <c r="AG765" s="162" t="str">
        <f t="shared" si="57"/>
        <v/>
      </c>
      <c r="AH765" s="164">
        <f t="shared" si="55"/>
        <v>0.24493000000000001</v>
      </c>
      <c r="AI765" s="164" t="str">
        <f t="shared" si="56"/>
        <v/>
      </c>
      <c r="AJ765" s="368"/>
      <c r="AK765" s="368"/>
      <c r="AL765" s="368"/>
      <c r="AM765" s="369"/>
      <c r="AN765" s="368"/>
      <c r="AO765" s="368"/>
      <c r="AP765" s="368"/>
      <c r="AQ765" s="369"/>
      <c r="AR765" s="369"/>
      <c r="AS765" s="195"/>
      <c r="AT765" s="195"/>
      <c r="AU765" s="377"/>
      <c r="AV765" s="382"/>
      <c r="AW765" s="426"/>
      <c r="AX765" s="426"/>
      <c r="AY765" s="426"/>
      <c r="AZ765" s="359"/>
      <c r="BA765" s="426"/>
      <c r="BB765" s="426"/>
      <c r="BC765" s="426"/>
      <c r="BD765" s="359"/>
      <c r="BE765" s="359"/>
      <c r="BF765" s="467">
        <f>244.93/1000</f>
        <v>0.24493000000000001</v>
      </c>
      <c r="BG765" s="469"/>
      <c r="BH765" s="341"/>
      <c r="BI765" s="447"/>
      <c r="BJ765" s="505"/>
    </row>
    <row r="766" spans="1:62" ht="15.75" customHeight="1" thickBot="1" x14ac:dyDescent="0.25">
      <c r="A766" s="174">
        <v>767</v>
      </c>
      <c r="B766" s="175">
        <v>1</v>
      </c>
      <c r="C766" s="166" t="s">
        <v>11</v>
      </c>
      <c r="D766" s="170" t="s">
        <v>12</v>
      </c>
      <c r="E766" s="166" t="s">
        <v>13</v>
      </c>
      <c r="F766" s="166" t="s">
        <v>1660</v>
      </c>
      <c r="G766" s="166" t="s">
        <v>15</v>
      </c>
      <c r="H766" s="166" t="s">
        <v>1247</v>
      </c>
      <c r="I766" s="181">
        <v>2010</v>
      </c>
      <c r="J766" s="181" t="s">
        <v>1661</v>
      </c>
      <c r="K766" s="181" t="s">
        <v>1662</v>
      </c>
      <c r="L766" s="181" t="s">
        <v>19</v>
      </c>
      <c r="M766" s="556" t="s">
        <v>4269</v>
      </c>
      <c r="N766" s="214" t="s">
        <v>20</v>
      </c>
      <c r="O766" s="214" t="s">
        <v>15</v>
      </c>
      <c r="P766" s="214" t="s">
        <v>15</v>
      </c>
      <c r="Q766" s="214" t="s">
        <v>15</v>
      </c>
      <c r="R766" s="214" t="s">
        <v>15</v>
      </c>
      <c r="S766" s="214" t="s">
        <v>15</v>
      </c>
      <c r="T766" s="214" t="s">
        <v>15</v>
      </c>
      <c r="U766" s="214" t="s">
        <v>15</v>
      </c>
      <c r="V766" s="214" t="s">
        <v>15</v>
      </c>
      <c r="W766" s="214" t="s">
        <v>15</v>
      </c>
      <c r="X766" s="214" t="s">
        <v>15</v>
      </c>
      <c r="Y766" s="214" t="s">
        <v>15</v>
      </c>
      <c r="Z766" s="234"/>
      <c r="AA766" s="214" t="s">
        <v>1131</v>
      </c>
      <c r="AB766" s="214" t="s">
        <v>15</v>
      </c>
      <c r="AC766" s="214" t="s">
        <v>15</v>
      </c>
      <c r="AD766" s="320" t="s">
        <v>1663</v>
      </c>
      <c r="AE766" s="320" t="s">
        <v>1545</v>
      </c>
      <c r="AF766" s="162" t="str">
        <f t="shared" si="54"/>
        <v/>
      </c>
      <c r="AG766" s="162" t="str">
        <f t="shared" si="57"/>
        <v/>
      </c>
      <c r="AH766" s="164">
        <f t="shared" si="55"/>
        <v>1.02078</v>
      </c>
      <c r="AI766" s="164" t="str">
        <f t="shared" si="56"/>
        <v/>
      </c>
      <c r="AJ766" s="368"/>
      <c r="AK766" s="368"/>
      <c r="AL766" s="368"/>
      <c r="AM766" s="369"/>
      <c r="AN766" s="368"/>
      <c r="AO766" s="368"/>
      <c r="AP766" s="368"/>
      <c r="AQ766" s="369"/>
      <c r="AR766" s="369"/>
      <c r="AS766" s="195"/>
      <c r="AT766" s="195"/>
      <c r="AU766" s="377"/>
      <c r="AV766" s="382"/>
      <c r="AW766" s="426"/>
      <c r="AX766" s="426"/>
      <c r="AY766" s="426"/>
      <c r="AZ766" s="359"/>
      <c r="BA766" s="426"/>
      <c r="BB766" s="426"/>
      <c r="BC766" s="426"/>
      <c r="BD766" s="359"/>
      <c r="BE766" s="359"/>
      <c r="BF766" s="467">
        <f>(717.95+89.64+40.82+2.4+145.38+19.54+5.05)/1000</f>
        <v>1.02078</v>
      </c>
      <c r="BG766" s="469"/>
      <c r="BH766" s="341"/>
      <c r="BI766" s="446" t="s">
        <v>733</v>
      </c>
      <c r="BJ766" s="505"/>
    </row>
    <row r="767" spans="1:62" ht="15.75" customHeight="1" thickBot="1" x14ac:dyDescent="0.25">
      <c r="A767" s="176">
        <v>768</v>
      </c>
      <c r="B767" s="175">
        <v>1</v>
      </c>
      <c r="C767" s="166" t="s">
        <v>11</v>
      </c>
      <c r="D767" s="170" t="s">
        <v>12</v>
      </c>
      <c r="E767" s="166" t="s">
        <v>13</v>
      </c>
      <c r="F767" s="166" t="s">
        <v>1660</v>
      </c>
      <c r="G767" s="166" t="s">
        <v>15</v>
      </c>
      <c r="H767" s="166" t="s">
        <v>108</v>
      </c>
      <c r="I767" s="181">
        <v>2012</v>
      </c>
      <c r="J767" s="181" t="s">
        <v>1664</v>
      </c>
      <c r="K767" s="181" t="s">
        <v>1665</v>
      </c>
      <c r="L767" s="181" t="s">
        <v>274</v>
      </c>
      <c r="M767" s="556" t="s">
        <v>4270</v>
      </c>
      <c r="N767" s="214" t="s">
        <v>20</v>
      </c>
      <c r="O767" s="214" t="s">
        <v>15</v>
      </c>
      <c r="P767" s="214" t="s">
        <v>15</v>
      </c>
      <c r="Q767" s="214" t="s">
        <v>15</v>
      </c>
      <c r="R767" s="214" t="s">
        <v>15</v>
      </c>
      <c r="S767" s="214" t="s">
        <v>15</v>
      </c>
      <c r="T767" s="214" t="s">
        <v>15</v>
      </c>
      <c r="U767" s="214" t="s">
        <v>15</v>
      </c>
      <c r="V767" s="214" t="s">
        <v>15</v>
      </c>
      <c r="W767" s="214" t="s">
        <v>15</v>
      </c>
      <c r="X767" s="214" t="s">
        <v>15</v>
      </c>
      <c r="Y767" s="214" t="s">
        <v>15</v>
      </c>
      <c r="Z767" s="234"/>
      <c r="AA767" s="214" t="s">
        <v>1131</v>
      </c>
      <c r="AB767" s="214" t="s">
        <v>15</v>
      </c>
      <c r="AC767" s="214" t="s">
        <v>15</v>
      </c>
      <c r="AD767" s="320" t="s">
        <v>1666</v>
      </c>
      <c r="AE767" s="320" t="s">
        <v>1667</v>
      </c>
      <c r="AF767" s="162" t="str">
        <f t="shared" si="54"/>
        <v/>
      </c>
      <c r="AG767" s="162" t="str">
        <f t="shared" si="57"/>
        <v/>
      </c>
      <c r="AH767" s="164">
        <f t="shared" si="55"/>
        <v>1.2647342995169082</v>
      </c>
      <c r="AI767" s="164" t="str">
        <f t="shared" si="56"/>
        <v/>
      </c>
      <c r="AJ767" s="368"/>
      <c r="AK767" s="368"/>
      <c r="AL767" s="368"/>
      <c r="AM767" s="369"/>
      <c r="AN767" s="368"/>
      <c r="AO767" s="368"/>
      <c r="AP767" s="368"/>
      <c r="AQ767" s="369"/>
      <c r="AR767" s="369"/>
      <c r="AS767" s="195"/>
      <c r="AT767" s="195"/>
      <c r="AU767" s="377"/>
      <c r="AV767" s="382"/>
      <c r="AW767" s="426"/>
      <c r="AX767" s="426"/>
      <c r="AY767" s="426"/>
      <c r="AZ767" s="359"/>
      <c r="BA767" s="426"/>
      <c r="BB767" s="426"/>
      <c r="BC767" s="426"/>
      <c r="BD767" s="359"/>
      <c r="BE767" s="359"/>
      <c r="BF767" s="467">
        <f>1.309*(1000/1)*(1/1035)</f>
        <v>1.2647342995169082</v>
      </c>
      <c r="BG767" s="469"/>
      <c r="BH767" s="335" t="s">
        <v>1668</v>
      </c>
      <c r="BI767" s="446" t="s">
        <v>47</v>
      </c>
      <c r="BJ767" s="505"/>
    </row>
    <row r="768" spans="1:62" ht="15.75" customHeight="1" thickBot="1" x14ac:dyDescent="0.25">
      <c r="A768" s="174">
        <v>769</v>
      </c>
      <c r="B768" s="175">
        <v>1</v>
      </c>
      <c r="C768" s="166" t="s">
        <v>236</v>
      </c>
      <c r="D768" s="159" t="s">
        <v>1739</v>
      </c>
      <c r="E768" s="166" t="s">
        <v>13</v>
      </c>
      <c r="F768" s="166" t="s">
        <v>1669</v>
      </c>
      <c r="G768" s="166" t="s">
        <v>15</v>
      </c>
      <c r="H768" s="166" t="s">
        <v>1446</v>
      </c>
      <c r="I768" s="181">
        <v>2007</v>
      </c>
      <c r="J768" s="181" t="s">
        <v>1670</v>
      </c>
      <c r="K768" s="181" t="s">
        <v>1671</v>
      </c>
      <c r="L768" s="181" t="s">
        <v>19</v>
      </c>
      <c r="M768" s="556" t="s">
        <v>4271</v>
      </c>
      <c r="N768" s="214" t="s">
        <v>20</v>
      </c>
      <c r="O768" s="214" t="s">
        <v>15</v>
      </c>
      <c r="P768" s="214" t="s">
        <v>20</v>
      </c>
      <c r="Q768" s="214" t="s">
        <v>15</v>
      </c>
      <c r="R768" s="214" t="s">
        <v>20</v>
      </c>
      <c r="S768" s="214" t="s">
        <v>20</v>
      </c>
      <c r="T768" s="214" t="s">
        <v>15</v>
      </c>
      <c r="U768" s="214" t="s">
        <v>15</v>
      </c>
      <c r="V768" s="214" t="s">
        <v>15</v>
      </c>
      <c r="W768" s="214" t="s">
        <v>15</v>
      </c>
      <c r="X768" s="214" t="s">
        <v>15</v>
      </c>
      <c r="Y768" s="214" t="s">
        <v>15</v>
      </c>
      <c r="Z768" s="234"/>
      <c r="AA768" s="214" t="s">
        <v>1672</v>
      </c>
      <c r="AB768" s="214" t="s">
        <v>1673</v>
      </c>
      <c r="AC768" s="214" t="s">
        <v>122</v>
      </c>
      <c r="AD768" s="320" t="s">
        <v>1674</v>
      </c>
      <c r="AE768" s="319"/>
      <c r="AF768" s="162">
        <f t="shared" si="54"/>
        <v>1.25</v>
      </c>
      <c r="AG768" s="162">
        <f t="shared" si="57"/>
        <v>2.4875000000000003</v>
      </c>
      <c r="AH768" s="164" t="str">
        <f t="shared" si="55"/>
        <v/>
      </c>
      <c r="AI768" s="164" t="str">
        <f t="shared" si="56"/>
        <v/>
      </c>
      <c r="AJ768" s="368">
        <v>1.25</v>
      </c>
      <c r="AK768" s="368">
        <f>((0.13+0.13+0.15+0.17)/4)+((0.57+0.99+2+0.25)/4)+0.14</f>
        <v>1.2375000000000003</v>
      </c>
      <c r="AL768" s="368"/>
      <c r="AM768" s="369">
        <v>0.65</v>
      </c>
      <c r="AN768" s="369">
        <v>0.2</v>
      </c>
      <c r="AO768" s="368"/>
      <c r="AP768" s="368"/>
      <c r="AQ768" s="368"/>
      <c r="AR768" s="368"/>
      <c r="AS768" s="195">
        <v>1.25</v>
      </c>
      <c r="AT768" s="195">
        <v>3.3499999999999996</v>
      </c>
      <c r="AU768" s="377"/>
      <c r="AV768" s="382"/>
      <c r="AW768" s="426"/>
      <c r="AX768" s="426"/>
      <c r="AY768" s="426"/>
      <c r="AZ768" s="426"/>
      <c r="BA768" s="426"/>
      <c r="BB768" s="426"/>
      <c r="BC768" s="426"/>
      <c r="BD768" s="426"/>
      <c r="BE768" s="426"/>
      <c r="BF768" s="467"/>
      <c r="BG768" s="469"/>
      <c r="BH768" s="341"/>
      <c r="BI768" s="447"/>
      <c r="BJ768" s="505" t="s">
        <v>3100</v>
      </c>
    </row>
    <row r="769" spans="1:62" ht="15.75" customHeight="1" thickBot="1" x14ac:dyDescent="0.25">
      <c r="A769" s="176">
        <v>770</v>
      </c>
      <c r="B769" s="175">
        <v>1</v>
      </c>
      <c r="C769" s="166" t="s">
        <v>236</v>
      </c>
      <c r="D769" s="159" t="s">
        <v>1739</v>
      </c>
      <c r="E769" s="166" t="s">
        <v>13</v>
      </c>
      <c r="F769" s="166" t="s">
        <v>1675</v>
      </c>
      <c r="G769" s="166" t="s">
        <v>15</v>
      </c>
      <c r="H769" s="166" t="s">
        <v>1446</v>
      </c>
      <c r="I769" s="181">
        <v>2007</v>
      </c>
      <c r="J769" s="181" t="s">
        <v>1670</v>
      </c>
      <c r="K769" s="181" t="s">
        <v>1671</v>
      </c>
      <c r="L769" s="181" t="s">
        <v>19</v>
      </c>
      <c r="M769" s="556" t="s">
        <v>4271</v>
      </c>
      <c r="N769" s="214" t="s">
        <v>20</v>
      </c>
      <c r="O769" s="214" t="s">
        <v>15</v>
      </c>
      <c r="P769" s="214" t="s">
        <v>20</v>
      </c>
      <c r="Q769" s="214" t="s">
        <v>15</v>
      </c>
      <c r="R769" s="214" t="s">
        <v>20</v>
      </c>
      <c r="S769" s="214" t="s">
        <v>20</v>
      </c>
      <c r="T769" s="214" t="s">
        <v>15</v>
      </c>
      <c r="U769" s="214" t="s">
        <v>15</v>
      </c>
      <c r="V769" s="214" t="s">
        <v>15</v>
      </c>
      <c r="W769" s="214" t="s">
        <v>15</v>
      </c>
      <c r="X769" s="214" t="s">
        <v>15</v>
      </c>
      <c r="Y769" s="214" t="s">
        <v>15</v>
      </c>
      <c r="Z769" s="234"/>
      <c r="AA769" s="214" t="s">
        <v>1672</v>
      </c>
      <c r="AB769" s="214" t="s">
        <v>1673</v>
      </c>
      <c r="AC769" s="214" t="s">
        <v>122</v>
      </c>
      <c r="AD769" s="320" t="s">
        <v>1674</v>
      </c>
      <c r="AE769" s="319"/>
      <c r="AF769" s="162">
        <f t="shared" si="54"/>
        <v>1.25</v>
      </c>
      <c r="AG769" s="162">
        <f t="shared" si="57"/>
        <v>3.7475000000000001</v>
      </c>
      <c r="AH769" s="164" t="str">
        <f t="shared" si="55"/>
        <v/>
      </c>
      <c r="AI769" s="164" t="str">
        <f t="shared" si="56"/>
        <v/>
      </c>
      <c r="AJ769" s="368">
        <v>1.25</v>
      </c>
      <c r="AK769" s="368">
        <f>((0.13+0.13+0.15+0.17)/4)+((0.57+0.99+2+0.25)/4)+1.4</f>
        <v>2.4975000000000001</v>
      </c>
      <c r="AL769" s="368"/>
      <c r="AM769" s="369">
        <v>0.65</v>
      </c>
      <c r="AN769" s="369">
        <v>0.2</v>
      </c>
      <c r="AO769" s="368"/>
      <c r="AP769" s="368"/>
      <c r="AQ769" s="368"/>
      <c r="AR769" s="368"/>
      <c r="AS769" s="195">
        <v>1.25</v>
      </c>
      <c r="AT769" s="195">
        <v>4.625</v>
      </c>
      <c r="AU769" s="377"/>
      <c r="AV769" s="382"/>
      <c r="AW769" s="426"/>
      <c r="AX769" s="426"/>
      <c r="AY769" s="426"/>
      <c r="AZ769" s="426"/>
      <c r="BA769" s="426"/>
      <c r="BB769" s="426"/>
      <c r="BC769" s="426"/>
      <c r="BD769" s="426"/>
      <c r="BE769" s="426"/>
      <c r="BF769" s="469"/>
      <c r="BG769" s="469"/>
      <c r="BH769" s="341"/>
      <c r="BI769" s="447"/>
      <c r="BJ769" s="505" t="s">
        <v>3100</v>
      </c>
    </row>
    <row r="770" spans="1:62" ht="15.75" customHeight="1" thickBot="1" x14ac:dyDescent="0.25">
      <c r="A770" s="174">
        <v>771</v>
      </c>
      <c r="B770" s="175">
        <v>1</v>
      </c>
      <c r="C770" s="166" t="s">
        <v>236</v>
      </c>
      <c r="D770" s="159" t="s">
        <v>1739</v>
      </c>
      <c r="E770" s="166" t="s">
        <v>13</v>
      </c>
      <c r="F770" s="166" t="s">
        <v>1676</v>
      </c>
      <c r="G770" s="166" t="s">
        <v>292</v>
      </c>
      <c r="H770" s="166" t="s">
        <v>700</v>
      </c>
      <c r="I770" s="181">
        <v>2007</v>
      </c>
      <c r="J770" s="181" t="s">
        <v>1670</v>
      </c>
      <c r="K770" s="181" t="s">
        <v>1671</v>
      </c>
      <c r="L770" s="181" t="s">
        <v>19</v>
      </c>
      <c r="M770" s="556" t="s">
        <v>4271</v>
      </c>
      <c r="N770" s="214" t="s">
        <v>20</v>
      </c>
      <c r="O770" s="214" t="s">
        <v>15</v>
      </c>
      <c r="P770" s="214" t="s">
        <v>20</v>
      </c>
      <c r="Q770" s="214" t="s">
        <v>15</v>
      </c>
      <c r="R770" s="214" t="s">
        <v>20</v>
      </c>
      <c r="S770" s="214" t="s">
        <v>20</v>
      </c>
      <c r="T770" s="214" t="s">
        <v>15</v>
      </c>
      <c r="U770" s="214" t="s">
        <v>15</v>
      </c>
      <c r="V770" s="214" t="s">
        <v>15</v>
      </c>
      <c r="W770" s="214" t="s">
        <v>15</v>
      </c>
      <c r="X770" s="214" t="s">
        <v>15</v>
      </c>
      <c r="Y770" s="214" t="s">
        <v>15</v>
      </c>
      <c r="Z770" s="234"/>
      <c r="AA770" s="214" t="s">
        <v>1672</v>
      </c>
      <c r="AB770" s="214" t="s">
        <v>1673</v>
      </c>
      <c r="AC770" s="214" t="s">
        <v>122</v>
      </c>
      <c r="AD770" s="320" t="s">
        <v>1674</v>
      </c>
      <c r="AE770" s="319"/>
      <c r="AF770" s="162">
        <f t="shared" ref="AF770:AF811" si="58">IF(AS770&lt;&gt;0,AS770,"")</f>
        <v>0.54749999999999999</v>
      </c>
      <c r="AG770" s="162">
        <f t="shared" si="57"/>
        <v>4.6150000000000002</v>
      </c>
      <c r="AH770" s="164" t="str">
        <f t="shared" ref="AH770:AH833" si="59">IF(BF770&lt;&gt;0,BF770,"")</f>
        <v/>
      </c>
      <c r="AI770" s="164" t="str">
        <f t="shared" ref="AI770:AI833" si="60">IF(AND(SUM(AW770:AY770)&lt;&gt;0,SUM(AW770:AY770)&lt;&gt;AW770),SUM(AW770:AY770),"")</f>
        <v/>
      </c>
      <c r="AJ770" s="368">
        <v>0.54749999999999999</v>
      </c>
      <c r="AK770" s="368">
        <f>((0.13+0.13+0.14+0.16)/4)+((1.5+0.25+0.41+0.79)/4)+2.9+0.29</f>
        <v>4.0674999999999999</v>
      </c>
      <c r="AL770" s="368"/>
      <c r="AM770" s="369">
        <v>0.65</v>
      </c>
      <c r="AN770" s="369">
        <v>0.2</v>
      </c>
      <c r="AO770" s="368"/>
      <c r="AP770" s="368"/>
      <c r="AQ770" s="368"/>
      <c r="AR770" s="368"/>
      <c r="AS770" s="195">
        <v>0.54749999999999999</v>
      </c>
      <c r="AT770" s="195">
        <v>5.4499999999999993</v>
      </c>
      <c r="AU770" s="377"/>
      <c r="AV770" s="382"/>
      <c r="AW770" s="426"/>
      <c r="AX770" s="426"/>
      <c r="AY770" s="426"/>
      <c r="AZ770" s="426"/>
      <c r="BA770" s="426"/>
      <c r="BB770" s="426"/>
      <c r="BC770" s="426"/>
      <c r="BD770" s="426"/>
      <c r="BE770" s="426"/>
      <c r="BF770" s="469"/>
      <c r="BG770" s="469"/>
      <c r="BH770" s="341"/>
      <c r="BI770" s="447"/>
      <c r="BJ770" s="505" t="s">
        <v>3100</v>
      </c>
    </row>
    <row r="771" spans="1:62" ht="15.75" customHeight="1" thickBot="1" x14ac:dyDescent="0.25">
      <c r="A771" s="176">
        <v>772</v>
      </c>
      <c r="B771" s="175">
        <v>1</v>
      </c>
      <c r="C771" s="166" t="s">
        <v>236</v>
      </c>
      <c r="D771" s="159" t="s">
        <v>1739</v>
      </c>
      <c r="E771" s="166" t="s">
        <v>13</v>
      </c>
      <c r="F771" s="166" t="s">
        <v>1677</v>
      </c>
      <c r="G771" s="167"/>
      <c r="H771" s="166" t="s">
        <v>1678</v>
      </c>
      <c r="I771" s="181">
        <v>2007</v>
      </c>
      <c r="J771" s="181" t="s">
        <v>1670</v>
      </c>
      <c r="K771" s="181" t="s">
        <v>1671</v>
      </c>
      <c r="L771" s="181" t="s">
        <v>19</v>
      </c>
      <c r="M771" s="556" t="s">
        <v>4271</v>
      </c>
      <c r="N771" s="214" t="s">
        <v>20</v>
      </c>
      <c r="O771" s="214" t="s">
        <v>15</v>
      </c>
      <c r="P771" s="214" t="s">
        <v>20</v>
      </c>
      <c r="Q771" s="214" t="s">
        <v>15</v>
      </c>
      <c r="R771" s="214" t="s">
        <v>20</v>
      </c>
      <c r="S771" s="214" t="s">
        <v>20</v>
      </c>
      <c r="T771" s="214" t="s">
        <v>15</v>
      </c>
      <c r="U771" s="214" t="s">
        <v>15</v>
      </c>
      <c r="V771" s="214" t="s">
        <v>15</v>
      </c>
      <c r="W771" s="214" t="s">
        <v>15</v>
      </c>
      <c r="X771" s="214" t="s">
        <v>15</v>
      </c>
      <c r="Y771" s="214" t="s">
        <v>15</v>
      </c>
      <c r="Z771" s="234"/>
      <c r="AA771" s="214" t="s">
        <v>1672</v>
      </c>
      <c r="AB771" s="214" t="s">
        <v>1673</v>
      </c>
      <c r="AC771" s="214" t="s">
        <v>122</v>
      </c>
      <c r="AD771" s="320" t="s">
        <v>1674</v>
      </c>
      <c r="AE771" s="319"/>
      <c r="AF771" s="162">
        <f t="shared" si="58"/>
        <v>1.2</v>
      </c>
      <c r="AG771" s="162">
        <f t="shared" si="57"/>
        <v>3.8875000000000002</v>
      </c>
      <c r="AH771" s="164" t="str">
        <f t="shared" si="59"/>
        <v/>
      </c>
      <c r="AI771" s="164" t="str">
        <f t="shared" si="60"/>
        <v/>
      </c>
      <c r="AJ771" s="368">
        <v>1.2</v>
      </c>
      <c r="AK771" s="368">
        <f>((0.13+0.13+0.14+0.16)/4)+((1.5+0.25+0.41+0.79)/4)+1.5+0.31</f>
        <v>2.6875</v>
      </c>
      <c r="AL771" s="368"/>
      <c r="AM771" s="369">
        <v>0.65</v>
      </c>
      <c r="AN771" s="369">
        <v>0.2</v>
      </c>
      <c r="AO771" s="368"/>
      <c r="AP771" s="368"/>
      <c r="AQ771" s="368"/>
      <c r="AR771" s="368"/>
      <c r="AS771" s="195">
        <v>1.2</v>
      </c>
      <c r="AT771" s="195">
        <v>4.7250000000000005</v>
      </c>
      <c r="AU771" s="377"/>
      <c r="AV771" s="382"/>
      <c r="AW771" s="426"/>
      <c r="AX771" s="426"/>
      <c r="AY771" s="426"/>
      <c r="AZ771" s="426"/>
      <c r="BA771" s="426"/>
      <c r="BB771" s="426"/>
      <c r="BC771" s="426"/>
      <c r="BD771" s="426"/>
      <c r="BE771" s="426"/>
      <c r="BF771" s="469"/>
      <c r="BG771" s="469"/>
      <c r="BH771" s="341"/>
      <c r="BI771" s="447"/>
      <c r="BJ771" s="505" t="s">
        <v>3100</v>
      </c>
    </row>
    <row r="772" spans="1:62" ht="15.75" customHeight="1" thickBot="1" x14ac:dyDescent="0.25">
      <c r="A772" s="176">
        <v>773</v>
      </c>
      <c r="B772" s="175">
        <v>1</v>
      </c>
      <c r="C772" s="166" t="s">
        <v>596</v>
      </c>
      <c r="D772" s="167" t="s">
        <v>2772</v>
      </c>
      <c r="E772" s="167" t="s">
        <v>2773</v>
      </c>
      <c r="F772" s="167" t="s">
        <v>2774</v>
      </c>
      <c r="G772" s="167"/>
      <c r="H772" s="167"/>
      <c r="I772" s="184"/>
      <c r="J772" s="181" t="s">
        <v>2784</v>
      </c>
      <c r="K772" s="181"/>
      <c r="L772" s="181" t="s">
        <v>9</v>
      </c>
      <c r="M772" s="556" t="s">
        <v>4272</v>
      </c>
      <c r="N772" s="214"/>
      <c r="O772" s="214"/>
      <c r="P772" s="214"/>
      <c r="Q772" s="214"/>
      <c r="R772" s="214"/>
      <c r="S772" s="214"/>
      <c r="T772" s="214"/>
      <c r="U772" s="214"/>
      <c r="V772" s="214"/>
      <c r="W772" s="214"/>
      <c r="X772" s="214"/>
      <c r="Y772" s="214"/>
      <c r="Z772" s="234"/>
      <c r="AA772" s="234"/>
      <c r="AB772" s="234"/>
      <c r="AC772" s="234"/>
      <c r="AD772" s="319"/>
      <c r="AE772" s="319"/>
      <c r="AF772" s="162" t="str">
        <f t="shared" si="58"/>
        <v/>
      </c>
      <c r="AG772" s="162" t="str">
        <f t="shared" si="57"/>
        <v/>
      </c>
      <c r="AH772" s="164" t="str">
        <f t="shared" si="59"/>
        <v/>
      </c>
      <c r="AI772" s="164" t="str">
        <f t="shared" si="60"/>
        <v/>
      </c>
      <c r="AJ772" s="368"/>
      <c r="AK772" s="368"/>
      <c r="AL772" s="368"/>
      <c r="AM772" s="369"/>
      <c r="AN772" s="369"/>
      <c r="AO772" s="368"/>
      <c r="AP772" s="368"/>
      <c r="AQ772" s="368"/>
      <c r="AR772" s="368"/>
      <c r="AS772" s="195"/>
      <c r="AT772" s="195"/>
      <c r="AU772" s="377"/>
      <c r="AV772" s="382"/>
      <c r="AW772" s="426"/>
      <c r="AX772" s="426"/>
      <c r="AY772" s="426"/>
      <c r="AZ772" s="426"/>
      <c r="BA772" s="426"/>
      <c r="BB772" s="426"/>
      <c r="BC772" s="426"/>
      <c r="BD772" s="426"/>
      <c r="BE772" s="426"/>
      <c r="BF772" s="469"/>
      <c r="BG772" s="469">
        <f>170/1000/0.33/1.042</f>
        <v>0.49438725062525446</v>
      </c>
      <c r="BH772" s="341"/>
      <c r="BI772" s="447"/>
      <c r="BJ772" s="505"/>
    </row>
    <row r="773" spans="1:62" ht="15.75" customHeight="1" thickBot="1" x14ac:dyDescent="0.25">
      <c r="A773" s="176">
        <v>774</v>
      </c>
      <c r="B773" s="175">
        <v>1</v>
      </c>
      <c r="C773" s="166" t="s">
        <v>596</v>
      </c>
      <c r="D773" s="167" t="s">
        <v>2772</v>
      </c>
      <c r="E773" s="167" t="s">
        <v>2773</v>
      </c>
      <c r="F773" s="167" t="s">
        <v>2775</v>
      </c>
      <c r="G773" s="167"/>
      <c r="H773" s="167"/>
      <c r="I773" s="184"/>
      <c r="J773" s="181" t="s">
        <v>2784</v>
      </c>
      <c r="K773" s="181"/>
      <c r="L773" s="181" t="s">
        <v>9</v>
      </c>
      <c r="M773" s="556" t="s">
        <v>4272</v>
      </c>
      <c r="N773" s="214"/>
      <c r="O773" s="214"/>
      <c r="P773" s="214"/>
      <c r="Q773" s="214"/>
      <c r="R773" s="214"/>
      <c r="S773" s="214"/>
      <c r="T773" s="214"/>
      <c r="U773" s="214"/>
      <c r="V773" s="214"/>
      <c r="W773" s="214"/>
      <c r="X773" s="214"/>
      <c r="Y773" s="214"/>
      <c r="Z773" s="234"/>
      <c r="AA773" s="234"/>
      <c r="AB773" s="234"/>
      <c r="AC773" s="234"/>
      <c r="AD773" s="319"/>
      <c r="AE773" s="319"/>
      <c r="AF773" s="162" t="str">
        <f t="shared" si="58"/>
        <v/>
      </c>
      <c r="AG773" s="162" t="str">
        <f t="shared" si="57"/>
        <v/>
      </c>
      <c r="AH773" s="164" t="str">
        <f t="shared" si="59"/>
        <v/>
      </c>
      <c r="AI773" s="164" t="str">
        <f t="shared" si="60"/>
        <v/>
      </c>
      <c r="AJ773" s="368"/>
      <c r="AK773" s="368"/>
      <c r="AL773" s="368"/>
      <c r="AM773" s="369"/>
      <c r="AN773" s="369"/>
      <c r="AO773" s="368"/>
      <c r="AP773" s="368"/>
      <c r="AQ773" s="368"/>
      <c r="AR773" s="368"/>
      <c r="AS773" s="195"/>
      <c r="AT773" s="195"/>
      <c r="AU773" s="377"/>
      <c r="AV773" s="382"/>
      <c r="AW773" s="426"/>
      <c r="AX773" s="426"/>
      <c r="AY773" s="426"/>
      <c r="AZ773" s="426"/>
      <c r="BA773" s="426"/>
      <c r="BB773" s="426"/>
      <c r="BC773" s="426"/>
      <c r="BD773" s="426"/>
      <c r="BE773" s="426"/>
      <c r="BF773" s="469"/>
      <c r="BG773" s="467">
        <f>360/1000/0.33/1.042</f>
        <v>1.0469377072064212</v>
      </c>
      <c r="BH773" s="341"/>
      <c r="BI773" s="447"/>
      <c r="BJ773" s="505"/>
    </row>
    <row r="774" spans="1:62" ht="15.75" customHeight="1" thickBot="1" x14ac:dyDescent="0.25">
      <c r="A774" s="176">
        <v>775</v>
      </c>
      <c r="B774" s="175">
        <v>1</v>
      </c>
      <c r="C774" s="166" t="s">
        <v>596</v>
      </c>
      <c r="D774" s="167" t="s">
        <v>2772</v>
      </c>
      <c r="E774" s="167" t="s">
        <v>2773</v>
      </c>
      <c r="F774" s="167" t="s">
        <v>2776</v>
      </c>
      <c r="G774" s="167"/>
      <c r="H774" s="167"/>
      <c r="I774" s="184"/>
      <c r="J774" s="181" t="s">
        <v>2784</v>
      </c>
      <c r="K774" s="181"/>
      <c r="L774" s="181" t="s">
        <v>9</v>
      </c>
      <c r="M774" s="556" t="s">
        <v>4272</v>
      </c>
      <c r="N774" s="214"/>
      <c r="O774" s="214"/>
      <c r="P774" s="214"/>
      <c r="Q774" s="214"/>
      <c r="R774" s="214"/>
      <c r="S774" s="214"/>
      <c r="T774" s="214"/>
      <c r="U774" s="214"/>
      <c r="V774" s="214"/>
      <c r="W774" s="214"/>
      <c r="X774" s="214"/>
      <c r="Y774" s="214"/>
      <c r="Z774" s="234"/>
      <c r="AA774" s="234"/>
      <c r="AB774" s="234"/>
      <c r="AC774" s="234"/>
      <c r="AD774" s="319"/>
      <c r="AE774" s="320"/>
      <c r="AF774" s="162" t="str">
        <f t="shared" si="58"/>
        <v/>
      </c>
      <c r="AG774" s="162" t="str">
        <f t="shared" si="57"/>
        <v/>
      </c>
      <c r="AH774" s="164" t="str">
        <f t="shared" si="59"/>
        <v/>
      </c>
      <c r="AI774" s="164" t="str">
        <f t="shared" si="60"/>
        <v/>
      </c>
      <c r="AJ774" s="368"/>
      <c r="AK774" s="368"/>
      <c r="AL774" s="368"/>
      <c r="AM774" s="369"/>
      <c r="AN774" s="369"/>
      <c r="AO774" s="368"/>
      <c r="AP774" s="368"/>
      <c r="AQ774" s="368"/>
      <c r="AR774" s="368"/>
      <c r="AS774" s="195"/>
      <c r="AT774" s="195"/>
      <c r="AU774" s="377"/>
      <c r="AV774" s="382"/>
      <c r="AW774" s="426"/>
      <c r="AX774" s="426"/>
      <c r="AY774" s="426"/>
      <c r="AZ774" s="426"/>
      <c r="BA774" s="426"/>
      <c r="BB774" s="426"/>
      <c r="BC774" s="426"/>
      <c r="BD774" s="426"/>
      <c r="BE774" s="426"/>
      <c r="BF774" s="469"/>
      <c r="BG774" s="467">
        <f>500/1000/2/1.042</f>
        <v>0.23992322456813819</v>
      </c>
      <c r="BH774" s="341"/>
      <c r="BI774" s="447"/>
      <c r="BJ774" s="505"/>
    </row>
    <row r="775" spans="1:62" ht="15.75" customHeight="1" thickBot="1" x14ac:dyDescent="0.25">
      <c r="A775" s="176">
        <v>776</v>
      </c>
      <c r="B775" s="175">
        <v>1</v>
      </c>
      <c r="C775" s="166" t="s">
        <v>596</v>
      </c>
      <c r="D775" s="167" t="s">
        <v>2772</v>
      </c>
      <c r="E775" s="167" t="s">
        <v>2773</v>
      </c>
      <c r="F775" s="167" t="s">
        <v>2777</v>
      </c>
      <c r="G775" s="167"/>
      <c r="H775" s="167"/>
      <c r="I775" s="184"/>
      <c r="J775" s="181" t="s">
        <v>2784</v>
      </c>
      <c r="K775" s="181"/>
      <c r="L775" s="181" t="s">
        <v>9</v>
      </c>
      <c r="M775" s="556" t="s">
        <v>4272</v>
      </c>
      <c r="N775" s="214"/>
      <c r="O775" s="214"/>
      <c r="P775" s="214"/>
      <c r="Q775" s="214"/>
      <c r="R775" s="214"/>
      <c r="S775" s="214"/>
      <c r="T775" s="214"/>
      <c r="U775" s="214"/>
      <c r="V775" s="214"/>
      <c r="W775" s="214"/>
      <c r="X775" s="214"/>
      <c r="Y775" s="214"/>
      <c r="Z775" s="234"/>
      <c r="AA775" s="234"/>
      <c r="AB775" s="234"/>
      <c r="AC775" s="234"/>
      <c r="AD775" s="319"/>
      <c r="AE775" s="320"/>
      <c r="AF775" s="162" t="str">
        <f t="shared" si="58"/>
        <v/>
      </c>
      <c r="AG775" s="162" t="str">
        <f t="shared" si="57"/>
        <v/>
      </c>
      <c r="AH775" s="164" t="str">
        <f t="shared" si="59"/>
        <v/>
      </c>
      <c r="AI775" s="164" t="str">
        <f t="shared" si="60"/>
        <v/>
      </c>
      <c r="AJ775" s="368"/>
      <c r="AK775" s="368"/>
      <c r="AL775" s="368"/>
      <c r="AM775" s="369"/>
      <c r="AN775" s="369"/>
      <c r="AO775" s="368"/>
      <c r="AP775" s="368"/>
      <c r="AQ775" s="368"/>
      <c r="AR775" s="368"/>
      <c r="AS775" s="195"/>
      <c r="AT775" s="195"/>
      <c r="AU775" s="377"/>
      <c r="AV775" s="382"/>
      <c r="AW775" s="426"/>
      <c r="AX775" s="426"/>
      <c r="AY775" s="426"/>
      <c r="AZ775" s="426"/>
      <c r="BA775" s="426"/>
      <c r="BB775" s="426"/>
      <c r="BC775" s="426"/>
      <c r="BD775" s="426"/>
      <c r="BE775" s="426"/>
      <c r="BF775" s="469"/>
      <c r="BG775" s="467">
        <f>150/0.33/1000/1.042</f>
        <v>0.43622404466934217</v>
      </c>
      <c r="BH775" s="341"/>
      <c r="BI775" s="447"/>
      <c r="BJ775" s="505"/>
    </row>
    <row r="776" spans="1:62" ht="15.75" customHeight="1" thickBot="1" x14ac:dyDescent="0.25">
      <c r="A776" s="176">
        <v>777</v>
      </c>
      <c r="B776" s="175">
        <v>1</v>
      </c>
      <c r="C776" s="166" t="s">
        <v>596</v>
      </c>
      <c r="D776" s="167" t="s">
        <v>2772</v>
      </c>
      <c r="E776" s="167" t="s">
        <v>2773</v>
      </c>
      <c r="F776" s="167" t="s">
        <v>2778</v>
      </c>
      <c r="G776" s="167"/>
      <c r="H776" s="167"/>
      <c r="I776" s="184"/>
      <c r="J776" s="181" t="s">
        <v>2784</v>
      </c>
      <c r="K776" s="181"/>
      <c r="L776" s="181" t="s">
        <v>9</v>
      </c>
      <c r="M776" s="556" t="s">
        <v>4272</v>
      </c>
      <c r="N776" s="214"/>
      <c r="O776" s="214"/>
      <c r="P776" s="214"/>
      <c r="Q776" s="214"/>
      <c r="R776" s="214"/>
      <c r="S776" s="214"/>
      <c r="T776" s="214"/>
      <c r="U776" s="214"/>
      <c r="V776" s="214"/>
      <c r="W776" s="214"/>
      <c r="X776" s="214"/>
      <c r="Y776" s="214"/>
      <c r="Z776" s="234"/>
      <c r="AA776" s="234"/>
      <c r="AB776" s="234"/>
      <c r="AC776" s="234"/>
      <c r="AD776" s="319"/>
      <c r="AE776" s="320"/>
      <c r="AF776" s="162" t="str">
        <f t="shared" si="58"/>
        <v/>
      </c>
      <c r="AG776" s="162" t="str">
        <f t="shared" si="57"/>
        <v/>
      </c>
      <c r="AH776" s="164" t="str">
        <f t="shared" si="59"/>
        <v/>
      </c>
      <c r="AI776" s="164" t="str">
        <f t="shared" si="60"/>
        <v/>
      </c>
      <c r="AJ776" s="368"/>
      <c r="AK776" s="368"/>
      <c r="AL776" s="368"/>
      <c r="AM776" s="369"/>
      <c r="AN776" s="369"/>
      <c r="AO776" s="368"/>
      <c r="AP776" s="368"/>
      <c r="AQ776" s="368"/>
      <c r="AR776" s="368"/>
      <c r="AS776" s="195"/>
      <c r="AT776" s="195"/>
      <c r="AU776" s="377"/>
      <c r="AV776" s="382"/>
      <c r="AW776" s="426"/>
      <c r="AX776" s="426"/>
      <c r="AY776" s="426"/>
      <c r="AZ776" s="426"/>
      <c r="BA776" s="426"/>
      <c r="BB776" s="426"/>
      <c r="BC776" s="426"/>
      <c r="BD776" s="426"/>
      <c r="BE776" s="426"/>
      <c r="BF776" s="469"/>
      <c r="BG776" s="467">
        <f>340/1000/0.33/1.042</f>
        <v>0.98877450125050892</v>
      </c>
      <c r="BH776" s="341"/>
      <c r="BI776" s="447"/>
      <c r="BJ776" s="505"/>
    </row>
    <row r="777" spans="1:62" ht="15.75" customHeight="1" thickBot="1" x14ac:dyDescent="0.25">
      <c r="A777" s="176">
        <v>778</v>
      </c>
      <c r="B777" s="175">
        <v>1</v>
      </c>
      <c r="C777" s="166" t="s">
        <v>596</v>
      </c>
      <c r="D777" s="167" t="s">
        <v>2772</v>
      </c>
      <c r="E777" s="167" t="s">
        <v>2773</v>
      </c>
      <c r="F777" s="166" t="s">
        <v>2779</v>
      </c>
      <c r="G777" s="167"/>
      <c r="H777" s="167"/>
      <c r="I777" s="184"/>
      <c r="J777" s="181" t="s">
        <v>2784</v>
      </c>
      <c r="K777" s="181"/>
      <c r="L777" s="181" t="s">
        <v>9</v>
      </c>
      <c r="M777" s="556" t="s">
        <v>4272</v>
      </c>
      <c r="N777" s="214"/>
      <c r="O777" s="214"/>
      <c r="P777" s="214"/>
      <c r="Q777" s="214"/>
      <c r="R777" s="214"/>
      <c r="S777" s="214"/>
      <c r="T777" s="214"/>
      <c r="U777" s="214"/>
      <c r="V777" s="214"/>
      <c r="W777" s="214"/>
      <c r="X777" s="214"/>
      <c r="Y777" s="214"/>
      <c r="Z777" s="234"/>
      <c r="AA777" s="234"/>
      <c r="AB777" s="234"/>
      <c r="AC777" s="234"/>
      <c r="AD777" s="319"/>
      <c r="AE777" s="320"/>
      <c r="AF777" s="162" t="str">
        <f t="shared" si="58"/>
        <v/>
      </c>
      <c r="AG777" s="162" t="str">
        <f t="shared" si="57"/>
        <v/>
      </c>
      <c r="AH777" s="164" t="str">
        <f t="shared" si="59"/>
        <v/>
      </c>
      <c r="AI777" s="164" t="str">
        <f t="shared" si="60"/>
        <v/>
      </c>
      <c r="AJ777" s="368"/>
      <c r="AK777" s="368"/>
      <c r="AL777" s="368"/>
      <c r="AM777" s="369"/>
      <c r="AN777" s="369"/>
      <c r="AO777" s="368"/>
      <c r="AP777" s="368"/>
      <c r="AQ777" s="368"/>
      <c r="AR777" s="368"/>
      <c r="AS777" s="195"/>
      <c r="AT777" s="195"/>
      <c r="AU777" s="377"/>
      <c r="AV777" s="382"/>
      <c r="AW777" s="426"/>
      <c r="AX777" s="426"/>
      <c r="AY777" s="426"/>
      <c r="AZ777" s="426"/>
      <c r="BA777" s="426"/>
      <c r="BB777" s="426"/>
      <c r="BC777" s="426"/>
      <c r="BD777" s="426"/>
      <c r="BE777" s="426"/>
      <c r="BF777" s="469"/>
      <c r="BG777" s="467">
        <f>400/1000/2/1.042</f>
        <v>0.19193857965451055</v>
      </c>
      <c r="BH777" s="341"/>
      <c r="BI777" s="447"/>
      <c r="BJ777" s="505"/>
    </row>
    <row r="778" spans="1:62" ht="15.75" customHeight="1" thickBot="1" x14ac:dyDescent="0.25">
      <c r="A778" s="176">
        <v>779</v>
      </c>
      <c r="B778" s="175">
        <v>1</v>
      </c>
      <c r="C778" s="166" t="s">
        <v>596</v>
      </c>
      <c r="D778" s="167" t="s">
        <v>2772</v>
      </c>
      <c r="E778" s="167" t="s">
        <v>2773</v>
      </c>
      <c r="F778" s="167" t="s">
        <v>2780</v>
      </c>
      <c r="G778" s="167"/>
      <c r="H778" s="167"/>
      <c r="I778" s="184"/>
      <c r="J778" s="181" t="s">
        <v>2784</v>
      </c>
      <c r="K778" s="181"/>
      <c r="L778" s="181" t="s">
        <v>9</v>
      </c>
      <c r="M778" s="556" t="s">
        <v>4272</v>
      </c>
      <c r="N778" s="214"/>
      <c r="O778" s="214"/>
      <c r="P778" s="214"/>
      <c r="Q778" s="214"/>
      <c r="R778" s="214"/>
      <c r="S778" s="214"/>
      <c r="T778" s="214"/>
      <c r="U778" s="214"/>
      <c r="V778" s="214"/>
      <c r="W778" s="214"/>
      <c r="X778" s="214"/>
      <c r="Y778" s="214"/>
      <c r="Z778" s="234"/>
      <c r="AA778" s="234"/>
      <c r="AB778" s="234"/>
      <c r="AC778" s="234"/>
      <c r="AD778" s="319"/>
      <c r="AE778" s="319"/>
      <c r="AF778" s="162" t="str">
        <f t="shared" si="58"/>
        <v/>
      </c>
      <c r="AG778" s="162" t="str">
        <f t="shared" si="57"/>
        <v/>
      </c>
      <c r="AH778" s="164" t="str">
        <f t="shared" si="59"/>
        <v/>
      </c>
      <c r="AI778" s="164" t="str">
        <f t="shared" si="60"/>
        <v/>
      </c>
      <c r="AJ778" s="368"/>
      <c r="AK778" s="368"/>
      <c r="AL778" s="368"/>
      <c r="AM778" s="369"/>
      <c r="AN778" s="369"/>
      <c r="AO778" s="368"/>
      <c r="AP778" s="368"/>
      <c r="AQ778" s="368"/>
      <c r="AR778" s="368"/>
      <c r="AS778" s="195"/>
      <c r="AT778" s="195"/>
      <c r="AU778" s="377"/>
      <c r="AV778" s="382"/>
      <c r="AW778" s="426"/>
      <c r="AX778" s="426"/>
      <c r="AY778" s="426"/>
      <c r="AZ778" s="426"/>
      <c r="BA778" s="426"/>
      <c r="BB778" s="426"/>
      <c r="BC778" s="426"/>
      <c r="BD778" s="426"/>
      <c r="BE778" s="426"/>
      <c r="BF778" s="469"/>
      <c r="BG778" s="467">
        <f>150/1000/0.33/1.042</f>
        <v>0.43622404466934217</v>
      </c>
      <c r="BH778" s="341"/>
      <c r="BI778" s="447"/>
      <c r="BJ778" s="505"/>
    </row>
    <row r="779" spans="1:62" ht="15.75" customHeight="1" thickBot="1" x14ac:dyDescent="0.25">
      <c r="A779" s="176">
        <v>780</v>
      </c>
      <c r="B779" s="175">
        <v>1</v>
      </c>
      <c r="C779" s="166" t="s">
        <v>596</v>
      </c>
      <c r="D779" s="167" t="s">
        <v>2772</v>
      </c>
      <c r="E779" s="167" t="s">
        <v>2773</v>
      </c>
      <c r="F779" s="167" t="s">
        <v>2781</v>
      </c>
      <c r="G779" s="167"/>
      <c r="H779" s="167"/>
      <c r="I779" s="184"/>
      <c r="J779" s="181" t="s">
        <v>2784</v>
      </c>
      <c r="K779" s="181"/>
      <c r="L779" s="181" t="s">
        <v>9</v>
      </c>
      <c r="M779" s="556" t="s">
        <v>4272</v>
      </c>
      <c r="N779" s="214"/>
      <c r="O779" s="214"/>
      <c r="P779" s="214"/>
      <c r="Q779" s="214"/>
      <c r="R779" s="214"/>
      <c r="S779" s="214"/>
      <c r="T779" s="214"/>
      <c r="U779" s="214"/>
      <c r="V779" s="214"/>
      <c r="W779" s="214"/>
      <c r="X779" s="214"/>
      <c r="Y779" s="214"/>
      <c r="Z779" s="234"/>
      <c r="AA779" s="234"/>
      <c r="AB779" s="234"/>
      <c r="AC779" s="234"/>
      <c r="AD779" s="319"/>
      <c r="AE779" s="319"/>
      <c r="AF779" s="162" t="str">
        <f t="shared" si="58"/>
        <v/>
      </c>
      <c r="AG779" s="162" t="str">
        <f t="shared" si="57"/>
        <v/>
      </c>
      <c r="AH779" s="164" t="str">
        <f t="shared" si="59"/>
        <v/>
      </c>
      <c r="AI779" s="164" t="str">
        <f t="shared" si="60"/>
        <v/>
      </c>
      <c r="AJ779" s="368"/>
      <c r="AK779" s="368"/>
      <c r="AL779" s="368"/>
      <c r="AM779" s="369"/>
      <c r="AN779" s="369"/>
      <c r="AO779" s="368"/>
      <c r="AP779" s="368"/>
      <c r="AQ779" s="368"/>
      <c r="AR779" s="368"/>
      <c r="AS779" s="195"/>
      <c r="AT779" s="195"/>
      <c r="AU779" s="377"/>
      <c r="AV779" s="382"/>
      <c r="AW779" s="426"/>
      <c r="AX779" s="426"/>
      <c r="AY779" s="426"/>
      <c r="AZ779" s="426"/>
      <c r="BA779" s="426"/>
      <c r="BB779" s="426"/>
      <c r="BC779" s="426"/>
      <c r="BD779" s="426"/>
      <c r="BE779" s="426"/>
      <c r="BF779" s="469"/>
      <c r="BG779" s="467">
        <f>340/1000/0.33/1.042</f>
        <v>0.98877450125050892</v>
      </c>
      <c r="BH779" s="341"/>
      <c r="BI779" s="447"/>
      <c r="BJ779" s="505"/>
    </row>
    <row r="780" spans="1:62" ht="15.75" customHeight="1" thickBot="1" x14ac:dyDescent="0.25">
      <c r="A780" s="176">
        <v>781</v>
      </c>
      <c r="B780" s="175">
        <v>1</v>
      </c>
      <c r="C780" s="166" t="s">
        <v>596</v>
      </c>
      <c r="D780" s="167" t="s">
        <v>2772</v>
      </c>
      <c r="E780" s="167" t="s">
        <v>2773</v>
      </c>
      <c r="F780" s="167" t="s">
        <v>2782</v>
      </c>
      <c r="G780" s="167"/>
      <c r="H780" s="167"/>
      <c r="I780" s="184"/>
      <c r="J780" s="181" t="s">
        <v>2784</v>
      </c>
      <c r="K780" s="181"/>
      <c r="L780" s="181" t="s">
        <v>9</v>
      </c>
      <c r="M780" s="556" t="s">
        <v>4272</v>
      </c>
      <c r="N780" s="214"/>
      <c r="O780" s="214"/>
      <c r="P780" s="214"/>
      <c r="Q780" s="214"/>
      <c r="R780" s="214"/>
      <c r="S780" s="214"/>
      <c r="T780" s="214"/>
      <c r="U780" s="214"/>
      <c r="V780" s="214"/>
      <c r="W780" s="214"/>
      <c r="X780" s="214"/>
      <c r="Y780" s="214"/>
      <c r="Z780" s="234"/>
      <c r="AA780" s="234"/>
      <c r="AB780" s="234"/>
      <c r="AC780" s="234"/>
      <c r="AD780" s="319"/>
      <c r="AE780" s="319"/>
      <c r="AF780" s="162" t="str">
        <f t="shared" si="58"/>
        <v/>
      </c>
      <c r="AG780" s="162" t="str">
        <f t="shared" si="57"/>
        <v/>
      </c>
      <c r="AH780" s="164" t="str">
        <f t="shared" si="59"/>
        <v/>
      </c>
      <c r="AI780" s="164" t="str">
        <f t="shared" si="60"/>
        <v/>
      </c>
      <c r="AJ780" s="368"/>
      <c r="AK780" s="368"/>
      <c r="AL780" s="368"/>
      <c r="AM780" s="369"/>
      <c r="AN780" s="369"/>
      <c r="AO780" s="368"/>
      <c r="AP780" s="368"/>
      <c r="AQ780" s="368"/>
      <c r="AR780" s="368"/>
      <c r="AS780" s="195"/>
      <c r="AT780" s="195"/>
      <c r="AU780" s="377"/>
      <c r="AV780" s="382"/>
      <c r="AW780" s="426"/>
      <c r="AX780" s="426"/>
      <c r="AY780" s="426"/>
      <c r="AZ780" s="426"/>
      <c r="BA780" s="426"/>
      <c r="BB780" s="426"/>
      <c r="BC780" s="426"/>
      <c r="BD780" s="426"/>
      <c r="BE780" s="426"/>
      <c r="BF780" s="469"/>
      <c r="BG780" s="467">
        <f>400/1000/2/1.042</f>
        <v>0.19193857965451055</v>
      </c>
      <c r="BH780" s="341"/>
      <c r="BI780" s="447"/>
      <c r="BJ780" s="505"/>
    </row>
    <row r="781" spans="1:62" ht="15.75" customHeight="1" thickBot="1" x14ac:dyDescent="0.25">
      <c r="A781" s="176">
        <v>782</v>
      </c>
      <c r="B781" s="175">
        <v>1</v>
      </c>
      <c r="C781" s="166" t="s">
        <v>596</v>
      </c>
      <c r="D781" s="167" t="s">
        <v>2772</v>
      </c>
      <c r="E781" s="167" t="s">
        <v>2773</v>
      </c>
      <c r="F781" s="167" t="s">
        <v>2783</v>
      </c>
      <c r="G781" s="167"/>
      <c r="H781" s="167"/>
      <c r="I781" s="184"/>
      <c r="J781" s="181" t="s">
        <v>2784</v>
      </c>
      <c r="K781" s="181"/>
      <c r="L781" s="181" t="s">
        <v>9</v>
      </c>
      <c r="M781" s="556" t="s">
        <v>4272</v>
      </c>
      <c r="N781" s="214"/>
      <c r="O781" s="214"/>
      <c r="P781" s="214"/>
      <c r="Q781" s="214"/>
      <c r="R781" s="214"/>
      <c r="S781" s="214"/>
      <c r="T781" s="214"/>
      <c r="U781" s="214"/>
      <c r="V781" s="214"/>
      <c r="W781" s="214"/>
      <c r="X781" s="214"/>
      <c r="Y781" s="214"/>
      <c r="Z781" s="234"/>
      <c r="AA781" s="234"/>
      <c r="AB781" s="234"/>
      <c r="AC781" s="234"/>
      <c r="AD781" s="319"/>
      <c r="AE781" s="319"/>
      <c r="AF781" s="162" t="str">
        <f t="shared" si="58"/>
        <v/>
      </c>
      <c r="AG781" s="162" t="str">
        <f t="shared" si="57"/>
        <v/>
      </c>
      <c r="AH781" s="164" t="str">
        <f t="shared" si="59"/>
        <v/>
      </c>
      <c r="AI781" s="164" t="str">
        <f t="shared" si="60"/>
        <v/>
      </c>
      <c r="AJ781" s="368"/>
      <c r="AK781" s="368"/>
      <c r="AL781" s="368"/>
      <c r="AM781" s="369"/>
      <c r="AN781" s="369"/>
      <c r="AO781" s="368"/>
      <c r="AP781" s="368"/>
      <c r="AQ781" s="368"/>
      <c r="AR781" s="368"/>
      <c r="AS781" s="195"/>
      <c r="AT781" s="195"/>
      <c r="AU781" s="377"/>
      <c r="AV781" s="382"/>
      <c r="AW781" s="426"/>
      <c r="AX781" s="426"/>
      <c r="AY781" s="426"/>
      <c r="AZ781" s="426"/>
      <c r="BA781" s="426"/>
      <c r="BB781" s="426"/>
      <c r="BC781" s="426"/>
      <c r="BD781" s="426"/>
      <c r="BE781" s="426"/>
      <c r="BF781" s="469"/>
      <c r="BG781" s="467">
        <f>340/1000/0.375/1.042</f>
        <v>0.87012156110044792</v>
      </c>
      <c r="BH781" s="341"/>
      <c r="BI781" s="447"/>
      <c r="BJ781" s="505"/>
    </row>
    <row r="782" spans="1:62" ht="15.75" customHeight="1" thickBot="1" x14ac:dyDescent="0.25">
      <c r="A782" s="176">
        <v>783</v>
      </c>
      <c r="B782" s="175">
        <v>1</v>
      </c>
      <c r="C782" s="166" t="s">
        <v>596</v>
      </c>
      <c r="D782" s="167" t="s">
        <v>2785</v>
      </c>
      <c r="E782" s="167" t="s">
        <v>2773</v>
      </c>
      <c r="F782" s="167" t="s">
        <v>2787</v>
      </c>
      <c r="G782" s="167"/>
      <c r="H782" s="167"/>
      <c r="I782" s="184">
        <v>2010</v>
      </c>
      <c r="J782" s="184" t="s">
        <v>2788</v>
      </c>
      <c r="K782" s="184" t="s">
        <v>2789</v>
      </c>
      <c r="L782" s="181" t="s">
        <v>83</v>
      </c>
      <c r="M782" s="556" t="s">
        <v>4273</v>
      </c>
      <c r="N782" s="214" t="s">
        <v>122</v>
      </c>
      <c r="O782" s="214" t="s">
        <v>292</v>
      </c>
      <c r="P782" s="214" t="s">
        <v>122</v>
      </c>
      <c r="Q782" s="214" t="s">
        <v>122</v>
      </c>
      <c r="R782" s="214" t="s">
        <v>122</v>
      </c>
      <c r="S782" s="214" t="s">
        <v>292</v>
      </c>
      <c r="T782" s="214" t="s">
        <v>292</v>
      </c>
      <c r="U782" s="214" t="s">
        <v>292</v>
      </c>
      <c r="V782" s="214" t="s">
        <v>292</v>
      </c>
      <c r="W782" s="214" t="s">
        <v>292</v>
      </c>
      <c r="X782" s="214" t="s">
        <v>292</v>
      </c>
      <c r="Y782" s="214" t="s">
        <v>292</v>
      </c>
      <c r="Z782" s="234" t="s">
        <v>292</v>
      </c>
      <c r="AA782" s="234"/>
      <c r="AB782" s="234"/>
      <c r="AC782" s="234"/>
      <c r="AD782" s="319" t="s">
        <v>2790</v>
      </c>
      <c r="AE782" s="319" t="s">
        <v>2812</v>
      </c>
      <c r="AF782" s="162" t="str">
        <f t="shared" si="58"/>
        <v/>
      </c>
      <c r="AG782" s="162" t="str">
        <f t="shared" si="57"/>
        <v/>
      </c>
      <c r="AH782" s="164">
        <f t="shared" si="59"/>
        <v>0.15445544554455445</v>
      </c>
      <c r="AI782" s="164">
        <f t="shared" si="60"/>
        <v>0.85940594059405928</v>
      </c>
      <c r="AJ782" s="368"/>
      <c r="AK782" s="368"/>
      <c r="AL782" s="368"/>
      <c r="AM782" s="368"/>
      <c r="AN782" s="368"/>
      <c r="AO782" s="368"/>
      <c r="AP782" s="368"/>
      <c r="AQ782" s="368"/>
      <c r="AR782" s="368"/>
      <c r="AS782" s="195"/>
      <c r="AT782" s="195"/>
      <c r="AU782" s="377"/>
      <c r="AV782" s="382"/>
      <c r="AW782" s="426">
        <f>(79+32+3+8+34)/1000/1.01</f>
        <v>0.15445544554455445</v>
      </c>
      <c r="AX782" s="426">
        <f>18/1000/1.01</f>
        <v>1.782178217821782E-2</v>
      </c>
      <c r="AY782" s="426">
        <f>694/1000/1.01</f>
        <v>0.68712871287128707</v>
      </c>
      <c r="AZ782" s="426">
        <f>(462+35+36)/1000/1.01</f>
        <v>0.52772277227722775</v>
      </c>
      <c r="BA782" s="426"/>
      <c r="BB782" s="426"/>
      <c r="BC782" s="426"/>
      <c r="BD782" s="426"/>
      <c r="BE782" s="426"/>
      <c r="BF782" s="469">
        <f>AW782</f>
        <v>0.15445544554455445</v>
      </c>
      <c r="BG782" s="467">
        <v>1.387128712871287</v>
      </c>
      <c r="BH782" s="341"/>
      <c r="BI782" s="447"/>
      <c r="BJ782" s="505"/>
    </row>
    <row r="783" spans="1:62" ht="15.75" customHeight="1" thickBot="1" x14ac:dyDescent="0.25">
      <c r="A783" s="176">
        <v>784</v>
      </c>
      <c r="B783" s="175">
        <v>1</v>
      </c>
      <c r="C783" s="166" t="s">
        <v>596</v>
      </c>
      <c r="D783" s="167" t="s">
        <v>2785</v>
      </c>
      <c r="E783" s="167" t="s">
        <v>2786</v>
      </c>
      <c r="F783" s="167"/>
      <c r="G783" s="167"/>
      <c r="H783" s="167"/>
      <c r="I783" s="184">
        <v>2010</v>
      </c>
      <c r="J783" s="184" t="s">
        <v>2788</v>
      </c>
      <c r="K783" s="184" t="s">
        <v>2789</v>
      </c>
      <c r="L783" s="181" t="s">
        <v>83</v>
      </c>
      <c r="M783" s="556" t="s">
        <v>4273</v>
      </c>
      <c r="N783" s="214" t="s">
        <v>122</v>
      </c>
      <c r="O783" s="214" t="s">
        <v>292</v>
      </c>
      <c r="P783" s="214" t="s">
        <v>122</v>
      </c>
      <c r="Q783" s="214" t="s">
        <v>122</v>
      </c>
      <c r="R783" s="214" t="s">
        <v>122</v>
      </c>
      <c r="S783" s="214" t="s">
        <v>292</v>
      </c>
      <c r="T783" s="214" t="s">
        <v>292</v>
      </c>
      <c r="U783" s="214" t="s">
        <v>292</v>
      </c>
      <c r="V783" s="214" t="s">
        <v>292</v>
      </c>
      <c r="W783" s="214" t="s">
        <v>292</v>
      </c>
      <c r="X783" s="214" t="s">
        <v>292</v>
      </c>
      <c r="Y783" s="214" t="s">
        <v>292</v>
      </c>
      <c r="Z783" s="234" t="s">
        <v>292</v>
      </c>
      <c r="AA783" s="234"/>
      <c r="AB783" s="234"/>
      <c r="AC783" s="234"/>
      <c r="AD783" s="319" t="s">
        <v>2790</v>
      </c>
      <c r="AE783" s="319" t="s">
        <v>2812</v>
      </c>
      <c r="AF783" s="162" t="str">
        <f t="shared" si="58"/>
        <v/>
      </c>
      <c r="AG783" s="162" t="str">
        <f t="shared" si="57"/>
        <v/>
      </c>
      <c r="AH783" s="164">
        <f t="shared" si="59"/>
        <v>0.15445544554455445</v>
      </c>
      <c r="AI783" s="164">
        <f t="shared" si="60"/>
        <v>0.83960396039603957</v>
      </c>
      <c r="AJ783" s="368"/>
      <c r="AK783" s="368"/>
      <c r="AL783" s="368"/>
      <c r="AM783" s="368"/>
      <c r="AN783" s="368"/>
      <c r="AO783" s="368"/>
      <c r="AP783" s="368"/>
      <c r="AQ783" s="368"/>
      <c r="AR783" s="368"/>
      <c r="AS783" s="195"/>
      <c r="AT783" s="195"/>
      <c r="AU783" s="377"/>
      <c r="AV783" s="382"/>
      <c r="AW783" s="426">
        <f>AW782</f>
        <v>0.15445544554455445</v>
      </c>
      <c r="AX783" s="426"/>
      <c r="AY783" s="426">
        <f>692/1000/1.01</f>
        <v>0.68514851485148509</v>
      </c>
      <c r="AZ783" s="426">
        <f>(24+40)/1000/1.01</f>
        <v>6.3366336633663367E-2</v>
      </c>
      <c r="BA783" s="426">
        <f>148/1000/1.01</f>
        <v>0.14653465346534653</v>
      </c>
      <c r="BB783" s="426"/>
      <c r="BC783" s="426"/>
      <c r="BD783" s="426"/>
      <c r="BE783" s="426"/>
      <c r="BF783" s="469">
        <f>AW783</f>
        <v>0.15445544554455445</v>
      </c>
      <c r="BG783" s="469">
        <v>1.0485148514851486</v>
      </c>
      <c r="BH783" s="341"/>
      <c r="BI783" s="447"/>
      <c r="BJ783" s="505"/>
    </row>
    <row r="784" spans="1:62" ht="15.75" customHeight="1" thickBot="1" x14ac:dyDescent="0.25">
      <c r="A784" s="176">
        <v>785</v>
      </c>
      <c r="B784" s="175">
        <v>1</v>
      </c>
      <c r="C784" s="166" t="s">
        <v>596</v>
      </c>
      <c r="D784" s="167" t="s">
        <v>2785</v>
      </c>
      <c r="E784" s="167" t="s">
        <v>2773</v>
      </c>
      <c r="F784" s="167" t="s">
        <v>2787</v>
      </c>
      <c r="G784" s="167"/>
      <c r="H784" s="167"/>
      <c r="I784" s="184">
        <v>2010</v>
      </c>
      <c r="J784" s="184" t="s">
        <v>2788</v>
      </c>
      <c r="K784" s="184" t="s">
        <v>2789</v>
      </c>
      <c r="L784" s="181" t="s">
        <v>83</v>
      </c>
      <c r="M784" s="556" t="s">
        <v>4273</v>
      </c>
      <c r="N784" s="214" t="s">
        <v>122</v>
      </c>
      <c r="O784" s="214" t="s">
        <v>292</v>
      </c>
      <c r="P784" s="214" t="s">
        <v>122</v>
      </c>
      <c r="Q784" s="214" t="s">
        <v>122</v>
      </c>
      <c r="R784" s="214" t="s">
        <v>122</v>
      </c>
      <c r="S784" s="214" t="s">
        <v>292</v>
      </c>
      <c r="T784" s="214" t="s">
        <v>292</v>
      </c>
      <c r="U784" s="214" t="s">
        <v>292</v>
      </c>
      <c r="V784" s="214" t="s">
        <v>292</v>
      </c>
      <c r="W784" s="214" t="s">
        <v>292</v>
      </c>
      <c r="X784" s="214" t="s">
        <v>292</v>
      </c>
      <c r="Y784" s="214" t="s">
        <v>292</v>
      </c>
      <c r="Z784" s="234" t="s">
        <v>292</v>
      </c>
      <c r="AA784" s="234"/>
      <c r="AB784" s="234"/>
      <c r="AC784" s="234"/>
      <c r="AD784" s="319" t="s">
        <v>2790</v>
      </c>
      <c r="AE784" s="319" t="s">
        <v>2812</v>
      </c>
      <c r="AF784" s="162" t="str">
        <f t="shared" si="58"/>
        <v/>
      </c>
      <c r="AG784" s="162" t="str">
        <f t="shared" si="57"/>
        <v/>
      </c>
      <c r="AH784" s="164">
        <f t="shared" si="59"/>
        <v>0.33564356435643561</v>
      </c>
      <c r="AI784" s="164">
        <f t="shared" si="60"/>
        <v>0.82178217821782173</v>
      </c>
      <c r="AJ784" s="368"/>
      <c r="AK784" s="368"/>
      <c r="AL784" s="368"/>
      <c r="AM784" s="368"/>
      <c r="AN784" s="368"/>
      <c r="AO784" s="368"/>
      <c r="AP784" s="368"/>
      <c r="AQ784" s="368"/>
      <c r="AR784" s="368"/>
      <c r="AS784" s="195"/>
      <c r="AT784" s="195"/>
      <c r="AU784" s="377"/>
      <c r="AV784" s="382"/>
      <c r="AW784" s="426">
        <f>((249)/1000/1.01)+(((360/4))/1000/1.01)</f>
        <v>0.33564356435643561</v>
      </c>
      <c r="AX784" s="426">
        <f>((277)/1000/1.01)+(((360/4))/1000/1.01)</f>
        <v>0.36336633663366336</v>
      </c>
      <c r="AY784" s="426">
        <f>(34/1000/1.01)+(((360/4))/1000/1.01)</f>
        <v>0.12277227722772277</v>
      </c>
      <c r="AZ784" s="426">
        <f>(89/1000/1.01)+(((360/4))/1000/1.01)</f>
        <v>0.17722772277227722</v>
      </c>
      <c r="BA784" s="426"/>
      <c r="BB784" s="426"/>
      <c r="BC784" s="426"/>
      <c r="BD784" s="426"/>
      <c r="BE784" s="426"/>
      <c r="BF784" s="469">
        <f>AW784</f>
        <v>0.33564356435643561</v>
      </c>
      <c r="BG784" s="469">
        <v>1.0138613861386139</v>
      </c>
      <c r="BH784" s="341"/>
      <c r="BI784" s="447"/>
      <c r="BJ784" s="505"/>
    </row>
    <row r="785" spans="1:62" ht="15.75" customHeight="1" thickBot="1" x14ac:dyDescent="0.25">
      <c r="A785" s="176">
        <v>786</v>
      </c>
      <c r="B785" s="175">
        <v>1</v>
      </c>
      <c r="C785" s="166" t="s">
        <v>596</v>
      </c>
      <c r="D785" s="167" t="s">
        <v>2785</v>
      </c>
      <c r="E785" s="167" t="s">
        <v>2786</v>
      </c>
      <c r="F785" s="167"/>
      <c r="G785" s="167"/>
      <c r="H785" s="167"/>
      <c r="I785" s="184">
        <v>2010</v>
      </c>
      <c r="J785" s="184" t="s">
        <v>2788</v>
      </c>
      <c r="K785" s="184" t="s">
        <v>2789</v>
      </c>
      <c r="L785" s="181" t="s">
        <v>83</v>
      </c>
      <c r="M785" s="556" t="s">
        <v>4273</v>
      </c>
      <c r="N785" s="214" t="s">
        <v>122</v>
      </c>
      <c r="O785" s="214" t="s">
        <v>292</v>
      </c>
      <c r="P785" s="214" t="s">
        <v>122</v>
      </c>
      <c r="Q785" s="214" t="s">
        <v>122</v>
      </c>
      <c r="R785" s="214" t="s">
        <v>122</v>
      </c>
      <c r="S785" s="214" t="s">
        <v>292</v>
      </c>
      <c r="T785" s="214" t="s">
        <v>292</v>
      </c>
      <c r="U785" s="214" t="s">
        <v>292</v>
      </c>
      <c r="V785" s="214" t="s">
        <v>292</v>
      </c>
      <c r="W785" s="214" t="s">
        <v>292</v>
      </c>
      <c r="X785" s="214" t="s">
        <v>292</v>
      </c>
      <c r="Y785" s="214" t="s">
        <v>292</v>
      </c>
      <c r="Z785" s="234" t="s">
        <v>292</v>
      </c>
      <c r="AA785" s="234"/>
      <c r="AB785" s="234"/>
      <c r="AC785" s="234"/>
      <c r="AD785" s="319" t="s">
        <v>2790</v>
      </c>
      <c r="AE785" s="319" t="s">
        <v>2812</v>
      </c>
      <c r="AF785" s="162" t="str">
        <f t="shared" si="58"/>
        <v/>
      </c>
      <c r="AG785" s="162" t="str">
        <f t="shared" si="57"/>
        <v/>
      </c>
      <c r="AH785" s="164">
        <f t="shared" si="59"/>
        <v>0.33589108910891086</v>
      </c>
      <c r="AI785" s="164">
        <f t="shared" si="60"/>
        <v>0.82351485148514847</v>
      </c>
      <c r="AJ785" s="368"/>
      <c r="AK785" s="368"/>
      <c r="AL785" s="368"/>
      <c r="AM785" s="368"/>
      <c r="AN785" s="368"/>
      <c r="AO785" s="368"/>
      <c r="AP785" s="368"/>
      <c r="AQ785" s="368"/>
      <c r="AR785" s="368"/>
      <c r="AS785" s="195"/>
      <c r="AT785" s="195"/>
      <c r="AU785" s="377"/>
      <c r="AV785" s="382"/>
      <c r="AW785" s="426">
        <f>((249)/1000/1.01)+(((361/4))/1000/1.01)</f>
        <v>0.33589108910891086</v>
      </c>
      <c r="AX785" s="426">
        <f>((277)/1000/1.01)+(((361/4))/1000/1.01)</f>
        <v>0.3636138613861386</v>
      </c>
      <c r="AY785" s="426">
        <f>(35/1000/1.01)+(((361/4))/1000/1.01)</f>
        <v>0.12400990099009901</v>
      </c>
      <c r="AZ785" s="426">
        <f>(103/1000/1.01)+(((361/4))/1000/1.01)</f>
        <v>0.19133663366336634</v>
      </c>
      <c r="BA785" s="426"/>
      <c r="BB785" s="426"/>
      <c r="BC785" s="426"/>
      <c r="BD785" s="426"/>
      <c r="BE785" s="426"/>
      <c r="BF785" s="469">
        <f>AW785</f>
        <v>0.33589108910891086</v>
      </c>
      <c r="BG785" s="469">
        <v>1</v>
      </c>
      <c r="BH785" s="341"/>
      <c r="BI785" s="447"/>
      <c r="BJ785" s="505"/>
    </row>
    <row r="786" spans="1:62" ht="15.75" customHeight="1" thickBot="1" x14ac:dyDescent="0.25">
      <c r="A786" s="176">
        <v>787</v>
      </c>
      <c r="B786" s="175">
        <v>1</v>
      </c>
      <c r="C786" s="166" t="s">
        <v>596</v>
      </c>
      <c r="D786" s="167" t="s">
        <v>2785</v>
      </c>
      <c r="E786" s="167"/>
      <c r="F786" s="167"/>
      <c r="G786" s="167"/>
      <c r="H786" s="167"/>
      <c r="I786" s="184">
        <v>2010</v>
      </c>
      <c r="J786" s="184" t="s">
        <v>2788</v>
      </c>
      <c r="K786" s="184" t="s">
        <v>2789</v>
      </c>
      <c r="L786" s="181" t="s">
        <v>83</v>
      </c>
      <c r="M786" s="556" t="s">
        <v>4273</v>
      </c>
      <c r="N786" s="214"/>
      <c r="O786" s="214"/>
      <c r="P786" s="214"/>
      <c r="Q786" s="214"/>
      <c r="R786" s="214"/>
      <c r="S786" s="214"/>
      <c r="T786" s="214"/>
      <c r="U786" s="214"/>
      <c r="V786" s="214"/>
      <c r="W786" s="214"/>
      <c r="X786" s="214"/>
      <c r="Y786" s="214"/>
      <c r="Z786" s="234"/>
      <c r="AA786" s="234"/>
      <c r="AB786" s="234"/>
      <c r="AC786" s="234"/>
      <c r="AD786" s="319" t="s">
        <v>2790</v>
      </c>
      <c r="AE786" s="319" t="s">
        <v>2812</v>
      </c>
      <c r="AF786" s="162" t="str">
        <f t="shared" si="58"/>
        <v/>
      </c>
      <c r="AG786" s="162" t="str">
        <f t="shared" si="57"/>
        <v/>
      </c>
      <c r="AH786" s="164">
        <f t="shared" si="59"/>
        <v>0.29273927392739274</v>
      </c>
      <c r="AI786" s="164">
        <f t="shared" si="60"/>
        <v>0.40033003300330033</v>
      </c>
      <c r="AJ786" s="368"/>
      <c r="AK786" s="368"/>
      <c r="AL786" s="368"/>
      <c r="AM786" s="368"/>
      <c r="AN786" s="368"/>
      <c r="AO786" s="368"/>
      <c r="AP786" s="368"/>
      <c r="AQ786" s="368"/>
      <c r="AR786" s="368"/>
      <c r="AS786" s="195"/>
      <c r="AT786" s="195"/>
      <c r="AU786" s="377"/>
      <c r="AV786" s="382"/>
      <c r="AW786" s="426">
        <f>((189+90)/1000/1.01)+(((100/6))/1000/1.01)</f>
        <v>0.29273927392739274</v>
      </c>
      <c r="AX786" s="426"/>
      <c r="AY786" s="426">
        <f>((34+58)/1000/1.01)+(((100/6))/1000/1.01)</f>
        <v>0.10759075907590759</v>
      </c>
      <c r="AZ786" s="426">
        <f>((323+34)/1000/1.01)+(((100/6))/1000/1.01)</f>
        <v>0.36996699669966993</v>
      </c>
      <c r="BA786" s="426">
        <f>(126/1000/1.01)+(((100/6))/1000/1.01)</f>
        <v>0.14125412541254126</v>
      </c>
      <c r="BB786" s="426">
        <f>(421/1000/1.01)+(((100/6))/1000/1.01)</f>
        <v>0.43333333333333329</v>
      </c>
      <c r="BC786" s="426">
        <f>(123/1000/1.01)+(((100/6))/1000/1.01)</f>
        <v>0.13828382838283829</v>
      </c>
      <c r="BD786" s="426"/>
      <c r="BE786" s="426"/>
      <c r="BF786" s="469">
        <f>AW786</f>
        <v>0.29273927392739274</v>
      </c>
      <c r="BG786" s="469">
        <f>1498/1000/1.01</f>
        <v>1.4831683168316832</v>
      </c>
      <c r="BH786" s="341"/>
      <c r="BI786" s="447"/>
      <c r="BJ786" s="505"/>
    </row>
    <row r="787" spans="1:62" ht="15.75" customHeight="1" thickBot="1" x14ac:dyDescent="0.25">
      <c r="A787" s="176">
        <v>788</v>
      </c>
      <c r="B787" s="175">
        <v>1</v>
      </c>
      <c r="C787" s="166" t="s">
        <v>596</v>
      </c>
      <c r="D787" s="167" t="s">
        <v>2785</v>
      </c>
      <c r="E787" s="167" t="s">
        <v>2792</v>
      </c>
      <c r="F787" s="167"/>
      <c r="G787" s="167"/>
      <c r="H787" s="167"/>
      <c r="I787" s="184">
        <v>2010</v>
      </c>
      <c r="J787" s="184" t="s">
        <v>2788</v>
      </c>
      <c r="K787" s="184" t="s">
        <v>2789</v>
      </c>
      <c r="L787" s="181" t="s">
        <v>83</v>
      </c>
      <c r="M787" s="556" t="s">
        <v>4273</v>
      </c>
      <c r="N787" s="214" t="s">
        <v>122</v>
      </c>
      <c r="O787" s="214" t="s">
        <v>292</v>
      </c>
      <c r="P787" s="214" t="s">
        <v>122</v>
      </c>
      <c r="Q787" s="214" t="s">
        <v>122</v>
      </c>
      <c r="R787" s="214" t="s">
        <v>122</v>
      </c>
      <c r="S787" s="214" t="s">
        <v>292</v>
      </c>
      <c r="T787" s="214" t="s">
        <v>122</v>
      </c>
      <c r="U787" s="214" t="s">
        <v>292</v>
      </c>
      <c r="V787" s="214" t="s">
        <v>122</v>
      </c>
      <c r="W787" s="214"/>
      <c r="X787" s="214"/>
      <c r="Y787" s="214"/>
      <c r="Z787" s="234"/>
      <c r="AA787" s="234" t="s">
        <v>2793</v>
      </c>
      <c r="AB787" s="234"/>
      <c r="AC787" s="234"/>
      <c r="AD787" s="319" t="s">
        <v>2790</v>
      </c>
      <c r="AE787" s="319" t="s">
        <v>2812</v>
      </c>
      <c r="AF787" s="162" t="str">
        <f t="shared" si="58"/>
        <v/>
      </c>
      <c r="AG787" s="162" t="str">
        <f t="shared" ref="AG787:AG850" si="61">IF(AND(SUM(AJ787:AL787)&lt;&gt;0,SUM(AJ787:AL787)&lt;&gt;AJ787),SUM(AJ787:AL787),"")</f>
        <v/>
      </c>
      <c r="AH787" s="164" t="str">
        <f t="shared" si="59"/>
        <v/>
      </c>
      <c r="AI787" s="164" t="str">
        <f t="shared" si="60"/>
        <v/>
      </c>
      <c r="AJ787" s="368"/>
      <c r="AK787" s="368"/>
      <c r="AL787" s="368"/>
      <c r="AM787" s="368"/>
      <c r="AN787" s="368"/>
      <c r="AO787" s="368"/>
      <c r="AP787" s="368"/>
      <c r="AQ787" s="368"/>
      <c r="AR787" s="368"/>
      <c r="AS787" s="195"/>
      <c r="AT787" s="195"/>
      <c r="AU787" s="377"/>
      <c r="AV787" s="382"/>
      <c r="AW787" s="426"/>
      <c r="AX787" s="426"/>
      <c r="AY787" s="426"/>
      <c r="AZ787" s="426"/>
      <c r="BA787" s="426"/>
      <c r="BB787" s="426"/>
      <c r="BC787" s="426"/>
      <c r="BD787" s="426"/>
      <c r="BE787" s="426"/>
      <c r="BF787" s="469"/>
      <c r="BG787" s="469"/>
      <c r="BH787" s="341"/>
      <c r="BI787" s="447"/>
      <c r="BJ787" s="505"/>
    </row>
    <row r="788" spans="1:62" ht="15.75" customHeight="1" thickBot="1" x14ac:dyDescent="0.25">
      <c r="A788" s="176">
        <v>789</v>
      </c>
      <c r="B788" s="175">
        <v>1</v>
      </c>
      <c r="C788" s="166" t="s">
        <v>596</v>
      </c>
      <c r="D788" s="167" t="s">
        <v>2785</v>
      </c>
      <c r="E788" s="167" t="s">
        <v>2798</v>
      </c>
      <c r="F788" s="167" t="s">
        <v>2794</v>
      </c>
      <c r="G788" s="167"/>
      <c r="H788" s="167"/>
      <c r="I788" s="184">
        <v>2008</v>
      </c>
      <c r="J788" s="184" t="s">
        <v>2797</v>
      </c>
      <c r="K788" s="184"/>
      <c r="L788" s="181" t="s">
        <v>83</v>
      </c>
      <c r="M788" s="556" t="s">
        <v>4274</v>
      </c>
      <c r="N788" s="214" t="s">
        <v>122</v>
      </c>
      <c r="O788" s="214" t="s">
        <v>292</v>
      </c>
      <c r="P788" s="214" t="s">
        <v>122</v>
      </c>
      <c r="Q788" s="214" t="s">
        <v>122</v>
      </c>
      <c r="R788" s="214" t="s">
        <v>122</v>
      </c>
      <c r="S788" s="214" t="s">
        <v>122</v>
      </c>
      <c r="T788" s="214" t="s">
        <v>122</v>
      </c>
      <c r="U788" s="214" t="s">
        <v>122</v>
      </c>
      <c r="V788" s="214" t="s">
        <v>122</v>
      </c>
      <c r="W788" s="214" t="s">
        <v>292</v>
      </c>
      <c r="X788" s="214" t="s">
        <v>292</v>
      </c>
      <c r="Y788" s="214" t="s">
        <v>292</v>
      </c>
      <c r="Z788" s="234"/>
      <c r="AA788" s="234"/>
      <c r="AB788" s="234" t="s">
        <v>292</v>
      </c>
      <c r="AC788" s="234"/>
      <c r="AD788" s="319" t="s">
        <v>2795</v>
      </c>
      <c r="AE788" s="319" t="s">
        <v>2796</v>
      </c>
      <c r="AF788" s="162" t="str">
        <f t="shared" si="58"/>
        <v/>
      </c>
      <c r="AG788" s="162" t="str">
        <f t="shared" si="61"/>
        <v/>
      </c>
      <c r="AH788" s="164">
        <f t="shared" si="59"/>
        <v>0.28101438189178912</v>
      </c>
      <c r="AI788" s="164">
        <f t="shared" si="60"/>
        <v>0.38514661477554857</v>
      </c>
      <c r="AJ788" s="368"/>
      <c r="AK788" s="368"/>
      <c r="AL788" s="368"/>
      <c r="AM788" s="368"/>
      <c r="AN788" s="368"/>
      <c r="AO788" s="368"/>
      <c r="AP788" s="368"/>
      <c r="AQ788" s="368"/>
      <c r="AR788" s="368"/>
      <c r="AS788" s="195"/>
      <c r="AT788" s="195"/>
      <c r="AU788" s="377"/>
      <c r="AV788" s="382"/>
      <c r="AW788" s="426">
        <v>0.28101438189178912</v>
      </c>
      <c r="AX788" s="426"/>
      <c r="AY788" s="426">
        <v>0.10413223288375942</v>
      </c>
      <c r="AZ788" s="426">
        <v>0.3566172359032857</v>
      </c>
      <c r="BA788" s="426">
        <v>0.13551454964324858</v>
      </c>
      <c r="BB788" s="426">
        <v>0.41652893153503773</v>
      </c>
      <c r="BC788" s="426">
        <v>0.13266161175602229</v>
      </c>
      <c r="BD788" s="426"/>
      <c r="BE788" s="426"/>
      <c r="BF788" s="469">
        <f t="shared" ref="BF788:BF796" si="62">AW788</f>
        <v>0.28101438189178912</v>
      </c>
      <c r="BG788" s="469">
        <v>1.4829627631621782</v>
      </c>
      <c r="BH788" s="341"/>
      <c r="BI788" s="447"/>
      <c r="BJ788" s="505"/>
    </row>
    <row r="789" spans="1:62" ht="15.75" customHeight="1" thickBot="1" x14ac:dyDescent="0.25">
      <c r="A789" s="176">
        <v>790</v>
      </c>
      <c r="B789" s="175">
        <v>1</v>
      </c>
      <c r="C789" s="166" t="s">
        <v>596</v>
      </c>
      <c r="D789" s="167" t="s">
        <v>2785</v>
      </c>
      <c r="E789" s="167" t="s">
        <v>2773</v>
      </c>
      <c r="F789" s="167" t="s">
        <v>2799</v>
      </c>
      <c r="G789" s="167" t="s">
        <v>292</v>
      </c>
      <c r="H789" s="167"/>
      <c r="I789" s="184">
        <v>2012</v>
      </c>
      <c r="J789" s="184" t="s">
        <v>2801</v>
      </c>
      <c r="K789" s="184"/>
      <c r="L789" s="181" t="s">
        <v>83</v>
      </c>
      <c r="M789" s="556" t="s">
        <v>4275</v>
      </c>
      <c r="N789" s="214" t="s">
        <v>122</v>
      </c>
      <c r="O789" s="214" t="s">
        <v>292</v>
      </c>
      <c r="P789" s="214" t="s">
        <v>122</v>
      </c>
      <c r="Q789" s="214" t="s">
        <v>122</v>
      </c>
      <c r="R789" s="214" t="s">
        <v>122</v>
      </c>
      <c r="S789" s="214" t="s">
        <v>122</v>
      </c>
      <c r="T789" s="214" t="s">
        <v>122</v>
      </c>
      <c r="U789" s="214" t="s">
        <v>122</v>
      </c>
      <c r="V789" s="214" t="s">
        <v>122</v>
      </c>
      <c r="W789" s="214" t="s">
        <v>292</v>
      </c>
      <c r="X789" s="214" t="s">
        <v>292</v>
      </c>
      <c r="Y789" s="214" t="s">
        <v>292</v>
      </c>
      <c r="Z789" s="234"/>
      <c r="AA789" s="234"/>
      <c r="AB789" s="234" t="s">
        <v>292</v>
      </c>
      <c r="AC789" s="234"/>
      <c r="AD789" s="319" t="s">
        <v>2802</v>
      </c>
      <c r="AE789" s="319" t="s">
        <v>2791</v>
      </c>
      <c r="AF789" s="162" t="str">
        <f t="shared" si="58"/>
        <v/>
      </c>
      <c r="AG789" s="162" t="str">
        <f t="shared" si="61"/>
        <v/>
      </c>
      <c r="AH789" s="164">
        <f t="shared" si="59"/>
        <v>0.16176237623762377</v>
      </c>
      <c r="AI789" s="164">
        <f t="shared" si="60"/>
        <v>0.26572277227722774</v>
      </c>
      <c r="AJ789" s="368"/>
      <c r="AK789" s="368"/>
      <c r="AL789" s="368"/>
      <c r="AM789" s="368"/>
      <c r="AN789" s="368"/>
      <c r="AO789" s="368"/>
      <c r="AP789" s="368"/>
      <c r="AQ789" s="368"/>
      <c r="AR789" s="368"/>
      <c r="AS789" s="195"/>
      <c r="AT789" s="195"/>
      <c r="AU789" s="377"/>
      <c r="AV789" s="382"/>
      <c r="AW789" s="426">
        <f>BG789*0.389</f>
        <v>0.16176237623762377</v>
      </c>
      <c r="AX789" s="426"/>
      <c r="AY789" s="426">
        <f>BG789*0.25</f>
        <v>0.10396039603960396</v>
      </c>
      <c r="AZ789" s="426">
        <f>0.131*BG789</f>
        <v>5.4475247524752475E-2</v>
      </c>
      <c r="BA789" s="426">
        <f>0.125*BG789</f>
        <v>5.1980198019801978E-2</v>
      </c>
      <c r="BB789" s="426">
        <f>0.051*BG789</f>
        <v>2.1207920792079206E-2</v>
      </c>
      <c r="BC789" s="426"/>
      <c r="BD789" s="426"/>
      <c r="BE789" s="426"/>
      <c r="BF789" s="469">
        <f t="shared" si="62"/>
        <v>0.16176237623762377</v>
      </c>
      <c r="BG789" s="469">
        <v>0.41584158415841582</v>
      </c>
      <c r="BH789" s="341"/>
      <c r="BI789" s="447"/>
      <c r="BJ789" s="505"/>
    </row>
    <row r="790" spans="1:62" ht="15.75" customHeight="1" thickBot="1" x14ac:dyDescent="0.25">
      <c r="A790" s="176">
        <v>791</v>
      </c>
      <c r="B790" s="175">
        <v>1</v>
      </c>
      <c r="C790" s="166" t="s">
        <v>596</v>
      </c>
      <c r="D790" s="167" t="s">
        <v>2785</v>
      </c>
      <c r="E790" s="167" t="s">
        <v>1246</v>
      </c>
      <c r="F790" s="167" t="s">
        <v>2800</v>
      </c>
      <c r="G790" s="167" t="s">
        <v>292</v>
      </c>
      <c r="H790" s="167"/>
      <c r="I790" s="184">
        <v>2012</v>
      </c>
      <c r="J790" s="184" t="s">
        <v>2801</v>
      </c>
      <c r="K790" s="184"/>
      <c r="L790" s="181" t="s">
        <v>83</v>
      </c>
      <c r="M790" s="556" t="s">
        <v>4275</v>
      </c>
      <c r="N790" s="214" t="s">
        <v>122</v>
      </c>
      <c r="O790" s="214" t="s">
        <v>292</v>
      </c>
      <c r="P790" s="214" t="s">
        <v>122</v>
      </c>
      <c r="Q790" s="214" t="s">
        <v>122</v>
      </c>
      <c r="R790" s="214" t="s">
        <v>122</v>
      </c>
      <c r="S790" s="214" t="s">
        <v>122</v>
      </c>
      <c r="T790" s="214" t="s">
        <v>122</v>
      </c>
      <c r="U790" s="214" t="s">
        <v>122</v>
      </c>
      <c r="V790" s="214" t="s">
        <v>122</v>
      </c>
      <c r="W790" s="214" t="s">
        <v>292</v>
      </c>
      <c r="X790" s="214" t="s">
        <v>292</v>
      </c>
      <c r="Y790" s="214" t="s">
        <v>292</v>
      </c>
      <c r="Z790" s="234"/>
      <c r="AA790" s="234"/>
      <c r="AB790" s="234" t="s">
        <v>292</v>
      </c>
      <c r="AC790" s="234"/>
      <c r="AD790" s="319" t="s">
        <v>2802</v>
      </c>
      <c r="AE790" s="319" t="s">
        <v>2791</v>
      </c>
      <c r="AF790" s="162" t="str">
        <f t="shared" si="58"/>
        <v/>
      </c>
      <c r="AG790" s="162" t="str">
        <f t="shared" si="61"/>
        <v/>
      </c>
      <c r="AH790" s="164">
        <f t="shared" si="59"/>
        <v>0.29584158415841588</v>
      </c>
      <c r="AI790" s="164">
        <f t="shared" si="60"/>
        <v>0.40099009900990101</v>
      </c>
      <c r="AJ790" s="368"/>
      <c r="AK790" s="368"/>
      <c r="AL790" s="368"/>
      <c r="AM790" s="368"/>
      <c r="AN790" s="368"/>
      <c r="AO790" s="368"/>
      <c r="AP790" s="368"/>
      <c r="AQ790" s="368"/>
      <c r="AR790" s="368"/>
      <c r="AS790" s="195"/>
      <c r="AT790" s="195"/>
      <c r="AU790" s="377"/>
      <c r="AV790" s="382"/>
      <c r="AW790" s="426">
        <f>0.332*BG790</f>
        <v>0.29584158415841588</v>
      </c>
      <c r="AX790" s="426"/>
      <c r="AY790" s="426">
        <f>0.118*BG790</f>
        <v>0.10514851485148514</v>
      </c>
      <c r="AZ790" s="426">
        <f>0.422*BG790</f>
        <v>0.37603960396039604</v>
      </c>
      <c r="BA790" s="426">
        <f>0.077*BG790</f>
        <v>6.8613861386138619E-2</v>
      </c>
      <c r="BB790" s="426">
        <f>0.033*BG790</f>
        <v>2.9405940594059408E-2</v>
      </c>
      <c r="BC790" s="426"/>
      <c r="BD790" s="426"/>
      <c r="BE790" s="426"/>
      <c r="BF790" s="469">
        <f t="shared" si="62"/>
        <v>0.29584158415841588</v>
      </c>
      <c r="BG790" s="469">
        <v>0.8910891089108911</v>
      </c>
      <c r="BH790" s="341"/>
      <c r="BI790" s="447"/>
      <c r="BJ790" s="505"/>
    </row>
    <row r="791" spans="1:62" ht="15.75" customHeight="1" thickBot="1" x14ac:dyDescent="0.25">
      <c r="A791" s="176">
        <v>792</v>
      </c>
      <c r="B791" s="175">
        <v>1</v>
      </c>
      <c r="C791" s="166" t="s">
        <v>596</v>
      </c>
      <c r="D791" s="167" t="s">
        <v>2785</v>
      </c>
      <c r="E791" s="167" t="s">
        <v>2773</v>
      </c>
      <c r="F791" s="167" t="s">
        <v>2803</v>
      </c>
      <c r="G791" s="167"/>
      <c r="H791" s="167" t="s">
        <v>108</v>
      </c>
      <c r="I791" s="184">
        <v>2016</v>
      </c>
      <c r="J791" s="184" t="s">
        <v>2806</v>
      </c>
      <c r="K791" s="184" t="s">
        <v>2807</v>
      </c>
      <c r="L791" s="181" t="s">
        <v>19</v>
      </c>
      <c r="M791" s="556" t="s">
        <v>4276</v>
      </c>
      <c r="N791" s="214" t="s">
        <v>122</v>
      </c>
      <c r="O791" s="214" t="s">
        <v>292</v>
      </c>
      <c r="P791" s="214" t="s">
        <v>122</v>
      </c>
      <c r="Q791" s="214" t="s">
        <v>122</v>
      </c>
      <c r="R791" s="214" t="s">
        <v>122</v>
      </c>
      <c r="S791" s="214" t="s">
        <v>122</v>
      </c>
      <c r="T791" s="214" t="s">
        <v>122</v>
      </c>
      <c r="U791" s="214" t="s">
        <v>292</v>
      </c>
      <c r="V791" s="214" t="s">
        <v>292</v>
      </c>
      <c r="W791" s="214" t="s">
        <v>292</v>
      </c>
      <c r="X791" s="214" t="s">
        <v>292</v>
      </c>
      <c r="Y791" s="214" t="s">
        <v>292</v>
      </c>
      <c r="Z791" s="234"/>
      <c r="AA791" s="234"/>
      <c r="AB791" s="234" t="s">
        <v>292</v>
      </c>
      <c r="AC791" s="234"/>
      <c r="AD791" s="319" t="s">
        <v>2802</v>
      </c>
      <c r="AE791" s="319" t="s">
        <v>2791</v>
      </c>
      <c r="AF791" s="162">
        <f t="shared" si="58"/>
        <v>5.7364150943396197</v>
      </c>
      <c r="AG791" s="162">
        <f t="shared" si="61"/>
        <v>7.0594339622641495</v>
      </c>
      <c r="AH791" s="164">
        <f t="shared" si="59"/>
        <v>0.19801980198019803</v>
      </c>
      <c r="AI791" s="164">
        <f t="shared" si="60"/>
        <v>0.27326732673267329</v>
      </c>
      <c r="AJ791" s="368">
        <v>5.7364150943396197</v>
      </c>
      <c r="AK791" s="368"/>
      <c r="AL791" s="368">
        <v>1.3230188679245301</v>
      </c>
      <c r="AM791" s="368">
        <v>7.4056603773584904</v>
      </c>
      <c r="AN791" s="368">
        <v>0.29622641509433961</v>
      </c>
      <c r="AO791" s="368"/>
      <c r="AP791" s="368"/>
      <c r="AQ791" s="368">
        <v>0.14811320754716981</v>
      </c>
      <c r="AR791" s="368"/>
      <c r="AS791" s="195">
        <f>AJ791</f>
        <v>5.7364150943396197</v>
      </c>
      <c r="AT791" s="195">
        <f>(15.7*1000)/1060</f>
        <v>14.811320754716981</v>
      </c>
      <c r="AU791" s="377"/>
      <c r="AV791" s="382"/>
      <c r="AW791" s="426">
        <f>200/1000/1.01</f>
        <v>0.19801980198019803</v>
      </c>
      <c r="AX791" s="426"/>
      <c r="AY791" s="426">
        <f>76/1000/1.01</f>
        <v>7.5247524752475245E-2</v>
      </c>
      <c r="AZ791" s="426">
        <f>371/1000/1.01</f>
        <v>0.36732673267326732</v>
      </c>
      <c r="BA791" s="426">
        <f>24/1000/1.01</f>
        <v>2.3762376237623763E-2</v>
      </c>
      <c r="BB791" s="426">
        <f>154/1000/1.01</f>
        <v>0.15247524752475247</v>
      </c>
      <c r="BC791" s="426"/>
      <c r="BD791" s="426">
        <f>51/1000/1.01</f>
        <v>5.0495049504950491E-2</v>
      </c>
      <c r="BE791" s="426"/>
      <c r="BF791" s="469">
        <f t="shared" si="62"/>
        <v>0.19801980198019803</v>
      </c>
      <c r="BG791" s="469">
        <v>0.86732673267326732</v>
      </c>
      <c r="BH791" s="341"/>
      <c r="BI791" s="447" t="s">
        <v>990</v>
      </c>
      <c r="BJ791" s="505"/>
    </row>
    <row r="792" spans="1:62" ht="15.75" customHeight="1" thickBot="1" x14ac:dyDescent="0.25">
      <c r="A792" s="176">
        <v>793</v>
      </c>
      <c r="B792" s="175">
        <v>1</v>
      </c>
      <c r="C792" s="166" t="s">
        <v>596</v>
      </c>
      <c r="D792" s="167" t="s">
        <v>2785</v>
      </c>
      <c r="E792" s="167" t="s">
        <v>1246</v>
      </c>
      <c r="F792" s="167" t="s">
        <v>2804</v>
      </c>
      <c r="G792" s="167"/>
      <c r="H792" s="167" t="s">
        <v>108</v>
      </c>
      <c r="I792" s="184">
        <v>2016</v>
      </c>
      <c r="J792" s="184" t="s">
        <v>2806</v>
      </c>
      <c r="K792" s="184" t="s">
        <v>2807</v>
      </c>
      <c r="L792" s="181" t="s">
        <v>19</v>
      </c>
      <c r="M792" s="556" t="s">
        <v>4276</v>
      </c>
      <c r="N792" s="214" t="s">
        <v>122</v>
      </c>
      <c r="O792" s="214" t="s">
        <v>292</v>
      </c>
      <c r="P792" s="214" t="s">
        <v>122</v>
      </c>
      <c r="Q792" s="214" t="s">
        <v>122</v>
      </c>
      <c r="R792" s="214" t="s">
        <v>122</v>
      </c>
      <c r="S792" s="214" t="s">
        <v>122</v>
      </c>
      <c r="T792" s="214" t="s">
        <v>122</v>
      </c>
      <c r="U792" s="214" t="s">
        <v>292</v>
      </c>
      <c r="V792" s="214" t="s">
        <v>292</v>
      </c>
      <c r="W792" s="214" t="s">
        <v>292</v>
      </c>
      <c r="X792" s="214" t="s">
        <v>292</v>
      </c>
      <c r="Y792" s="214" t="s">
        <v>292</v>
      </c>
      <c r="Z792" s="234"/>
      <c r="AA792" s="234"/>
      <c r="AB792" s="234" t="s">
        <v>292</v>
      </c>
      <c r="AC792" s="234"/>
      <c r="AD792" s="319" t="s">
        <v>2802</v>
      </c>
      <c r="AE792" s="319" t="s">
        <v>2791</v>
      </c>
      <c r="AF792" s="162">
        <f t="shared" si="58"/>
        <v>6.3962264150943389</v>
      </c>
      <c r="AG792" s="162">
        <f t="shared" si="61"/>
        <v>7.9952830188679238</v>
      </c>
      <c r="AH792" s="164">
        <f t="shared" si="59"/>
        <v>0.19702970297029704</v>
      </c>
      <c r="AI792" s="164">
        <f t="shared" si="60"/>
        <v>0.26930693069306932</v>
      </c>
      <c r="AJ792" s="368">
        <v>6.3962264150943389</v>
      </c>
      <c r="AK792" s="368"/>
      <c r="AL792" s="368">
        <v>1.5990566037735847</v>
      </c>
      <c r="AM792" s="368">
        <v>2.45188679245283</v>
      </c>
      <c r="AN792" s="368">
        <v>0.10660377358490566</v>
      </c>
      <c r="AO792" s="368"/>
      <c r="AP792" s="368"/>
      <c r="AQ792" s="368">
        <v>0.10660377358490566</v>
      </c>
      <c r="AR792" s="368"/>
      <c r="AS792" s="195">
        <f>AJ792</f>
        <v>6.3962264150943389</v>
      </c>
      <c r="AT792" s="195">
        <f>(11.3*1000)/1060</f>
        <v>10.660377358490566</v>
      </c>
      <c r="AU792" s="377"/>
      <c r="AV792" s="382"/>
      <c r="AW792" s="426">
        <f>199/1000/1.01</f>
        <v>0.19702970297029704</v>
      </c>
      <c r="AX792" s="426"/>
      <c r="AY792" s="426">
        <f>73/1000/1.01</f>
        <v>7.2277227722772272E-2</v>
      </c>
      <c r="AZ792" s="426">
        <f>244/1000/1.01</f>
        <v>0.24158415841584158</v>
      </c>
      <c r="BA792" s="426">
        <f>9/1000/1.01</f>
        <v>8.9108910891089101E-3</v>
      </c>
      <c r="BB792" s="426">
        <f>101/1000/1.01</f>
        <v>0.1</v>
      </c>
      <c r="BC792" s="426"/>
      <c r="BD792" s="426">
        <f>49/1000/1.01</f>
        <v>4.8514851485148516E-2</v>
      </c>
      <c r="BE792" s="426"/>
      <c r="BF792" s="469">
        <f t="shared" si="62"/>
        <v>0.19702970297029704</v>
      </c>
      <c r="BG792" s="469">
        <v>0.66930693069306935</v>
      </c>
      <c r="BH792" s="341"/>
      <c r="BI792" s="447" t="s">
        <v>990</v>
      </c>
      <c r="BJ792" s="505"/>
    </row>
    <row r="793" spans="1:62" ht="15.75" customHeight="1" thickBot="1" x14ac:dyDescent="0.25">
      <c r="A793" s="176">
        <v>794</v>
      </c>
      <c r="B793" s="175">
        <v>1</v>
      </c>
      <c r="C793" s="166" t="s">
        <v>596</v>
      </c>
      <c r="D793" s="167" t="s">
        <v>2785</v>
      </c>
      <c r="E793" s="167" t="s">
        <v>1246</v>
      </c>
      <c r="F793" s="167" t="s">
        <v>2805</v>
      </c>
      <c r="G793" s="167"/>
      <c r="H793" s="167" t="s">
        <v>108</v>
      </c>
      <c r="I793" s="184">
        <v>2016</v>
      </c>
      <c r="J793" s="184" t="s">
        <v>2806</v>
      </c>
      <c r="K793" s="184" t="s">
        <v>2807</v>
      </c>
      <c r="L793" s="181" t="s">
        <v>19</v>
      </c>
      <c r="M793" s="556" t="s">
        <v>4276</v>
      </c>
      <c r="N793" s="214" t="s">
        <v>122</v>
      </c>
      <c r="O793" s="214" t="s">
        <v>292</v>
      </c>
      <c r="P793" s="214" t="s">
        <v>122</v>
      </c>
      <c r="Q793" s="214" t="s">
        <v>122</v>
      </c>
      <c r="R793" s="214" t="s">
        <v>122</v>
      </c>
      <c r="S793" s="214" t="s">
        <v>122</v>
      </c>
      <c r="T793" s="214" t="s">
        <v>122</v>
      </c>
      <c r="U793" s="214" t="s">
        <v>292</v>
      </c>
      <c r="V793" s="214" t="s">
        <v>292</v>
      </c>
      <c r="W793" s="214" t="s">
        <v>292</v>
      </c>
      <c r="X793" s="214" t="s">
        <v>292</v>
      </c>
      <c r="Y793" s="214" t="s">
        <v>292</v>
      </c>
      <c r="Z793" s="234"/>
      <c r="AA793" s="234"/>
      <c r="AB793" s="234" t="s">
        <v>292</v>
      </c>
      <c r="AC793" s="234"/>
      <c r="AD793" s="319" t="s">
        <v>2802</v>
      </c>
      <c r="AE793" s="319" t="s">
        <v>2791</v>
      </c>
      <c r="AF793" s="162">
        <f t="shared" si="58"/>
        <v>6.4132075471698116</v>
      </c>
      <c r="AG793" s="162">
        <f t="shared" si="61"/>
        <v>7.9679245283018867</v>
      </c>
      <c r="AH793" s="164">
        <f t="shared" si="59"/>
        <v>0.19702970297029704</v>
      </c>
      <c r="AI793" s="164">
        <f t="shared" si="60"/>
        <v>0.26930693069306932</v>
      </c>
      <c r="AJ793" s="368">
        <v>6.4132075471698116</v>
      </c>
      <c r="AK793" s="368"/>
      <c r="AL793" s="368">
        <v>1.5547169811320753</v>
      </c>
      <c r="AM793" s="368">
        <v>1.5547169811320753</v>
      </c>
      <c r="AN793" s="368">
        <v>9.7169811320754709E-2</v>
      </c>
      <c r="AO793" s="368"/>
      <c r="AP793" s="368"/>
      <c r="AQ793" s="368">
        <v>9.7169811320754709E-2</v>
      </c>
      <c r="AR793" s="368"/>
      <c r="AS793" s="195">
        <f>AJ793</f>
        <v>6.4132075471698116</v>
      </c>
      <c r="AT793" s="195">
        <f>(10.3*1000)/1060</f>
        <v>9.7169811320754711</v>
      </c>
      <c r="AU793" s="377"/>
      <c r="AV793" s="382"/>
      <c r="AW793" s="426">
        <f>199/1000/1.01</f>
        <v>0.19702970297029704</v>
      </c>
      <c r="AX793" s="426"/>
      <c r="AY793" s="426">
        <f>73/1000/1.01</f>
        <v>7.2277227722772272E-2</v>
      </c>
      <c r="AZ793" s="426">
        <f>178/1000/1.01</f>
        <v>0.17623762376237623</v>
      </c>
      <c r="BA793" s="426">
        <f>10/1000/1.01</f>
        <v>9.9009900990099011E-3</v>
      </c>
      <c r="BB793" s="426">
        <f>101/1000/1.01</f>
        <v>0.1</v>
      </c>
      <c r="BC793" s="426"/>
      <c r="BD793" s="426">
        <f>49/1000/1.01</f>
        <v>4.8514851485148516E-2</v>
      </c>
      <c r="BE793" s="426"/>
      <c r="BF793" s="469">
        <f t="shared" si="62"/>
        <v>0.19702970297029704</v>
      </c>
      <c r="BG793" s="469">
        <v>0.60495049504950493</v>
      </c>
      <c r="BH793" s="341"/>
      <c r="BI793" s="447" t="s">
        <v>990</v>
      </c>
      <c r="BJ793" s="505"/>
    </row>
    <row r="794" spans="1:62" ht="15.75" customHeight="1" thickBot="1" x14ac:dyDescent="0.25">
      <c r="A794" s="176">
        <v>795</v>
      </c>
      <c r="B794" s="175">
        <v>1</v>
      </c>
      <c r="C794" s="166" t="s">
        <v>596</v>
      </c>
      <c r="D794" s="167" t="s">
        <v>2808</v>
      </c>
      <c r="E794" s="167" t="s">
        <v>2773</v>
      </c>
      <c r="F794" s="167" t="s">
        <v>2809</v>
      </c>
      <c r="G794" s="167"/>
      <c r="H794" s="167" t="s">
        <v>282</v>
      </c>
      <c r="I794" s="184">
        <v>2012</v>
      </c>
      <c r="J794" s="184" t="s">
        <v>2801</v>
      </c>
      <c r="K794" s="184"/>
      <c r="L794" s="181" t="s">
        <v>83</v>
      </c>
      <c r="M794" s="556" t="s">
        <v>4277</v>
      </c>
      <c r="N794" s="214" t="s">
        <v>122</v>
      </c>
      <c r="O794" s="214" t="s">
        <v>292</v>
      </c>
      <c r="P794" s="214" t="s">
        <v>122</v>
      </c>
      <c r="Q794" s="214" t="s">
        <v>122</v>
      </c>
      <c r="R794" s="214" t="s">
        <v>122</v>
      </c>
      <c r="S794" s="214" t="s">
        <v>122</v>
      </c>
      <c r="T794" s="214" t="s">
        <v>292</v>
      </c>
      <c r="U794" s="214" t="s">
        <v>292</v>
      </c>
      <c r="V794" s="214" t="s">
        <v>292</v>
      </c>
      <c r="W794" s="214" t="s">
        <v>292</v>
      </c>
      <c r="X794" s="214" t="s">
        <v>292</v>
      </c>
      <c r="Y794" s="214" t="s">
        <v>292</v>
      </c>
      <c r="Z794" s="234"/>
      <c r="AA794" s="234"/>
      <c r="AB794" s="234" t="s">
        <v>292</v>
      </c>
      <c r="AC794" s="234"/>
      <c r="AD794" s="319" t="s">
        <v>2810</v>
      </c>
      <c r="AE794" s="319" t="s">
        <v>2811</v>
      </c>
      <c r="AF794" s="162" t="str">
        <f t="shared" si="58"/>
        <v/>
      </c>
      <c r="AG794" s="162" t="str">
        <f t="shared" si="61"/>
        <v/>
      </c>
      <c r="AH794" s="164">
        <f t="shared" si="59"/>
        <v>0.67304964539007084</v>
      </c>
      <c r="AI794" s="164">
        <f t="shared" si="60"/>
        <v>2.0805673758865249</v>
      </c>
      <c r="AJ794" s="368"/>
      <c r="AK794" s="368"/>
      <c r="AL794" s="368"/>
      <c r="AM794" s="368"/>
      <c r="AN794" s="368"/>
      <c r="AO794" s="368"/>
      <c r="AP794" s="368"/>
      <c r="AQ794" s="368"/>
      <c r="AR794" s="368"/>
      <c r="AS794" s="195"/>
      <c r="AT794" s="195"/>
      <c r="AU794" s="377"/>
      <c r="AV794" s="382"/>
      <c r="AW794" s="426">
        <f>(240.4+95.3+138.8)/1000/0.75/0.94</f>
        <v>0.67304964539007084</v>
      </c>
      <c r="AX794" s="426"/>
      <c r="AY794" s="426">
        <f>(992.3)/1000/0.75/0.94</f>
        <v>1.4075177304964539</v>
      </c>
      <c r="AZ794" s="426">
        <f>(559.4+74.4+57.4)/1000/0.75/0.94</f>
        <v>0.98042553191489357</v>
      </c>
      <c r="BA794" s="426">
        <f>(185.5+283.5)/1000/0.75/0.94</f>
        <v>0.66524822695035457</v>
      </c>
      <c r="BB794" s="426">
        <f>62.1/1000/0.75/0.94</f>
        <v>8.8085106382978728E-2</v>
      </c>
      <c r="BC794" s="426"/>
      <c r="BD794" s="426"/>
      <c r="BE794" s="426"/>
      <c r="BF794" s="469">
        <f t="shared" si="62"/>
        <v>0.67304964539007084</v>
      </c>
      <c r="BG794" s="469">
        <v>3.9007092198581561</v>
      </c>
      <c r="BH794" s="341"/>
      <c r="BI794" s="447"/>
      <c r="BJ794" s="505"/>
    </row>
    <row r="795" spans="1:62" ht="15.75" customHeight="1" thickBot="1" x14ac:dyDescent="0.25">
      <c r="A795" s="176">
        <v>796</v>
      </c>
      <c r="B795" s="175">
        <v>1</v>
      </c>
      <c r="C795" s="166" t="s">
        <v>596</v>
      </c>
      <c r="D795" s="167" t="s">
        <v>2808</v>
      </c>
      <c r="E795" s="167" t="s">
        <v>2773</v>
      </c>
      <c r="F795" s="167" t="s">
        <v>2813</v>
      </c>
      <c r="G795" s="167"/>
      <c r="H795" s="167" t="s">
        <v>282</v>
      </c>
      <c r="I795" s="184">
        <v>2012</v>
      </c>
      <c r="J795" s="184" t="s">
        <v>2801</v>
      </c>
      <c r="K795" s="184"/>
      <c r="L795" s="181" t="s">
        <v>83</v>
      </c>
      <c r="M795" s="556" t="s">
        <v>4277</v>
      </c>
      <c r="N795" s="214" t="s">
        <v>122</v>
      </c>
      <c r="O795" s="214" t="s">
        <v>292</v>
      </c>
      <c r="P795" s="214" t="s">
        <v>122</v>
      </c>
      <c r="Q795" s="214" t="s">
        <v>122</v>
      </c>
      <c r="R795" s="214" t="s">
        <v>122</v>
      </c>
      <c r="S795" s="214" t="s">
        <v>122</v>
      </c>
      <c r="T795" s="214" t="s">
        <v>292</v>
      </c>
      <c r="U795" s="214" t="s">
        <v>292</v>
      </c>
      <c r="V795" s="214" t="s">
        <v>292</v>
      </c>
      <c r="W795" s="214" t="s">
        <v>292</v>
      </c>
      <c r="X795" s="214" t="s">
        <v>292</v>
      </c>
      <c r="Y795" s="214" t="s">
        <v>292</v>
      </c>
      <c r="Z795" s="234"/>
      <c r="AA795" s="234"/>
      <c r="AB795" s="234" t="s">
        <v>292</v>
      </c>
      <c r="AC795" s="234"/>
      <c r="AD795" s="319" t="s">
        <v>2810</v>
      </c>
      <c r="AE795" s="319" t="s">
        <v>2811</v>
      </c>
      <c r="AF795" s="162" t="str">
        <f t="shared" si="58"/>
        <v/>
      </c>
      <c r="AG795" s="162" t="str">
        <f t="shared" si="61"/>
        <v/>
      </c>
      <c r="AH795" s="164">
        <f t="shared" si="59"/>
        <v>0.70382978723404255</v>
      </c>
      <c r="AI795" s="164">
        <f t="shared" si="60"/>
        <v>2.8019858156028374</v>
      </c>
      <c r="AJ795" s="368"/>
      <c r="AK795" s="368"/>
      <c r="AL795" s="368"/>
      <c r="AM795" s="368"/>
      <c r="AN795" s="368"/>
      <c r="AO795" s="368"/>
      <c r="AP795" s="368"/>
      <c r="AQ795" s="368"/>
      <c r="AR795" s="368"/>
      <c r="AS795" s="195"/>
      <c r="AT795" s="195"/>
      <c r="AU795" s="377"/>
      <c r="AV795" s="382"/>
      <c r="AW795" s="426">
        <f>(160.5+240.4+95.3)/1000/0.75/0.94</f>
        <v>0.70382978723404255</v>
      </c>
      <c r="AX795" s="426"/>
      <c r="AY795" s="426">
        <f>(1195.7+283.5)/1000/0.75/0.94</f>
        <v>2.0981560283687948</v>
      </c>
      <c r="AZ795" s="426">
        <f>(559.4+74.4+57.4)/1000/0.75/0.94</f>
        <v>0.98042553191489357</v>
      </c>
      <c r="BA795" s="426">
        <f>185.5/1000/0.75/0.94</f>
        <v>0.26312056737588652</v>
      </c>
      <c r="BB795" s="426">
        <f>62.1/1000/0.75/0.94</f>
        <v>8.8085106382978728E-2</v>
      </c>
      <c r="BC795" s="426"/>
      <c r="BD795" s="426"/>
      <c r="BE795" s="426"/>
      <c r="BF795" s="469">
        <f t="shared" si="62"/>
        <v>0.70382978723404255</v>
      </c>
      <c r="BG795" s="469">
        <v>4.212765957446809</v>
      </c>
      <c r="BH795" s="341"/>
      <c r="BI795" s="447"/>
      <c r="BJ795" s="505"/>
    </row>
    <row r="796" spans="1:62" ht="15.75" customHeight="1" thickBot="1" x14ac:dyDescent="0.25">
      <c r="A796" s="176">
        <v>797</v>
      </c>
      <c r="B796" s="175">
        <v>1</v>
      </c>
      <c r="C796" s="166" t="s">
        <v>596</v>
      </c>
      <c r="D796" s="167" t="s">
        <v>2808</v>
      </c>
      <c r="E796" s="167" t="s">
        <v>2773</v>
      </c>
      <c r="F796" s="167" t="s">
        <v>2814</v>
      </c>
      <c r="G796" s="167"/>
      <c r="H796" s="167" t="s">
        <v>2815</v>
      </c>
      <c r="I796" s="184">
        <v>2010</v>
      </c>
      <c r="J796" s="184" t="s">
        <v>2788</v>
      </c>
      <c r="K796" s="184" t="s">
        <v>2789</v>
      </c>
      <c r="L796" s="181" t="s">
        <v>83</v>
      </c>
      <c r="M796" s="556" t="s">
        <v>4278</v>
      </c>
      <c r="N796" s="214" t="s">
        <v>122</v>
      </c>
      <c r="O796" s="214" t="s">
        <v>292</v>
      </c>
      <c r="P796" s="214" t="s">
        <v>122</v>
      </c>
      <c r="Q796" s="214" t="s">
        <v>122</v>
      </c>
      <c r="R796" s="214" t="s">
        <v>122</v>
      </c>
      <c r="S796" s="214" t="s">
        <v>122</v>
      </c>
      <c r="T796" s="214" t="s">
        <v>292</v>
      </c>
      <c r="U796" s="214" t="s">
        <v>292</v>
      </c>
      <c r="V796" s="214" t="s">
        <v>292</v>
      </c>
      <c r="W796" s="214" t="s">
        <v>292</v>
      </c>
      <c r="X796" s="214" t="s">
        <v>292</v>
      </c>
      <c r="Y796" s="214" t="s">
        <v>292</v>
      </c>
      <c r="Z796" s="234"/>
      <c r="AA796" s="234"/>
      <c r="AB796" s="234" t="s">
        <v>292</v>
      </c>
      <c r="AC796" s="234"/>
      <c r="AD796" s="319" t="s">
        <v>2816</v>
      </c>
      <c r="AE796" s="319"/>
      <c r="AF796" s="162" t="str">
        <f t="shared" si="58"/>
        <v/>
      </c>
      <c r="AG796" s="162" t="str">
        <f t="shared" si="61"/>
        <v/>
      </c>
      <c r="AH796" s="164">
        <f t="shared" si="59"/>
        <v>0.65957446808510645</v>
      </c>
      <c r="AI796" s="164">
        <f t="shared" si="60"/>
        <v>1.6308510638297875</v>
      </c>
      <c r="AJ796" s="368"/>
      <c r="AK796" s="368"/>
      <c r="AL796" s="368"/>
      <c r="AM796" s="368"/>
      <c r="AN796" s="368"/>
      <c r="AO796" s="368"/>
      <c r="AP796" s="368"/>
      <c r="AQ796" s="368"/>
      <c r="AR796" s="368"/>
      <c r="AS796" s="195"/>
      <c r="AT796" s="195"/>
      <c r="AU796" s="377"/>
      <c r="AV796" s="382"/>
      <c r="AW796" s="426">
        <f>620/1000/0.94</f>
        <v>0.65957446808510645</v>
      </c>
      <c r="AX796" s="426"/>
      <c r="AY796" s="426">
        <f>913/1000/0.94</f>
        <v>0.97127659574468095</v>
      </c>
      <c r="AZ796" s="426">
        <f>474/1000/0.94</f>
        <v>0.50425531914893618</v>
      </c>
      <c r="BA796" s="426">
        <f>248/1000/0.94</f>
        <v>0.26382978723404255</v>
      </c>
      <c r="BB796" s="426"/>
      <c r="BC796" s="426"/>
      <c r="BD796" s="426"/>
      <c r="BE796" s="426"/>
      <c r="BF796" s="469">
        <f t="shared" si="62"/>
        <v>0.65957446808510645</v>
      </c>
      <c r="BG796" s="469">
        <v>2.3989361702127661</v>
      </c>
      <c r="BH796" s="341"/>
      <c r="BI796" s="447"/>
      <c r="BJ796" s="505"/>
    </row>
    <row r="797" spans="1:62" ht="15.75" customHeight="1" thickBot="1" x14ac:dyDescent="0.25">
      <c r="A797" s="176">
        <v>798</v>
      </c>
      <c r="B797" s="175">
        <v>1</v>
      </c>
      <c r="C797" s="169" t="s">
        <v>542</v>
      </c>
      <c r="D797" s="159" t="s">
        <v>2969</v>
      </c>
      <c r="E797" s="166" t="s">
        <v>13</v>
      </c>
      <c r="F797" s="185" t="s">
        <v>550</v>
      </c>
      <c r="G797" s="185" t="s">
        <v>15</v>
      </c>
      <c r="H797" s="185" t="s">
        <v>16</v>
      </c>
      <c r="I797" s="184">
        <v>2008</v>
      </c>
      <c r="J797" s="186" t="s">
        <v>2817</v>
      </c>
      <c r="K797" s="184"/>
      <c r="L797" s="187" t="s">
        <v>104</v>
      </c>
      <c r="M797" s="556" t="s">
        <v>4279</v>
      </c>
      <c r="N797" s="214" t="s">
        <v>20</v>
      </c>
      <c r="O797" s="314" t="s">
        <v>292</v>
      </c>
      <c r="P797" s="314" t="s">
        <v>15</v>
      </c>
      <c r="Q797" s="214" t="s">
        <v>20</v>
      </c>
      <c r="R797" s="314" t="s">
        <v>15</v>
      </c>
      <c r="S797" s="314" t="s">
        <v>292</v>
      </c>
      <c r="T797" s="314" t="s">
        <v>292</v>
      </c>
      <c r="U797" s="314" t="s">
        <v>292</v>
      </c>
      <c r="V797" s="314" t="s">
        <v>292</v>
      </c>
      <c r="W797" s="314" t="s">
        <v>292</v>
      </c>
      <c r="X797" s="314" t="s">
        <v>292</v>
      </c>
      <c r="Y797" s="314" t="s">
        <v>292</v>
      </c>
      <c r="Z797" s="315"/>
      <c r="AA797" s="315" t="s">
        <v>2818</v>
      </c>
      <c r="AB797" s="315" t="s">
        <v>15</v>
      </c>
      <c r="AC797" s="315" t="s">
        <v>15</v>
      </c>
      <c r="AD797" s="327" t="s">
        <v>2819</v>
      </c>
      <c r="AE797" s="327" t="s">
        <v>2820</v>
      </c>
      <c r="AF797" s="162" t="str">
        <f t="shared" si="58"/>
        <v/>
      </c>
      <c r="AG797" s="162" t="str">
        <f t="shared" si="61"/>
        <v/>
      </c>
      <c r="AH797" s="164" t="str">
        <f t="shared" si="59"/>
        <v/>
      </c>
      <c r="AI797" s="164" t="str">
        <f t="shared" si="60"/>
        <v/>
      </c>
      <c r="AJ797" s="515"/>
      <c r="AK797" s="515"/>
      <c r="AL797" s="515"/>
      <c r="AM797" s="515"/>
      <c r="AN797" s="515"/>
      <c r="AO797" s="515"/>
      <c r="AP797" s="515"/>
      <c r="AQ797" s="515"/>
      <c r="AR797" s="515"/>
      <c r="AS797" s="526"/>
      <c r="AT797" s="526"/>
      <c r="AU797" s="377"/>
      <c r="AV797" s="382"/>
      <c r="AW797" s="537"/>
      <c r="AX797" s="537"/>
      <c r="AY797" s="537"/>
      <c r="AZ797" s="537"/>
      <c r="BA797" s="537"/>
      <c r="BB797" s="537"/>
      <c r="BC797" s="537"/>
      <c r="BD797" s="537"/>
      <c r="BE797" s="537"/>
      <c r="BF797" s="488"/>
      <c r="BG797" s="469">
        <v>1.103</v>
      </c>
      <c r="BH797" s="341"/>
      <c r="BI797" s="457" t="s">
        <v>2827</v>
      </c>
      <c r="BJ797" s="337"/>
    </row>
    <row r="798" spans="1:62" ht="15.75" customHeight="1" thickBot="1" x14ac:dyDescent="0.25">
      <c r="A798" s="176">
        <v>799</v>
      </c>
      <c r="B798" s="175">
        <v>1</v>
      </c>
      <c r="C798" s="169" t="s">
        <v>542</v>
      </c>
      <c r="D798" s="159" t="s">
        <v>2969</v>
      </c>
      <c r="E798" s="166" t="s">
        <v>13</v>
      </c>
      <c r="F798" s="185" t="s">
        <v>550</v>
      </c>
      <c r="G798" s="185" t="s">
        <v>15</v>
      </c>
      <c r="H798" s="185" t="s">
        <v>2821</v>
      </c>
      <c r="I798" s="184">
        <v>2015</v>
      </c>
      <c r="J798" s="186" t="s">
        <v>2822</v>
      </c>
      <c r="K798" s="184"/>
      <c r="L798" s="187" t="s">
        <v>19</v>
      </c>
      <c r="M798" s="556" t="s">
        <v>4279</v>
      </c>
      <c r="N798" s="214" t="s">
        <v>20</v>
      </c>
      <c r="O798" s="314" t="s">
        <v>292</v>
      </c>
      <c r="P798" s="314" t="s">
        <v>15</v>
      </c>
      <c r="Q798" s="214" t="s">
        <v>20</v>
      </c>
      <c r="R798" s="314" t="s">
        <v>15</v>
      </c>
      <c r="S798" s="314" t="s">
        <v>292</v>
      </c>
      <c r="T798" s="314" t="s">
        <v>292</v>
      </c>
      <c r="U798" s="314" t="s">
        <v>292</v>
      </c>
      <c r="V798" s="314" t="s">
        <v>292</v>
      </c>
      <c r="W798" s="314" t="s">
        <v>292</v>
      </c>
      <c r="X798" s="314" t="s">
        <v>292</v>
      </c>
      <c r="Y798" s="314" t="s">
        <v>292</v>
      </c>
      <c r="Z798" s="315"/>
      <c r="AA798" s="315" t="s">
        <v>2818</v>
      </c>
      <c r="AB798" s="315" t="s">
        <v>15</v>
      </c>
      <c r="AC798" s="315" t="s">
        <v>15</v>
      </c>
      <c r="AD798" s="327" t="s">
        <v>2824</v>
      </c>
      <c r="AE798" s="327" t="s">
        <v>548</v>
      </c>
      <c r="AF798" s="162" t="str">
        <f t="shared" si="58"/>
        <v/>
      </c>
      <c r="AG798" s="162" t="str">
        <f t="shared" si="61"/>
        <v/>
      </c>
      <c r="AH798" s="164" t="str">
        <f t="shared" si="59"/>
        <v/>
      </c>
      <c r="AI798" s="164" t="str">
        <f t="shared" si="60"/>
        <v/>
      </c>
      <c r="AJ798" s="381"/>
      <c r="AK798" s="381"/>
      <c r="AL798" s="381"/>
      <c r="AM798" s="381"/>
      <c r="AN798" s="381"/>
      <c r="AO798" s="381"/>
      <c r="AP798" s="381"/>
      <c r="AQ798" s="381"/>
      <c r="AR798" s="381"/>
      <c r="AS798" s="261"/>
      <c r="AT798" s="261"/>
      <c r="AU798" s="377"/>
      <c r="AV798" s="393"/>
      <c r="AW798" s="332"/>
      <c r="AX798" s="332"/>
      <c r="AY798" s="332"/>
      <c r="AZ798" s="332"/>
      <c r="BA798" s="332"/>
      <c r="BB798" s="332"/>
      <c r="BC798" s="332"/>
      <c r="BD798" s="332"/>
      <c r="BE798" s="332"/>
      <c r="BF798" s="484"/>
      <c r="BG798" s="467">
        <v>2.024</v>
      </c>
      <c r="BH798" s="341"/>
      <c r="BI798" s="457" t="s">
        <v>2828</v>
      </c>
      <c r="BJ798" s="337"/>
    </row>
    <row r="799" spans="1:62" ht="15.75" customHeight="1" thickBot="1" x14ac:dyDescent="0.25">
      <c r="A799" s="176">
        <v>800</v>
      </c>
      <c r="B799" s="175">
        <v>1</v>
      </c>
      <c r="C799" s="169" t="s">
        <v>542</v>
      </c>
      <c r="D799" s="159" t="s">
        <v>2969</v>
      </c>
      <c r="E799" s="166" t="s">
        <v>13</v>
      </c>
      <c r="F799" s="185" t="s">
        <v>550</v>
      </c>
      <c r="G799" s="185" t="s">
        <v>15</v>
      </c>
      <c r="H799" s="185" t="s">
        <v>369</v>
      </c>
      <c r="I799" s="184">
        <v>2008</v>
      </c>
      <c r="J799" s="186" t="s">
        <v>2823</v>
      </c>
      <c r="K799" s="184"/>
      <c r="L799" s="187" t="s">
        <v>19</v>
      </c>
      <c r="M799" s="556" t="s">
        <v>4279</v>
      </c>
      <c r="N799" s="214" t="s">
        <v>20</v>
      </c>
      <c r="O799" s="314" t="s">
        <v>292</v>
      </c>
      <c r="P799" s="314" t="s">
        <v>15</v>
      </c>
      <c r="Q799" s="214" t="s">
        <v>20</v>
      </c>
      <c r="R799" s="314" t="s">
        <v>15</v>
      </c>
      <c r="S799" s="314" t="s">
        <v>20</v>
      </c>
      <c r="T799" s="314" t="s">
        <v>292</v>
      </c>
      <c r="U799" s="314" t="s">
        <v>15</v>
      </c>
      <c r="V799" s="314" t="s">
        <v>292</v>
      </c>
      <c r="W799" s="314" t="s">
        <v>292</v>
      </c>
      <c r="X799" s="314" t="s">
        <v>292</v>
      </c>
      <c r="Y799" s="314" t="s">
        <v>292</v>
      </c>
      <c r="Z799" s="315"/>
      <c r="AA799" s="315" t="s">
        <v>2818</v>
      </c>
      <c r="AB799" s="315" t="s">
        <v>15</v>
      </c>
      <c r="AC799" s="315" t="s">
        <v>15</v>
      </c>
      <c r="AD799" s="327" t="s">
        <v>2825</v>
      </c>
      <c r="AE799" s="327" t="s">
        <v>2826</v>
      </c>
      <c r="AF799" s="162" t="str">
        <f t="shared" si="58"/>
        <v/>
      </c>
      <c r="AG799" s="162" t="str">
        <f t="shared" si="61"/>
        <v/>
      </c>
      <c r="AH799" s="164" t="str">
        <f t="shared" si="59"/>
        <v/>
      </c>
      <c r="AI799" s="164" t="str">
        <f t="shared" si="60"/>
        <v/>
      </c>
      <c r="AJ799" s="382"/>
      <c r="AK799" s="382"/>
      <c r="AL799" s="382"/>
      <c r="AM799" s="382"/>
      <c r="AN799" s="382"/>
      <c r="AO799" s="382"/>
      <c r="AP799" s="382"/>
      <c r="AQ799" s="382"/>
      <c r="AR799" s="382"/>
      <c r="AS799" s="261"/>
      <c r="AT799" s="261"/>
      <c r="AU799" s="377"/>
      <c r="AV799" s="393"/>
      <c r="AW799" s="332"/>
      <c r="AX799" s="332"/>
      <c r="AY799" s="332"/>
      <c r="AZ799" s="332"/>
      <c r="BA799" s="332"/>
      <c r="BB799" s="332"/>
      <c r="BC799" s="332"/>
      <c r="BD799" s="332"/>
      <c r="BE799" s="332"/>
      <c r="BF799" s="484"/>
      <c r="BG799" s="467">
        <v>1.36</v>
      </c>
      <c r="BH799" s="341"/>
      <c r="BI799" s="457" t="s">
        <v>2829</v>
      </c>
      <c r="BJ799" s="337"/>
    </row>
    <row r="800" spans="1:62" ht="15.75" customHeight="1" thickBot="1" x14ac:dyDescent="0.25">
      <c r="A800" s="176">
        <v>801</v>
      </c>
      <c r="B800" s="175">
        <v>2</v>
      </c>
      <c r="C800" s="166" t="s">
        <v>236</v>
      </c>
      <c r="D800" s="159" t="s">
        <v>2010</v>
      </c>
      <c r="E800" s="167"/>
      <c r="F800" s="167"/>
      <c r="G800" s="167"/>
      <c r="H800" s="167" t="s">
        <v>108</v>
      </c>
      <c r="I800" s="188" t="s">
        <v>2868</v>
      </c>
      <c r="J800" s="184" t="s">
        <v>2866</v>
      </c>
      <c r="K800" s="184" t="s">
        <v>2867</v>
      </c>
      <c r="L800" s="181" t="s">
        <v>83</v>
      </c>
      <c r="M800" s="556" t="s">
        <v>4280</v>
      </c>
      <c r="N800" s="214"/>
      <c r="O800" s="214"/>
      <c r="P800" s="214"/>
      <c r="Q800" s="214"/>
      <c r="R800" s="214"/>
      <c r="S800" s="214"/>
      <c r="T800" s="214"/>
      <c r="U800" s="214"/>
      <c r="V800" s="214"/>
      <c r="W800" s="214"/>
      <c r="X800" s="214"/>
      <c r="Y800" s="214"/>
      <c r="Z800" s="234"/>
      <c r="AA800" s="234"/>
      <c r="AB800" s="234"/>
      <c r="AC800" s="234"/>
      <c r="AD800" s="319"/>
      <c r="AE800" s="319"/>
      <c r="AF800" s="162" t="str">
        <f t="shared" si="58"/>
        <v/>
      </c>
      <c r="AG800" s="162" t="str">
        <f t="shared" si="61"/>
        <v/>
      </c>
      <c r="AH800" s="164">
        <f t="shared" si="59"/>
        <v>0.84</v>
      </c>
      <c r="AI800" s="164" t="str">
        <f t="shared" si="60"/>
        <v/>
      </c>
      <c r="AJ800" s="382"/>
      <c r="AK800" s="382"/>
      <c r="AL800" s="382"/>
      <c r="AM800" s="382"/>
      <c r="AN800" s="382"/>
      <c r="AO800" s="382"/>
      <c r="AP800" s="382"/>
      <c r="AQ800" s="382"/>
      <c r="AR800" s="382"/>
      <c r="AS800" s="261"/>
      <c r="AT800" s="261"/>
      <c r="AU800" s="377"/>
      <c r="AV800" s="393"/>
      <c r="AW800" s="332"/>
      <c r="AX800" s="332"/>
      <c r="AY800" s="332"/>
      <c r="AZ800" s="332"/>
      <c r="BA800" s="332"/>
      <c r="BB800" s="332"/>
      <c r="BC800" s="332"/>
      <c r="BD800" s="332"/>
      <c r="BE800" s="332"/>
      <c r="BF800" s="541">
        <v>0.84</v>
      </c>
      <c r="BG800" s="467"/>
      <c r="BH800" s="341"/>
      <c r="BI800" s="447"/>
      <c r="BJ800" s="337"/>
    </row>
    <row r="801" spans="1:62" ht="15.75" customHeight="1" thickBot="1" x14ac:dyDescent="0.25">
      <c r="A801" s="176">
        <v>802</v>
      </c>
      <c r="B801" s="175">
        <v>2</v>
      </c>
      <c r="C801" s="166" t="s">
        <v>236</v>
      </c>
      <c r="D801" s="159" t="s">
        <v>1948</v>
      </c>
      <c r="E801" s="167"/>
      <c r="F801" s="167"/>
      <c r="G801" s="167"/>
      <c r="H801" s="167" t="s">
        <v>2870</v>
      </c>
      <c r="I801" s="188" t="s">
        <v>2868</v>
      </c>
      <c r="J801" s="184" t="s">
        <v>2866</v>
      </c>
      <c r="K801" s="184" t="s">
        <v>2867</v>
      </c>
      <c r="L801" s="181" t="s">
        <v>83</v>
      </c>
      <c r="M801" s="556" t="s">
        <v>4280</v>
      </c>
      <c r="N801" s="214"/>
      <c r="O801" s="214"/>
      <c r="P801" s="214"/>
      <c r="Q801" s="214"/>
      <c r="R801" s="214"/>
      <c r="S801" s="214"/>
      <c r="T801" s="214"/>
      <c r="U801" s="214"/>
      <c r="V801" s="214"/>
      <c r="W801" s="214"/>
      <c r="X801" s="214"/>
      <c r="Y801" s="214"/>
      <c r="Z801" s="234"/>
      <c r="AA801" s="234"/>
      <c r="AB801" s="234"/>
      <c r="AC801" s="234"/>
      <c r="AD801" s="319"/>
      <c r="AE801" s="319"/>
      <c r="AF801" s="162" t="str">
        <f t="shared" si="58"/>
        <v/>
      </c>
      <c r="AG801" s="162" t="str">
        <f t="shared" si="61"/>
        <v/>
      </c>
      <c r="AH801" s="164">
        <f t="shared" si="59"/>
        <v>1.39</v>
      </c>
      <c r="AI801" s="164" t="str">
        <f t="shared" si="60"/>
        <v/>
      </c>
      <c r="AJ801" s="382"/>
      <c r="AK801" s="382"/>
      <c r="AL801" s="382"/>
      <c r="AM801" s="382"/>
      <c r="AN801" s="382"/>
      <c r="AO801" s="382"/>
      <c r="AP801" s="382"/>
      <c r="AQ801" s="382"/>
      <c r="AR801" s="382"/>
      <c r="AS801" s="261"/>
      <c r="AT801" s="261"/>
      <c r="AU801" s="377"/>
      <c r="AV801" s="393"/>
      <c r="AW801" s="332"/>
      <c r="AX801" s="332"/>
      <c r="AY801" s="332"/>
      <c r="AZ801" s="332"/>
      <c r="BA801" s="332"/>
      <c r="BB801" s="332"/>
      <c r="BC801" s="332"/>
      <c r="BD801" s="332"/>
      <c r="BE801" s="332"/>
      <c r="BF801" s="489">
        <v>1.39</v>
      </c>
      <c r="BG801" s="467"/>
      <c r="BH801" s="341"/>
      <c r="BI801" s="447"/>
      <c r="BJ801" s="337"/>
    </row>
    <row r="802" spans="1:62" ht="15.75" customHeight="1" thickBot="1" x14ac:dyDescent="0.25">
      <c r="A802" s="176">
        <v>803</v>
      </c>
      <c r="B802" s="175">
        <v>2</v>
      </c>
      <c r="C802" s="166" t="s">
        <v>162</v>
      </c>
      <c r="D802" s="159" t="s">
        <v>2332</v>
      </c>
      <c r="E802" s="167"/>
      <c r="F802" s="167"/>
      <c r="G802" s="167"/>
      <c r="H802" s="167" t="s">
        <v>108</v>
      </c>
      <c r="I802" s="188" t="s">
        <v>2868</v>
      </c>
      <c r="J802" s="184" t="s">
        <v>2866</v>
      </c>
      <c r="K802" s="184" t="s">
        <v>2867</v>
      </c>
      <c r="L802" s="181" t="s">
        <v>83</v>
      </c>
      <c r="M802" s="556" t="s">
        <v>4280</v>
      </c>
      <c r="N802" s="214"/>
      <c r="O802" s="214"/>
      <c r="P802" s="214"/>
      <c r="Q802" s="214"/>
      <c r="R802" s="214"/>
      <c r="S802" s="214"/>
      <c r="T802" s="214"/>
      <c r="U802" s="214"/>
      <c r="V802" s="214"/>
      <c r="W802" s="214"/>
      <c r="X802" s="214"/>
      <c r="Y802" s="214"/>
      <c r="Z802" s="234"/>
      <c r="AA802" s="234"/>
      <c r="AB802" s="234"/>
      <c r="AC802" s="234"/>
      <c r="AD802" s="319"/>
      <c r="AE802" s="319"/>
      <c r="AF802" s="162" t="str">
        <f t="shared" si="58"/>
        <v/>
      </c>
      <c r="AG802" s="162" t="str">
        <f t="shared" si="61"/>
        <v/>
      </c>
      <c r="AH802" s="164">
        <f t="shared" si="59"/>
        <v>0.35</v>
      </c>
      <c r="AI802" s="164" t="str">
        <f t="shared" si="60"/>
        <v/>
      </c>
      <c r="AJ802" s="382"/>
      <c r="AK802" s="382"/>
      <c r="AL802" s="382"/>
      <c r="AM802" s="382"/>
      <c r="AN802" s="382"/>
      <c r="AO802" s="382"/>
      <c r="AP802" s="382"/>
      <c r="AQ802" s="382"/>
      <c r="AR802" s="382"/>
      <c r="AS802" s="261"/>
      <c r="AT802" s="261"/>
      <c r="AU802" s="377"/>
      <c r="AV802" s="393"/>
      <c r="AW802" s="332"/>
      <c r="AX802" s="332"/>
      <c r="AY802" s="332"/>
      <c r="AZ802" s="332"/>
      <c r="BA802" s="332"/>
      <c r="BB802" s="332"/>
      <c r="BC802" s="332"/>
      <c r="BD802" s="332"/>
      <c r="BE802" s="332"/>
      <c r="BF802" s="489">
        <v>0.35</v>
      </c>
      <c r="BG802" s="467"/>
      <c r="BH802" s="341"/>
      <c r="BI802" s="447"/>
      <c r="BJ802" s="337"/>
    </row>
    <row r="803" spans="1:62" ht="15.75" customHeight="1" thickBot="1" x14ac:dyDescent="0.25">
      <c r="A803" s="176">
        <v>804</v>
      </c>
      <c r="B803" s="175">
        <v>2</v>
      </c>
      <c r="C803" s="166" t="s">
        <v>162</v>
      </c>
      <c r="D803" s="159" t="s">
        <v>2332</v>
      </c>
      <c r="E803" s="167"/>
      <c r="F803" s="167"/>
      <c r="G803" s="167"/>
      <c r="H803" s="167" t="s">
        <v>2869</v>
      </c>
      <c r="I803" s="188" t="s">
        <v>2868</v>
      </c>
      <c r="J803" s="184" t="s">
        <v>2866</v>
      </c>
      <c r="K803" s="184" t="s">
        <v>2867</v>
      </c>
      <c r="L803" s="181" t="s">
        <v>83</v>
      </c>
      <c r="M803" s="556" t="s">
        <v>4280</v>
      </c>
      <c r="N803" s="214"/>
      <c r="O803" s="214"/>
      <c r="P803" s="214"/>
      <c r="Q803" s="214"/>
      <c r="R803" s="214"/>
      <c r="S803" s="214"/>
      <c r="T803" s="214"/>
      <c r="U803" s="214"/>
      <c r="V803" s="214"/>
      <c r="W803" s="214"/>
      <c r="X803" s="214"/>
      <c r="Y803" s="214"/>
      <c r="Z803" s="234"/>
      <c r="AA803" s="234"/>
      <c r="AB803" s="234"/>
      <c r="AC803" s="234"/>
      <c r="AD803" s="319"/>
      <c r="AE803" s="319"/>
      <c r="AF803" s="162" t="str">
        <f t="shared" si="58"/>
        <v/>
      </c>
      <c r="AG803" s="162" t="str">
        <f t="shared" si="61"/>
        <v/>
      </c>
      <c r="AH803" s="164">
        <f t="shared" si="59"/>
        <v>0.46</v>
      </c>
      <c r="AI803" s="164" t="str">
        <f t="shared" si="60"/>
        <v/>
      </c>
      <c r="AJ803" s="382"/>
      <c r="AK803" s="382"/>
      <c r="AL803" s="382"/>
      <c r="AM803" s="382"/>
      <c r="AN803" s="382"/>
      <c r="AO803" s="382"/>
      <c r="AP803" s="382"/>
      <c r="AQ803" s="382"/>
      <c r="AR803" s="382"/>
      <c r="AS803" s="261"/>
      <c r="AT803" s="261"/>
      <c r="AU803" s="377"/>
      <c r="AV803" s="393"/>
      <c r="AW803" s="332"/>
      <c r="AX803" s="332"/>
      <c r="AY803" s="332"/>
      <c r="AZ803" s="332"/>
      <c r="BA803" s="332"/>
      <c r="BB803" s="332"/>
      <c r="BC803" s="332"/>
      <c r="BD803" s="332"/>
      <c r="BE803" s="332"/>
      <c r="BF803" s="489">
        <v>0.46</v>
      </c>
      <c r="BG803" s="467"/>
      <c r="BH803" s="341"/>
      <c r="BI803" s="447"/>
      <c r="BJ803" s="337"/>
    </row>
    <row r="804" spans="1:62" ht="15.75" customHeight="1" thickBot="1" x14ac:dyDescent="0.25">
      <c r="A804" s="176">
        <v>805</v>
      </c>
      <c r="B804" s="175">
        <v>2</v>
      </c>
      <c r="C804" s="166" t="s">
        <v>236</v>
      </c>
      <c r="D804" s="159" t="s">
        <v>2049</v>
      </c>
      <c r="E804" s="167"/>
      <c r="F804" s="167"/>
      <c r="G804" s="167"/>
      <c r="H804" s="167" t="s">
        <v>2869</v>
      </c>
      <c r="I804" s="188" t="s">
        <v>2868</v>
      </c>
      <c r="J804" s="184" t="s">
        <v>2866</v>
      </c>
      <c r="K804" s="184" t="s">
        <v>2867</v>
      </c>
      <c r="L804" s="181" t="s">
        <v>83</v>
      </c>
      <c r="M804" s="556" t="s">
        <v>4280</v>
      </c>
      <c r="N804" s="214"/>
      <c r="O804" s="214"/>
      <c r="P804" s="214"/>
      <c r="Q804" s="214"/>
      <c r="R804" s="214"/>
      <c r="S804" s="214"/>
      <c r="T804" s="214"/>
      <c r="U804" s="214"/>
      <c r="V804" s="214"/>
      <c r="W804" s="214"/>
      <c r="X804" s="214"/>
      <c r="Y804" s="214"/>
      <c r="Z804" s="234"/>
      <c r="AA804" s="234"/>
      <c r="AB804" s="234"/>
      <c r="AC804" s="234"/>
      <c r="AD804" s="319"/>
      <c r="AE804" s="319"/>
      <c r="AF804" s="162" t="str">
        <f t="shared" si="58"/>
        <v/>
      </c>
      <c r="AG804" s="162" t="str">
        <f t="shared" si="61"/>
        <v/>
      </c>
      <c r="AH804" s="164">
        <f t="shared" si="59"/>
        <v>0.51</v>
      </c>
      <c r="AI804" s="164" t="str">
        <f t="shared" si="60"/>
        <v/>
      </c>
      <c r="AJ804" s="382"/>
      <c r="AK804" s="382"/>
      <c r="AL804" s="382"/>
      <c r="AM804" s="382"/>
      <c r="AN804" s="382"/>
      <c r="AO804" s="382"/>
      <c r="AP804" s="382"/>
      <c r="AQ804" s="382"/>
      <c r="AR804" s="382"/>
      <c r="AS804" s="261"/>
      <c r="AT804" s="261"/>
      <c r="AU804" s="377"/>
      <c r="AV804" s="393"/>
      <c r="AW804" s="332"/>
      <c r="AX804" s="332"/>
      <c r="AY804" s="332"/>
      <c r="AZ804" s="332"/>
      <c r="BA804" s="332"/>
      <c r="BB804" s="332"/>
      <c r="BC804" s="332"/>
      <c r="BD804" s="332"/>
      <c r="BE804" s="332"/>
      <c r="BF804" s="489">
        <v>0.51</v>
      </c>
      <c r="BG804" s="467"/>
      <c r="BH804" s="341"/>
      <c r="BI804" s="447"/>
      <c r="BJ804" s="337"/>
    </row>
    <row r="805" spans="1:62" ht="15.75" customHeight="1" thickBot="1" x14ac:dyDescent="0.25">
      <c r="A805" s="176">
        <v>806</v>
      </c>
      <c r="B805" s="175">
        <v>2</v>
      </c>
      <c r="C805" s="166" t="s">
        <v>236</v>
      </c>
      <c r="D805" s="159" t="s">
        <v>2059</v>
      </c>
      <c r="E805" s="167"/>
      <c r="F805" s="167"/>
      <c r="G805" s="167"/>
      <c r="H805" s="167" t="s">
        <v>2869</v>
      </c>
      <c r="I805" s="188" t="s">
        <v>2868</v>
      </c>
      <c r="J805" s="184" t="s">
        <v>2866</v>
      </c>
      <c r="K805" s="184" t="s">
        <v>2867</v>
      </c>
      <c r="L805" s="181" t="s">
        <v>83</v>
      </c>
      <c r="M805" s="556" t="s">
        <v>4280</v>
      </c>
      <c r="N805" s="214"/>
      <c r="O805" s="214"/>
      <c r="P805" s="214"/>
      <c r="Q805" s="214"/>
      <c r="R805" s="214"/>
      <c r="S805" s="214"/>
      <c r="T805" s="214"/>
      <c r="U805" s="214"/>
      <c r="V805" s="214"/>
      <c r="W805" s="214"/>
      <c r="X805" s="214"/>
      <c r="Y805" s="214"/>
      <c r="Z805" s="234"/>
      <c r="AA805" s="234"/>
      <c r="AB805" s="234"/>
      <c r="AC805" s="234"/>
      <c r="AD805" s="319"/>
      <c r="AE805" s="319"/>
      <c r="AF805" s="162" t="str">
        <f t="shared" si="58"/>
        <v/>
      </c>
      <c r="AG805" s="162" t="str">
        <f t="shared" si="61"/>
        <v/>
      </c>
      <c r="AH805" s="164">
        <f t="shared" si="59"/>
        <v>0.51</v>
      </c>
      <c r="AI805" s="164" t="str">
        <f t="shared" si="60"/>
        <v/>
      </c>
      <c r="AJ805" s="382"/>
      <c r="AK805" s="382"/>
      <c r="AL805" s="382"/>
      <c r="AM805" s="382"/>
      <c r="AN805" s="382"/>
      <c r="AO805" s="382"/>
      <c r="AP805" s="382"/>
      <c r="AQ805" s="382"/>
      <c r="AR805" s="382"/>
      <c r="AS805" s="261"/>
      <c r="AT805" s="261"/>
      <c r="AU805" s="377"/>
      <c r="AV805" s="393"/>
      <c r="AW805" s="332"/>
      <c r="AX805" s="332"/>
      <c r="AY805" s="332"/>
      <c r="AZ805" s="332"/>
      <c r="BA805" s="332"/>
      <c r="BB805" s="332"/>
      <c r="BC805" s="332"/>
      <c r="BD805" s="332"/>
      <c r="BE805" s="332"/>
      <c r="BF805" s="489">
        <v>0.51</v>
      </c>
      <c r="BG805" s="467"/>
      <c r="BH805" s="341"/>
      <c r="BI805" s="447"/>
      <c r="BJ805" s="337"/>
    </row>
    <row r="806" spans="1:62" ht="15.75" customHeight="1" thickBot="1" x14ac:dyDescent="0.25">
      <c r="A806" s="176">
        <v>807</v>
      </c>
      <c r="B806" s="175">
        <v>2</v>
      </c>
      <c r="C806" s="166" t="s">
        <v>236</v>
      </c>
      <c r="D806" s="159" t="s">
        <v>2022</v>
      </c>
      <c r="E806" s="167"/>
      <c r="F806" s="167"/>
      <c r="G806" s="167"/>
      <c r="H806" s="167" t="s">
        <v>2869</v>
      </c>
      <c r="I806" s="188" t="s">
        <v>2868</v>
      </c>
      <c r="J806" s="184" t="s">
        <v>2866</v>
      </c>
      <c r="K806" s="184" t="s">
        <v>2867</v>
      </c>
      <c r="L806" s="181" t="s">
        <v>83</v>
      </c>
      <c r="M806" s="556" t="s">
        <v>4280</v>
      </c>
      <c r="N806" s="214"/>
      <c r="O806" s="214"/>
      <c r="P806" s="214"/>
      <c r="Q806" s="214"/>
      <c r="R806" s="214"/>
      <c r="S806" s="214"/>
      <c r="T806" s="214"/>
      <c r="U806" s="214"/>
      <c r="V806" s="214"/>
      <c r="W806" s="214"/>
      <c r="X806" s="214"/>
      <c r="Y806" s="214"/>
      <c r="Z806" s="234"/>
      <c r="AA806" s="234"/>
      <c r="AB806" s="234"/>
      <c r="AC806" s="234"/>
      <c r="AD806" s="319"/>
      <c r="AE806" s="319"/>
      <c r="AF806" s="162" t="str">
        <f t="shared" si="58"/>
        <v/>
      </c>
      <c r="AG806" s="162" t="str">
        <f t="shared" si="61"/>
        <v/>
      </c>
      <c r="AH806" s="164">
        <f t="shared" si="59"/>
        <v>0.51</v>
      </c>
      <c r="AI806" s="164" t="str">
        <f t="shared" si="60"/>
        <v/>
      </c>
      <c r="AJ806" s="382"/>
      <c r="AK806" s="382"/>
      <c r="AL806" s="382"/>
      <c r="AM806" s="382"/>
      <c r="AN806" s="382"/>
      <c r="AO806" s="382"/>
      <c r="AP806" s="382"/>
      <c r="AQ806" s="382"/>
      <c r="AR806" s="382"/>
      <c r="AS806" s="261"/>
      <c r="AT806" s="261"/>
      <c r="AU806" s="377"/>
      <c r="AV806" s="393"/>
      <c r="AW806" s="332"/>
      <c r="AX806" s="332"/>
      <c r="AY806" s="332"/>
      <c r="AZ806" s="332"/>
      <c r="BA806" s="332"/>
      <c r="BB806" s="332"/>
      <c r="BC806" s="332"/>
      <c r="BD806" s="332"/>
      <c r="BE806" s="332"/>
      <c r="BF806" s="489">
        <v>0.51</v>
      </c>
      <c r="BG806" s="467"/>
      <c r="BH806" s="341"/>
      <c r="BI806" s="447"/>
      <c r="BJ806" s="337"/>
    </row>
    <row r="807" spans="1:62" ht="15.75" customHeight="1" thickBot="1" x14ac:dyDescent="0.25">
      <c r="A807" s="176">
        <v>808</v>
      </c>
      <c r="B807" s="175">
        <v>2</v>
      </c>
      <c r="C807" s="166" t="s">
        <v>236</v>
      </c>
      <c r="D807" s="159" t="s">
        <v>2022</v>
      </c>
      <c r="E807" s="167"/>
      <c r="F807" s="167"/>
      <c r="G807" s="167"/>
      <c r="H807" s="167" t="s">
        <v>2870</v>
      </c>
      <c r="I807" s="188" t="s">
        <v>2868</v>
      </c>
      <c r="J807" s="184" t="s">
        <v>2866</v>
      </c>
      <c r="K807" s="184" t="s">
        <v>2867</v>
      </c>
      <c r="L807" s="181" t="s">
        <v>83</v>
      </c>
      <c r="M807" s="556" t="s">
        <v>4280</v>
      </c>
      <c r="N807" s="214"/>
      <c r="O807" s="214"/>
      <c r="P807" s="214"/>
      <c r="Q807" s="214"/>
      <c r="R807" s="214"/>
      <c r="S807" s="214"/>
      <c r="T807" s="214"/>
      <c r="U807" s="214"/>
      <c r="V807" s="214"/>
      <c r="W807" s="214"/>
      <c r="X807" s="214"/>
      <c r="Y807" s="214"/>
      <c r="Z807" s="234"/>
      <c r="AA807" s="234"/>
      <c r="AB807" s="234"/>
      <c r="AC807" s="234"/>
      <c r="AD807" s="319"/>
      <c r="AE807" s="319"/>
      <c r="AF807" s="162" t="str">
        <f t="shared" si="58"/>
        <v/>
      </c>
      <c r="AG807" s="162" t="str">
        <f t="shared" si="61"/>
        <v/>
      </c>
      <c r="AH807" s="164">
        <f t="shared" si="59"/>
        <v>0.7</v>
      </c>
      <c r="AI807" s="164" t="str">
        <f t="shared" si="60"/>
        <v/>
      </c>
      <c r="AJ807" s="382"/>
      <c r="AK807" s="382"/>
      <c r="AL807" s="382"/>
      <c r="AM807" s="382"/>
      <c r="AN807" s="382"/>
      <c r="AO807" s="382"/>
      <c r="AP807" s="382"/>
      <c r="AQ807" s="382"/>
      <c r="AR807" s="382"/>
      <c r="AS807" s="261"/>
      <c r="AT807" s="261"/>
      <c r="AU807" s="377"/>
      <c r="AV807" s="393"/>
      <c r="AW807" s="332"/>
      <c r="AX807" s="332"/>
      <c r="AY807" s="332"/>
      <c r="AZ807" s="332"/>
      <c r="BA807" s="332"/>
      <c r="BB807" s="332"/>
      <c r="BC807" s="332"/>
      <c r="BD807" s="332"/>
      <c r="BE807" s="332"/>
      <c r="BF807" s="489">
        <v>0.7</v>
      </c>
      <c r="BG807" s="467"/>
      <c r="BH807" s="341"/>
      <c r="BI807" s="447"/>
      <c r="BJ807" s="337"/>
    </row>
    <row r="808" spans="1:62" ht="15.75" customHeight="1" thickBot="1" x14ac:dyDescent="0.25">
      <c r="A808" s="176">
        <v>809</v>
      </c>
      <c r="B808" s="175">
        <v>2</v>
      </c>
      <c r="C808" s="166" t="s">
        <v>259</v>
      </c>
      <c r="D808" s="159" t="s">
        <v>2083</v>
      </c>
      <c r="E808" s="167"/>
      <c r="F808" s="167"/>
      <c r="G808" s="167"/>
      <c r="H808" s="167" t="s">
        <v>2870</v>
      </c>
      <c r="I808" s="188" t="s">
        <v>2868</v>
      </c>
      <c r="J808" s="184" t="s">
        <v>2866</v>
      </c>
      <c r="K808" s="184" t="s">
        <v>2867</v>
      </c>
      <c r="L808" s="181" t="s">
        <v>83</v>
      </c>
      <c r="M808" s="556" t="s">
        <v>4280</v>
      </c>
      <c r="N808" s="214"/>
      <c r="O808" s="214"/>
      <c r="P808" s="214"/>
      <c r="Q808" s="214"/>
      <c r="R808" s="214"/>
      <c r="S808" s="214"/>
      <c r="T808" s="214"/>
      <c r="U808" s="214"/>
      <c r="V808" s="214"/>
      <c r="W808" s="214"/>
      <c r="X808" s="214"/>
      <c r="Y808" s="214"/>
      <c r="Z808" s="234"/>
      <c r="AA808" s="234"/>
      <c r="AB808" s="234"/>
      <c r="AC808" s="234"/>
      <c r="AD808" s="319"/>
      <c r="AE808" s="319"/>
      <c r="AF808" s="162" t="str">
        <f t="shared" si="58"/>
        <v/>
      </c>
      <c r="AG808" s="162" t="str">
        <f t="shared" si="61"/>
        <v/>
      </c>
      <c r="AH808" s="164">
        <f t="shared" si="59"/>
        <v>0.47</v>
      </c>
      <c r="AI808" s="164" t="str">
        <f t="shared" si="60"/>
        <v/>
      </c>
      <c r="AJ808" s="382"/>
      <c r="AK808" s="382"/>
      <c r="AL808" s="382"/>
      <c r="AM808" s="382"/>
      <c r="AN808" s="382"/>
      <c r="AO808" s="382"/>
      <c r="AP808" s="382"/>
      <c r="AQ808" s="382"/>
      <c r="AR808" s="382"/>
      <c r="AS808" s="261"/>
      <c r="AT808" s="261"/>
      <c r="AU808" s="377"/>
      <c r="AV808" s="393"/>
      <c r="AW808" s="332"/>
      <c r="AX808" s="332"/>
      <c r="AY808" s="332"/>
      <c r="AZ808" s="332"/>
      <c r="BA808" s="332"/>
      <c r="BB808" s="332"/>
      <c r="BC808" s="332"/>
      <c r="BD808" s="332"/>
      <c r="BE808" s="332"/>
      <c r="BF808" s="489">
        <v>0.47</v>
      </c>
      <c r="BG808" s="491"/>
      <c r="BH808" s="341"/>
      <c r="BI808" s="447"/>
      <c r="BJ808" s="337"/>
    </row>
    <row r="809" spans="1:62" ht="15.75" customHeight="1" thickBot="1" x14ac:dyDescent="0.25">
      <c r="A809" s="176">
        <v>810</v>
      </c>
      <c r="B809" s="175">
        <v>2</v>
      </c>
      <c r="C809" s="166" t="s">
        <v>760</v>
      </c>
      <c r="D809" s="159" t="s">
        <v>2253</v>
      </c>
      <c r="E809" s="167"/>
      <c r="F809" s="167"/>
      <c r="G809" s="167"/>
      <c r="H809" s="167" t="s">
        <v>2869</v>
      </c>
      <c r="I809" s="188" t="s">
        <v>2868</v>
      </c>
      <c r="J809" s="184" t="s">
        <v>2866</v>
      </c>
      <c r="K809" s="184" t="s">
        <v>2867</v>
      </c>
      <c r="L809" s="181" t="s">
        <v>83</v>
      </c>
      <c r="M809" s="556" t="s">
        <v>4280</v>
      </c>
      <c r="N809" s="214"/>
      <c r="O809" s="214"/>
      <c r="P809" s="214"/>
      <c r="Q809" s="214"/>
      <c r="R809" s="214"/>
      <c r="S809" s="214"/>
      <c r="T809" s="214"/>
      <c r="U809" s="214"/>
      <c r="V809" s="214"/>
      <c r="W809" s="214"/>
      <c r="X809" s="214"/>
      <c r="Y809" s="214"/>
      <c r="Z809" s="234"/>
      <c r="AA809" s="234"/>
      <c r="AB809" s="234"/>
      <c r="AC809" s="234"/>
      <c r="AD809" s="319"/>
      <c r="AE809" s="319"/>
      <c r="AF809" s="162" t="str">
        <f t="shared" si="58"/>
        <v/>
      </c>
      <c r="AG809" s="162" t="str">
        <f t="shared" si="61"/>
        <v/>
      </c>
      <c r="AH809" s="164">
        <f t="shared" si="59"/>
        <v>1.05</v>
      </c>
      <c r="AI809" s="164" t="str">
        <f t="shared" si="60"/>
        <v/>
      </c>
      <c r="AJ809" s="382"/>
      <c r="AK809" s="382"/>
      <c r="AL809" s="382"/>
      <c r="AM809" s="382"/>
      <c r="AN809" s="382"/>
      <c r="AO809" s="382"/>
      <c r="AP809" s="382"/>
      <c r="AQ809" s="382"/>
      <c r="AR809" s="382"/>
      <c r="AS809" s="261"/>
      <c r="AT809" s="261"/>
      <c r="AU809" s="377"/>
      <c r="AV809" s="393"/>
      <c r="AW809" s="332"/>
      <c r="AX809" s="332"/>
      <c r="AY809" s="332"/>
      <c r="AZ809" s="332"/>
      <c r="BA809" s="332"/>
      <c r="BB809" s="332"/>
      <c r="BC809" s="332"/>
      <c r="BD809" s="332"/>
      <c r="BE809" s="332"/>
      <c r="BF809" s="489">
        <v>1.05</v>
      </c>
      <c r="BG809" s="467"/>
      <c r="BH809" s="341"/>
      <c r="BI809" s="447"/>
      <c r="BJ809" s="337"/>
    </row>
    <row r="810" spans="1:62" ht="15.75" customHeight="1" thickBot="1" x14ac:dyDescent="0.25">
      <c r="A810" s="176">
        <v>811</v>
      </c>
      <c r="B810" s="175">
        <v>2</v>
      </c>
      <c r="C810" s="166" t="s">
        <v>760</v>
      </c>
      <c r="D810" s="159" t="s">
        <v>1883</v>
      </c>
      <c r="E810" s="167"/>
      <c r="F810" s="167"/>
      <c r="G810" s="167"/>
      <c r="H810" s="167" t="s">
        <v>2869</v>
      </c>
      <c r="I810" s="188" t="s">
        <v>2868</v>
      </c>
      <c r="J810" s="184" t="s">
        <v>2866</v>
      </c>
      <c r="K810" s="184" t="s">
        <v>2867</v>
      </c>
      <c r="L810" s="181" t="s">
        <v>83</v>
      </c>
      <c r="M810" s="556" t="s">
        <v>4280</v>
      </c>
      <c r="N810" s="214"/>
      <c r="O810" s="214"/>
      <c r="P810" s="214"/>
      <c r="Q810" s="214"/>
      <c r="R810" s="214"/>
      <c r="S810" s="214"/>
      <c r="T810" s="214"/>
      <c r="U810" s="214"/>
      <c r="V810" s="214"/>
      <c r="W810" s="214"/>
      <c r="X810" s="214"/>
      <c r="Y810" s="214"/>
      <c r="Z810" s="234"/>
      <c r="AA810" s="234"/>
      <c r="AB810" s="234"/>
      <c r="AC810" s="234"/>
      <c r="AD810" s="319"/>
      <c r="AE810" s="319"/>
      <c r="AF810" s="162" t="str">
        <f t="shared" si="58"/>
        <v/>
      </c>
      <c r="AG810" s="162" t="str">
        <f t="shared" si="61"/>
        <v/>
      </c>
      <c r="AH810" s="164">
        <f t="shared" si="59"/>
        <v>0.43</v>
      </c>
      <c r="AI810" s="164" t="str">
        <f t="shared" si="60"/>
        <v/>
      </c>
      <c r="AJ810" s="382"/>
      <c r="AK810" s="382"/>
      <c r="AL810" s="382"/>
      <c r="AM810" s="382"/>
      <c r="AN810" s="382"/>
      <c r="AO810" s="382"/>
      <c r="AP810" s="382"/>
      <c r="AQ810" s="382"/>
      <c r="AR810" s="382"/>
      <c r="AS810" s="261"/>
      <c r="AT810" s="261"/>
      <c r="AU810" s="377"/>
      <c r="AV810" s="393"/>
      <c r="AW810" s="332"/>
      <c r="AX810" s="332"/>
      <c r="AY810" s="332"/>
      <c r="AZ810" s="332"/>
      <c r="BA810" s="332"/>
      <c r="BB810" s="332"/>
      <c r="BC810" s="332"/>
      <c r="BD810" s="332"/>
      <c r="BE810" s="332"/>
      <c r="BF810" s="489">
        <v>0.43</v>
      </c>
      <c r="BG810" s="467"/>
      <c r="BH810" s="341"/>
      <c r="BI810" s="447"/>
      <c r="BJ810" s="337"/>
    </row>
    <row r="811" spans="1:62" ht="15.75" customHeight="1" thickBot="1" x14ac:dyDescent="0.25">
      <c r="A811" s="176">
        <v>812</v>
      </c>
      <c r="B811" s="175">
        <v>2</v>
      </c>
      <c r="C811" s="166" t="s">
        <v>1110</v>
      </c>
      <c r="D811" s="159" t="s">
        <v>1998</v>
      </c>
      <c r="E811" s="167"/>
      <c r="F811" s="167"/>
      <c r="G811" s="167"/>
      <c r="H811" s="167" t="s">
        <v>2870</v>
      </c>
      <c r="I811" s="188" t="s">
        <v>2868</v>
      </c>
      <c r="J811" s="184" t="s">
        <v>2866</v>
      </c>
      <c r="K811" s="184" t="s">
        <v>2867</v>
      </c>
      <c r="L811" s="181" t="s">
        <v>83</v>
      </c>
      <c r="M811" s="556" t="s">
        <v>4280</v>
      </c>
      <c r="N811" s="214"/>
      <c r="O811" s="214"/>
      <c r="P811" s="214"/>
      <c r="Q811" s="214"/>
      <c r="R811" s="214"/>
      <c r="S811" s="214"/>
      <c r="T811" s="214"/>
      <c r="U811" s="214"/>
      <c r="V811" s="214"/>
      <c r="W811" s="214"/>
      <c r="X811" s="214"/>
      <c r="Y811" s="214"/>
      <c r="Z811" s="234"/>
      <c r="AA811" s="234"/>
      <c r="AB811" s="234"/>
      <c r="AC811" s="234"/>
      <c r="AD811" s="319"/>
      <c r="AE811" s="319"/>
      <c r="AF811" s="162" t="str">
        <f t="shared" si="58"/>
        <v/>
      </c>
      <c r="AG811" s="162" t="str">
        <f t="shared" si="61"/>
        <v/>
      </c>
      <c r="AH811" s="164">
        <f t="shared" si="59"/>
        <v>0.88</v>
      </c>
      <c r="AI811" s="164" t="str">
        <f t="shared" si="60"/>
        <v/>
      </c>
      <c r="AJ811" s="382"/>
      <c r="AK811" s="382"/>
      <c r="AL811" s="382"/>
      <c r="AM811" s="382"/>
      <c r="AN811" s="382"/>
      <c r="AO811" s="382"/>
      <c r="AP811" s="382"/>
      <c r="AQ811" s="382"/>
      <c r="AR811" s="382"/>
      <c r="AS811" s="261"/>
      <c r="AT811" s="261"/>
      <c r="AU811" s="377"/>
      <c r="AV811" s="393"/>
      <c r="AW811" s="332"/>
      <c r="AX811" s="332"/>
      <c r="AY811" s="332"/>
      <c r="AZ811" s="332"/>
      <c r="BA811" s="332"/>
      <c r="BB811" s="332"/>
      <c r="BC811" s="332"/>
      <c r="BD811" s="332"/>
      <c r="BE811" s="332"/>
      <c r="BF811" s="489">
        <v>0.88</v>
      </c>
      <c r="BG811" s="467"/>
      <c r="BH811" s="341"/>
      <c r="BI811" s="447"/>
      <c r="BJ811" s="337"/>
    </row>
    <row r="812" spans="1:62" ht="15.75" customHeight="1" thickBot="1" x14ac:dyDescent="0.25">
      <c r="A812" s="176">
        <v>813</v>
      </c>
      <c r="B812" s="175">
        <v>2</v>
      </c>
      <c r="C812" s="166" t="s">
        <v>1110</v>
      </c>
      <c r="D812" s="159" t="s">
        <v>1908</v>
      </c>
      <c r="E812" s="167"/>
      <c r="F812" s="167"/>
      <c r="G812" s="167"/>
      <c r="H812" s="167" t="s">
        <v>2870</v>
      </c>
      <c r="I812" s="188" t="s">
        <v>2868</v>
      </c>
      <c r="J812" s="184" t="s">
        <v>2866</v>
      </c>
      <c r="K812" s="184" t="s">
        <v>2867</v>
      </c>
      <c r="L812" s="181" t="s">
        <v>83</v>
      </c>
      <c r="M812" s="556" t="s">
        <v>4280</v>
      </c>
      <c r="N812" s="214"/>
      <c r="O812" s="214"/>
      <c r="P812" s="214"/>
      <c r="Q812" s="214"/>
      <c r="R812" s="214"/>
      <c r="S812" s="214"/>
      <c r="T812" s="214"/>
      <c r="U812" s="214"/>
      <c r="V812" s="214"/>
      <c r="W812" s="214"/>
      <c r="X812" s="214"/>
      <c r="Y812" s="214"/>
      <c r="Z812" s="234"/>
      <c r="AA812" s="234"/>
      <c r="AB812" s="234"/>
      <c r="AC812" s="234"/>
      <c r="AD812" s="319"/>
      <c r="AE812" s="319"/>
      <c r="AF812" s="162">
        <v>0</v>
      </c>
      <c r="AG812" s="162" t="str">
        <f t="shared" si="61"/>
        <v/>
      </c>
      <c r="AH812" s="164">
        <f t="shared" si="59"/>
        <v>0.87</v>
      </c>
      <c r="AI812" s="164" t="str">
        <f t="shared" si="60"/>
        <v/>
      </c>
      <c r="AJ812" s="382"/>
      <c r="AK812" s="382"/>
      <c r="AL812" s="382"/>
      <c r="AM812" s="382"/>
      <c r="AN812" s="382"/>
      <c r="AO812" s="382"/>
      <c r="AP812" s="382"/>
      <c r="AQ812" s="382"/>
      <c r="AR812" s="382"/>
      <c r="AS812" s="261"/>
      <c r="AT812" s="261"/>
      <c r="AU812" s="377"/>
      <c r="AV812" s="393"/>
      <c r="AW812" s="332"/>
      <c r="AX812" s="332"/>
      <c r="AY812" s="332"/>
      <c r="AZ812" s="332"/>
      <c r="BA812" s="332"/>
      <c r="BB812" s="332"/>
      <c r="BC812" s="332"/>
      <c r="BD812" s="332"/>
      <c r="BE812" s="332"/>
      <c r="BF812" s="489">
        <v>0.87</v>
      </c>
      <c r="BG812" s="467"/>
      <c r="BH812" s="341"/>
      <c r="BI812" s="447"/>
      <c r="BJ812" s="337"/>
    </row>
    <row r="813" spans="1:62" ht="15.75" customHeight="1" thickBot="1" x14ac:dyDescent="0.25">
      <c r="A813" s="176">
        <v>814</v>
      </c>
      <c r="B813" s="175">
        <v>2</v>
      </c>
      <c r="C813" s="166" t="s">
        <v>236</v>
      </c>
      <c r="D813" s="159" t="s">
        <v>2177</v>
      </c>
      <c r="E813" s="167"/>
      <c r="F813" s="167"/>
      <c r="G813" s="167"/>
      <c r="H813" s="167" t="s">
        <v>108</v>
      </c>
      <c r="I813" s="188" t="s">
        <v>2868</v>
      </c>
      <c r="J813" s="184" t="s">
        <v>2866</v>
      </c>
      <c r="K813" s="184" t="s">
        <v>2867</v>
      </c>
      <c r="L813" s="181" t="s">
        <v>83</v>
      </c>
      <c r="M813" s="556" t="s">
        <v>4280</v>
      </c>
      <c r="N813" s="214"/>
      <c r="O813" s="214"/>
      <c r="P813" s="214"/>
      <c r="Q813" s="214"/>
      <c r="R813" s="214"/>
      <c r="S813" s="214"/>
      <c r="T813" s="214"/>
      <c r="U813" s="214"/>
      <c r="V813" s="214"/>
      <c r="W813" s="214"/>
      <c r="X813" s="214"/>
      <c r="Y813" s="214"/>
      <c r="Z813" s="234"/>
      <c r="AA813" s="234"/>
      <c r="AB813" s="234"/>
      <c r="AC813" s="234"/>
      <c r="AD813" s="319"/>
      <c r="AE813" s="319"/>
      <c r="AF813" s="162" t="str">
        <f t="shared" ref="AF813:AF876" si="63">IF(AS813&lt;&gt;0,AS813,"")</f>
        <v/>
      </c>
      <c r="AG813" s="162" t="str">
        <f t="shared" si="61"/>
        <v/>
      </c>
      <c r="AH813" s="164">
        <f t="shared" si="59"/>
        <v>0.32</v>
      </c>
      <c r="AI813" s="164" t="str">
        <f t="shared" si="60"/>
        <v/>
      </c>
      <c r="AJ813" s="382"/>
      <c r="AK813" s="382"/>
      <c r="AL813" s="382"/>
      <c r="AM813" s="382"/>
      <c r="AN813" s="382"/>
      <c r="AO813" s="382"/>
      <c r="AP813" s="382"/>
      <c r="AQ813" s="382"/>
      <c r="AR813" s="382"/>
      <c r="AS813" s="261"/>
      <c r="AT813" s="261"/>
      <c r="AU813" s="377"/>
      <c r="AV813" s="393"/>
      <c r="AW813" s="332"/>
      <c r="AX813" s="332"/>
      <c r="AY813" s="332"/>
      <c r="AZ813" s="332"/>
      <c r="BA813" s="332"/>
      <c r="BB813" s="332"/>
      <c r="BC813" s="332"/>
      <c r="BD813" s="332"/>
      <c r="BE813" s="332"/>
      <c r="BF813" s="489">
        <v>0.32</v>
      </c>
      <c r="BG813" s="467"/>
      <c r="BH813" s="341"/>
      <c r="BI813" s="447"/>
      <c r="BJ813" s="337"/>
    </row>
    <row r="814" spans="1:62" ht="15.75" customHeight="1" thickBot="1" x14ac:dyDescent="0.25">
      <c r="A814" s="176">
        <v>815</v>
      </c>
      <c r="B814" s="175">
        <v>2</v>
      </c>
      <c r="C814" s="166" t="s">
        <v>236</v>
      </c>
      <c r="D814" s="159" t="s">
        <v>2177</v>
      </c>
      <c r="E814" s="167"/>
      <c r="F814" s="167"/>
      <c r="G814" s="167"/>
      <c r="H814" s="167" t="s">
        <v>2869</v>
      </c>
      <c r="I814" s="188" t="s">
        <v>2868</v>
      </c>
      <c r="J814" s="184" t="s">
        <v>2866</v>
      </c>
      <c r="K814" s="184" t="s">
        <v>2867</v>
      </c>
      <c r="L814" s="181" t="s">
        <v>83</v>
      </c>
      <c r="M814" s="556" t="s">
        <v>4280</v>
      </c>
      <c r="N814" s="214"/>
      <c r="O814" s="214"/>
      <c r="P814" s="214"/>
      <c r="Q814" s="214"/>
      <c r="R814" s="214"/>
      <c r="S814" s="214"/>
      <c r="T814" s="214"/>
      <c r="U814" s="214"/>
      <c r="V814" s="214"/>
      <c r="W814" s="214"/>
      <c r="X814" s="214"/>
      <c r="Y814" s="214"/>
      <c r="Z814" s="234"/>
      <c r="AA814" s="234"/>
      <c r="AB814" s="234"/>
      <c r="AC814" s="234"/>
      <c r="AD814" s="319"/>
      <c r="AE814" s="319"/>
      <c r="AF814" s="162" t="str">
        <f t="shared" si="63"/>
        <v/>
      </c>
      <c r="AG814" s="162" t="str">
        <f t="shared" si="61"/>
        <v/>
      </c>
      <c r="AH814" s="164">
        <f t="shared" si="59"/>
        <v>0.43</v>
      </c>
      <c r="AI814" s="164" t="str">
        <f t="shared" si="60"/>
        <v/>
      </c>
      <c r="AJ814" s="382"/>
      <c r="AK814" s="382"/>
      <c r="AL814" s="382"/>
      <c r="AM814" s="382"/>
      <c r="AN814" s="382"/>
      <c r="AO814" s="382"/>
      <c r="AP814" s="382"/>
      <c r="AQ814" s="382"/>
      <c r="AR814" s="382"/>
      <c r="AS814" s="261"/>
      <c r="AT814" s="261"/>
      <c r="AU814" s="377"/>
      <c r="AV814" s="393"/>
      <c r="AW814" s="332"/>
      <c r="AX814" s="332"/>
      <c r="AY814" s="332"/>
      <c r="AZ814" s="332"/>
      <c r="BA814" s="332"/>
      <c r="BB814" s="332"/>
      <c r="BC814" s="332"/>
      <c r="BD814" s="332"/>
      <c r="BE814" s="332"/>
      <c r="BF814" s="489">
        <v>0.43</v>
      </c>
      <c r="BG814" s="467"/>
      <c r="BH814" s="341"/>
      <c r="BI814" s="447"/>
      <c r="BJ814" s="337"/>
    </row>
    <row r="815" spans="1:62" ht="15.75" customHeight="1" thickBot="1" x14ac:dyDescent="0.25">
      <c r="A815" s="176">
        <v>816</v>
      </c>
      <c r="B815" s="175">
        <v>2</v>
      </c>
      <c r="C815" s="166" t="s">
        <v>236</v>
      </c>
      <c r="D815" s="159" t="s">
        <v>2177</v>
      </c>
      <c r="E815" s="167"/>
      <c r="F815" s="167"/>
      <c r="G815" s="167"/>
      <c r="H815" s="167" t="s">
        <v>2870</v>
      </c>
      <c r="I815" s="188" t="s">
        <v>2868</v>
      </c>
      <c r="J815" s="184" t="s">
        <v>2866</v>
      </c>
      <c r="K815" s="184" t="s">
        <v>2867</v>
      </c>
      <c r="L815" s="181" t="s">
        <v>83</v>
      </c>
      <c r="M815" s="556" t="s">
        <v>4280</v>
      </c>
      <c r="N815" s="214"/>
      <c r="O815" s="214"/>
      <c r="P815" s="214"/>
      <c r="Q815" s="214"/>
      <c r="R815" s="214"/>
      <c r="S815" s="214"/>
      <c r="T815" s="214"/>
      <c r="U815" s="214"/>
      <c r="V815" s="214"/>
      <c r="W815" s="214"/>
      <c r="X815" s="214"/>
      <c r="Y815" s="214"/>
      <c r="Z815" s="234"/>
      <c r="AA815" s="234"/>
      <c r="AB815" s="234"/>
      <c r="AC815" s="234"/>
      <c r="AD815" s="319"/>
      <c r="AE815" s="319"/>
      <c r="AF815" s="162" t="str">
        <f t="shared" si="63"/>
        <v/>
      </c>
      <c r="AG815" s="162" t="str">
        <f t="shared" si="61"/>
        <v/>
      </c>
      <c r="AH815" s="164">
        <f t="shared" si="59"/>
        <v>0.88</v>
      </c>
      <c r="AI815" s="164" t="str">
        <f t="shared" si="60"/>
        <v/>
      </c>
      <c r="AJ815" s="382"/>
      <c r="AK815" s="382"/>
      <c r="AL815" s="382"/>
      <c r="AM815" s="382"/>
      <c r="AN815" s="382"/>
      <c r="AO815" s="382"/>
      <c r="AP815" s="382"/>
      <c r="AQ815" s="382"/>
      <c r="AR815" s="382"/>
      <c r="AS815" s="261"/>
      <c r="AT815" s="261"/>
      <c r="AU815" s="377"/>
      <c r="AV815" s="393"/>
      <c r="AW815" s="332"/>
      <c r="AX815" s="332"/>
      <c r="AY815" s="332"/>
      <c r="AZ815" s="332"/>
      <c r="BA815" s="332"/>
      <c r="BB815" s="332"/>
      <c r="BC815" s="332"/>
      <c r="BD815" s="332"/>
      <c r="BE815" s="332"/>
      <c r="BF815" s="489">
        <v>0.88</v>
      </c>
      <c r="BG815" s="467"/>
      <c r="BH815" s="341"/>
      <c r="BI815" s="447"/>
      <c r="BJ815" s="337"/>
    </row>
    <row r="816" spans="1:62" ht="15.75" customHeight="1" thickBot="1" x14ac:dyDescent="0.25">
      <c r="A816" s="176">
        <v>817</v>
      </c>
      <c r="B816" s="175">
        <v>2</v>
      </c>
      <c r="C816" s="166" t="s">
        <v>236</v>
      </c>
      <c r="D816" s="159" t="s">
        <v>2028</v>
      </c>
      <c r="E816" s="167"/>
      <c r="F816" s="167"/>
      <c r="G816" s="167"/>
      <c r="H816" s="167" t="s">
        <v>2870</v>
      </c>
      <c r="I816" s="188" t="s">
        <v>2868</v>
      </c>
      <c r="J816" s="184" t="s">
        <v>2866</v>
      </c>
      <c r="K816" s="184" t="s">
        <v>2867</v>
      </c>
      <c r="L816" s="181" t="s">
        <v>83</v>
      </c>
      <c r="M816" s="556" t="s">
        <v>4280</v>
      </c>
      <c r="N816" s="214"/>
      <c r="O816" s="214"/>
      <c r="P816" s="214"/>
      <c r="Q816" s="214"/>
      <c r="R816" s="214"/>
      <c r="S816" s="214"/>
      <c r="T816" s="214"/>
      <c r="U816" s="214"/>
      <c r="V816" s="214"/>
      <c r="W816" s="214"/>
      <c r="X816" s="214"/>
      <c r="Y816" s="214"/>
      <c r="Z816" s="234"/>
      <c r="AA816" s="234"/>
      <c r="AB816" s="234"/>
      <c r="AC816" s="234"/>
      <c r="AD816" s="319"/>
      <c r="AE816" s="319"/>
      <c r="AF816" s="162" t="str">
        <f t="shared" si="63"/>
        <v/>
      </c>
      <c r="AG816" s="162" t="str">
        <f t="shared" si="61"/>
        <v/>
      </c>
      <c r="AH816" s="164">
        <f t="shared" si="59"/>
        <v>1.78</v>
      </c>
      <c r="AI816" s="164" t="str">
        <f t="shared" si="60"/>
        <v/>
      </c>
      <c r="AJ816" s="382"/>
      <c r="AK816" s="382"/>
      <c r="AL816" s="382"/>
      <c r="AM816" s="382"/>
      <c r="AN816" s="382"/>
      <c r="AO816" s="382"/>
      <c r="AP816" s="382"/>
      <c r="AQ816" s="382"/>
      <c r="AR816" s="382"/>
      <c r="AS816" s="261"/>
      <c r="AT816" s="261"/>
      <c r="AU816" s="377"/>
      <c r="AV816" s="393"/>
      <c r="AW816" s="332"/>
      <c r="AX816" s="332"/>
      <c r="AY816" s="332"/>
      <c r="AZ816" s="332"/>
      <c r="BA816" s="332"/>
      <c r="BB816" s="332"/>
      <c r="BC816" s="332"/>
      <c r="BD816" s="332"/>
      <c r="BE816" s="332"/>
      <c r="BF816" s="489">
        <v>1.78</v>
      </c>
      <c r="BG816" s="467"/>
      <c r="BH816" s="341"/>
      <c r="BI816" s="447"/>
      <c r="BJ816" s="337"/>
    </row>
    <row r="817" spans="1:62" ht="15.75" customHeight="1" thickBot="1" x14ac:dyDescent="0.25">
      <c r="A817" s="176">
        <v>818</v>
      </c>
      <c r="B817" s="175">
        <v>2</v>
      </c>
      <c r="C817" s="166" t="s">
        <v>162</v>
      </c>
      <c r="D817" s="159" t="s">
        <v>2356</v>
      </c>
      <c r="E817" s="167"/>
      <c r="F817" s="167"/>
      <c r="G817" s="167"/>
      <c r="H817" s="167" t="s">
        <v>2870</v>
      </c>
      <c r="I817" s="188" t="s">
        <v>2868</v>
      </c>
      <c r="J817" s="184" t="s">
        <v>2866</v>
      </c>
      <c r="K817" s="184" t="s">
        <v>2867</v>
      </c>
      <c r="L817" s="181" t="s">
        <v>83</v>
      </c>
      <c r="M817" s="556" t="s">
        <v>4280</v>
      </c>
      <c r="N817" s="214"/>
      <c r="O817" s="214"/>
      <c r="P817" s="214"/>
      <c r="Q817" s="214"/>
      <c r="R817" s="214"/>
      <c r="S817" s="214"/>
      <c r="T817" s="214"/>
      <c r="U817" s="214"/>
      <c r="V817" s="214"/>
      <c r="W817" s="214"/>
      <c r="X817" s="214"/>
      <c r="Y817" s="214"/>
      <c r="Z817" s="234"/>
      <c r="AA817" s="234"/>
      <c r="AB817" s="234"/>
      <c r="AC817" s="234"/>
      <c r="AD817" s="319"/>
      <c r="AE817" s="319"/>
      <c r="AF817" s="162" t="str">
        <f t="shared" si="63"/>
        <v/>
      </c>
      <c r="AG817" s="162" t="str">
        <f t="shared" si="61"/>
        <v/>
      </c>
      <c r="AH817" s="164">
        <f t="shared" si="59"/>
        <v>0.88</v>
      </c>
      <c r="AI817" s="164" t="str">
        <f t="shared" si="60"/>
        <v/>
      </c>
      <c r="AJ817" s="382"/>
      <c r="AK817" s="382"/>
      <c r="AL817" s="382"/>
      <c r="AM817" s="382"/>
      <c r="AN817" s="382"/>
      <c r="AO817" s="382"/>
      <c r="AP817" s="382"/>
      <c r="AQ817" s="382"/>
      <c r="AR817" s="382"/>
      <c r="AS817" s="261"/>
      <c r="AT817" s="261"/>
      <c r="AU817" s="377"/>
      <c r="AV817" s="393"/>
      <c r="AW817" s="332"/>
      <c r="AX817" s="332"/>
      <c r="AY817" s="332"/>
      <c r="AZ817" s="332"/>
      <c r="BA817" s="332"/>
      <c r="BB817" s="332"/>
      <c r="BC817" s="332"/>
      <c r="BD817" s="332"/>
      <c r="BE817" s="332"/>
      <c r="BF817" s="489">
        <v>0.88</v>
      </c>
      <c r="BG817" s="467"/>
      <c r="BH817" s="341"/>
      <c r="BI817" s="447"/>
      <c r="BJ817" s="337"/>
    </row>
    <row r="818" spans="1:62" ht="15.75" customHeight="1" thickBot="1" x14ac:dyDescent="0.25">
      <c r="A818" s="176">
        <v>819</v>
      </c>
      <c r="B818" s="175">
        <v>2</v>
      </c>
      <c r="C818" s="166" t="s">
        <v>760</v>
      </c>
      <c r="D818" s="159" t="s">
        <v>1791</v>
      </c>
      <c r="E818" s="167"/>
      <c r="F818" s="167"/>
      <c r="G818" s="167"/>
      <c r="H818" s="167" t="s">
        <v>2869</v>
      </c>
      <c r="I818" s="188" t="s">
        <v>2868</v>
      </c>
      <c r="J818" s="184" t="s">
        <v>2866</v>
      </c>
      <c r="K818" s="184" t="s">
        <v>2867</v>
      </c>
      <c r="L818" s="181" t="s">
        <v>83</v>
      </c>
      <c r="M818" s="556" t="s">
        <v>4280</v>
      </c>
      <c r="N818" s="214"/>
      <c r="O818" s="214"/>
      <c r="P818" s="214"/>
      <c r="Q818" s="214"/>
      <c r="R818" s="214"/>
      <c r="S818" s="214"/>
      <c r="T818" s="214"/>
      <c r="U818" s="214"/>
      <c r="V818" s="214"/>
      <c r="W818" s="214"/>
      <c r="X818" s="214"/>
      <c r="Y818" s="214"/>
      <c r="Z818" s="234"/>
      <c r="AA818" s="234"/>
      <c r="AB818" s="234"/>
      <c r="AC818" s="234"/>
      <c r="AD818" s="319"/>
      <c r="AE818" s="319"/>
      <c r="AF818" s="162" t="str">
        <f t="shared" si="63"/>
        <v/>
      </c>
      <c r="AG818" s="162" t="str">
        <f t="shared" si="61"/>
        <v/>
      </c>
      <c r="AH818" s="164">
        <f t="shared" si="59"/>
        <v>0.61</v>
      </c>
      <c r="AI818" s="164" t="str">
        <f t="shared" si="60"/>
        <v/>
      </c>
      <c r="AJ818" s="382"/>
      <c r="AK818" s="382"/>
      <c r="AL818" s="382"/>
      <c r="AM818" s="382"/>
      <c r="AN818" s="382"/>
      <c r="AO818" s="382"/>
      <c r="AP818" s="382"/>
      <c r="AQ818" s="382"/>
      <c r="AR818" s="382"/>
      <c r="AS818" s="261"/>
      <c r="AT818" s="261"/>
      <c r="AU818" s="377"/>
      <c r="AV818" s="393"/>
      <c r="AW818" s="332"/>
      <c r="AX818" s="332"/>
      <c r="AY818" s="332"/>
      <c r="AZ818" s="332"/>
      <c r="BA818" s="332"/>
      <c r="BB818" s="332"/>
      <c r="BC818" s="332"/>
      <c r="BD818" s="332"/>
      <c r="BE818" s="332"/>
      <c r="BF818" s="489">
        <v>0.61</v>
      </c>
      <c r="BG818" s="467"/>
      <c r="BH818" s="341"/>
      <c r="BI818" s="447"/>
      <c r="BJ818" s="337"/>
    </row>
    <row r="819" spans="1:62" ht="15.75" customHeight="1" thickBot="1" x14ac:dyDescent="0.25">
      <c r="A819" s="176">
        <v>820</v>
      </c>
      <c r="B819" s="175">
        <v>2</v>
      </c>
      <c r="C819" s="166" t="s">
        <v>236</v>
      </c>
      <c r="D819" s="159" t="s">
        <v>2011</v>
      </c>
      <c r="E819" s="167"/>
      <c r="F819" s="167"/>
      <c r="G819" s="167"/>
      <c r="H819" s="167" t="s">
        <v>2869</v>
      </c>
      <c r="I819" s="188" t="s">
        <v>2868</v>
      </c>
      <c r="J819" s="184" t="s">
        <v>2866</v>
      </c>
      <c r="K819" s="184" t="s">
        <v>2867</v>
      </c>
      <c r="L819" s="181" t="s">
        <v>83</v>
      </c>
      <c r="M819" s="556" t="s">
        <v>4280</v>
      </c>
      <c r="N819" s="214"/>
      <c r="O819" s="214"/>
      <c r="P819" s="214"/>
      <c r="Q819" s="214"/>
      <c r="R819" s="214"/>
      <c r="S819" s="214"/>
      <c r="T819" s="214"/>
      <c r="U819" s="214"/>
      <c r="V819" s="214"/>
      <c r="W819" s="214"/>
      <c r="X819" s="214"/>
      <c r="Y819" s="214"/>
      <c r="Z819" s="234"/>
      <c r="AA819" s="234"/>
      <c r="AB819" s="234"/>
      <c r="AC819" s="234"/>
      <c r="AD819" s="319"/>
      <c r="AE819" s="319"/>
      <c r="AF819" s="162" t="str">
        <f t="shared" si="63"/>
        <v/>
      </c>
      <c r="AG819" s="162" t="str">
        <f t="shared" si="61"/>
        <v/>
      </c>
      <c r="AH819" s="164">
        <f t="shared" si="59"/>
        <v>0.42</v>
      </c>
      <c r="AI819" s="164" t="str">
        <f t="shared" si="60"/>
        <v/>
      </c>
      <c r="AJ819" s="382"/>
      <c r="AK819" s="382"/>
      <c r="AL819" s="382"/>
      <c r="AM819" s="382"/>
      <c r="AN819" s="382"/>
      <c r="AO819" s="382"/>
      <c r="AP819" s="382"/>
      <c r="AQ819" s="382"/>
      <c r="AR819" s="382"/>
      <c r="AS819" s="261"/>
      <c r="AT819" s="261"/>
      <c r="AU819" s="377"/>
      <c r="AV819" s="393"/>
      <c r="AW819" s="332"/>
      <c r="AX819" s="332"/>
      <c r="AY819" s="332"/>
      <c r="AZ819" s="332"/>
      <c r="BA819" s="332"/>
      <c r="BB819" s="332"/>
      <c r="BC819" s="332"/>
      <c r="BD819" s="332"/>
      <c r="BE819" s="332"/>
      <c r="BF819" s="490">
        <v>0.42</v>
      </c>
      <c r="BG819" s="467"/>
      <c r="BH819" s="341"/>
      <c r="BI819" s="447"/>
      <c r="BJ819" s="337"/>
    </row>
    <row r="820" spans="1:62" ht="15.75" customHeight="1" thickBot="1" x14ac:dyDescent="0.25">
      <c r="A820" s="176">
        <v>821</v>
      </c>
      <c r="B820" s="175">
        <v>2</v>
      </c>
      <c r="C820" s="166" t="s">
        <v>236</v>
      </c>
      <c r="D820" s="159" t="s">
        <v>2011</v>
      </c>
      <c r="E820" s="167"/>
      <c r="F820" s="167"/>
      <c r="G820" s="167"/>
      <c r="H820" s="167" t="s">
        <v>2870</v>
      </c>
      <c r="I820" s="188" t="s">
        <v>2868</v>
      </c>
      <c r="J820" s="184" t="s">
        <v>2866</v>
      </c>
      <c r="K820" s="184" t="s">
        <v>2867</v>
      </c>
      <c r="L820" s="181" t="s">
        <v>83</v>
      </c>
      <c r="M820" s="556" t="s">
        <v>4280</v>
      </c>
      <c r="N820" s="214"/>
      <c r="O820" s="214"/>
      <c r="P820" s="214"/>
      <c r="Q820" s="214"/>
      <c r="R820" s="214"/>
      <c r="S820" s="214"/>
      <c r="T820" s="214"/>
      <c r="U820" s="214"/>
      <c r="V820" s="214"/>
      <c r="W820" s="214"/>
      <c r="X820" s="214"/>
      <c r="Y820" s="214"/>
      <c r="Z820" s="234"/>
      <c r="AA820" s="234"/>
      <c r="AB820" s="234"/>
      <c r="AC820" s="234"/>
      <c r="AD820" s="319"/>
      <c r="AE820" s="319"/>
      <c r="AF820" s="162" t="str">
        <f t="shared" si="63"/>
        <v/>
      </c>
      <c r="AG820" s="162" t="str">
        <f t="shared" si="61"/>
        <v/>
      </c>
      <c r="AH820" s="164">
        <f t="shared" si="59"/>
        <v>0.75</v>
      </c>
      <c r="AI820" s="164" t="str">
        <f t="shared" si="60"/>
        <v/>
      </c>
      <c r="AJ820" s="382"/>
      <c r="AK820" s="382"/>
      <c r="AL820" s="382"/>
      <c r="AM820" s="382"/>
      <c r="AN820" s="382"/>
      <c r="AO820" s="382"/>
      <c r="AP820" s="382"/>
      <c r="AQ820" s="382"/>
      <c r="AR820" s="382"/>
      <c r="AS820" s="261"/>
      <c r="AT820" s="261"/>
      <c r="AU820" s="377"/>
      <c r="AV820" s="393"/>
      <c r="AW820" s="332"/>
      <c r="AX820" s="332"/>
      <c r="AY820" s="332"/>
      <c r="AZ820" s="332"/>
      <c r="BA820" s="332"/>
      <c r="BB820" s="332"/>
      <c r="BC820" s="332"/>
      <c r="BD820" s="332"/>
      <c r="BE820" s="332"/>
      <c r="BF820" s="490">
        <v>0.75</v>
      </c>
      <c r="BG820" s="467"/>
      <c r="BH820" s="341"/>
      <c r="BI820" s="447"/>
      <c r="BJ820" s="337"/>
    </row>
    <row r="821" spans="1:62" ht="15.75" customHeight="1" thickBot="1" x14ac:dyDescent="0.25">
      <c r="A821" s="176">
        <v>822</v>
      </c>
      <c r="B821" s="175">
        <v>2</v>
      </c>
      <c r="C821" s="166" t="s">
        <v>236</v>
      </c>
      <c r="D821" s="159" t="s">
        <v>1962</v>
      </c>
      <c r="E821" s="167"/>
      <c r="F821" s="167"/>
      <c r="G821" s="167"/>
      <c r="H821" s="167" t="s">
        <v>108</v>
      </c>
      <c r="I821" s="188" t="s">
        <v>2868</v>
      </c>
      <c r="J821" s="184" t="s">
        <v>2866</v>
      </c>
      <c r="K821" s="184" t="s">
        <v>2867</v>
      </c>
      <c r="L821" s="181" t="s">
        <v>83</v>
      </c>
      <c r="M821" s="556" t="s">
        <v>4280</v>
      </c>
      <c r="N821" s="214"/>
      <c r="O821" s="214"/>
      <c r="P821" s="214"/>
      <c r="Q821" s="214"/>
      <c r="R821" s="214"/>
      <c r="S821" s="214"/>
      <c r="T821" s="214"/>
      <c r="U821" s="214"/>
      <c r="V821" s="214"/>
      <c r="W821" s="214"/>
      <c r="X821" s="214"/>
      <c r="Y821" s="214"/>
      <c r="Z821" s="234"/>
      <c r="AA821" s="234"/>
      <c r="AB821" s="234"/>
      <c r="AC821" s="234"/>
      <c r="AD821" s="319"/>
      <c r="AE821" s="319"/>
      <c r="AF821" s="162" t="str">
        <f t="shared" si="63"/>
        <v/>
      </c>
      <c r="AG821" s="162" t="str">
        <f t="shared" si="61"/>
        <v/>
      </c>
      <c r="AH821" s="164">
        <f t="shared" si="59"/>
        <v>0.32</v>
      </c>
      <c r="AI821" s="164" t="str">
        <f t="shared" si="60"/>
        <v/>
      </c>
      <c r="AJ821" s="382"/>
      <c r="AK821" s="382"/>
      <c r="AL821" s="382"/>
      <c r="AM821" s="382"/>
      <c r="AN821" s="382"/>
      <c r="AO821" s="382"/>
      <c r="AP821" s="382"/>
      <c r="AQ821" s="382"/>
      <c r="AR821" s="382"/>
      <c r="AS821" s="261"/>
      <c r="AT821" s="261"/>
      <c r="AU821" s="377"/>
      <c r="AV821" s="393"/>
      <c r="AW821" s="332"/>
      <c r="AX821" s="332"/>
      <c r="AY821" s="332"/>
      <c r="AZ821" s="332"/>
      <c r="BA821" s="332"/>
      <c r="BB821" s="332"/>
      <c r="BC821" s="332"/>
      <c r="BD821" s="332"/>
      <c r="BE821" s="332"/>
      <c r="BF821" s="490">
        <v>0.32</v>
      </c>
      <c r="BG821" s="467"/>
      <c r="BH821" s="341"/>
      <c r="BI821" s="447"/>
      <c r="BJ821" s="337"/>
    </row>
    <row r="822" spans="1:62" ht="15.75" customHeight="1" thickBot="1" x14ac:dyDescent="0.25">
      <c r="A822" s="176">
        <v>823</v>
      </c>
      <c r="B822" s="175">
        <v>2</v>
      </c>
      <c r="C822" s="166" t="s">
        <v>236</v>
      </c>
      <c r="D822" s="159" t="s">
        <v>1962</v>
      </c>
      <c r="E822" s="167"/>
      <c r="F822" s="167"/>
      <c r="G822" s="167"/>
      <c r="H822" s="167" t="s">
        <v>2870</v>
      </c>
      <c r="I822" s="188" t="s">
        <v>2868</v>
      </c>
      <c r="J822" s="184" t="s">
        <v>2866</v>
      </c>
      <c r="K822" s="184" t="s">
        <v>2867</v>
      </c>
      <c r="L822" s="181" t="s">
        <v>83</v>
      </c>
      <c r="M822" s="556" t="s">
        <v>4280</v>
      </c>
      <c r="N822" s="214"/>
      <c r="O822" s="214"/>
      <c r="P822" s="214"/>
      <c r="Q822" s="214"/>
      <c r="R822" s="214"/>
      <c r="S822" s="214"/>
      <c r="T822" s="214"/>
      <c r="U822" s="214"/>
      <c r="V822" s="214"/>
      <c r="W822" s="214"/>
      <c r="X822" s="214"/>
      <c r="Y822" s="214"/>
      <c r="Z822" s="234"/>
      <c r="AA822" s="234"/>
      <c r="AB822" s="234"/>
      <c r="AC822" s="234"/>
      <c r="AD822" s="319"/>
      <c r="AE822" s="319"/>
      <c r="AF822" s="162" t="str">
        <f t="shared" si="63"/>
        <v/>
      </c>
      <c r="AG822" s="162" t="str">
        <f t="shared" si="61"/>
        <v/>
      </c>
      <c r="AH822" s="164">
        <f t="shared" si="59"/>
        <v>0.88</v>
      </c>
      <c r="AI822" s="164" t="str">
        <f t="shared" si="60"/>
        <v/>
      </c>
      <c r="AJ822" s="382"/>
      <c r="AK822" s="382"/>
      <c r="AL822" s="382"/>
      <c r="AM822" s="382"/>
      <c r="AN822" s="382"/>
      <c r="AO822" s="382"/>
      <c r="AP822" s="382"/>
      <c r="AQ822" s="382"/>
      <c r="AR822" s="382"/>
      <c r="AS822" s="261"/>
      <c r="AT822" s="261"/>
      <c r="AU822" s="377"/>
      <c r="AV822" s="393"/>
      <c r="AW822" s="332"/>
      <c r="AX822" s="332"/>
      <c r="AY822" s="332"/>
      <c r="AZ822" s="332"/>
      <c r="BA822" s="332"/>
      <c r="BB822" s="332"/>
      <c r="BC822" s="332"/>
      <c r="BD822" s="332"/>
      <c r="BE822" s="332"/>
      <c r="BF822" s="490">
        <v>0.88</v>
      </c>
      <c r="BG822" s="467"/>
      <c r="BH822" s="341"/>
      <c r="BI822" s="447"/>
      <c r="BJ822" s="337"/>
    </row>
    <row r="823" spans="1:62" ht="15.75" customHeight="1" thickBot="1" x14ac:dyDescent="0.25">
      <c r="A823" s="176">
        <v>824</v>
      </c>
      <c r="B823" s="175">
        <v>2</v>
      </c>
      <c r="C823" s="166" t="s">
        <v>236</v>
      </c>
      <c r="D823" s="159" t="s">
        <v>2174</v>
      </c>
      <c r="E823" s="167"/>
      <c r="F823" s="167"/>
      <c r="G823" s="167"/>
      <c r="H823" s="167" t="s">
        <v>2870</v>
      </c>
      <c r="I823" s="188" t="s">
        <v>2868</v>
      </c>
      <c r="J823" s="184" t="s">
        <v>2866</v>
      </c>
      <c r="K823" s="184" t="s">
        <v>2867</v>
      </c>
      <c r="L823" s="181" t="s">
        <v>83</v>
      </c>
      <c r="M823" s="556" t="s">
        <v>4280</v>
      </c>
      <c r="N823" s="214"/>
      <c r="O823" s="214"/>
      <c r="P823" s="214"/>
      <c r="Q823" s="214"/>
      <c r="R823" s="214"/>
      <c r="S823" s="214"/>
      <c r="T823" s="214"/>
      <c r="U823" s="214"/>
      <c r="V823" s="214"/>
      <c r="W823" s="214"/>
      <c r="X823" s="214"/>
      <c r="Y823" s="214"/>
      <c r="Z823" s="234"/>
      <c r="AA823" s="234"/>
      <c r="AB823" s="234"/>
      <c r="AC823" s="234"/>
      <c r="AD823" s="319"/>
      <c r="AE823" s="319"/>
      <c r="AF823" s="162" t="str">
        <f t="shared" si="63"/>
        <v/>
      </c>
      <c r="AG823" s="162" t="str">
        <f t="shared" si="61"/>
        <v/>
      </c>
      <c r="AH823" s="164">
        <f t="shared" si="59"/>
        <v>1.33</v>
      </c>
      <c r="AI823" s="164" t="str">
        <f t="shared" si="60"/>
        <v/>
      </c>
      <c r="AJ823" s="382"/>
      <c r="AK823" s="382"/>
      <c r="AL823" s="382"/>
      <c r="AM823" s="382"/>
      <c r="AN823" s="382"/>
      <c r="AO823" s="382"/>
      <c r="AP823" s="382"/>
      <c r="AQ823" s="382"/>
      <c r="AR823" s="382"/>
      <c r="AS823" s="261"/>
      <c r="AT823" s="261"/>
      <c r="AU823" s="377"/>
      <c r="AV823" s="393"/>
      <c r="AW823" s="332"/>
      <c r="AX823" s="332"/>
      <c r="AY823" s="332"/>
      <c r="AZ823" s="332"/>
      <c r="BA823" s="332"/>
      <c r="BB823" s="332"/>
      <c r="BC823" s="332"/>
      <c r="BD823" s="332"/>
      <c r="BE823" s="332"/>
      <c r="BF823" s="490">
        <v>1.33</v>
      </c>
      <c r="BG823" s="467"/>
      <c r="BH823" s="341"/>
      <c r="BI823" s="447"/>
      <c r="BJ823" s="337"/>
    </row>
    <row r="824" spans="1:62" ht="15.75" customHeight="1" thickBot="1" x14ac:dyDescent="0.25">
      <c r="A824" s="176">
        <v>825</v>
      </c>
      <c r="B824" s="175">
        <v>2</v>
      </c>
      <c r="C824" s="166" t="s">
        <v>162</v>
      </c>
      <c r="D824" s="159" t="s">
        <v>1755</v>
      </c>
      <c r="E824" s="167"/>
      <c r="F824" s="167"/>
      <c r="G824" s="167"/>
      <c r="H824" s="167" t="s">
        <v>2869</v>
      </c>
      <c r="I824" s="188" t="s">
        <v>2868</v>
      </c>
      <c r="J824" s="184" t="s">
        <v>2866</v>
      </c>
      <c r="K824" s="184" t="s">
        <v>2867</v>
      </c>
      <c r="L824" s="181" t="s">
        <v>83</v>
      </c>
      <c r="M824" s="556" t="s">
        <v>4280</v>
      </c>
      <c r="N824" s="214"/>
      <c r="O824" s="214"/>
      <c r="P824" s="214"/>
      <c r="Q824" s="214"/>
      <c r="R824" s="214"/>
      <c r="S824" s="214"/>
      <c r="T824" s="214"/>
      <c r="U824" s="214"/>
      <c r="V824" s="214"/>
      <c r="W824" s="214"/>
      <c r="X824" s="214"/>
      <c r="Y824" s="214"/>
      <c r="Z824" s="234"/>
      <c r="AA824" s="234"/>
      <c r="AB824" s="234"/>
      <c r="AC824" s="234"/>
      <c r="AD824" s="319"/>
      <c r="AE824" s="319"/>
      <c r="AF824" s="162" t="str">
        <f t="shared" si="63"/>
        <v/>
      </c>
      <c r="AG824" s="162" t="str">
        <f t="shared" si="61"/>
        <v/>
      </c>
      <c r="AH824" s="164">
        <f t="shared" si="59"/>
        <v>0.48</v>
      </c>
      <c r="AI824" s="164" t="str">
        <f t="shared" si="60"/>
        <v/>
      </c>
      <c r="AJ824" s="382"/>
      <c r="AK824" s="382"/>
      <c r="AL824" s="382"/>
      <c r="AM824" s="382"/>
      <c r="AN824" s="382"/>
      <c r="AO824" s="382"/>
      <c r="AP824" s="382"/>
      <c r="AQ824" s="382"/>
      <c r="AR824" s="382"/>
      <c r="AS824" s="261"/>
      <c r="AT824" s="261"/>
      <c r="AU824" s="377"/>
      <c r="AV824" s="393"/>
      <c r="AW824" s="332"/>
      <c r="AX824" s="332"/>
      <c r="AY824" s="332"/>
      <c r="AZ824" s="332"/>
      <c r="BA824" s="332"/>
      <c r="BB824" s="332"/>
      <c r="BC824" s="332"/>
      <c r="BD824" s="332"/>
      <c r="BE824" s="332"/>
      <c r="BF824" s="490">
        <v>0.48</v>
      </c>
      <c r="BG824" s="467"/>
      <c r="BH824" s="341"/>
      <c r="BI824" s="447"/>
      <c r="BJ824" s="337"/>
    </row>
    <row r="825" spans="1:62" ht="15.75" customHeight="1" thickBot="1" x14ac:dyDescent="0.25">
      <c r="A825" s="176">
        <v>826</v>
      </c>
      <c r="B825" s="175">
        <v>2</v>
      </c>
      <c r="C825" s="166" t="s">
        <v>542</v>
      </c>
      <c r="D825" s="167" t="s">
        <v>1947</v>
      </c>
      <c r="E825" s="167"/>
      <c r="F825" s="167"/>
      <c r="G825" s="167"/>
      <c r="H825" s="167" t="s">
        <v>351</v>
      </c>
      <c r="I825" s="184"/>
      <c r="J825" s="184" t="s">
        <v>2873</v>
      </c>
      <c r="K825" s="184"/>
      <c r="L825" s="181"/>
      <c r="M825" s="556" t="s">
        <v>4281</v>
      </c>
      <c r="N825" s="214" t="s">
        <v>122</v>
      </c>
      <c r="O825" s="214" t="s">
        <v>122</v>
      </c>
      <c r="P825" s="214" t="s">
        <v>122</v>
      </c>
      <c r="Q825" s="214" t="s">
        <v>122</v>
      </c>
      <c r="R825" s="214" t="s">
        <v>292</v>
      </c>
      <c r="S825" s="214" t="s">
        <v>292</v>
      </c>
      <c r="T825" s="214" t="s">
        <v>292</v>
      </c>
      <c r="U825" s="214" t="s">
        <v>292</v>
      </c>
      <c r="V825" s="214" t="s">
        <v>292</v>
      </c>
      <c r="W825" s="214" t="s">
        <v>292</v>
      </c>
      <c r="X825" s="214" t="s">
        <v>292</v>
      </c>
      <c r="Y825" s="214" t="s">
        <v>292</v>
      </c>
      <c r="Z825" s="234"/>
      <c r="AA825" s="234" t="s">
        <v>2872</v>
      </c>
      <c r="AB825" s="234"/>
      <c r="AC825" s="234"/>
      <c r="AD825" s="319"/>
      <c r="AE825" s="319"/>
      <c r="AF825" s="162" t="str">
        <f t="shared" si="63"/>
        <v/>
      </c>
      <c r="AG825" s="162">
        <f t="shared" si="61"/>
        <v>24.8</v>
      </c>
      <c r="AH825" s="164" t="str">
        <f t="shared" si="59"/>
        <v/>
      </c>
      <c r="AI825" s="164">
        <f t="shared" si="60"/>
        <v>2.14</v>
      </c>
      <c r="AJ825" s="382"/>
      <c r="AK825" s="382"/>
      <c r="AL825" s="377">
        <v>24.8</v>
      </c>
      <c r="AM825" s="382"/>
      <c r="AN825" s="382"/>
      <c r="AO825" s="382"/>
      <c r="AP825" s="382"/>
      <c r="AQ825" s="382"/>
      <c r="AR825" s="382"/>
      <c r="AS825" s="205"/>
      <c r="AT825" s="203">
        <f>SUM(AJ825:AR825)</f>
        <v>24.8</v>
      </c>
      <c r="AU825" s="377"/>
      <c r="AV825" s="393"/>
      <c r="AW825" s="332"/>
      <c r="AX825" s="332"/>
      <c r="AY825" s="341">
        <v>2.14</v>
      </c>
      <c r="AZ825" s="332"/>
      <c r="BA825" s="332"/>
      <c r="BB825" s="332"/>
      <c r="BC825" s="332"/>
      <c r="BD825" s="332"/>
      <c r="BE825" s="332"/>
      <c r="BF825" s="490"/>
      <c r="BG825" s="491">
        <f>SUM(AW825:BE825)</f>
        <v>2.14</v>
      </c>
      <c r="BH825" s="341"/>
      <c r="BI825" s="447"/>
      <c r="BJ825" s="337"/>
    </row>
    <row r="826" spans="1:62" ht="15.75" customHeight="1" thickBot="1" x14ac:dyDescent="0.25">
      <c r="A826" s="176">
        <v>827</v>
      </c>
      <c r="B826" s="175">
        <v>2</v>
      </c>
      <c r="C826" s="166" t="s">
        <v>760</v>
      </c>
      <c r="D826" s="159" t="s">
        <v>2126</v>
      </c>
      <c r="E826" s="167"/>
      <c r="F826" s="167"/>
      <c r="G826" s="167"/>
      <c r="H826" s="167" t="s">
        <v>2874</v>
      </c>
      <c r="I826" s="184"/>
      <c r="J826" s="184" t="s">
        <v>2888</v>
      </c>
      <c r="K826" s="184"/>
      <c r="L826" s="181"/>
      <c r="M826" s="556" t="s">
        <v>4282</v>
      </c>
      <c r="N826" s="214"/>
      <c r="O826" s="214"/>
      <c r="P826" s="214"/>
      <c r="Q826" s="214"/>
      <c r="R826" s="214"/>
      <c r="S826" s="214"/>
      <c r="T826" s="214"/>
      <c r="U826" s="214"/>
      <c r="V826" s="214"/>
      <c r="W826" s="214"/>
      <c r="X826" s="214"/>
      <c r="Y826" s="214"/>
      <c r="Z826" s="234"/>
      <c r="AA826" s="234"/>
      <c r="AB826" s="234"/>
      <c r="AC826" s="234"/>
      <c r="AD826" s="319"/>
      <c r="AE826" s="319"/>
      <c r="AF826" s="162">
        <f t="shared" si="63"/>
        <v>7.1159132999999999</v>
      </c>
      <c r="AG826" s="162" t="str">
        <f t="shared" si="61"/>
        <v/>
      </c>
      <c r="AH826" s="164">
        <f t="shared" si="59"/>
        <v>0.74203154000000004</v>
      </c>
      <c r="AI826" s="164" t="str">
        <f t="shared" si="60"/>
        <v/>
      </c>
      <c r="AJ826" s="382"/>
      <c r="AK826" s="382"/>
      <c r="AL826" s="382"/>
      <c r="AM826" s="382"/>
      <c r="AN826" s="382"/>
      <c r="AO826" s="382"/>
      <c r="AP826" s="382"/>
      <c r="AQ826" s="382"/>
      <c r="AR826" s="382"/>
      <c r="AS826" s="348">
        <v>7.1159132999999999</v>
      </c>
      <c r="AT826" s="199"/>
      <c r="AU826" s="377"/>
      <c r="AV826" s="393"/>
      <c r="AW826" s="332"/>
      <c r="AX826" s="332"/>
      <c r="AY826" s="332"/>
      <c r="AZ826" s="332"/>
      <c r="BA826" s="332"/>
      <c r="BB826" s="332"/>
      <c r="BC826" s="332"/>
      <c r="BD826" s="332"/>
      <c r="BE826" s="332"/>
      <c r="BF826" s="492">
        <v>0.74203154000000004</v>
      </c>
      <c r="BG826" s="467"/>
      <c r="BH826" s="341"/>
      <c r="BI826" s="447"/>
      <c r="BJ826" s="337"/>
    </row>
    <row r="827" spans="1:62" ht="15.75" customHeight="1" thickBot="1" x14ac:dyDescent="0.25">
      <c r="A827" s="176">
        <v>828</v>
      </c>
      <c r="B827" s="175">
        <v>2</v>
      </c>
      <c r="C827" s="166" t="s">
        <v>760</v>
      </c>
      <c r="D827" s="159" t="s">
        <v>2126</v>
      </c>
      <c r="E827" s="167"/>
      <c r="F827" s="167"/>
      <c r="G827" s="167"/>
      <c r="H827" s="167" t="s">
        <v>2875</v>
      </c>
      <c r="I827" s="184"/>
      <c r="J827" s="184" t="s">
        <v>2888</v>
      </c>
      <c r="K827" s="184"/>
      <c r="L827" s="181"/>
      <c r="M827" s="556" t="s">
        <v>4282</v>
      </c>
      <c r="N827" s="214"/>
      <c r="O827" s="214"/>
      <c r="P827" s="214"/>
      <c r="Q827" s="214"/>
      <c r="R827" s="214"/>
      <c r="S827" s="214"/>
      <c r="T827" s="214"/>
      <c r="U827" s="214"/>
      <c r="V827" s="214"/>
      <c r="W827" s="214"/>
      <c r="X827" s="214"/>
      <c r="Y827" s="214"/>
      <c r="Z827" s="234"/>
      <c r="AA827" s="234"/>
      <c r="AB827" s="234"/>
      <c r="AC827" s="234"/>
      <c r="AD827" s="319"/>
      <c r="AE827" s="319"/>
      <c r="AF827" s="162">
        <f t="shared" si="63"/>
        <v>3.0132927999999999</v>
      </c>
      <c r="AG827" s="162" t="str">
        <f t="shared" si="61"/>
        <v/>
      </c>
      <c r="AH827" s="164">
        <f t="shared" si="59"/>
        <v>0.40359191</v>
      </c>
      <c r="AI827" s="164" t="str">
        <f t="shared" si="60"/>
        <v/>
      </c>
      <c r="AJ827" s="382"/>
      <c r="AK827" s="382"/>
      <c r="AL827" s="382"/>
      <c r="AM827" s="382"/>
      <c r="AN827" s="382"/>
      <c r="AO827" s="382"/>
      <c r="AP827" s="382"/>
      <c r="AQ827" s="382"/>
      <c r="AR827" s="382"/>
      <c r="AS827" s="348">
        <v>3.0132927999999999</v>
      </c>
      <c r="AT827" s="199"/>
      <c r="AU827" s="377"/>
      <c r="AV827" s="393"/>
      <c r="AW827" s="332"/>
      <c r="AX827" s="332"/>
      <c r="AY827" s="332"/>
      <c r="AZ827" s="332"/>
      <c r="BA827" s="332"/>
      <c r="BB827" s="332"/>
      <c r="BC827" s="332"/>
      <c r="BD827" s="332"/>
      <c r="BE827" s="332"/>
      <c r="BF827" s="492">
        <v>0.40359191</v>
      </c>
      <c r="BG827" s="467"/>
      <c r="BH827" s="341"/>
      <c r="BI827" s="447"/>
      <c r="BJ827" s="337"/>
    </row>
    <row r="828" spans="1:62" ht="15.75" customHeight="1" thickBot="1" x14ac:dyDescent="0.25">
      <c r="A828" s="176">
        <v>829</v>
      </c>
      <c r="B828" s="175">
        <v>2</v>
      </c>
      <c r="C828" s="166" t="s">
        <v>760</v>
      </c>
      <c r="D828" s="159" t="s">
        <v>2126</v>
      </c>
      <c r="E828" s="167"/>
      <c r="F828" s="167"/>
      <c r="G828" s="167"/>
      <c r="H828" s="167" t="s">
        <v>2876</v>
      </c>
      <c r="I828" s="184"/>
      <c r="J828" s="184" t="s">
        <v>2888</v>
      </c>
      <c r="K828" s="184"/>
      <c r="L828" s="181"/>
      <c r="M828" s="556" t="s">
        <v>4282</v>
      </c>
      <c r="N828" s="214"/>
      <c r="O828" s="214"/>
      <c r="P828" s="214"/>
      <c r="Q828" s="214"/>
      <c r="R828" s="214"/>
      <c r="S828" s="214"/>
      <c r="T828" s="214"/>
      <c r="U828" s="214"/>
      <c r="V828" s="214"/>
      <c r="W828" s="214"/>
      <c r="X828" s="214"/>
      <c r="Y828" s="214"/>
      <c r="Z828" s="234"/>
      <c r="AA828" s="234"/>
      <c r="AB828" s="234"/>
      <c r="AC828" s="234"/>
      <c r="AD828" s="319"/>
      <c r="AE828" s="319"/>
      <c r="AF828" s="162">
        <f t="shared" si="63"/>
        <v>2.9477362</v>
      </c>
      <c r="AG828" s="162" t="str">
        <f t="shared" si="61"/>
        <v/>
      </c>
      <c r="AH828" s="164">
        <f t="shared" si="59"/>
        <v>0.50794855000000005</v>
      </c>
      <c r="AI828" s="164" t="str">
        <f t="shared" si="60"/>
        <v/>
      </c>
      <c r="AJ828" s="382"/>
      <c r="AK828" s="382"/>
      <c r="AL828" s="382"/>
      <c r="AM828" s="382"/>
      <c r="AN828" s="382"/>
      <c r="AO828" s="382"/>
      <c r="AP828" s="382"/>
      <c r="AQ828" s="382"/>
      <c r="AR828" s="382"/>
      <c r="AS828" s="348">
        <v>2.9477362</v>
      </c>
      <c r="AT828" s="199"/>
      <c r="AU828" s="377"/>
      <c r="AV828" s="393"/>
      <c r="AW828" s="332"/>
      <c r="AX828" s="332"/>
      <c r="AY828" s="332"/>
      <c r="AZ828" s="332"/>
      <c r="BA828" s="332"/>
      <c r="BB828" s="332"/>
      <c r="BC828" s="332"/>
      <c r="BD828" s="332"/>
      <c r="BE828" s="332"/>
      <c r="BF828" s="492">
        <v>0.50794855000000005</v>
      </c>
      <c r="BG828" s="467"/>
      <c r="BH828" s="341"/>
      <c r="BI828" s="447"/>
      <c r="BJ828" s="337"/>
    </row>
    <row r="829" spans="1:62" ht="15.75" customHeight="1" thickBot="1" x14ac:dyDescent="0.25">
      <c r="A829" s="176">
        <v>830</v>
      </c>
      <c r="B829" s="175">
        <v>2</v>
      </c>
      <c r="C829" s="166" t="s">
        <v>760</v>
      </c>
      <c r="D829" s="159" t="s">
        <v>2126</v>
      </c>
      <c r="E829" s="167"/>
      <c r="F829" s="167"/>
      <c r="G829" s="167"/>
      <c r="H829" s="167" t="s">
        <v>2877</v>
      </c>
      <c r="I829" s="184"/>
      <c r="J829" s="184" t="s">
        <v>2888</v>
      </c>
      <c r="K829" s="184"/>
      <c r="L829" s="181"/>
      <c r="M829" s="556" t="s">
        <v>4282</v>
      </c>
      <c r="N829" s="214"/>
      <c r="O829" s="214"/>
      <c r="P829" s="214"/>
      <c r="Q829" s="214"/>
      <c r="R829" s="214"/>
      <c r="S829" s="214"/>
      <c r="T829" s="214"/>
      <c r="U829" s="214"/>
      <c r="V829" s="214"/>
      <c r="W829" s="214"/>
      <c r="X829" s="214"/>
      <c r="Y829" s="214"/>
      <c r="Z829" s="234"/>
      <c r="AA829" s="234"/>
      <c r="AB829" s="234"/>
      <c r="AC829" s="234"/>
      <c r="AD829" s="319"/>
      <c r="AE829" s="319"/>
      <c r="AF829" s="162">
        <f t="shared" si="63"/>
        <v>6.1614000999999998</v>
      </c>
      <c r="AG829" s="162" t="str">
        <f t="shared" si="61"/>
        <v/>
      </c>
      <c r="AH829" s="164">
        <f t="shared" si="59"/>
        <v>2.0447562000000001</v>
      </c>
      <c r="AI829" s="164" t="str">
        <f t="shared" si="60"/>
        <v/>
      </c>
      <c r="AJ829" s="382"/>
      <c r="AK829" s="382"/>
      <c r="AL829" s="382"/>
      <c r="AM829" s="382"/>
      <c r="AN829" s="382"/>
      <c r="AO829" s="382"/>
      <c r="AP829" s="382"/>
      <c r="AQ829" s="382"/>
      <c r="AR829" s="382"/>
      <c r="AS829" s="348">
        <v>6.1614000999999998</v>
      </c>
      <c r="AT829" s="199"/>
      <c r="AU829" s="377"/>
      <c r="AV829" s="393"/>
      <c r="AW829" s="332"/>
      <c r="AX829" s="332"/>
      <c r="AY829" s="332"/>
      <c r="AZ829" s="332"/>
      <c r="BA829" s="332"/>
      <c r="BB829" s="332"/>
      <c r="BC829" s="332"/>
      <c r="BD829" s="332"/>
      <c r="BE829" s="332"/>
      <c r="BF829" s="492">
        <v>2.0447562000000001</v>
      </c>
      <c r="BG829" s="467"/>
      <c r="BH829" s="341"/>
      <c r="BI829" s="447"/>
      <c r="BJ829" s="337"/>
    </row>
    <row r="830" spans="1:62" ht="15.75" customHeight="1" thickBot="1" x14ac:dyDescent="0.25">
      <c r="A830" s="176">
        <v>831</v>
      </c>
      <c r="B830" s="175">
        <v>2</v>
      </c>
      <c r="C830" s="166" t="s">
        <v>760</v>
      </c>
      <c r="D830" s="159" t="s">
        <v>2126</v>
      </c>
      <c r="E830" s="167"/>
      <c r="F830" s="167"/>
      <c r="G830" s="167"/>
      <c r="H830" s="167" t="s">
        <v>2878</v>
      </c>
      <c r="I830" s="184"/>
      <c r="J830" s="184" t="s">
        <v>2888</v>
      </c>
      <c r="K830" s="184"/>
      <c r="L830" s="181"/>
      <c r="M830" s="556" t="s">
        <v>4282</v>
      </c>
      <c r="N830" s="214"/>
      <c r="O830" s="214"/>
      <c r="P830" s="214"/>
      <c r="Q830" s="214"/>
      <c r="R830" s="214"/>
      <c r="S830" s="214"/>
      <c r="T830" s="214"/>
      <c r="U830" s="214"/>
      <c r="V830" s="214"/>
      <c r="W830" s="214"/>
      <c r="X830" s="214"/>
      <c r="Y830" s="214"/>
      <c r="Z830" s="234"/>
      <c r="AA830" s="234"/>
      <c r="AB830" s="234"/>
      <c r="AC830" s="234"/>
      <c r="AD830" s="319"/>
      <c r="AE830" s="319"/>
      <c r="AF830" s="162">
        <f t="shared" si="63"/>
        <v>2.2760601</v>
      </c>
      <c r="AG830" s="162" t="str">
        <f t="shared" si="61"/>
        <v/>
      </c>
      <c r="AH830" s="164">
        <f t="shared" si="59"/>
        <v>0.26357739000000002</v>
      </c>
      <c r="AI830" s="164" t="str">
        <f t="shared" si="60"/>
        <v/>
      </c>
      <c r="AJ830" s="382"/>
      <c r="AK830" s="382"/>
      <c r="AL830" s="382"/>
      <c r="AM830" s="382"/>
      <c r="AN830" s="382"/>
      <c r="AO830" s="382"/>
      <c r="AP830" s="382"/>
      <c r="AQ830" s="382"/>
      <c r="AR830" s="382"/>
      <c r="AS830" s="348">
        <v>2.2760601</v>
      </c>
      <c r="AT830" s="199"/>
      <c r="AU830" s="377"/>
      <c r="AV830" s="393"/>
      <c r="AW830" s="332"/>
      <c r="AX830" s="332"/>
      <c r="AY830" s="332"/>
      <c r="AZ830" s="332"/>
      <c r="BA830" s="332"/>
      <c r="BB830" s="332"/>
      <c r="BC830" s="332"/>
      <c r="BD830" s="332"/>
      <c r="BE830" s="332"/>
      <c r="BF830" s="492">
        <v>0.26357739000000002</v>
      </c>
      <c r="BG830" s="467"/>
      <c r="BH830" s="341"/>
      <c r="BI830" s="447"/>
      <c r="BJ830" s="337"/>
    </row>
    <row r="831" spans="1:62" ht="15.75" customHeight="1" thickBot="1" x14ac:dyDescent="0.25">
      <c r="A831" s="176">
        <v>832</v>
      </c>
      <c r="B831" s="175">
        <v>2</v>
      </c>
      <c r="C831" s="166" t="s">
        <v>760</v>
      </c>
      <c r="D831" s="159" t="s">
        <v>2126</v>
      </c>
      <c r="E831" s="167"/>
      <c r="F831" s="167"/>
      <c r="G831" s="167"/>
      <c r="H831" s="167" t="s">
        <v>2879</v>
      </c>
      <c r="I831" s="184"/>
      <c r="J831" s="184" t="s">
        <v>2888</v>
      </c>
      <c r="K831" s="184"/>
      <c r="L831" s="181"/>
      <c r="M831" s="556" t="s">
        <v>4282</v>
      </c>
      <c r="N831" s="214"/>
      <c r="O831" s="214"/>
      <c r="P831" s="214"/>
      <c r="Q831" s="214"/>
      <c r="R831" s="214"/>
      <c r="S831" s="214"/>
      <c r="T831" s="214"/>
      <c r="U831" s="214"/>
      <c r="V831" s="214"/>
      <c r="W831" s="214"/>
      <c r="X831" s="214"/>
      <c r="Y831" s="214"/>
      <c r="Z831" s="234"/>
      <c r="AA831" s="234"/>
      <c r="AB831" s="234"/>
      <c r="AC831" s="234"/>
      <c r="AD831" s="319"/>
      <c r="AE831" s="319"/>
      <c r="AF831" s="162">
        <f t="shared" si="63"/>
        <v>3.0091594000000002</v>
      </c>
      <c r="AG831" s="162" t="str">
        <f t="shared" si="61"/>
        <v/>
      </c>
      <c r="AH831" s="164">
        <f t="shared" si="59"/>
        <v>0.44686640999999999</v>
      </c>
      <c r="AI831" s="164" t="str">
        <f t="shared" si="60"/>
        <v/>
      </c>
      <c r="AJ831" s="382"/>
      <c r="AK831" s="382"/>
      <c r="AL831" s="382"/>
      <c r="AM831" s="382"/>
      <c r="AN831" s="382"/>
      <c r="AO831" s="382"/>
      <c r="AP831" s="382"/>
      <c r="AQ831" s="382"/>
      <c r="AR831" s="382"/>
      <c r="AS831" s="348">
        <v>3.0091594000000002</v>
      </c>
      <c r="AT831" s="199"/>
      <c r="AU831" s="377"/>
      <c r="AV831" s="393"/>
      <c r="AW831" s="332"/>
      <c r="AX831" s="332"/>
      <c r="AY831" s="332"/>
      <c r="AZ831" s="332"/>
      <c r="BA831" s="332"/>
      <c r="BB831" s="332"/>
      <c r="BC831" s="332"/>
      <c r="BD831" s="332"/>
      <c r="BE831" s="332"/>
      <c r="BF831" s="492">
        <v>0.44686640999999999</v>
      </c>
      <c r="BG831" s="467"/>
      <c r="BH831" s="341"/>
      <c r="BI831" s="447"/>
      <c r="BJ831" s="337"/>
    </row>
    <row r="832" spans="1:62" ht="15.75" customHeight="1" thickBot="1" x14ac:dyDescent="0.25">
      <c r="A832" s="176">
        <v>833</v>
      </c>
      <c r="B832" s="175">
        <v>2</v>
      </c>
      <c r="C832" s="166" t="s">
        <v>760</v>
      </c>
      <c r="D832" s="159" t="s">
        <v>2126</v>
      </c>
      <c r="E832" s="167"/>
      <c r="F832" s="167"/>
      <c r="G832" s="167"/>
      <c r="H832" s="167" t="s">
        <v>2880</v>
      </c>
      <c r="I832" s="184"/>
      <c r="J832" s="184" t="s">
        <v>2888</v>
      </c>
      <c r="K832" s="184"/>
      <c r="L832" s="181"/>
      <c r="M832" s="556" t="s">
        <v>4282</v>
      </c>
      <c r="N832" s="214"/>
      <c r="O832" s="214"/>
      <c r="P832" s="214"/>
      <c r="Q832" s="214"/>
      <c r="R832" s="214"/>
      <c r="S832" s="214"/>
      <c r="T832" s="214"/>
      <c r="U832" s="214"/>
      <c r="V832" s="214"/>
      <c r="W832" s="214"/>
      <c r="X832" s="214"/>
      <c r="Y832" s="214"/>
      <c r="Z832" s="234"/>
      <c r="AA832" s="234"/>
      <c r="AB832" s="234"/>
      <c r="AC832" s="234"/>
      <c r="AD832" s="319"/>
      <c r="AE832" s="319"/>
      <c r="AF832" s="162">
        <f t="shared" si="63"/>
        <v>3.9729307999999999</v>
      </c>
      <c r="AG832" s="162" t="str">
        <f t="shared" si="61"/>
        <v/>
      </c>
      <c r="AH832" s="164">
        <f t="shared" si="59"/>
        <v>0.53576064000000001</v>
      </c>
      <c r="AI832" s="164" t="str">
        <f t="shared" si="60"/>
        <v/>
      </c>
      <c r="AJ832" s="382"/>
      <c r="AK832" s="382"/>
      <c r="AL832" s="382"/>
      <c r="AM832" s="382"/>
      <c r="AN832" s="382"/>
      <c r="AO832" s="382"/>
      <c r="AP832" s="382"/>
      <c r="AQ832" s="382"/>
      <c r="AR832" s="382"/>
      <c r="AS832" s="348">
        <v>3.9729307999999999</v>
      </c>
      <c r="AT832" s="199"/>
      <c r="AU832" s="377"/>
      <c r="AV832" s="393"/>
      <c r="AW832" s="332"/>
      <c r="AX832" s="332"/>
      <c r="AY832" s="332"/>
      <c r="AZ832" s="332"/>
      <c r="BA832" s="332"/>
      <c r="BB832" s="332"/>
      <c r="BC832" s="332"/>
      <c r="BD832" s="332"/>
      <c r="BE832" s="332"/>
      <c r="BF832" s="492">
        <v>0.53576064000000001</v>
      </c>
      <c r="BG832" s="467"/>
      <c r="BH832" s="341"/>
      <c r="BI832" s="447"/>
      <c r="BJ832" s="337"/>
    </row>
    <row r="833" spans="1:62" ht="15.75" customHeight="1" thickBot="1" x14ac:dyDescent="0.25">
      <c r="A833" s="176">
        <v>834</v>
      </c>
      <c r="B833" s="175">
        <v>2</v>
      </c>
      <c r="C833" s="166" t="s">
        <v>760</v>
      </c>
      <c r="D833" s="159" t="s">
        <v>2126</v>
      </c>
      <c r="E833" s="167"/>
      <c r="F833" s="167"/>
      <c r="G833" s="167"/>
      <c r="H833" s="167" t="s">
        <v>2881</v>
      </c>
      <c r="I833" s="184"/>
      <c r="J833" s="184" t="s">
        <v>2888</v>
      </c>
      <c r="K833" s="184"/>
      <c r="L833" s="181"/>
      <c r="M833" s="556" t="s">
        <v>4282</v>
      </c>
      <c r="N833" s="214"/>
      <c r="O833" s="214"/>
      <c r="P833" s="214"/>
      <c r="Q833" s="214"/>
      <c r="R833" s="214"/>
      <c r="S833" s="214"/>
      <c r="T833" s="214"/>
      <c r="U833" s="214"/>
      <c r="V833" s="214"/>
      <c r="W833" s="214"/>
      <c r="X833" s="214"/>
      <c r="Y833" s="214"/>
      <c r="Z833" s="234"/>
      <c r="AA833" s="234"/>
      <c r="AB833" s="234"/>
      <c r="AC833" s="234"/>
      <c r="AD833" s="319"/>
      <c r="AE833" s="319"/>
      <c r="AF833" s="162">
        <f t="shared" si="63"/>
        <v>2.2949158000000001</v>
      </c>
      <c r="AG833" s="162" t="str">
        <f t="shared" si="61"/>
        <v/>
      </c>
      <c r="AH833" s="164">
        <f t="shared" si="59"/>
        <v>0.32196740000000001</v>
      </c>
      <c r="AI833" s="164" t="str">
        <f t="shared" si="60"/>
        <v/>
      </c>
      <c r="AJ833" s="382"/>
      <c r="AK833" s="382"/>
      <c r="AL833" s="382"/>
      <c r="AM833" s="382"/>
      <c r="AN833" s="382"/>
      <c r="AO833" s="382"/>
      <c r="AP833" s="382"/>
      <c r="AQ833" s="382"/>
      <c r="AR833" s="382"/>
      <c r="AS833" s="348">
        <v>2.2949158000000001</v>
      </c>
      <c r="AT833" s="199"/>
      <c r="AU833" s="377"/>
      <c r="AV833" s="393"/>
      <c r="AW833" s="332"/>
      <c r="AX833" s="332"/>
      <c r="AY833" s="332"/>
      <c r="AZ833" s="332"/>
      <c r="BA833" s="332"/>
      <c r="BB833" s="332"/>
      <c r="BC833" s="332"/>
      <c r="BD833" s="332"/>
      <c r="BE833" s="332"/>
      <c r="BF833" s="492">
        <v>0.32196740000000001</v>
      </c>
      <c r="BG833" s="467"/>
      <c r="BH833" s="341"/>
      <c r="BI833" s="447"/>
      <c r="BJ833" s="337"/>
    </row>
    <row r="834" spans="1:62" ht="15.75" customHeight="1" thickBot="1" x14ac:dyDescent="0.25">
      <c r="A834" s="176">
        <v>835</v>
      </c>
      <c r="B834" s="175">
        <v>2</v>
      </c>
      <c r="C834" s="166" t="s">
        <v>760</v>
      </c>
      <c r="D834" s="159" t="s">
        <v>2126</v>
      </c>
      <c r="E834" s="167"/>
      <c r="F834" s="167"/>
      <c r="G834" s="167"/>
      <c r="H834" s="167" t="s">
        <v>108</v>
      </c>
      <c r="I834" s="184"/>
      <c r="J834" s="184" t="s">
        <v>2888</v>
      </c>
      <c r="K834" s="184"/>
      <c r="L834" s="181"/>
      <c r="M834" s="556" t="s">
        <v>4282</v>
      </c>
      <c r="N834" s="214"/>
      <c r="O834" s="214"/>
      <c r="P834" s="214"/>
      <c r="Q834" s="214"/>
      <c r="R834" s="214"/>
      <c r="S834" s="214"/>
      <c r="T834" s="214"/>
      <c r="U834" s="214"/>
      <c r="V834" s="214"/>
      <c r="W834" s="214"/>
      <c r="X834" s="214"/>
      <c r="Y834" s="214"/>
      <c r="Z834" s="234"/>
      <c r="AA834" s="234"/>
      <c r="AB834" s="234"/>
      <c r="AC834" s="234"/>
      <c r="AD834" s="319"/>
      <c r="AE834" s="319"/>
      <c r="AF834" s="162">
        <f t="shared" si="63"/>
        <v>2.0325096999999999</v>
      </c>
      <c r="AG834" s="162" t="str">
        <f t="shared" si="61"/>
        <v/>
      </c>
      <c r="AH834" s="164">
        <f t="shared" ref="AH834:AH897" si="64">IF(BF834&lt;&gt;0,BF834,"")</f>
        <v>0.2892537</v>
      </c>
      <c r="AI834" s="164" t="str">
        <f t="shared" ref="AI834:AI897" si="65">IF(AND(SUM(AW834:AY834)&lt;&gt;0,SUM(AW834:AY834)&lt;&gt;AW834),SUM(AW834:AY834),"")</f>
        <v/>
      </c>
      <c r="AJ834" s="382"/>
      <c r="AK834" s="382"/>
      <c r="AL834" s="382"/>
      <c r="AM834" s="382"/>
      <c r="AN834" s="382"/>
      <c r="AO834" s="382"/>
      <c r="AP834" s="382"/>
      <c r="AQ834" s="382"/>
      <c r="AR834" s="382"/>
      <c r="AS834" s="348">
        <v>2.0325096999999999</v>
      </c>
      <c r="AT834" s="199"/>
      <c r="AU834" s="377"/>
      <c r="AV834" s="393"/>
      <c r="AW834" s="332"/>
      <c r="AX834" s="332"/>
      <c r="AY834" s="332"/>
      <c r="AZ834" s="332"/>
      <c r="BA834" s="332"/>
      <c r="BB834" s="332"/>
      <c r="BC834" s="332"/>
      <c r="BD834" s="332"/>
      <c r="BE834" s="332"/>
      <c r="BF834" s="492">
        <v>0.2892537</v>
      </c>
      <c r="BG834" s="467"/>
      <c r="BH834" s="341"/>
      <c r="BI834" s="447"/>
      <c r="BJ834" s="337"/>
    </row>
    <row r="835" spans="1:62" ht="15.75" customHeight="1" thickBot="1" x14ac:dyDescent="0.25">
      <c r="A835" s="176">
        <v>836</v>
      </c>
      <c r="B835" s="175">
        <v>2</v>
      </c>
      <c r="C835" s="166" t="s">
        <v>760</v>
      </c>
      <c r="D835" s="159" t="s">
        <v>2290</v>
      </c>
      <c r="E835" s="167"/>
      <c r="F835" s="167"/>
      <c r="G835" s="167"/>
      <c r="H835" s="167" t="s">
        <v>2882</v>
      </c>
      <c r="I835" s="184"/>
      <c r="J835" s="184" t="s">
        <v>2889</v>
      </c>
      <c r="K835" s="184"/>
      <c r="L835" s="181"/>
      <c r="M835" s="556" t="s">
        <v>4282</v>
      </c>
      <c r="N835" s="214"/>
      <c r="O835" s="214"/>
      <c r="P835" s="214"/>
      <c r="Q835" s="214"/>
      <c r="R835" s="214"/>
      <c r="S835" s="214"/>
      <c r="T835" s="214"/>
      <c r="U835" s="214"/>
      <c r="V835" s="214"/>
      <c r="W835" s="214"/>
      <c r="X835" s="214"/>
      <c r="Y835" s="214"/>
      <c r="Z835" s="234"/>
      <c r="AA835" s="234"/>
      <c r="AB835" s="234"/>
      <c r="AC835" s="234"/>
      <c r="AD835" s="319"/>
      <c r="AE835" s="319"/>
      <c r="AF835" s="162">
        <f t="shared" si="63"/>
        <v>6.0645585000000004</v>
      </c>
      <c r="AG835" s="162" t="str">
        <f t="shared" si="61"/>
        <v/>
      </c>
      <c r="AH835" s="164">
        <f t="shared" si="64"/>
        <v>0.58053664999999999</v>
      </c>
      <c r="AI835" s="164" t="str">
        <f t="shared" si="65"/>
        <v/>
      </c>
      <c r="AJ835" s="382"/>
      <c r="AK835" s="382"/>
      <c r="AL835" s="382"/>
      <c r="AM835" s="382"/>
      <c r="AN835" s="382"/>
      <c r="AO835" s="382"/>
      <c r="AP835" s="382"/>
      <c r="AQ835" s="382"/>
      <c r="AR835" s="382"/>
      <c r="AS835" s="348">
        <v>6.0645585000000004</v>
      </c>
      <c r="AT835" s="199"/>
      <c r="AU835" s="377"/>
      <c r="AV835" s="393"/>
      <c r="AW835" s="332"/>
      <c r="AX835" s="332"/>
      <c r="AY835" s="332"/>
      <c r="AZ835" s="332"/>
      <c r="BA835" s="332"/>
      <c r="BB835" s="332"/>
      <c r="BC835" s="332"/>
      <c r="BD835" s="332"/>
      <c r="BE835" s="332"/>
      <c r="BF835" s="492">
        <v>0.58053664999999999</v>
      </c>
      <c r="BG835" s="467"/>
      <c r="BH835" s="341"/>
      <c r="BI835" s="447"/>
      <c r="BJ835" s="337"/>
    </row>
    <row r="836" spans="1:62" ht="15.75" customHeight="1" thickBot="1" x14ac:dyDescent="0.25">
      <c r="A836" s="176">
        <v>837</v>
      </c>
      <c r="B836" s="175">
        <v>2</v>
      </c>
      <c r="C836" s="166" t="s">
        <v>760</v>
      </c>
      <c r="D836" s="159" t="s">
        <v>2290</v>
      </c>
      <c r="E836" s="167"/>
      <c r="F836" s="167"/>
      <c r="G836" s="167"/>
      <c r="H836" s="167" t="s">
        <v>2883</v>
      </c>
      <c r="I836" s="184"/>
      <c r="J836" s="184" t="s">
        <v>2889</v>
      </c>
      <c r="K836" s="184"/>
      <c r="L836" s="181"/>
      <c r="M836" s="556" t="s">
        <v>4282</v>
      </c>
      <c r="N836" s="214"/>
      <c r="O836" s="214"/>
      <c r="P836" s="214"/>
      <c r="Q836" s="214"/>
      <c r="R836" s="214"/>
      <c r="S836" s="214"/>
      <c r="T836" s="214"/>
      <c r="U836" s="214"/>
      <c r="V836" s="214"/>
      <c r="W836" s="214"/>
      <c r="X836" s="214"/>
      <c r="Y836" s="214"/>
      <c r="Z836" s="234"/>
      <c r="AA836" s="234"/>
      <c r="AB836" s="234"/>
      <c r="AC836" s="234"/>
      <c r="AD836" s="319"/>
      <c r="AE836" s="319"/>
      <c r="AF836" s="162">
        <f t="shared" si="63"/>
        <v>6.3242871000000003</v>
      </c>
      <c r="AG836" s="162" t="str">
        <f t="shared" si="61"/>
        <v/>
      </c>
      <c r="AH836" s="164">
        <f t="shared" si="64"/>
        <v>0.94865215000000003</v>
      </c>
      <c r="AI836" s="164" t="str">
        <f t="shared" si="65"/>
        <v/>
      </c>
      <c r="AJ836" s="382"/>
      <c r="AK836" s="382"/>
      <c r="AL836" s="382"/>
      <c r="AM836" s="382"/>
      <c r="AN836" s="382"/>
      <c r="AO836" s="382"/>
      <c r="AP836" s="382"/>
      <c r="AQ836" s="382"/>
      <c r="AR836" s="382"/>
      <c r="AS836" s="348">
        <v>6.3242871000000003</v>
      </c>
      <c r="AT836" s="199"/>
      <c r="AU836" s="377"/>
      <c r="AV836" s="393"/>
      <c r="AW836" s="332"/>
      <c r="AX836" s="332"/>
      <c r="AY836" s="332"/>
      <c r="AZ836" s="332"/>
      <c r="BA836" s="332"/>
      <c r="BB836" s="332"/>
      <c r="BC836" s="332"/>
      <c r="BD836" s="332"/>
      <c r="BE836" s="332"/>
      <c r="BF836" s="492">
        <v>0.94865215000000003</v>
      </c>
      <c r="BG836" s="467"/>
      <c r="BH836" s="341"/>
      <c r="BI836" s="447"/>
      <c r="BJ836" s="337"/>
    </row>
    <row r="837" spans="1:62" ht="15.75" customHeight="1" thickBot="1" x14ac:dyDescent="0.25">
      <c r="A837" s="176">
        <v>838</v>
      </c>
      <c r="B837" s="175">
        <v>2</v>
      </c>
      <c r="C837" s="166" t="s">
        <v>760</v>
      </c>
      <c r="D837" s="159" t="s">
        <v>2290</v>
      </c>
      <c r="E837" s="167"/>
      <c r="F837" s="167"/>
      <c r="G837" s="167"/>
      <c r="H837" s="167" t="s">
        <v>2884</v>
      </c>
      <c r="I837" s="184"/>
      <c r="J837" s="184" t="s">
        <v>2889</v>
      </c>
      <c r="K837" s="184"/>
      <c r="L837" s="181"/>
      <c r="M837" s="556" t="s">
        <v>4282</v>
      </c>
      <c r="N837" s="214"/>
      <c r="O837" s="214"/>
      <c r="P837" s="214"/>
      <c r="Q837" s="214"/>
      <c r="R837" s="214"/>
      <c r="S837" s="214"/>
      <c r="T837" s="214"/>
      <c r="U837" s="214"/>
      <c r="V837" s="214"/>
      <c r="W837" s="214"/>
      <c r="X837" s="214"/>
      <c r="Y837" s="214"/>
      <c r="Z837" s="234"/>
      <c r="AA837" s="234"/>
      <c r="AB837" s="234"/>
      <c r="AC837" s="234"/>
      <c r="AD837" s="319"/>
      <c r="AE837" s="319"/>
      <c r="AF837" s="162">
        <f t="shared" si="63"/>
        <v>7.8457853999999996</v>
      </c>
      <c r="AG837" s="162" t="str">
        <f t="shared" si="61"/>
        <v/>
      </c>
      <c r="AH837" s="164">
        <f t="shared" si="64"/>
        <v>0.91692832999999996</v>
      </c>
      <c r="AI837" s="164" t="str">
        <f t="shared" si="65"/>
        <v/>
      </c>
      <c r="AJ837" s="382"/>
      <c r="AK837" s="382"/>
      <c r="AL837" s="382"/>
      <c r="AM837" s="382"/>
      <c r="AN837" s="382"/>
      <c r="AO837" s="382"/>
      <c r="AP837" s="382"/>
      <c r="AQ837" s="382"/>
      <c r="AR837" s="382"/>
      <c r="AS837" s="348">
        <v>7.8457853999999996</v>
      </c>
      <c r="AT837" s="199"/>
      <c r="AU837" s="377"/>
      <c r="AV837" s="393"/>
      <c r="AW837" s="332"/>
      <c r="AX837" s="332"/>
      <c r="AY837" s="332"/>
      <c r="AZ837" s="332"/>
      <c r="BA837" s="332"/>
      <c r="BB837" s="332"/>
      <c r="BC837" s="332"/>
      <c r="BD837" s="332"/>
      <c r="BE837" s="332"/>
      <c r="BF837" s="492">
        <v>0.91692832999999996</v>
      </c>
      <c r="BG837" s="467"/>
      <c r="BH837" s="341"/>
      <c r="BI837" s="447"/>
      <c r="BJ837" s="337"/>
    </row>
    <row r="838" spans="1:62" ht="15.75" customHeight="1" thickBot="1" x14ac:dyDescent="0.25">
      <c r="A838" s="176">
        <v>839</v>
      </c>
      <c r="B838" s="175">
        <v>2</v>
      </c>
      <c r="C838" s="166" t="s">
        <v>760</v>
      </c>
      <c r="D838" s="159" t="s">
        <v>2290</v>
      </c>
      <c r="E838" s="167"/>
      <c r="F838" s="167"/>
      <c r="G838" s="167"/>
      <c r="H838" s="167" t="s">
        <v>2875</v>
      </c>
      <c r="I838" s="184"/>
      <c r="J838" s="184" t="s">
        <v>2889</v>
      </c>
      <c r="K838" s="184"/>
      <c r="L838" s="181"/>
      <c r="M838" s="556" t="s">
        <v>4282</v>
      </c>
      <c r="N838" s="214"/>
      <c r="O838" s="214"/>
      <c r="P838" s="214"/>
      <c r="Q838" s="214"/>
      <c r="R838" s="214"/>
      <c r="S838" s="214"/>
      <c r="T838" s="214"/>
      <c r="U838" s="214"/>
      <c r="V838" s="214"/>
      <c r="W838" s="214"/>
      <c r="X838" s="214"/>
      <c r="Y838" s="214"/>
      <c r="Z838" s="234"/>
      <c r="AA838" s="234"/>
      <c r="AB838" s="234"/>
      <c r="AC838" s="234"/>
      <c r="AD838" s="319"/>
      <c r="AE838" s="319"/>
      <c r="AF838" s="162">
        <f t="shared" si="63"/>
        <v>5.8051529999999998</v>
      </c>
      <c r="AG838" s="162" t="str">
        <f t="shared" si="61"/>
        <v/>
      </c>
      <c r="AH838" s="164">
        <f t="shared" si="64"/>
        <v>0.74121219000000005</v>
      </c>
      <c r="AI838" s="164" t="str">
        <f t="shared" si="65"/>
        <v/>
      </c>
      <c r="AJ838" s="382"/>
      <c r="AK838" s="382"/>
      <c r="AL838" s="382"/>
      <c r="AM838" s="382"/>
      <c r="AN838" s="382"/>
      <c r="AO838" s="382"/>
      <c r="AP838" s="382"/>
      <c r="AQ838" s="382"/>
      <c r="AR838" s="382"/>
      <c r="AS838" s="348">
        <v>5.8051529999999998</v>
      </c>
      <c r="AT838" s="199"/>
      <c r="AU838" s="377"/>
      <c r="AV838" s="393"/>
      <c r="AW838" s="332"/>
      <c r="AX838" s="332"/>
      <c r="AY838" s="332"/>
      <c r="AZ838" s="332"/>
      <c r="BA838" s="332"/>
      <c r="BB838" s="332"/>
      <c r="BC838" s="332"/>
      <c r="BD838" s="332"/>
      <c r="BE838" s="332"/>
      <c r="BF838" s="492">
        <v>0.74121219000000005</v>
      </c>
      <c r="BG838" s="467"/>
      <c r="BH838" s="341"/>
      <c r="BI838" s="447"/>
      <c r="BJ838" s="337"/>
    </row>
    <row r="839" spans="1:62" ht="15.75" customHeight="1" thickBot="1" x14ac:dyDescent="0.25">
      <c r="A839" s="176">
        <v>840</v>
      </c>
      <c r="B839" s="175">
        <v>2</v>
      </c>
      <c r="C839" s="166" t="s">
        <v>760</v>
      </c>
      <c r="D839" s="159" t="s">
        <v>2290</v>
      </c>
      <c r="E839" s="167"/>
      <c r="F839" s="167"/>
      <c r="G839" s="167"/>
      <c r="H839" s="167" t="s">
        <v>2877</v>
      </c>
      <c r="I839" s="184"/>
      <c r="J839" s="184" t="s">
        <v>2889</v>
      </c>
      <c r="K839" s="184"/>
      <c r="L839" s="181"/>
      <c r="M839" s="556" t="s">
        <v>4282</v>
      </c>
      <c r="N839" s="214"/>
      <c r="O839" s="214"/>
      <c r="P839" s="214"/>
      <c r="Q839" s="214"/>
      <c r="R839" s="214"/>
      <c r="S839" s="214"/>
      <c r="T839" s="214"/>
      <c r="U839" s="214"/>
      <c r="V839" s="214"/>
      <c r="W839" s="214"/>
      <c r="X839" s="214"/>
      <c r="Y839" s="214"/>
      <c r="Z839" s="234"/>
      <c r="AA839" s="234"/>
      <c r="AB839" s="234"/>
      <c r="AC839" s="234"/>
      <c r="AD839" s="319"/>
      <c r="AE839" s="319"/>
      <c r="AF839" s="162">
        <f t="shared" si="63"/>
        <v>9.4524524999999997</v>
      </c>
      <c r="AG839" s="162" t="str">
        <f t="shared" si="61"/>
        <v/>
      </c>
      <c r="AH839" s="164">
        <f t="shared" si="64"/>
        <v>0.97667108000000002</v>
      </c>
      <c r="AI839" s="164" t="str">
        <f t="shared" si="65"/>
        <v/>
      </c>
      <c r="AJ839" s="382"/>
      <c r="AK839" s="382"/>
      <c r="AL839" s="382"/>
      <c r="AM839" s="382"/>
      <c r="AN839" s="382"/>
      <c r="AO839" s="382"/>
      <c r="AP839" s="382"/>
      <c r="AQ839" s="382"/>
      <c r="AR839" s="382"/>
      <c r="AS839" s="348">
        <v>9.4524524999999997</v>
      </c>
      <c r="AT839" s="199"/>
      <c r="AU839" s="377"/>
      <c r="AV839" s="393"/>
      <c r="AW839" s="332"/>
      <c r="AX839" s="332"/>
      <c r="AY839" s="332"/>
      <c r="AZ839" s="332"/>
      <c r="BA839" s="332"/>
      <c r="BB839" s="332"/>
      <c r="BC839" s="332"/>
      <c r="BD839" s="332"/>
      <c r="BE839" s="332"/>
      <c r="BF839" s="492">
        <v>0.97667108000000002</v>
      </c>
      <c r="BG839" s="467"/>
      <c r="BH839" s="341"/>
      <c r="BI839" s="447"/>
      <c r="BJ839" s="337"/>
    </row>
    <row r="840" spans="1:62" ht="15.75" customHeight="1" thickBot="1" x14ac:dyDescent="0.25">
      <c r="A840" s="176">
        <v>841</v>
      </c>
      <c r="B840" s="175">
        <v>2</v>
      </c>
      <c r="C840" s="166" t="s">
        <v>760</v>
      </c>
      <c r="D840" s="159" t="s">
        <v>2290</v>
      </c>
      <c r="E840" s="167"/>
      <c r="F840" s="167"/>
      <c r="G840" s="167"/>
      <c r="H840" s="167" t="s">
        <v>2878</v>
      </c>
      <c r="I840" s="184"/>
      <c r="J840" s="184" t="s">
        <v>2889</v>
      </c>
      <c r="K840" s="184"/>
      <c r="L840" s="181"/>
      <c r="M840" s="556" t="s">
        <v>4282</v>
      </c>
      <c r="N840" s="214"/>
      <c r="O840" s="214"/>
      <c r="P840" s="214"/>
      <c r="Q840" s="214"/>
      <c r="R840" s="214"/>
      <c r="S840" s="214"/>
      <c r="T840" s="214"/>
      <c r="U840" s="214"/>
      <c r="V840" s="214"/>
      <c r="W840" s="214"/>
      <c r="X840" s="214"/>
      <c r="Y840" s="214"/>
      <c r="Z840" s="234"/>
      <c r="AA840" s="234"/>
      <c r="AB840" s="234"/>
      <c r="AC840" s="234"/>
      <c r="AD840" s="319"/>
      <c r="AE840" s="319"/>
      <c r="AF840" s="162">
        <f t="shared" si="63"/>
        <v>5.3033666000000004</v>
      </c>
      <c r="AG840" s="162" t="str">
        <f t="shared" si="61"/>
        <v/>
      </c>
      <c r="AH840" s="164">
        <f t="shared" si="64"/>
        <v>0.47313101000000002</v>
      </c>
      <c r="AI840" s="164" t="str">
        <f t="shared" si="65"/>
        <v/>
      </c>
      <c r="AJ840" s="382"/>
      <c r="AK840" s="382"/>
      <c r="AL840" s="382"/>
      <c r="AM840" s="382"/>
      <c r="AN840" s="382"/>
      <c r="AO840" s="382"/>
      <c r="AP840" s="382"/>
      <c r="AQ840" s="382"/>
      <c r="AR840" s="382"/>
      <c r="AS840" s="348">
        <v>5.3033666000000004</v>
      </c>
      <c r="AT840" s="199"/>
      <c r="AU840" s="377"/>
      <c r="AV840" s="393"/>
      <c r="AW840" s="332"/>
      <c r="AX840" s="332"/>
      <c r="AY840" s="332"/>
      <c r="AZ840" s="332"/>
      <c r="BA840" s="332"/>
      <c r="BB840" s="332"/>
      <c r="BC840" s="332"/>
      <c r="BD840" s="332"/>
      <c r="BE840" s="332"/>
      <c r="BF840" s="492">
        <v>0.47313101000000002</v>
      </c>
      <c r="BG840" s="467"/>
      <c r="BH840" s="341"/>
      <c r="BI840" s="447"/>
      <c r="BJ840" s="337"/>
    </row>
    <row r="841" spans="1:62" ht="15.75" customHeight="1" thickBot="1" x14ac:dyDescent="0.25">
      <c r="A841" s="176">
        <v>842</v>
      </c>
      <c r="B841" s="175">
        <v>2</v>
      </c>
      <c r="C841" s="166" t="s">
        <v>760</v>
      </c>
      <c r="D841" s="159" t="s">
        <v>2290</v>
      </c>
      <c r="E841" s="167"/>
      <c r="F841" s="167"/>
      <c r="G841" s="167"/>
      <c r="H841" s="167" t="s">
        <v>2885</v>
      </c>
      <c r="I841" s="184"/>
      <c r="J841" s="184" t="s">
        <v>2889</v>
      </c>
      <c r="K841" s="184"/>
      <c r="L841" s="181"/>
      <c r="M841" s="556" t="s">
        <v>4282</v>
      </c>
      <c r="N841" s="214"/>
      <c r="O841" s="214"/>
      <c r="P841" s="214"/>
      <c r="Q841" s="214"/>
      <c r="R841" s="214"/>
      <c r="S841" s="214"/>
      <c r="T841" s="214"/>
      <c r="U841" s="214"/>
      <c r="V841" s="214"/>
      <c r="W841" s="214"/>
      <c r="X841" s="214"/>
      <c r="Y841" s="214"/>
      <c r="Z841" s="234"/>
      <c r="AA841" s="234"/>
      <c r="AB841" s="234"/>
      <c r="AC841" s="234"/>
      <c r="AD841" s="319"/>
      <c r="AE841" s="319"/>
      <c r="AF841" s="162">
        <f t="shared" si="63"/>
        <v>4.1808379000000002</v>
      </c>
      <c r="AG841" s="162" t="str">
        <f t="shared" si="61"/>
        <v/>
      </c>
      <c r="AH841" s="164">
        <f t="shared" si="64"/>
        <v>0.81226721999999996</v>
      </c>
      <c r="AI841" s="164" t="str">
        <f t="shared" si="65"/>
        <v/>
      </c>
      <c r="AJ841" s="382"/>
      <c r="AK841" s="382"/>
      <c r="AL841" s="382"/>
      <c r="AM841" s="382"/>
      <c r="AN841" s="382"/>
      <c r="AO841" s="382"/>
      <c r="AP841" s="382"/>
      <c r="AQ841" s="382"/>
      <c r="AR841" s="382"/>
      <c r="AS841" s="348">
        <v>4.1808379000000002</v>
      </c>
      <c r="AT841" s="199"/>
      <c r="AU841" s="377"/>
      <c r="AV841" s="393"/>
      <c r="AW841" s="332"/>
      <c r="AX841" s="332"/>
      <c r="AY841" s="332"/>
      <c r="AZ841" s="332"/>
      <c r="BA841" s="332"/>
      <c r="BB841" s="332"/>
      <c r="BC841" s="332"/>
      <c r="BD841" s="332"/>
      <c r="BE841" s="332"/>
      <c r="BF841" s="492">
        <v>0.81226721999999996</v>
      </c>
      <c r="BG841" s="467"/>
      <c r="BH841" s="341"/>
      <c r="BI841" s="447"/>
      <c r="BJ841" s="337"/>
    </row>
    <row r="842" spans="1:62" ht="15.75" customHeight="1" thickBot="1" x14ac:dyDescent="0.25">
      <c r="A842" s="176">
        <v>843</v>
      </c>
      <c r="B842" s="175">
        <v>2</v>
      </c>
      <c r="C842" s="166" t="s">
        <v>760</v>
      </c>
      <c r="D842" s="159" t="s">
        <v>2290</v>
      </c>
      <c r="E842" s="167"/>
      <c r="F842" s="167"/>
      <c r="G842" s="167"/>
      <c r="H842" s="167" t="s">
        <v>2886</v>
      </c>
      <c r="I842" s="184"/>
      <c r="J842" s="184" t="s">
        <v>2889</v>
      </c>
      <c r="K842" s="184"/>
      <c r="L842" s="181"/>
      <c r="M842" s="556" t="s">
        <v>4282</v>
      </c>
      <c r="N842" s="214"/>
      <c r="O842" s="214"/>
      <c r="P842" s="214"/>
      <c r="Q842" s="214"/>
      <c r="R842" s="214"/>
      <c r="S842" s="214"/>
      <c r="T842" s="214"/>
      <c r="U842" s="214"/>
      <c r="V842" s="214"/>
      <c r="W842" s="214"/>
      <c r="X842" s="214"/>
      <c r="Y842" s="214"/>
      <c r="Z842" s="234"/>
      <c r="AA842" s="234"/>
      <c r="AB842" s="234"/>
      <c r="AC842" s="234"/>
      <c r="AD842" s="319"/>
      <c r="AE842" s="319"/>
      <c r="AF842" s="162">
        <f t="shared" si="63"/>
        <v>5.6055684000000001</v>
      </c>
      <c r="AG842" s="162" t="str">
        <f t="shared" si="61"/>
        <v/>
      </c>
      <c r="AH842" s="164">
        <f t="shared" si="64"/>
        <v>0.79245741999999997</v>
      </c>
      <c r="AI842" s="164" t="str">
        <f t="shared" si="65"/>
        <v/>
      </c>
      <c r="AJ842" s="382"/>
      <c r="AK842" s="382"/>
      <c r="AL842" s="382"/>
      <c r="AM842" s="382"/>
      <c r="AN842" s="382"/>
      <c r="AO842" s="382"/>
      <c r="AP842" s="382"/>
      <c r="AQ842" s="382"/>
      <c r="AR842" s="382"/>
      <c r="AS842" s="348">
        <v>5.6055684000000001</v>
      </c>
      <c r="AT842" s="199"/>
      <c r="AU842" s="377"/>
      <c r="AV842" s="393"/>
      <c r="AW842" s="332"/>
      <c r="AX842" s="332"/>
      <c r="AY842" s="332"/>
      <c r="AZ842" s="332"/>
      <c r="BA842" s="332"/>
      <c r="BB842" s="332"/>
      <c r="BC842" s="332"/>
      <c r="BD842" s="332"/>
      <c r="BE842" s="332"/>
      <c r="BF842" s="492">
        <v>0.79245741999999997</v>
      </c>
      <c r="BG842" s="467"/>
      <c r="BH842" s="341"/>
      <c r="BI842" s="447"/>
      <c r="BJ842" s="337"/>
    </row>
    <row r="843" spans="1:62" ht="15.75" customHeight="1" thickBot="1" x14ac:dyDescent="0.25">
      <c r="A843" s="176">
        <v>844</v>
      </c>
      <c r="B843" s="175">
        <v>2</v>
      </c>
      <c r="C843" s="166" t="s">
        <v>760</v>
      </c>
      <c r="D843" s="159" t="s">
        <v>2290</v>
      </c>
      <c r="E843" s="167"/>
      <c r="F843" s="167"/>
      <c r="G843" s="167"/>
      <c r="H843" s="167" t="s">
        <v>2879</v>
      </c>
      <c r="I843" s="184"/>
      <c r="J843" s="184" t="s">
        <v>2889</v>
      </c>
      <c r="K843" s="184"/>
      <c r="L843" s="181"/>
      <c r="M843" s="556" t="s">
        <v>4282</v>
      </c>
      <c r="N843" s="214"/>
      <c r="O843" s="214"/>
      <c r="P843" s="214"/>
      <c r="Q843" s="214"/>
      <c r="R843" s="214"/>
      <c r="S843" s="214"/>
      <c r="T843" s="214"/>
      <c r="U843" s="214"/>
      <c r="V843" s="214"/>
      <c r="W843" s="214"/>
      <c r="X843" s="214"/>
      <c r="Y843" s="214"/>
      <c r="Z843" s="234"/>
      <c r="AA843" s="234"/>
      <c r="AB843" s="234"/>
      <c r="AC843" s="234"/>
      <c r="AD843" s="319"/>
      <c r="AE843" s="319"/>
      <c r="AF843" s="162">
        <f t="shared" si="63"/>
        <v>6.2167235999999999</v>
      </c>
      <c r="AG843" s="162" t="str">
        <f t="shared" si="61"/>
        <v/>
      </c>
      <c r="AH843" s="164">
        <f t="shared" si="64"/>
        <v>0.78888897999999996</v>
      </c>
      <c r="AI843" s="164" t="str">
        <f t="shared" si="65"/>
        <v/>
      </c>
      <c r="AJ843" s="382"/>
      <c r="AK843" s="382"/>
      <c r="AL843" s="382"/>
      <c r="AM843" s="382"/>
      <c r="AN843" s="382"/>
      <c r="AO843" s="382"/>
      <c r="AP843" s="382"/>
      <c r="AQ843" s="382"/>
      <c r="AR843" s="382"/>
      <c r="AS843" s="348">
        <v>6.2167235999999999</v>
      </c>
      <c r="AT843" s="199"/>
      <c r="AU843" s="377"/>
      <c r="AV843" s="393"/>
      <c r="AW843" s="332"/>
      <c r="AX843" s="332"/>
      <c r="AY843" s="332"/>
      <c r="AZ843" s="332"/>
      <c r="BA843" s="332"/>
      <c r="BB843" s="332"/>
      <c r="BC843" s="332"/>
      <c r="BD843" s="332"/>
      <c r="BE843" s="332"/>
      <c r="BF843" s="492">
        <v>0.78888897999999996</v>
      </c>
      <c r="BG843" s="467"/>
      <c r="BH843" s="341"/>
      <c r="BI843" s="447"/>
      <c r="BJ843" s="337"/>
    </row>
    <row r="844" spans="1:62" ht="15.75" customHeight="1" thickBot="1" x14ac:dyDescent="0.25">
      <c r="A844" s="176">
        <v>845</v>
      </c>
      <c r="B844" s="175">
        <v>2</v>
      </c>
      <c r="C844" s="166" t="s">
        <v>760</v>
      </c>
      <c r="D844" s="159" t="s">
        <v>2290</v>
      </c>
      <c r="E844" s="167"/>
      <c r="F844" s="167"/>
      <c r="G844" s="167"/>
      <c r="H844" s="167" t="s">
        <v>2880</v>
      </c>
      <c r="I844" s="184"/>
      <c r="J844" s="184" t="s">
        <v>2889</v>
      </c>
      <c r="K844" s="184"/>
      <c r="L844" s="181"/>
      <c r="M844" s="556" t="s">
        <v>4282</v>
      </c>
      <c r="N844" s="214"/>
      <c r="O844" s="214"/>
      <c r="P844" s="214"/>
      <c r="Q844" s="214"/>
      <c r="R844" s="214"/>
      <c r="S844" s="214"/>
      <c r="T844" s="214"/>
      <c r="U844" s="214"/>
      <c r="V844" s="214"/>
      <c r="W844" s="214"/>
      <c r="X844" s="214"/>
      <c r="Y844" s="214"/>
      <c r="Z844" s="234"/>
      <c r="AA844" s="234"/>
      <c r="AB844" s="234"/>
      <c r="AC844" s="234"/>
      <c r="AD844" s="319"/>
      <c r="AE844" s="319"/>
      <c r="AF844" s="162">
        <f t="shared" si="63"/>
        <v>6.9760612999999996</v>
      </c>
      <c r="AG844" s="162" t="str">
        <f t="shared" si="61"/>
        <v/>
      </c>
      <c r="AH844" s="164">
        <f t="shared" si="64"/>
        <v>1.2574736</v>
      </c>
      <c r="AI844" s="164" t="str">
        <f t="shared" si="65"/>
        <v/>
      </c>
      <c r="AJ844" s="382"/>
      <c r="AK844" s="382"/>
      <c r="AL844" s="382"/>
      <c r="AM844" s="382"/>
      <c r="AN844" s="382"/>
      <c r="AO844" s="382"/>
      <c r="AP844" s="382"/>
      <c r="AQ844" s="382"/>
      <c r="AR844" s="382"/>
      <c r="AS844" s="348">
        <v>6.9760612999999996</v>
      </c>
      <c r="AT844" s="199"/>
      <c r="AU844" s="377"/>
      <c r="AV844" s="393"/>
      <c r="AW844" s="332"/>
      <c r="AX844" s="332"/>
      <c r="AY844" s="332"/>
      <c r="AZ844" s="332"/>
      <c r="BA844" s="332"/>
      <c r="BB844" s="332"/>
      <c r="BC844" s="332"/>
      <c r="BD844" s="332"/>
      <c r="BE844" s="332"/>
      <c r="BF844" s="492">
        <v>1.2574736</v>
      </c>
      <c r="BG844" s="467"/>
      <c r="BH844" s="341"/>
      <c r="BI844" s="447"/>
      <c r="BJ844" s="337"/>
    </row>
    <row r="845" spans="1:62" ht="15.75" customHeight="1" thickBot="1" x14ac:dyDescent="0.25">
      <c r="A845" s="176">
        <v>846</v>
      </c>
      <c r="B845" s="175">
        <v>2</v>
      </c>
      <c r="C845" s="166" t="s">
        <v>760</v>
      </c>
      <c r="D845" s="159" t="s">
        <v>2290</v>
      </c>
      <c r="E845" s="167"/>
      <c r="F845" s="167"/>
      <c r="G845" s="167"/>
      <c r="H845" s="167" t="s">
        <v>2887</v>
      </c>
      <c r="I845" s="184"/>
      <c r="J845" s="184" t="s">
        <v>2889</v>
      </c>
      <c r="K845" s="184"/>
      <c r="L845" s="181"/>
      <c r="M845" s="556" t="s">
        <v>4282</v>
      </c>
      <c r="N845" s="214"/>
      <c r="O845" s="214"/>
      <c r="P845" s="214"/>
      <c r="Q845" s="214"/>
      <c r="R845" s="214"/>
      <c r="S845" s="214"/>
      <c r="T845" s="214"/>
      <c r="U845" s="214"/>
      <c r="V845" s="214"/>
      <c r="W845" s="214"/>
      <c r="X845" s="214"/>
      <c r="Y845" s="214"/>
      <c r="Z845" s="234"/>
      <c r="AA845" s="234"/>
      <c r="AB845" s="234"/>
      <c r="AC845" s="234"/>
      <c r="AD845" s="319"/>
      <c r="AE845" s="319"/>
      <c r="AF845" s="162">
        <f t="shared" si="63"/>
        <v>6.4303505000000003</v>
      </c>
      <c r="AG845" s="162" t="str">
        <f t="shared" si="61"/>
        <v/>
      </c>
      <c r="AH845" s="164">
        <f t="shared" si="64"/>
        <v>1.0446394000000001</v>
      </c>
      <c r="AI845" s="164" t="str">
        <f t="shared" si="65"/>
        <v/>
      </c>
      <c r="AJ845" s="382"/>
      <c r="AK845" s="382"/>
      <c r="AL845" s="382"/>
      <c r="AM845" s="382"/>
      <c r="AN845" s="382"/>
      <c r="AO845" s="382"/>
      <c r="AP845" s="382"/>
      <c r="AQ845" s="382"/>
      <c r="AR845" s="382"/>
      <c r="AS845" s="348">
        <v>6.4303505000000003</v>
      </c>
      <c r="AT845" s="199"/>
      <c r="AU845" s="377"/>
      <c r="AV845" s="393"/>
      <c r="AW845" s="332"/>
      <c r="AX845" s="332"/>
      <c r="AY845" s="332"/>
      <c r="AZ845" s="332"/>
      <c r="BA845" s="332"/>
      <c r="BB845" s="332"/>
      <c r="BC845" s="332"/>
      <c r="BD845" s="332"/>
      <c r="BE845" s="332"/>
      <c r="BF845" s="492">
        <v>1.0446394000000001</v>
      </c>
      <c r="BG845" s="467"/>
      <c r="BH845" s="341"/>
      <c r="BI845" s="447"/>
      <c r="BJ845" s="337"/>
    </row>
    <row r="846" spans="1:62" ht="15.75" customHeight="1" thickBot="1" x14ac:dyDescent="0.25">
      <c r="A846" s="176">
        <v>847</v>
      </c>
      <c r="B846" s="175">
        <v>2</v>
      </c>
      <c r="C846" s="166" t="s">
        <v>760</v>
      </c>
      <c r="D846" s="159" t="s">
        <v>1920</v>
      </c>
      <c r="E846" s="167"/>
      <c r="F846" s="167"/>
      <c r="G846" s="167"/>
      <c r="H846" s="167" t="s">
        <v>2890</v>
      </c>
      <c r="I846" s="184"/>
      <c r="J846" s="184" t="s">
        <v>2893</v>
      </c>
      <c r="K846" s="184"/>
      <c r="L846" s="181"/>
      <c r="M846" s="556" t="s">
        <v>4282</v>
      </c>
      <c r="N846" s="214"/>
      <c r="O846" s="214"/>
      <c r="P846" s="214"/>
      <c r="Q846" s="214"/>
      <c r="R846" s="214"/>
      <c r="S846" s="214"/>
      <c r="T846" s="214"/>
      <c r="U846" s="214"/>
      <c r="V846" s="214"/>
      <c r="W846" s="214"/>
      <c r="X846" s="214"/>
      <c r="Y846" s="214"/>
      <c r="Z846" s="234"/>
      <c r="AA846" s="234"/>
      <c r="AB846" s="234"/>
      <c r="AC846" s="234"/>
      <c r="AD846" s="319"/>
      <c r="AE846" s="319"/>
      <c r="AF846" s="162">
        <f t="shared" si="63"/>
        <v>2.5039583333333333</v>
      </c>
      <c r="AG846" s="162" t="str">
        <f t="shared" si="61"/>
        <v/>
      </c>
      <c r="AH846" s="164">
        <f t="shared" si="64"/>
        <v>1.3134791666666668</v>
      </c>
      <c r="AI846" s="164" t="str">
        <f t="shared" si="65"/>
        <v/>
      </c>
      <c r="AJ846" s="382"/>
      <c r="AK846" s="382"/>
      <c r="AL846" s="382"/>
      <c r="AM846" s="382"/>
      <c r="AN846" s="382"/>
      <c r="AO846" s="382"/>
      <c r="AP846" s="382"/>
      <c r="AQ846" s="382"/>
      <c r="AR846" s="382"/>
      <c r="AS846" s="349">
        <f>1.2019/0.48</f>
        <v>2.5039583333333333</v>
      </c>
      <c r="AT846" s="199"/>
      <c r="AU846" s="377"/>
      <c r="AV846" s="393"/>
      <c r="AW846" s="332"/>
      <c r="AX846" s="332"/>
      <c r="AY846" s="332"/>
      <c r="AZ846" s="332"/>
      <c r="BA846" s="332"/>
      <c r="BB846" s="332"/>
      <c r="BC846" s="332"/>
      <c r="BD846" s="332"/>
      <c r="BE846" s="332"/>
      <c r="BF846" s="493">
        <f>0.63047/0.48</f>
        <v>1.3134791666666668</v>
      </c>
      <c r="BG846" s="467"/>
      <c r="BH846" s="341"/>
      <c r="BI846" s="447"/>
      <c r="BJ846" s="337"/>
    </row>
    <row r="847" spans="1:62" ht="15.75" customHeight="1" thickBot="1" x14ac:dyDescent="0.25">
      <c r="A847" s="176">
        <v>848</v>
      </c>
      <c r="B847" s="175">
        <v>2</v>
      </c>
      <c r="C847" s="166" t="s">
        <v>760</v>
      </c>
      <c r="D847" s="159" t="s">
        <v>1920</v>
      </c>
      <c r="E847" s="167"/>
      <c r="F847" s="167"/>
      <c r="G847" s="167"/>
      <c r="H847" s="167" t="s">
        <v>2891</v>
      </c>
      <c r="I847" s="184"/>
      <c r="J847" s="184" t="s">
        <v>2893</v>
      </c>
      <c r="K847" s="184"/>
      <c r="L847" s="181"/>
      <c r="M847" s="556" t="s">
        <v>4282</v>
      </c>
      <c r="N847" s="214"/>
      <c r="O847" s="214"/>
      <c r="P847" s="214"/>
      <c r="Q847" s="214"/>
      <c r="R847" s="214"/>
      <c r="S847" s="214"/>
      <c r="T847" s="214"/>
      <c r="U847" s="214"/>
      <c r="V847" s="214"/>
      <c r="W847" s="214"/>
      <c r="X847" s="214"/>
      <c r="Y847" s="214"/>
      <c r="Z847" s="234"/>
      <c r="AA847" s="234"/>
      <c r="AB847" s="234"/>
      <c r="AC847" s="234"/>
      <c r="AD847" s="319"/>
      <c r="AE847" s="319"/>
      <c r="AF847" s="162">
        <f t="shared" si="63"/>
        <v>2.9379166666666667</v>
      </c>
      <c r="AG847" s="162" t="str">
        <f t="shared" si="61"/>
        <v/>
      </c>
      <c r="AH847" s="164">
        <f t="shared" si="64"/>
        <v>0.48656250000000001</v>
      </c>
      <c r="AI847" s="164" t="str">
        <f t="shared" si="65"/>
        <v/>
      </c>
      <c r="AJ847" s="382"/>
      <c r="AK847" s="382"/>
      <c r="AL847" s="382"/>
      <c r="AM847" s="382"/>
      <c r="AN847" s="382"/>
      <c r="AO847" s="382"/>
      <c r="AP847" s="382"/>
      <c r="AQ847" s="382"/>
      <c r="AR847" s="382"/>
      <c r="AS847" s="349">
        <f>1.4102/0.48</f>
        <v>2.9379166666666667</v>
      </c>
      <c r="AT847" s="199"/>
      <c r="AU847" s="377"/>
      <c r="AV847" s="393"/>
      <c r="AW847" s="332"/>
      <c r="AX847" s="332"/>
      <c r="AY847" s="332"/>
      <c r="AZ847" s="332"/>
      <c r="BA847" s="332"/>
      <c r="BB847" s="332"/>
      <c r="BC847" s="332"/>
      <c r="BD847" s="332"/>
      <c r="BE847" s="332"/>
      <c r="BF847" s="493">
        <f>0.23355/0.48</f>
        <v>0.48656250000000001</v>
      </c>
      <c r="BG847" s="467"/>
      <c r="BH847" s="341"/>
      <c r="BI847" s="447"/>
      <c r="BJ847" s="337"/>
    </row>
    <row r="848" spans="1:62" ht="15.75" customHeight="1" thickBot="1" x14ac:dyDescent="0.25">
      <c r="A848" s="176">
        <v>849</v>
      </c>
      <c r="B848" s="175">
        <v>2</v>
      </c>
      <c r="C848" s="166" t="s">
        <v>760</v>
      </c>
      <c r="D848" s="159" t="s">
        <v>1920</v>
      </c>
      <c r="E848" s="167"/>
      <c r="F848" s="167"/>
      <c r="G848" s="167"/>
      <c r="H848" s="167" t="s">
        <v>2892</v>
      </c>
      <c r="I848" s="184"/>
      <c r="J848" s="184" t="s">
        <v>2893</v>
      </c>
      <c r="K848" s="184"/>
      <c r="L848" s="181"/>
      <c r="M848" s="556" t="s">
        <v>4282</v>
      </c>
      <c r="N848" s="214"/>
      <c r="O848" s="214"/>
      <c r="P848" s="214"/>
      <c r="Q848" s="214"/>
      <c r="R848" s="214"/>
      <c r="S848" s="214"/>
      <c r="T848" s="214"/>
      <c r="U848" s="214"/>
      <c r="V848" s="214"/>
      <c r="W848" s="214"/>
      <c r="X848" s="214"/>
      <c r="Y848" s="214"/>
      <c r="Z848" s="234"/>
      <c r="AA848" s="234"/>
      <c r="AB848" s="234"/>
      <c r="AC848" s="234"/>
      <c r="AD848" s="319"/>
      <c r="AE848" s="319"/>
      <c r="AF848" s="162">
        <f t="shared" si="63"/>
        <v>3.5764583333333331</v>
      </c>
      <c r="AG848" s="162" t="str">
        <f t="shared" si="61"/>
        <v/>
      </c>
      <c r="AH848" s="164">
        <f t="shared" si="64"/>
        <v>0.57585416666666667</v>
      </c>
      <c r="AI848" s="164" t="str">
        <f t="shared" si="65"/>
        <v/>
      </c>
      <c r="AJ848" s="382"/>
      <c r="AK848" s="382"/>
      <c r="AL848" s="382"/>
      <c r="AM848" s="382"/>
      <c r="AN848" s="382"/>
      <c r="AO848" s="382"/>
      <c r="AP848" s="382"/>
      <c r="AQ848" s="382"/>
      <c r="AR848" s="382"/>
      <c r="AS848" s="349">
        <f>1.7167/0.48</f>
        <v>3.5764583333333331</v>
      </c>
      <c r="AT848" s="199"/>
      <c r="AU848" s="377"/>
      <c r="AV848" s="393"/>
      <c r="AW848" s="332"/>
      <c r="AX848" s="332"/>
      <c r="AY848" s="332"/>
      <c r="AZ848" s="332"/>
      <c r="BA848" s="332"/>
      <c r="BB848" s="332"/>
      <c r="BC848" s="332"/>
      <c r="BD848" s="332"/>
      <c r="BE848" s="332"/>
      <c r="BF848" s="493">
        <f>0.27641/0.48</f>
        <v>0.57585416666666667</v>
      </c>
      <c r="BG848" s="467"/>
      <c r="BH848" s="341"/>
      <c r="BI848" s="447"/>
      <c r="BJ848" s="337"/>
    </row>
    <row r="849" spans="1:62" ht="15.75" customHeight="1" thickBot="1" x14ac:dyDescent="0.25">
      <c r="A849" s="176">
        <v>850</v>
      </c>
      <c r="B849" s="175">
        <v>2</v>
      </c>
      <c r="C849" s="166" t="s">
        <v>259</v>
      </c>
      <c r="D849" s="167" t="s">
        <v>2239</v>
      </c>
      <c r="E849" s="167"/>
      <c r="F849" s="167"/>
      <c r="G849" s="167"/>
      <c r="H849" s="167" t="s">
        <v>2884</v>
      </c>
      <c r="I849" s="184"/>
      <c r="J849" s="184" t="s">
        <v>2894</v>
      </c>
      <c r="K849" s="184"/>
      <c r="L849" s="181"/>
      <c r="M849" s="556" t="s">
        <v>4282</v>
      </c>
      <c r="N849" s="214"/>
      <c r="O849" s="214"/>
      <c r="P849" s="214"/>
      <c r="Q849" s="214"/>
      <c r="R849" s="214"/>
      <c r="S849" s="214"/>
      <c r="T849" s="214"/>
      <c r="U849" s="214"/>
      <c r="V849" s="214"/>
      <c r="W849" s="214"/>
      <c r="X849" s="214"/>
      <c r="Y849" s="214"/>
      <c r="Z849" s="234"/>
      <c r="AA849" s="234" t="s">
        <v>2896</v>
      </c>
      <c r="AB849" s="234"/>
      <c r="AC849" s="234"/>
      <c r="AD849" s="319"/>
      <c r="AE849" s="319"/>
      <c r="AF849" s="162" t="str">
        <f t="shared" si="63"/>
        <v/>
      </c>
      <c r="AG849" s="162">
        <f t="shared" si="61"/>
        <v>7.75</v>
      </c>
      <c r="AH849" s="164" t="str">
        <f t="shared" si="64"/>
        <v/>
      </c>
      <c r="AI849" s="164">
        <f t="shared" si="65"/>
        <v>1.54</v>
      </c>
      <c r="AJ849" s="382"/>
      <c r="AK849" s="382"/>
      <c r="AL849" s="377">
        <v>7.75</v>
      </c>
      <c r="AM849" s="382"/>
      <c r="AN849" s="382"/>
      <c r="AO849" s="382"/>
      <c r="AP849" s="382"/>
      <c r="AQ849" s="382"/>
      <c r="AR849" s="382"/>
      <c r="AS849" s="204"/>
      <c r="AT849" s="202">
        <f>SUM(AJ849:AR849)</f>
        <v>7.75</v>
      </c>
      <c r="AU849" s="377"/>
      <c r="AV849" s="393"/>
      <c r="AW849" s="332"/>
      <c r="AX849" s="332"/>
      <c r="AY849" s="341">
        <v>1.54</v>
      </c>
      <c r="AZ849" s="332"/>
      <c r="BA849" s="332"/>
      <c r="BB849" s="332"/>
      <c r="BC849" s="332"/>
      <c r="BD849" s="332"/>
      <c r="BE849" s="332"/>
      <c r="BF849" s="494"/>
      <c r="BG849" s="491">
        <f>SUM(AW849:BE849)</f>
        <v>1.54</v>
      </c>
      <c r="BH849" s="341"/>
      <c r="BI849" s="447"/>
      <c r="BJ849" s="337"/>
    </row>
    <row r="850" spans="1:62" ht="15.75" customHeight="1" thickBot="1" x14ac:dyDescent="0.25">
      <c r="A850" s="176">
        <v>851</v>
      </c>
      <c r="B850" s="175">
        <v>2</v>
      </c>
      <c r="C850" s="166" t="s">
        <v>259</v>
      </c>
      <c r="D850" s="159" t="s">
        <v>1934</v>
      </c>
      <c r="E850" s="167"/>
      <c r="F850" s="167"/>
      <c r="G850" s="167"/>
      <c r="H850" s="167" t="s">
        <v>351</v>
      </c>
      <c r="I850" s="184"/>
      <c r="J850" s="184" t="s">
        <v>2897</v>
      </c>
      <c r="K850" s="184"/>
      <c r="L850" s="181"/>
      <c r="M850" s="556" t="s">
        <v>4282</v>
      </c>
      <c r="N850" s="214"/>
      <c r="O850" s="214"/>
      <c r="P850" s="214"/>
      <c r="Q850" s="214"/>
      <c r="R850" s="214"/>
      <c r="S850" s="214"/>
      <c r="T850" s="214"/>
      <c r="U850" s="214"/>
      <c r="V850" s="214"/>
      <c r="W850" s="214"/>
      <c r="X850" s="214"/>
      <c r="Y850" s="214"/>
      <c r="Z850" s="234"/>
      <c r="AA850" s="234" t="s">
        <v>2896</v>
      </c>
      <c r="AB850" s="234"/>
      <c r="AC850" s="234"/>
      <c r="AD850" s="319"/>
      <c r="AE850" s="319"/>
      <c r="AF850" s="162" t="str">
        <f t="shared" si="63"/>
        <v/>
      </c>
      <c r="AG850" s="162">
        <f t="shared" si="61"/>
        <v>5.8</v>
      </c>
      <c r="AH850" s="164" t="str">
        <f t="shared" si="64"/>
        <v/>
      </c>
      <c r="AI850" s="164">
        <f t="shared" si="65"/>
        <v>0.55000000000000004</v>
      </c>
      <c r="AJ850" s="382"/>
      <c r="AK850" s="382"/>
      <c r="AL850" s="377">
        <v>5.8</v>
      </c>
      <c r="AM850" s="382"/>
      <c r="AN850" s="382"/>
      <c r="AO850" s="382"/>
      <c r="AP850" s="382"/>
      <c r="AQ850" s="382"/>
      <c r="AR850" s="382"/>
      <c r="AS850" s="204"/>
      <c r="AT850" s="202">
        <f>SUM(AJ850:AR850)</f>
        <v>5.8</v>
      </c>
      <c r="AU850" s="377"/>
      <c r="AV850" s="393"/>
      <c r="AW850" s="332"/>
      <c r="AX850" s="332"/>
      <c r="AY850" s="341">
        <v>0.55000000000000004</v>
      </c>
      <c r="AZ850" s="332"/>
      <c r="BA850" s="332"/>
      <c r="BB850" s="332"/>
      <c r="BC850" s="332"/>
      <c r="BD850" s="332"/>
      <c r="BE850" s="332"/>
      <c r="BF850" s="490"/>
      <c r="BG850" s="491">
        <f>SUM(AW850:BE850)</f>
        <v>0.55000000000000004</v>
      </c>
      <c r="BH850" s="341"/>
      <c r="BI850" s="447"/>
      <c r="BJ850" s="337"/>
    </row>
    <row r="851" spans="1:62" ht="15.75" customHeight="1" thickBot="1" x14ac:dyDescent="0.25">
      <c r="A851" s="176">
        <v>852</v>
      </c>
      <c r="B851" s="175">
        <v>2</v>
      </c>
      <c r="C851" s="166" t="s">
        <v>162</v>
      </c>
      <c r="D851" s="167" t="s">
        <v>892</v>
      </c>
      <c r="E851" s="167"/>
      <c r="F851" s="167"/>
      <c r="G851" s="167"/>
      <c r="H851" s="167" t="s">
        <v>2900</v>
      </c>
      <c r="I851" s="184"/>
      <c r="J851" s="184" t="s">
        <v>2898</v>
      </c>
      <c r="K851" s="184"/>
      <c r="L851" s="181"/>
      <c r="M851" s="556" t="s">
        <v>4282</v>
      </c>
      <c r="N851" s="214"/>
      <c r="O851" s="214"/>
      <c r="P851" s="214"/>
      <c r="Q851" s="214"/>
      <c r="R851" s="214"/>
      <c r="S851" s="214"/>
      <c r="T851" s="214"/>
      <c r="U851" s="214"/>
      <c r="V851" s="214"/>
      <c r="W851" s="214"/>
      <c r="X851" s="214"/>
      <c r="Y851" s="214"/>
      <c r="Z851" s="234"/>
      <c r="AA851" s="234"/>
      <c r="AB851" s="234"/>
      <c r="AC851" s="234"/>
      <c r="AD851" s="319"/>
      <c r="AE851" s="319"/>
      <c r="AF851" s="162">
        <f t="shared" si="63"/>
        <v>0.54075452999999996</v>
      </c>
      <c r="AG851" s="162" t="str">
        <f t="shared" ref="AG851:AG914" si="66">IF(AND(SUM(AJ851:AL851)&lt;&gt;0,SUM(AJ851:AL851)&lt;&gt;AJ851),SUM(AJ851:AL851),"")</f>
        <v/>
      </c>
      <c r="AH851" s="164">
        <f t="shared" si="64"/>
        <v>0.13511646999999999</v>
      </c>
      <c r="AI851" s="164" t="str">
        <f t="shared" si="65"/>
        <v/>
      </c>
      <c r="AJ851" s="382"/>
      <c r="AK851" s="382"/>
      <c r="AL851" s="382"/>
      <c r="AM851" s="382"/>
      <c r="AN851" s="382"/>
      <c r="AO851" s="382"/>
      <c r="AP851" s="382"/>
      <c r="AQ851" s="382"/>
      <c r="AR851" s="382"/>
      <c r="AS851" s="348">
        <v>0.54075452999999996</v>
      </c>
      <c r="AT851" s="199"/>
      <c r="AU851" s="377"/>
      <c r="AV851" s="393"/>
      <c r="AW851" s="332"/>
      <c r="AX851" s="332"/>
      <c r="AY851" s="332"/>
      <c r="AZ851" s="332"/>
      <c r="BA851" s="332"/>
      <c r="BB851" s="332"/>
      <c r="BC851" s="332"/>
      <c r="BD851" s="332"/>
      <c r="BE851" s="332"/>
      <c r="BF851" s="492">
        <v>0.13511646999999999</v>
      </c>
      <c r="BG851" s="467"/>
      <c r="BH851" s="341"/>
      <c r="BI851" s="447"/>
      <c r="BJ851" s="337"/>
    </row>
    <row r="852" spans="1:62" ht="15.75" customHeight="1" thickBot="1" x14ac:dyDescent="0.25">
      <c r="A852" s="176">
        <v>853</v>
      </c>
      <c r="B852" s="175">
        <v>2</v>
      </c>
      <c r="C852" s="166" t="s">
        <v>162</v>
      </c>
      <c r="D852" s="167" t="s">
        <v>892</v>
      </c>
      <c r="E852" s="167"/>
      <c r="F852" s="167"/>
      <c r="G852" s="167"/>
      <c r="H852" s="167" t="s">
        <v>2901</v>
      </c>
      <c r="I852" s="184"/>
      <c r="J852" s="184" t="s">
        <v>2899</v>
      </c>
      <c r="K852" s="184"/>
      <c r="L852" s="181"/>
      <c r="M852" s="556" t="s">
        <v>4282</v>
      </c>
      <c r="N852" s="214"/>
      <c r="O852" s="214"/>
      <c r="P852" s="214"/>
      <c r="Q852" s="214"/>
      <c r="R852" s="214"/>
      <c r="S852" s="214"/>
      <c r="T852" s="214"/>
      <c r="U852" s="214"/>
      <c r="V852" s="214"/>
      <c r="W852" s="214"/>
      <c r="X852" s="214"/>
      <c r="Y852" s="214"/>
      <c r="Z852" s="234"/>
      <c r="AA852" s="234"/>
      <c r="AB852" s="234"/>
      <c r="AC852" s="234"/>
      <c r="AD852" s="319"/>
      <c r="AE852" s="319"/>
      <c r="AF852" s="162">
        <f t="shared" si="63"/>
        <v>0.78148099999999998</v>
      </c>
      <c r="AG852" s="162" t="str">
        <f t="shared" si="66"/>
        <v/>
      </c>
      <c r="AH852" s="164">
        <f t="shared" si="64"/>
        <v>0.22567783999999999</v>
      </c>
      <c r="AI852" s="164" t="str">
        <f t="shared" si="65"/>
        <v/>
      </c>
      <c r="AJ852" s="382"/>
      <c r="AK852" s="382"/>
      <c r="AL852" s="382"/>
      <c r="AM852" s="382"/>
      <c r="AN852" s="382"/>
      <c r="AO852" s="382"/>
      <c r="AP852" s="382"/>
      <c r="AQ852" s="382"/>
      <c r="AR852" s="382"/>
      <c r="AS852" s="348">
        <v>0.78148099999999998</v>
      </c>
      <c r="AT852" s="199"/>
      <c r="AU852" s="377"/>
      <c r="AV852" s="393"/>
      <c r="AW852" s="332"/>
      <c r="AX852" s="332"/>
      <c r="AY852" s="332"/>
      <c r="AZ852" s="332"/>
      <c r="BA852" s="332"/>
      <c r="BB852" s="332"/>
      <c r="BC852" s="332"/>
      <c r="BD852" s="332"/>
      <c r="BE852" s="332"/>
      <c r="BF852" s="492">
        <v>0.22567783999999999</v>
      </c>
      <c r="BG852" s="467"/>
      <c r="BH852" s="341"/>
      <c r="BI852" s="447"/>
      <c r="BJ852" s="337"/>
    </row>
    <row r="853" spans="1:62" ht="15.75" customHeight="1" thickBot="1" x14ac:dyDescent="0.25">
      <c r="A853" s="176">
        <v>854</v>
      </c>
      <c r="B853" s="175">
        <v>2</v>
      </c>
      <c r="C853" s="166" t="s">
        <v>259</v>
      </c>
      <c r="D853" s="159" t="s">
        <v>2093</v>
      </c>
      <c r="E853" s="167"/>
      <c r="F853" s="167"/>
      <c r="G853" s="167"/>
      <c r="H853" s="167" t="s">
        <v>2900</v>
      </c>
      <c r="I853" s="184"/>
      <c r="J853" s="184" t="s">
        <v>2902</v>
      </c>
      <c r="K853" s="184"/>
      <c r="L853" s="181"/>
      <c r="M853" s="556" t="s">
        <v>4282</v>
      </c>
      <c r="N853" s="214"/>
      <c r="O853" s="214"/>
      <c r="P853" s="214"/>
      <c r="Q853" s="214"/>
      <c r="R853" s="214"/>
      <c r="S853" s="214"/>
      <c r="T853" s="214"/>
      <c r="U853" s="214"/>
      <c r="V853" s="214"/>
      <c r="W853" s="214"/>
      <c r="X853" s="214"/>
      <c r="Y853" s="214"/>
      <c r="Z853" s="234"/>
      <c r="AA853" s="234"/>
      <c r="AB853" s="234"/>
      <c r="AC853" s="234"/>
      <c r="AD853" s="319"/>
      <c r="AE853" s="319"/>
      <c r="AF853" s="162" t="str">
        <f t="shared" si="63"/>
        <v/>
      </c>
      <c r="AG853" s="162">
        <f t="shared" si="66"/>
        <v>4.8492999999999995</v>
      </c>
      <c r="AH853" s="164" t="str">
        <f t="shared" si="64"/>
        <v/>
      </c>
      <c r="AI853" s="164">
        <f t="shared" si="65"/>
        <v>0.47300999999999999</v>
      </c>
      <c r="AJ853" s="382"/>
      <c r="AK853" s="382"/>
      <c r="AL853" s="383">
        <f>2.8693+1.98</f>
        <v>4.8492999999999995</v>
      </c>
      <c r="AM853" s="382"/>
      <c r="AN853" s="382"/>
      <c r="AO853" s="382"/>
      <c r="AP853" s="382"/>
      <c r="AQ853" s="382"/>
      <c r="AR853" s="382"/>
      <c r="AS853" s="204"/>
      <c r="AT853" s="202">
        <f>SUM(AJ853:AR853)</f>
        <v>4.8492999999999995</v>
      </c>
      <c r="AU853" s="377"/>
      <c r="AV853" s="410"/>
      <c r="AW853" s="332"/>
      <c r="AX853" s="332"/>
      <c r="AY853" s="340">
        <f>0.36201+0.111</f>
        <v>0.47300999999999999</v>
      </c>
      <c r="AZ853" s="332"/>
      <c r="BA853" s="332"/>
      <c r="BB853" s="332"/>
      <c r="BC853" s="332"/>
      <c r="BD853" s="332"/>
      <c r="BE853" s="332"/>
      <c r="BF853" s="490"/>
      <c r="BG853" s="491">
        <f>SUM(AW853:BE853)</f>
        <v>0.47300999999999999</v>
      </c>
      <c r="BH853" s="341"/>
      <c r="BI853" s="447"/>
      <c r="BJ853" s="337"/>
    </row>
    <row r="854" spans="1:62" ht="15.75" customHeight="1" thickBot="1" x14ac:dyDescent="0.25">
      <c r="A854" s="176">
        <v>855</v>
      </c>
      <c r="B854" s="175">
        <v>2</v>
      </c>
      <c r="C854" s="166" t="s">
        <v>259</v>
      </c>
      <c r="D854" s="159" t="s">
        <v>2093</v>
      </c>
      <c r="E854" s="167"/>
      <c r="F854" s="167"/>
      <c r="G854" s="167"/>
      <c r="H854" s="167" t="s">
        <v>2901</v>
      </c>
      <c r="I854" s="184"/>
      <c r="J854" s="184" t="s">
        <v>2903</v>
      </c>
      <c r="K854" s="184"/>
      <c r="L854" s="181"/>
      <c r="M854" s="556" t="s">
        <v>4282</v>
      </c>
      <c r="N854" s="214"/>
      <c r="O854" s="214"/>
      <c r="P854" s="214"/>
      <c r="Q854" s="214"/>
      <c r="R854" s="214"/>
      <c r="S854" s="214"/>
      <c r="T854" s="214"/>
      <c r="U854" s="214"/>
      <c r="V854" s="214"/>
      <c r="W854" s="214"/>
      <c r="X854" s="214"/>
      <c r="Y854" s="214"/>
      <c r="Z854" s="234"/>
      <c r="AA854" s="234"/>
      <c r="AB854" s="234"/>
      <c r="AC854" s="234"/>
      <c r="AD854" s="319"/>
      <c r="AE854" s="319"/>
      <c r="AF854" s="162" t="str">
        <f t="shared" si="63"/>
        <v/>
      </c>
      <c r="AG854" s="162">
        <f t="shared" si="66"/>
        <v>4.5222999999999995</v>
      </c>
      <c r="AH854" s="164" t="str">
        <f t="shared" si="64"/>
        <v/>
      </c>
      <c r="AI854" s="164">
        <f t="shared" si="65"/>
        <v>0.52376</v>
      </c>
      <c r="AJ854" s="382"/>
      <c r="AK854" s="382"/>
      <c r="AL854" s="383">
        <f>2.5423+1.98</f>
        <v>4.5222999999999995</v>
      </c>
      <c r="AM854" s="382"/>
      <c r="AN854" s="382"/>
      <c r="AO854" s="382"/>
      <c r="AP854" s="382"/>
      <c r="AQ854" s="382"/>
      <c r="AR854" s="382"/>
      <c r="AS854" s="204"/>
      <c r="AT854" s="202">
        <f>SUM(AJ854:AR854)</f>
        <v>4.5222999999999995</v>
      </c>
      <c r="AU854" s="377"/>
      <c r="AV854" s="410"/>
      <c r="AW854" s="332"/>
      <c r="AX854" s="332"/>
      <c r="AY854" s="340">
        <f>0.41276+0.111</f>
        <v>0.52376</v>
      </c>
      <c r="AZ854" s="332"/>
      <c r="BA854" s="332"/>
      <c r="BB854" s="332"/>
      <c r="BC854" s="332"/>
      <c r="BD854" s="332"/>
      <c r="BE854" s="332"/>
      <c r="BF854" s="490"/>
      <c r="BG854" s="491">
        <f>SUM(AW854:BE854)</f>
        <v>0.52376</v>
      </c>
      <c r="BH854" s="341"/>
      <c r="BI854" s="447"/>
      <c r="BJ854" s="337"/>
    </row>
    <row r="855" spans="1:62" ht="15.75" customHeight="1" thickBot="1" x14ac:dyDescent="0.25">
      <c r="A855" s="176">
        <v>856</v>
      </c>
      <c r="B855" s="175">
        <v>2</v>
      </c>
      <c r="C855" s="166" t="s">
        <v>162</v>
      </c>
      <c r="D855" s="159" t="s">
        <v>2904</v>
      </c>
      <c r="E855" s="167"/>
      <c r="F855" s="167"/>
      <c r="G855" s="167"/>
      <c r="H855" s="167" t="s">
        <v>2906</v>
      </c>
      <c r="I855" s="184"/>
      <c r="J855" s="184" t="s">
        <v>2905</v>
      </c>
      <c r="K855" s="184"/>
      <c r="L855" s="181"/>
      <c r="M855" s="556" t="s">
        <v>4283</v>
      </c>
      <c r="N855" s="214"/>
      <c r="O855" s="214"/>
      <c r="P855" s="214"/>
      <c r="Q855" s="214"/>
      <c r="R855" s="214"/>
      <c r="S855" s="214"/>
      <c r="T855" s="214"/>
      <c r="U855" s="214"/>
      <c r="V855" s="214"/>
      <c r="W855" s="214"/>
      <c r="X855" s="214"/>
      <c r="Y855" s="214"/>
      <c r="Z855" s="234"/>
      <c r="AA855" s="234"/>
      <c r="AB855" s="234"/>
      <c r="AC855" s="234"/>
      <c r="AD855" s="319"/>
      <c r="AE855" s="319"/>
      <c r="AF855" s="162">
        <f t="shared" si="63"/>
        <v>8.24</v>
      </c>
      <c r="AG855" s="162" t="str">
        <f t="shared" si="66"/>
        <v/>
      </c>
      <c r="AH855" s="164">
        <f t="shared" si="64"/>
        <v>6.25</v>
      </c>
      <c r="AI855" s="164" t="str">
        <f t="shared" si="65"/>
        <v/>
      </c>
      <c r="AJ855" s="382"/>
      <c r="AK855" s="382"/>
      <c r="AL855" s="382"/>
      <c r="AM855" s="382"/>
      <c r="AN855" s="382"/>
      <c r="AO855" s="382"/>
      <c r="AP855" s="382"/>
      <c r="AQ855" s="382"/>
      <c r="AR855" s="382"/>
      <c r="AS855" s="204">
        <v>8.24</v>
      </c>
      <c r="AT855" s="199"/>
      <c r="AU855" s="377"/>
      <c r="AV855" s="393"/>
      <c r="AW855" s="332"/>
      <c r="AX855" s="332"/>
      <c r="AY855" s="332"/>
      <c r="AZ855" s="332"/>
      <c r="BA855" s="332"/>
      <c r="BB855" s="332"/>
      <c r="BC855" s="332"/>
      <c r="BD855" s="332"/>
      <c r="BE855" s="332"/>
      <c r="BF855" s="490">
        <v>6.25</v>
      </c>
      <c r="BG855" s="467"/>
      <c r="BH855" s="341"/>
      <c r="BI855" s="447"/>
      <c r="BJ855" s="337"/>
    </row>
    <row r="856" spans="1:62" ht="15.75" customHeight="1" thickBot="1" x14ac:dyDescent="0.25">
      <c r="A856" s="176">
        <v>857</v>
      </c>
      <c r="B856" s="175">
        <v>2</v>
      </c>
      <c r="C856" s="166" t="s">
        <v>236</v>
      </c>
      <c r="D856" s="167" t="s">
        <v>2034</v>
      </c>
      <c r="E856" s="167"/>
      <c r="F856" s="167"/>
      <c r="G856" s="167"/>
      <c r="H856" s="167"/>
      <c r="I856" s="184"/>
      <c r="J856" s="184" t="s">
        <v>2907</v>
      </c>
      <c r="K856" s="184"/>
      <c r="L856" s="181"/>
      <c r="M856" s="556" t="s">
        <v>4281</v>
      </c>
      <c r="N856" s="214"/>
      <c r="O856" s="214"/>
      <c r="P856" s="214"/>
      <c r="Q856" s="214"/>
      <c r="R856" s="214"/>
      <c r="S856" s="214"/>
      <c r="T856" s="214"/>
      <c r="U856" s="214"/>
      <c r="V856" s="214"/>
      <c r="W856" s="214"/>
      <c r="X856" s="214"/>
      <c r="Y856" s="214"/>
      <c r="Z856" s="234"/>
      <c r="AA856" s="234"/>
      <c r="AB856" s="234"/>
      <c r="AC856" s="234"/>
      <c r="AD856" s="319"/>
      <c r="AE856" s="319"/>
      <c r="AF856" s="162">
        <f t="shared" si="63"/>
        <v>1.46</v>
      </c>
      <c r="AG856" s="162" t="str">
        <f t="shared" si="66"/>
        <v/>
      </c>
      <c r="AH856" s="164">
        <f t="shared" si="64"/>
        <v>0.13100000000000001</v>
      </c>
      <c r="AI856" s="164" t="str">
        <f t="shared" si="65"/>
        <v/>
      </c>
      <c r="AJ856" s="382"/>
      <c r="AK856" s="382"/>
      <c r="AL856" s="382"/>
      <c r="AM856" s="382"/>
      <c r="AN856" s="382"/>
      <c r="AO856" s="382"/>
      <c r="AP856" s="382"/>
      <c r="AQ856" s="382"/>
      <c r="AR856" s="382"/>
      <c r="AS856" s="204">
        <v>1.46</v>
      </c>
      <c r="AT856" s="199"/>
      <c r="AU856" s="377"/>
      <c r="AV856" s="393"/>
      <c r="AW856" s="332"/>
      <c r="AX856" s="332"/>
      <c r="AY856" s="332"/>
      <c r="AZ856" s="332"/>
      <c r="BA856" s="332"/>
      <c r="BB856" s="332"/>
      <c r="BC856" s="332"/>
      <c r="BD856" s="332"/>
      <c r="BE856" s="332"/>
      <c r="BF856" s="490">
        <v>0.13100000000000001</v>
      </c>
      <c r="BG856" s="467"/>
      <c r="BH856" s="341"/>
      <c r="BI856" s="447"/>
      <c r="BJ856" s="337"/>
    </row>
    <row r="857" spans="1:62" ht="15.75" customHeight="1" thickBot="1" x14ac:dyDescent="0.25">
      <c r="A857" s="176">
        <v>858</v>
      </c>
      <c r="B857" s="175">
        <v>2</v>
      </c>
      <c r="C857" s="166" t="s">
        <v>760</v>
      </c>
      <c r="D857" s="159" t="s">
        <v>1787</v>
      </c>
      <c r="E857" s="167"/>
      <c r="F857" s="167"/>
      <c r="G857" s="167"/>
      <c r="H857" s="167" t="s">
        <v>2878</v>
      </c>
      <c r="I857" s="184"/>
      <c r="J857" s="184" t="s">
        <v>2908</v>
      </c>
      <c r="K857" s="184"/>
      <c r="L857" s="181"/>
      <c r="M857" s="556" t="s">
        <v>4282</v>
      </c>
      <c r="N857" s="214"/>
      <c r="O857" s="214"/>
      <c r="P857" s="214"/>
      <c r="Q857" s="214"/>
      <c r="R857" s="214"/>
      <c r="S857" s="214"/>
      <c r="T857" s="214"/>
      <c r="U857" s="214"/>
      <c r="V857" s="214"/>
      <c r="W857" s="214"/>
      <c r="X857" s="214"/>
      <c r="Y857" s="214"/>
      <c r="Z857" s="234"/>
      <c r="AA857" s="234"/>
      <c r="AB857" s="234"/>
      <c r="AC857" s="234"/>
      <c r="AD857" s="319"/>
      <c r="AE857" s="319"/>
      <c r="AF857" s="162" t="str">
        <f t="shared" si="63"/>
        <v/>
      </c>
      <c r="AG857" s="162" t="str">
        <f t="shared" si="66"/>
        <v/>
      </c>
      <c r="AH857" s="164">
        <f t="shared" si="64"/>
        <v>0.50936000000000003</v>
      </c>
      <c r="AI857" s="164" t="str">
        <f t="shared" si="65"/>
        <v/>
      </c>
      <c r="AJ857" s="382"/>
      <c r="AK857" s="382"/>
      <c r="AL857" s="382"/>
      <c r="AM857" s="382"/>
      <c r="AN857" s="382"/>
      <c r="AO857" s="382"/>
      <c r="AP857" s="382"/>
      <c r="AQ857" s="382"/>
      <c r="AR857" s="382"/>
      <c r="AS857" s="204"/>
      <c r="AT857" s="199">
        <v>0.83374000000000004</v>
      </c>
      <c r="AU857" s="377"/>
      <c r="AV857" s="393"/>
      <c r="AW857" s="332"/>
      <c r="AX857" s="332"/>
      <c r="AY857" s="332"/>
      <c r="AZ857" s="332"/>
      <c r="BA857" s="332"/>
      <c r="BB857" s="332"/>
      <c r="BC857" s="332"/>
      <c r="BD857" s="332"/>
      <c r="BE857" s="332"/>
      <c r="BF857" s="490">
        <v>0.50936000000000003</v>
      </c>
      <c r="BG857" s="467"/>
      <c r="BH857" s="341"/>
      <c r="BI857" s="447"/>
      <c r="BJ857" s="337"/>
    </row>
    <row r="858" spans="1:62" ht="15.75" customHeight="1" thickBot="1" x14ac:dyDescent="0.25">
      <c r="A858" s="176">
        <v>859</v>
      </c>
      <c r="B858" s="175">
        <v>2</v>
      </c>
      <c r="C858" s="166" t="s">
        <v>760</v>
      </c>
      <c r="D858" s="159" t="s">
        <v>1787</v>
      </c>
      <c r="E858" s="167"/>
      <c r="F858" s="167"/>
      <c r="G858" s="167"/>
      <c r="H858" s="167" t="s">
        <v>2874</v>
      </c>
      <c r="I858" s="184"/>
      <c r="J858" s="184" t="s">
        <v>2909</v>
      </c>
      <c r="K858" s="184"/>
      <c r="L858" s="181"/>
      <c r="M858" s="556" t="s">
        <v>4282</v>
      </c>
      <c r="N858" s="214"/>
      <c r="O858" s="214"/>
      <c r="P858" s="214"/>
      <c r="Q858" s="214"/>
      <c r="R858" s="214"/>
      <c r="S858" s="214"/>
      <c r="T858" s="214"/>
      <c r="U858" s="214"/>
      <c r="V858" s="214"/>
      <c r="W858" s="214"/>
      <c r="X858" s="214"/>
      <c r="Y858" s="214"/>
      <c r="Z858" s="234"/>
      <c r="AA858" s="234"/>
      <c r="AB858" s="234"/>
      <c r="AC858" s="234"/>
      <c r="AD858" s="319"/>
      <c r="AE858" s="319"/>
      <c r="AF858" s="162" t="str">
        <f t="shared" si="63"/>
        <v/>
      </c>
      <c r="AG858" s="162" t="str">
        <f t="shared" si="66"/>
        <v/>
      </c>
      <c r="AH858" s="164">
        <f t="shared" si="64"/>
        <v>1.82582</v>
      </c>
      <c r="AI858" s="164" t="str">
        <f t="shared" si="65"/>
        <v/>
      </c>
      <c r="AJ858" s="382"/>
      <c r="AK858" s="382"/>
      <c r="AL858" s="382"/>
      <c r="AM858" s="382"/>
      <c r="AN858" s="382"/>
      <c r="AO858" s="382"/>
      <c r="AP858" s="382"/>
      <c r="AQ858" s="382"/>
      <c r="AR858" s="382"/>
      <c r="AS858" s="204"/>
      <c r="AT858" s="199">
        <v>1.4863999999999999</v>
      </c>
      <c r="AU858" s="377"/>
      <c r="AV858" s="393"/>
      <c r="AW858" s="332"/>
      <c r="AX858" s="332"/>
      <c r="AY858" s="332"/>
      <c r="AZ858" s="332"/>
      <c r="BA858" s="332"/>
      <c r="BB858" s="332"/>
      <c r="BC858" s="332"/>
      <c r="BD858" s="332"/>
      <c r="BE858" s="332"/>
      <c r="BF858" s="490">
        <v>1.82582</v>
      </c>
      <c r="BG858" s="467"/>
      <c r="BH858" s="341"/>
      <c r="BI858" s="447"/>
      <c r="BJ858" s="337"/>
    </row>
    <row r="859" spans="1:62" ht="15.75" customHeight="1" thickBot="1" x14ac:dyDescent="0.25">
      <c r="A859" s="176">
        <v>860</v>
      </c>
      <c r="B859" s="175">
        <v>2</v>
      </c>
      <c r="C859" s="166" t="s">
        <v>162</v>
      </c>
      <c r="D859" s="159" t="s">
        <v>1822</v>
      </c>
      <c r="E859" s="167"/>
      <c r="F859" s="167"/>
      <c r="G859" s="167"/>
      <c r="H859" s="167" t="s">
        <v>2881</v>
      </c>
      <c r="I859" s="184">
        <v>2011</v>
      </c>
      <c r="J859" s="184" t="s">
        <v>2910</v>
      </c>
      <c r="K859" s="184"/>
      <c r="L859" s="181" t="s">
        <v>19</v>
      </c>
      <c r="M859" s="556" t="s">
        <v>4284</v>
      </c>
      <c r="N859" s="214"/>
      <c r="O859" s="214"/>
      <c r="P859" s="214"/>
      <c r="Q859" s="214"/>
      <c r="R859" s="214"/>
      <c r="S859" s="214"/>
      <c r="T859" s="214"/>
      <c r="U859" s="214"/>
      <c r="V859" s="214"/>
      <c r="W859" s="214"/>
      <c r="X859" s="214"/>
      <c r="Y859" s="214"/>
      <c r="Z859" s="234"/>
      <c r="AA859" s="234"/>
      <c r="AB859" s="234"/>
      <c r="AC859" s="234"/>
      <c r="AD859" s="319"/>
      <c r="AE859" s="319"/>
      <c r="AF859" s="162">
        <f t="shared" si="63"/>
        <v>1.1000000000000001</v>
      </c>
      <c r="AG859" s="162" t="str">
        <f t="shared" si="66"/>
        <v/>
      </c>
      <c r="AH859" s="164">
        <f t="shared" si="64"/>
        <v>0.11</v>
      </c>
      <c r="AI859" s="164" t="str">
        <f t="shared" si="65"/>
        <v/>
      </c>
      <c r="AJ859" s="382"/>
      <c r="AK859" s="382"/>
      <c r="AL859" s="382"/>
      <c r="AM859" s="382"/>
      <c r="AN859" s="382"/>
      <c r="AO859" s="382"/>
      <c r="AP859" s="382"/>
      <c r="AQ859" s="382"/>
      <c r="AR859" s="382"/>
      <c r="AS859" s="204">
        <v>1.1000000000000001</v>
      </c>
      <c r="AT859" s="199"/>
      <c r="AU859" s="377"/>
      <c r="AV859" s="393"/>
      <c r="AW859" s="332"/>
      <c r="AX859" s="332"/>
      <c r="AY859" s="332"/>
      <c r="AZ859" s="332"/>
      <c r="BA859" s="332"/>
      <c r="BB859" s="332"/>
      <c r="BC859" s="332"/>
      <c r="BD859" s="332"/>
      <c r="BE859" s="332"/>
      <c r="BF859" s="490">
        <v>0.11</v>
      </c>
      <c r="BG859" s="467"/>
      <c r="BH859" s="341"/>
      <c r="BI859" s="447"/>
      <c r="BJ859" s="337"/>
    </row>
    <row r="860" spans="1:62" ht="15.75" customHeight="1" thickBot="1" x14ac:dyDescent="0.25">
      <c r="A860" s="176">
        <v>861</v>
      </c>
      <c r="B860" s="175">
        <v>2</v>
      </c>
      <c r="C860" s="166" t="s">
        <v>162</v>
      </c>
      <c r="D860" s="167" t="s">
        <v>1853</v>
      </c>
      <c r="E860" s="167"/>
      <c r="F860" s="167"/>
      <c r="G860" s="167"/>
      <c r="H860" s="167" t="s">
        <v>2881</v>
      </c>
      <c r="I860" s="184">
        <v>2011</v>
      </c>
      <c r="J860" s="184" t="s">
        <v>2910</v>
      </c>
      <c r="K860" s="184"/>
      <c r="L860" s="181" t="s">
        <v>19</v>
      </c>
      <c r="M860" s="556" t="s">
        <v>4284</v>
      </c>
      <c r="N860" s="214"/>
      <c r="O860" s="214"/>
      <c r="P860" s="214"/>
      <c r="Q860" s="214"/>
      <c r="R860" s="214"/>
      <c r="S860" s="214"/>
      <c r="T860" s="214"/>
      <c r="U860" s="214"/>
      <c r="V860" s="214"/>
      <c r="W860" s="214"/>
      <c r="X860" s="214"/>
      <c r="Y860" s="214"/>
      <c r="Z860" s="234"/>
      <c r="AA860" s="234"/>
      <c r="AB860" s="234"/>
      <c r="AC860" s="234"/>
      <c r="AD860" s="319"/>
      <c r="AE860" s="319"/>
      <c r="AF860" s="162">
        <f t="shared" si="63"/>
        <v>1.1000000000000001</v>
      </c>
      <c r="AG860" s="162" t="str">
        <f t="shared" si="66"/>
        <v/>
      </c>
      <c r="AH860" s="164">
        <f t="shared" si="64"/>
        <v>0.12</v>
      </c>
      <c r="AI860" s="164" t="str">
        <f t="shared" si="65"/>
        <v/>
      </c>
      <c r="AJ860" s="382"/>
      <c r="AK860" s="382"/>
      <c r="AL860" s="382"/>
      <c r="AM860" s="382"/>
      <c r="AN860" s="382"/>
      <c r="AO860" s="382"/>
      <c r="AP860" s="382"/>
      <c r="AQ860" s="382"/>
      <c r="AR860" s="382"/>
      <c r="AS860" s="204">
        <v>1.1000000000000001</v>
      </c>
      <c r="AT860" s="199"/>
      <c r="AU860" s="377"/>
      <c r="AV860" s="393"/>
      <c r="AW860" s="332"/>
      <c r="AX860" s="332"/>
      <c r="AY860" s="332"/>
      <c r="AZ860" s="332"/>
      <c r="BA860" s="332"/>
      <c r="BB860" s="332"/>
      <c r="BC860" s="332"/>
      <c r="BD860" s="332"/>
      <c r="BE860" s="332"/>
      <c r="BF860" s="490">
        <v>0.12</v>
      </c>
      <c r="BG860" s="467"/>
      <c r="BH860" s="341"/>
      <c r="BI860" s="447"/>
      <c r="BJ860" s="337"/>
    </row>
    <row r="861" spans="1:62" ht="15.75" customHeight="1" thickBot="1" x14ac:dyDescent="0.25">
      <c r="A861" s="176">
        <v>862</v>
      </c>
      <c r="B861" s="175">
        <v>2</v>
      </c>
      <c r="C861" s="166" t="s">
        <v>236</v>
      </c>
      <c r="D861" s="159" t="s">
        <v>2042</v>
      </c>
      <c r="E861" s="167"/>
      <c r="F861" s="167"/>
      <c r="G861" s="167"/>
      <c r="H861" s="167"/>
      <c r="I861" s="184"/>
      <c r="J861" s="184" t="s">
        <v>2911</v>
      </c>
      <c r="K861" s="184"/>
      <c r="L861" s="181"/>
      <c r="M861" s="556" t="s">
        <v>4281</v>
      </c>
      <c r="N861" s="214"/>
      <c r="O861" s="214"/>
      <c r="P861" s="214"/>
      <c r="Q861" s="214"/>
      <c r="R861" s="214"/>
      <c r="S861" s="214"/>
      <c r="T861" s="214"/>
      <c r="U861" s="214"/>
      <c r="V861" s="214"/>
      <c r="W861" s="214"/>
      <c r="X861" s="214"/>
      <c r="Y861" s="214"/>
      <c r="Z861" s="234"/>
      <c r="AA861" s="234"/>
      <c r="AB861" s="234"/>
      <c r="AC861" s="234"/>
      <c r="AD861" s="319"/>
      <c r="AE861" s="319"/>
      <c r="AF861" s="162">
        <f t="shared" si="63"/>
        <v>5.4400101999999997</v>
      </c>
      <c r="AG861" s="162" t="str">
        <f t="shared" si="66"/>
        <v/>
      </c>
      <c r="AH861" s="164">
        <f t="shared" si="64"/>
        <v>0.43526999999999999</v>
      </c>
      <c r="AI861" s="164" t="str">
        <f t="shared" si="65"/>
        <v/>
      </c>
      <c r="AJ861" s="382"/>
      <c r="AK861" s="382"/>
      <c r="AL861" s="382"/>
      <c r="AM861" s="382"/>
      <c r="AN861" s="382"/>
      <c r="AO861" s="382"/>
      <c r="AP861" s="382"/>
      <c r="AQ861" s="382"/>
      <c r="AR861" s="382"/>
      <c r="AS861" s="204">
        <f>4.668+0.76938+0.0026302</f>
        <v>5.4400101999999997</v>
      </c>
      <c r="AT861" s="199"/>
      <c r="AU861" s="377"/>
      <c r="AV861" s="393"/>
      <c r="AW861" s="332"/>
      <c r="AX861" s="332"/>
      <c r="AY861" s="332"/>
      <c r="AZ861" s="332"/>
      <c r="BA861" s="332"/>
      <c r="BB861" s="332"/>
      <c r="BC861" s="332"/>
      <c r="BD861" s="332"/>
      <c r="BE861" s="332"/>
      <c r="BF861" s="490">
        <v>0.43526999999999999</v>
      </c>
      <c r="BG861" s="467"/>
      <c r="BH861" s="341"/>
      <c r="BI861" s="447"/>
      <c r="BJ861" s="337"/>
    </row>
    <row r="862" spans="1:62" ht="15.75" customHeight="1" thickBot="1" x14ac:dyDescent="0.25">
      <c r="A862" s="176">
        <v>863</v>
      </c>
      <c r="B862" s="175">
        <v>2</v>
      </c>
      <c r="C862" s="166" t="s">
        <v>587</v>
      </c>
      <c r="D862" s="167" t="s">
        <v>1339</v>
      </c>
      <c r="E862" s="167"/>
      <c r="F862" s="167"/>
      <c r="G862" s="167"/>
      <c r="H862" s="167" t="s">
        <v>2881</v>
      </c>
      <c r="I862" s="184">
        <v>2003</v>
      </c>
      <c r="J862" s="189" t="s">
        <v>2913</v>
      </c>
      <c r="K862" s="184"/>
      <c r="L862" s="181" t="s">
        <v>19</v>
      </c>
      <c r="M862" s="556" t="s">
        <v>4285</v>
      </c>
      <c r="N862" s="214"/>
      <c r="O862" s="214"/>
      <c r="P862" s="214"/>
      <c r="Q862" s="214"/>
      <c r="R862" s="214"/>
      <c r="S862" s="214"/>
      <c r="T862" s="214"/>
      <c r="U862" s="214"/>
      <c r="V862" s="214"/>
      <c r="W862" s="214"/>
      <c r="X862" s="214"/>
      <c r="Y862" s="214"/>
      <c r="Z862" s="234"/>
      <c r="AA862" s="234"/>
      <c r="AB862" s="234"/>
      <c r="AC862" s="234"/>
      <c r="AD862" s="319"/>
      <c r="AE862" s="319"/>
      <c r="AF862" s="162" t="str">
        <f t="shared" si="63"/>
        <v/>
      </c>
      <c r="AG862" s="162">
        <f t="shared" si="66"/>
        <v>1.3</v>
      </c>
      <c r="AH862" s="164" t="str">
        <f t="shared" si="64"/>
        <v/>
      </c>
      <c r="AI862" s="164" t="str">
        <f t="shared" si="65"/>
        <v/>
      </c>
      <c r="AJ862" s="382"/>
      <c r="AK862" s="382"/>
      <c r="AL862" s="377">
        <v>1.3</v>
      </c>
      <c r="AM862" s="382"/>
      <c r="AN862" s="382"/>
      <c r="AO862" s="382"/>
      <c r="AP862" s="382"/>
      <c r="AQ862" s="382"/>
      <c r="AR862" s="382"/>
      <c r="AS862" s="204"/>
      <c r="AT862" s="202">
        <f>SUM(AJ862:AR862)</f>
        <v>1.3</v>
      </c>
      <c r="AU862" s="377"/>
      <c r="AV862" s="393"/>
      <c r="AW862" s="332"/>
      <c r="AX862" s="332"/>
      <c r="AY862" s="332"/>
      <c r="AZ862" s="332"/>
      <c r="BA862" s="332"/>
      <c r="BB862" s="332"/>
      <c r="BC862" s="332"/>
      <c r="BD862" s="332"/>
      <c r="BE862" s="332"/>
      <c r="BF862" s="490"/>
      <c r="BG862" s="491"/>
      <c r="BH862" s="341"/>
      <c r="BI862" s="447"/>
      <c r="BJ862" s="337"/>
    </row>
    <row r="863" spans="1:62" ht="15.75" customHeight="1" thickBot="1" x14ac:dyDescent="0.25">
      <c r="A863" s="176">
        <v>864</v>
      </c>
      <c r="B863" s="175">
        <v>2</v>
      </c>
      <c r="C863" s="166" t="s">
        <v>587</v>
      </c>
      <c r="D863" s="167" t="s">
        <v>1339</v>
      </c>
      <c r="E863" s="167"/>
      <c r="F863" s="167"/>
      <c r="G863" s="167"/>
      <c r="H863" s="167" t="s">
        <v>2912</v>
      </c>
      <c r="I863" s="184">
        <v>2003</v>
      </c>
      <c r="J863" s="189" t="s">
        <v>2913</v>
      </c>
      <c r="K863" s="184"/>
      <c r="L863" s="181" t="s">
        <v>19</v>
      </c>
      <c r="M863" s="556" t="s">
        <v>4285</v>
      </c>
      <c r="N863" s="214"/>
      <c r="O863" s="214"/>
      <c r="P863" s="214"/>
      <c r="Q863" s="214"/>
      <c r="R863" s="214"/>
      <c r="S863" s="214"/>
      <c r="T863" s="214"/>
      <c r="U863" s="214"/>
      <c r="V863" s="214"/>
      <c r="W863" s="214"/>
      <c r="X863" s="214"/>
      <c r="Y863" s="214"/>
      <c r="Z863" s="234"/>
      <c r="AA863" s="234"/>
      <c r="AB863" s="234"/>
      <c r="AC863" s="234"/>
      <c r="AD863" s="319"/>
      <c r="AE863" s="319"/>
      <c r="AF863" s="162" t="str">
        <f t="shared" si="63"/>
        <v/>
      </c>
      <c r="AG863" s="162">
        <f t="shared" si="66"/>
        <v>5.6</v>
      </c>
      <c r="AH863" s="164" t="str">
        <f t="shared" si="64"/>
        <v/>
      </c>
      <c r="AI863" s="164" t="str">
        <f t="shared" si="65"/>
        <v/>
      </c>
      <c r="AJ863" s="382"/>
      <c r="AK863" s="382"/>
      <c r="AL863" s="377">
        <v>5.6</v>
      </c>
      <c r="AM863" s="382"/>
      <c r="AN863" s="382"/>
      <c r="AO863" s="382"/>
      <c r="AP863" s="382"/>
      <c r="AQ863" s="382"/>
      <c r="AR863" s="382"/>
      <c r="AS863" s="204"/>
      <c r="AT863" s="202">
        <f>SUM(AJ863:AR863)</f>
        <v>5.6</v>
      </c>
      <c r="AU863" s="377"/>
      <c r="AV863" s="393"/>
      <c r="AW863" s="332"/>
      <c r="AX863" s="332"/>
      <c r="AY863" s="332"/>
      <c r="AZ863" s="332"/>
      <c r="BA863" s="332"/>
      <c r="BB863" s="332"/>
      <c r="BC863" s="332"/>
      <c r="BD863" s="332"/>
      <c r="BE863" s="332"/>
      <c r="BF863" s="490"/>
      <c r="BG863" s="491"/>
      <c r="BH863" s="341"/>
      <c r="BI863" s="447"/>
      <c r="BJ863" s="337"/>
    </row>
    <row r="864" spans="1:62" ht="15.75" customHeight="1" thickBot="1" x14ac:dyDescent="0.25">
      <c r="A864" s="176">
        <v>865</v>
      </c>
      <c r="B864" s="175">
        <v>2</v>
      </c>
      <c r="C864" s="166" t="s">
        <v>162</v>
      </c>
      <c r="D864" s="167" t="s">
        <v>827</v>
      </c>
      <c r="E864" s="167"/>
      <c r="F864" s="167"/>
      <c r="G864" s="167"/>
      <c r="H864" s="167" t="s">
        <v>248</v>
      </c>
      <c r="I864" s="184"/>
      <c r="J864" s="184" t="s">
        <v>2914</v>
      </c>
      <c r="K864" s="184"/>
      <c r="L864" s="181"/>
      <c r="M864" s="556" t="s">
        <v>4281</v>
      </c>
      <c r="N864" s="214"/>
      <c r="O864" s="214"/>
      <c r="P864" s="214"/>
      <c r="Q864" s="214"/>
      <c r="R864" s="214"/>
      <c r="S864" s="214"/>
      <c r="T864" s="214"/>
      <c r="U864" s="214"/>
      <c r="V864" s="214"/>
      <c r="W864" s="214"/>
      <c r="X864" s="214"/>
      <c r="Y864" s="214"/>
      <c r="Z864" s="234"/>
      <c r="AA864" s="234"/>
      <c r="AB864" s="234"/>
      <c r="AC864" s="234"/>
      <c r="AD864" s="319"/>
      <c r="AE864" s="319"/>
      <c r="AF864" s="162">
        <f t="shared" si="63"/>
        <v>7.9758566000000002</v>
      </c>
      <c r="AG864" s="162" t="str">
        <f t="shared" si="66"/>
        <v/>
      </c>
      <c r="AH864" s="164">
        <f t="shared" si="64"/>
        <v>0.86667000000000005</v>
      </c>
      <c r="AI864" s="164" t="str">
        <f t="shared" si="65"/>
        <v/>
      </c>
      <c r="AJ864" s="382"/>
      <c r="AK864" s="382"/>
      <c r="AL864" s="382"/>
      <c r="AM864" s="382"/>
      <c r="AN864" s="382"/>
      <c r="AO864" s="382"/>
      <c r="AP864" s="382"/>
      <c r="AQ864" s="382"/>
      <c r="AR864" s="382"/>
      <c r="AS864" s="204">
        <f>7.7191+0.25395+0.0028066</f>
        <v>7.9758566000000002</v>
      </c>
      <c r="AT864" s="199"/>
      <c r="AU864" s="377"/>
      <c r="AV864" s="393"/>
      <c r="AW864" s="332"/>
      <c r="AX864" s="332"/>
      <c r="AY864" s="332"/>
      <c r="AZ864" s="332"/>
      <c r="BA864" s="332"/>
      <c r="BB864" s="332"/>
      <c r="BC864" s="332"/>
      <c r="BD864" s="332"/>
      <c r="BE864" s="332"/>
      <c r="BF864" s="490">
        <v>0.86667000000000005</v>
      </c>
      <c r="BG864" s="467"/>
      <c r="BH864" s="341"/>
      <c r="BI864" s="447"/>
      <c r="BJ864" s="337"/>
    </row>
    <row r="865" spans="1:62" ht="15.75" customHeight="1" thickBot="1" x14ac:dyDescent="0.25">
      <c r="A865" s="176">
        <v>866</v>
      </c>
      <c r="B865" s="175">
        <v>2</v>
      </c>
      <c r="C865" s="166" t="s">
        <v>162</v>
      </c>
      <c r="D865" s="167" t="s">
        <v>827</v>
      </c>
      <c r="E865" s="167"/>
      <c r="F865" s="167"/>
      <c r="G865" s="167"/>
      <c r="H865" s="167" t="s">
        <v>2884</v>
      </c>
      <c r="I865" s="184"/>
      <c r="J865" s="184" t="s">
        <v>2915</v>
      </c>
      <c r="K865" s="184"/>
      <c r="L865" s="181"/>
      <c r="M865" s="556" t="s">
        <v>4281</v>
      </c>
      <c r="N865" s="214"/>
      <c r="O865" s="214"/>
      <c r="P865" s="214"/>
      <c r="Q865" s="214"/>
      <c r="R865" s="214"/>
      <c r="S865" s="214"/>
      <c r="T865" s="214"/>
      <c r="U865" s="214"/>
      <c r="V865" s="214"/>
      <c r="W865" s="214"/>
      <c r="X865" s="214"/>
      <c r="Y865" s="214"/>
      <c r="Z865" s="234"/>
      <c r="AA865" s="234"/>
      <c r="AB865" s="234"/>
      <c r="AC865" s="234"/>
      <c r="AD865" s="319"/>
      <c r="AE865" s="319"/>
      <c r="AF865" s="162">
        <f t="shared" si="63"/>
        <v>7.9089621000000001</v>
      </c>
      <c r="AG865" s="162" t="str">
        <f t="shared" si="66"/>
        <v/>
      </c>
      <c r="AH865" s="164">
        <f t="shared" si="64"/>
        <v>0.72014999999999996</v>
      </c>
      <c r="AI865" s="164" t="str">
        <f t="shared" si="65"/>
        <v/>
      </c>
      <c r="AJ865" s="382"/>
      <c r="AK865" s="382"/>
      <c r="AL865" s="382"/>
      <c r="AM865" s="382"/>
      <c r="AN865" s="382"/>
      <c r="AO865" s="382"/>
      <c r="AP865" s="382"/>
      <c r="AQ865" s="382"/>
      <c r="AR865" s="382"/>
      <c r="AS865" s="204">
        <f>7.47+0.43203+0.0069321</f>
        <v>7.9089621000000001</v>
      </c>
      <c r="AT865" s="199"/>
      <c r="AU865" s="377"/>
      <c r="AV865" s="393"/>
      <c r="AW865" s="332"/>
      <c r="AX865" s="332"/>
      <c r="AY865" s="332"/>
      <c r="AZ865" s="332"/>
      <c r="BA865" s="332"/>
      <c r="BB865" s="332"/>
      <c r="BC865" s="332"/>
      <c r="BD865" s="332"/>
      <c r="BE865" s="332"/>
      <c r="BF865" s="490">
        <v>0.72014999999999996</v>
      </c>
      <c r="BG865" s="467"/>
      <c r="BH865" s="341"/>
      <c r="BI865" s="447"/>
      <c r="BJ865" s="337"/>
    </row>
    <row r="866" spans="1:62" ht="15.75" customHeight="1" thickBot="1" x14ac:dyDescent="0.25">
      <c r="A866" s="176">
        <v>867</v>
      </c>
      <c r="B866" s="175">
        <v>2</v>
      </c>
      <c r="C866" s="166" t="s">
        <v>162</v>
      </c>
      <c r="D866" s="167" t="s">
        <v>827</v>
      </c>
      <c r="E866" s="167"/>
      <c r="F866" s="167"/>
      <c r="G866" s="167"/>
      <c r="H866" s="167" t="s">
        <v>2878</v>
      </c>
      <c r="I866" s="184"/>
      <c r="J866" s="184" t="s">
        <v>2916</v>
      </c>
      <c r="K866" s="184"/>
      <c r="L866" s="181"/>
      <c r="M866" s="556" t="s">
        <v>4281</v>
      </c>
      <c r="N866" s="214"/>
      <c r="O866" s="214"/>
      <c r="P866" s="214"/>
      <c r="Q866" s="214"/>
      <c r="R866" s="214"/>
      <c r="S866" s="214"/>
      <c r="T866" s="214"/>
      <c r="U866" s="214"/>
      <c r="V866" s="214"/>
      <c r="W866" s="214"/>
      <c r="X866" s="214"/>
      <c r="Y866" s="214"/>
      <c r="Z866" s="234"/>
      <c r="AA866" s="234"/>
      <c r="AB866" s="234"/>
      <c r="AC866" s="234"/>
      <c r="AD866" s="319"/>
      <c r="AE866" s="319"/>
      <c r="AF866" s="162">
        <f t="shared" si="63"/>
        <v>8.896547</v>
      </c>
      <c r="AG866" s="162" t="str">
        <f t="shared" si="66"/>
        <v/>
      </c>
      <c r="AH866" s="164">
        <f t="shared" si="64"/>
        <v>0.74765000000000004</v>
      </c>
      <c r="AI866" s="164" t="str">
        <f t="shared" si="65"/>
        <v/>
      </c>
      <c r="AJ866" s="382"/>
      <c r="AK866" s="382"/>
      <c r="AL866" s="382"/>
      <c r="AM866" s="382"/>
      <c r="AN866" s="382"/>
      <c r="AO866" s="382"/>
      <c r="AP866" s="382"/>
      <c r="AQ866" s="382"/>
      <c r="AR866" s="382"/>
      <c r="AS866" s="204">
        <f>6.984+1.8916+0.020947</f>
        <v>8.896547</v>
      </c>
      <c r="AT866" s="199"/>
      <c r="AU866" s="377"/>
      <c r="AV866" s="393"/>
      <c r="AW866" s="332"/>
      <c r="AX866" s="332"/>
      <c r="AY866" s="332"/>
      <c r="AZ866" s="332"/>
      <c r="BA866" s="332"/>
      <c r="BB866" s="332"/>
      <c r="BC866" s="332"/>
      <c r="BD866" s="332"/>
      <c r="BE866" s="332"/>
      <c r="BF866" s="490">
        <v>0.74765000000000004</v>
      </c>
      <c r="BG866" s="467"/>
      <c r="BH866" s="341"/>
      <c r="BI866" s="447"/>
      <c r="BJ866" s="337"/>
    </row>
    <row r="867" spans="1:62" ht="15.75" customHeight="1" thickBot="1" x14ac:dyDescent="0.25">
      <c r="A867" s="176">
        <v>868</v>
      </c>
      <c r="B867" s="175">
        <v>2</v>
      </c>
      <c r="C867" s="166" t="s">
        <v>162</v>
      </c>
      <c r="D867" s="167" t="s">
        <v>827</v>
      </c>
      <c r="E867" s="167"/>
      <c r="F867" s="167"/>
      <c r="G867" s="167"/>
      <c r="H867" s="167" t="s">
        <v>2918</v>
      </c>
      <c r="I867" s="184"/>
      <c r="J867" s="184" t="s">
        <v>2917</v>
      </c>
      <c r="K867" s="184"/>
      <c r="L867" s="181"/>
      <c r="M867" s="556" t="s">
        <v>4281</v>
      </c>
      <c r="N867" s="214"/>
      <c r="O867" s="214"/>
      <c r="P867" s="214"/>
      <c r="Q867" s="214"/>
      <c r="R867" s="214"/>
      <c r="S867" s="214"/>
      <c r="T867" s="214"/>
      <c r="U867" s="214"/>
      <c r="V867" s="214"/>
      <c r="W867" s="214"/>
      <c r="X867" s="214"/>
      <c r="Y867" s="214"/>
      <c r="Z867" s="234"/>
      <c r="AA867" s="234"/>
      <c r="AB867" s="234"/>
      <c r="AC867" s="234"/>
      <c r="AD867" s="319"/>
      <c r="AE867" s="319"/>
      <c r="AF867" s="162">
        <f t="shared" si="63"/>
        <v>17.929449999999999</v>
      </c>
      <c r="AG867" s="162" t="str">
        <f t="shared" si="66"/>
        <v/>
      </c>
      <c r="AH867" s="164">
        <f t="shared" si="64"/>
        <v>1.9469000000000001</v>
      </c>
      <c r="AI867" s="164" t="str">
        <f t="shared" si="65"/>
        <v/>
      </c>
      <c r="AJ867" s="382"/>
      <c r="AK867" s="382"/>
      <c r="AL867" s="382"/>
      <c r="AM867" s="382"/>
      <c r="AN867" s="382"/>
      <c r="AO867" s="382"/>
      <c r="AP867" s="382"/>
      <c r="AQ867" s="382"/>
      <c r="AR867" s="382"/>
      <c r="AS867" s="204">
        <f>4.2115+0.53195+13.186</f>
        <v>17.929449999999999</v>
      </c>
      <c r="AT867" s="199"/>
      <c r="AU867" s="377"/>
      <c r="AV867" s="393"/>
      <c r="AW867" s="332"/>
      <c r="AX867" s="332"/>
      <c r="AY867" s="332"/>
      <c r="AZ867" s="332"/>
      <c r="BA867" s="332"/>
      <c r="BB867" s="332"/>
      <c r="BC867" s="332"/>
      <c r="BD867" s="332"/>
      <c r="BE867" s="332"/>
      <c r="BF867" s="490">
        <v>1.9469000000000001</v>
      </c>
      <c r="BG867" s="467"/>
      <c r="BH867" s="341"/>
      <c r="BI867" s="447"/>
      <c r="BJ867" s="337"/>
    </row>
    <row r="868" spans="1:62" ht="15.75" customHeight="1" thickBot="1" x14ac:dyDescent="0.25">
      <c r="A868" s="176">
        <v>869</v>
      </c>
      <c r="B868" s="175">
        <v>2</v>
      </c>
      <c r="C868" s="166" t="s">
        <v>760</v>
      </c>
      <c r="D868" s="167" t="s">
        <v>2140</v>
      </c>
      <c r="E868" s="167"/>
      <c r="F868" s="167"/>
      <c r="G868" s="167"/>
      <c r="H868" s="167" t="s">
        <v>351</v>
      </c>
      <c r="I868" s="184"/>
      <c r="J868" s="184" t="s">
        <v>2919</v>
      </c>
      <c r="K868" s="184"/>
      <c r="L868" s="181"/>
      <c r="M868" s="556" t="s">
        <v>4282</v>
      </c>
      <c r="N868" s="214"/>
      <c r="O868" s="214"/>
      <c r="P868" s="214"/>
      <c r="Q868" s="214"/>
      <c r="R868" s="214"/>
      <c r="S868" s="214"/>
      <c r="T868" s="214"/>
      <c r="U868" s="214"/>
      <c r="V868" s="214"/>
      <c r="W868" s="214"/>
      <c r="X868" s="214"/>
      <c r="Y868" s="214"/>
      <c r="Z868" s="234"/>
      <c r="AA868" s="234"/>
      <c r="AB868" s="234"/>
      <c r="AC868" s="234"/>
      <c r="AD868" s="319"/>
      <c r="AE868" s="319"/>
      <c r="AF868" s="162">
        <f t="shared" si="63"/>
        <v>1.0900000000000001</v>
      </c>
      <c r="AG868" s="162" t="str">
        <f t="shared" si="66"/>
        <v/>
      </c>
      <c r="AH868" s="164">
        <f t="shared" si="64"/>
        <v>0.32</v>
      </c>
      <c r="AI868" s="164" t="str">
        <f t="shared" si="65"/>
        <v/>
      </c>
      <c r="AJ868" s="382"/>
      <c r="AK868" s="382"/>
      <c r="AL868" s="382"/>
      <c r="AM868" s="382"/>
      <c r="AN868" s="382"/>
      <c r="AO868" s="382"/>
      <c r="AP868" s="382"/>
      <c r="AQ868" s="382"/>
      <c r="AR868" s="382"/>
      <c r="AS868" s="204">
        <v>1.0900000000000001</v>
      </c>
      <c r="AT868" s="199"/>
      <c r="AU868" s="377"/>
      <c r="AV868" s="393"/>
      <c r="AW868" s="332"/>
      <c r="AX868" s="332"/>
      <c r="AY868" s="332"/>
      <c r="AZ868" s="332"/>
      <c r="BA868" s="332"/>
      <c r="BB868" s="332"/>
      <c r="BC868" s="332"/>
      <c r="BD868" s="332"/>
      <c r="BE868" s="332"/>
      <c r="BF868" s="490">
        <v>0.32</v>
      </c>
      <c r="BG868" s="467"/>
      <c r="BH868" s="341"/>
      <c r="BI868" s="447"/>
      <c r="BJ868" s="337"/>
    </row>
    <row r="869" spans="1:62" ht="15.75" customHeight="1" thickBot="1" x14ac:dyDescent="0.25">
      <c r="A869" s="176">
        <v>870</v>
      </c>
      <c r="B869" s="175">
        <v>2</v>
      </c>
      <c r="C869" s="166" t="s">
        <v>162</v>
      </c>
      <c r="D869" s="167" t="s">
        <v>771</v>
      </c>
      <c r="E869" s="167"/>
      <c r="F869" s="167"/>
      <c r="G869" s="167"/>
      <c r="H869" s="167" t="s">
        <v>2878</v>
      </c>
      <c r="I869" s="184"/>
      <c r="J869" s="184" t="s">
        <v>2920</v>
      </c>
      <c r="K869" s="184"/>
      <c r="L869" s="181"/>
      <c r="M869" s="556" t="s">
        <v>4282</v>
      </c>
      <c r="N869" s="214"/>
      <c r="O869" s="214"/>
      <c r="P869" s="214"/>
      <c r="Q869" s="214"/>
      <c r="R869" s="214"/>
      <c r="S869" s="214"/>
      <c r="T869" s="214"/>
      <c r="U869" s="214"/>
      <c r="V869" s="214"/>
      <c r="W869" s="214"/>
      <c r="X869" s="214"/>
      <c r="Y869" s="214"/>
      <c r="Z869" s="234"/>
      <c r="AA869" s="234"/>
      <c r="AB869" s="234"/>
      <c r="AC869" s="234"/>
      <c r="AD869" s="319"/>
      <c r="AE869" s="319"/>
      <c r="AF869" s="162">
        <f t="shared" si="63"/>
        <v>1.6081475999999999</v>
      </c>
      <c r="AG869" s="162" t="str">
        <f t="shared" si="66"/>
        <v/>
      </c>
      <c r="AH869" s="164">
        <f t="shared" si="64"/>
        <v>0.35991274000000001</v>
      </c>
      <c r="AI869" s="164" t="str">
        <f t="shared" si="65"/>
        <v/>
      </c>
      <c r="AJ869" s="382"/>
      <c r="AK869" s="382"/>
      <c r="AL869" s="382"/>
      <c r="AM869" s="382"/>
      <c r="AN869" s="382"/>
      <c r="AO869" s="382"/>
      <c r="AP869" s="382"/>
      <c r="AQ869" s="382"/>
      <c r="AR869" s="382"/>
      <c r="AS869" s="348">
        <v>1.6081475999999999</v>
      </c>
      <c r="AT869" s="199"/>
      <c r="AU869" s="377"/>
      <c r="AV869" s="393"/>
      <c r="AW869" s="332"/>
      <c r="AX869" s="332"/>
      <c r="AY869" s="332"/>
      <c r="AZ869" s="332"/>
      <c r="BA869" s="332"/>
      <c r="BB869" s="332"/>
      <c r="BC869" s="332"/>
      <c r="BD869" s="332"/>
      <c r="BE869" s="332"/>
      <c r="BF869" s="492">
        <v>0.35991274000000001</v>
      </c>
      <c r="BG869" s="467"/>
      <c r="BH869" s="341"/>
      <c r="BI869" s="447"/>
      <c r="BJ869" s="337"/>
    </row>
    <row r="870" spans="1:62" ht="15.75" customHeight="1" thickBot="1" x14ac:dyDescent="0.25">
      <c r="A870" s="176">
        <v>871</v>
      </c>
      <c r="B870" s="175">
        <v>2</v>
      </c>
      <c r="C870" s="166" t="s">
        <v>162</v>
      </c>
      <c r="D870" s="167" t="s">
        <v>771</v>
      </c>
      <c r="E870" s="167"/>
      <c r="F870" s="167"/>
      <c r="G870" s="167"/>
      <c r="H870" s="167" t="s">
        <v>2901</v>
      </c>
      <c r="I870" s="184"/>
      <c r="J870" s="184" t="s">
        <v>2921</v>
      </c>
      <c r="K870" s="184"/>
      <c r="L870" s="181"/>
      <c r="M870" s="556" t="s">
        <v>4282</v>
      </c>
      <c r="N870" s="214"/>
      <c r="O870" s="214"/>
      <c r="P870" s="214"/>
      <c r="Q870" s="214"/>
      <c r="R870" s="214"/>
      <c r="S870" s="214"/>
      <c r="T870" s="214"/>
      <c r="U870" s="214"/>
      <c r="V870" s="214"/>
      <c r="W870" s="214"/>
      <c r="X870" s="214"/>
      <c r="Y870" s="214"/>
      <c r="Z870" s="234"/>
      <c r="AA870" s="234"/>
      <c r="AB870" s="234"/>
      <c r="AC870" s="234"/>
      <c r="AD870" s="319"/>
      <c r="AE870" s="319"/>
      <c r="AF870" s="162">
        <f t="shared" si="63"/>
        <v>2.9124268</v>
      </c>
      <c r="AG870" s="162" t="str">
        <f t="shared" si="66"/>
        <v/>
      </c>
      <c r="AH870" s="164">
        <f t="shared" si="64"/>
        <v>0.68451923000000003</v>
      </c>
      <c r="AI870" s="164" t="str">
        <f t="shared" si="65"/>
        <v/>
      </c>
      <c r="AJ870" s="382"/>
      <c r="AK870" s="382"/>
      <c r="AL870" s="382"/>
      <c r="AM870" s="382"/>
      <c r="AN870" s="382"/>
      <c r="AO870" s="382"/>
      <c r="AP870" s="382"/>
      <c r="AQ870" s="382"/>
      <c r="AR870" s="382"/>
      <c r="AS870" s="348">
        <v>2.9124268</v>
      </c>
      <c r="AT870" s="199"/>
      <c r="AU870" s="377"/>
      <c r="AV870" s="393"/>
      <c r="AW870" s="332"/>
      <c r="AX870" s="332"/>
      <c r="AY870" s="332"/>
      <c r="AZ870" s="332"/>
      <c r="BA870" s="332"/>
      <c r="BB870" s="332"/>
      <c r="BC870" s="332"/>
      <c r="BD870" s="332"/>
      <c r="BE870" s="332"/>
      <c r="BF870" s="492">
        <v>0.68451923000000003</v>
      </c>
      <c r="BG870" s="467"/>
      <c r="BH870" s="341"/>
      <c r="BI870" s="447"/>
      <c r="BJ870" s="337"/>
    </row>
    <row r="871" spans="1:62" ht="15.75" customHeight="1" thickBot="1" x14ac:dyDescent="0.25">
      <c r="A871" s="176">
        <v>872</v>
      </c>
      <c r="B871" s="175">
        <v>2</v>
      </c>
      <c r="C871" s="166" t="s">
        <v>162</v>
      </c>
      <c r="D871" s="167" t="s">
        <v>875</v>
      </c>
      <c r="E871" s="167"/>
      <c r="F871" s="167"/>
      <c r="G871" s="167"/>
      <c r="H871" s="167" t="s">
        <v>2877</v>
      </c>
      <c r="I871" s="184"/>
      <c r="J871" s="190" t="s">
        <v>2922</v>
      </c>
      <c r="K871" s="184"/>
      <c r="L871" s="181"/>
      <c r="M871" s="556" t="s">
        <v>4282</v>
      </c>
      <c r="N871" s="214"/>
      <c r="O871" s="214"/>
      <c r="P871" s="214"/>
      <c r="Q871" s="214"/>
      <c r="R871" s="214"/>
      <c r="S871" s="214"/>
      <c r="T871" s="214"/>
      <c r="U871" s="214"/>
      <c r="V871" s="214"/>
      <c r="W871" s="214"/>
      <c r="X871" s="214"/>
      <c r="Y871" s="214"/>
      <c r="Z871" s="234"/>
      <c r="AA871" s="234"/>
      <c r="AB871" s="234"/>
      <c r="AC871" s="234"/>
      <c r="AD871" s="319"/>
      <c r="AE871" s="319"/>
      <c r="AF871" s="162">
        <f t="shared" si="63"/>
        <v>1.4390966999999999</v>
      </c>
      <c r="AG871" s="162" t="str">
        <f t="shared" si="66"/>
        <v/>
      </c>
      <c r="AH871" s="164">
        <f t="shared" si="64"/>
        <v>0.27288365999999997</v>
      </c>
      <c r="AI871" s="164" t="str">
        <f t="shared" si="65"/>
        <v/>
      </c>
      <c r="AJ871" s="382"/>
      <c r="AK871" s="382"/>
      <c r="AL871" s="382"/>
      <c r="AM871" s="382"/>
      <c r="AN871" s="382"/>
      <c r="AO871" s="382"/>
      <c r="AP871" s="382"/>
      <c r="AQ871" s="382"/>
      <c r="AR871" s="382"/>
      <c r="AS871" s="348">
        <v>1.4390966999999999</v>
      </c>
      <c r="AT871" s="199"/>
      <c r="AU871" s="377"/>
      <c r="AV871" s="393"/>
      <c r="AW871" s="332"/>
      <c r="AX871" s="332"/>
      <c r="AY871" s="332"/>
      <c r="AZ871" s="332"/>
      <c r="BA871" s="332"/>
      <c r="BB871" s="332"/>
      <c r="BC871" s="332"/>
      <c r="BD871" s="332"/>
      <c r="BE871" s="332"/>
      <c r="BF871" s="492">
        <v>0.27288365999999997</v>
      </c>
      <c r="BG871" s="467"/>
      <c r="BH871" s="341"/>
      <c r="BI871" s="447"/>
      <c r="BJ871" s="337"/>
    </row>
    <row r="872" spans="1:62" ht="15.75" customHeight="1" thickBot="1" x14ac:dyDescent="0.25">
      <c r="A872" s="176">
        <v>873</v>
      </c>
      <c r="B872" s="175">
        <v>2</v>
      </c>
      <c r="C872" s="166" t="s">
        <v>162</v>
      </c>
      <c r="D872" s="167" t="s">
        <v>875</v>
      </c>
      <c r="E872" s="167"/>
      <c r="F872" s="167"/>
      <c r="G872" s="167"/>
      <c r="H872" s="167" t="s">
        <v>2901</v>
      </c>
      <c r="I872" s="184"/>
      <c r="J872" s="190" t="s">
        <v>2923</v>
      </c>
      <c r="K872" s="184"/>
      <c r="L872" s="181"/>
      <c r="M872" s="556" t="s">
        <v>4282</v>
      </c>
      <c r="N872" s="214"/>
      <c r="O872" s="214"/>
      <c r="P872" s="214"/>
      <c r="Q872" s="214"/>
      <c r="R872" s="214"/>
      <c r="S872" s="214"/>
      <c r="T872" s="214"/>
      <c r="U872" s="214"/>
      <c r="V872" s="214"/>
      <c r="W872" s="214"/>
      <c r="X872" s="214"/>
      <c r="Y872" s="214"/>
      <c r="Z872" s="234"/>
      <c r="AA872" s="234"/>
      <c r="AB872" s="234"/>
      <c r="AC872" s="234"/>
      <c r="AD872" s="319"/>
      <c r="AE872" s="319"/>
      <c r="AF872" s="162">
        <f t="shared" si="63"/>
        <v>2.0014116</v>
      </c>
      <c r="AG872" s="162" t="str">
        <f t="shared" si="66"/>
        <v/>
      </c>
      <c r="AH872" s="164">
        <f t="shared" si="64"/>
        <v>0.44161191999999999</v>
      </c>
      <c r="AI872" s="164" t="str">
        <f t="shared" si="65"/>
        <v/>
      </c>
      <c r="AJ872" s="382"/>
      <c r="AK872" s="382"/>
      <c r="AL872" s="382"/>
      <c r="AM872" s="382"/>
      <c r="AN872" s="382"/>
      <c r="AO872" s="382"/>
      <c r="AP872" s="382"/>
      <c r="AQ872" s="382"/>
      <c r="AR872" s="382"/>
      <c r="AS872" s="348">
        <v>2.0014116</v>
      </c>
      <c r="AT872" s="199"/>
      <c r="AU872" s="377"/>
      <c r="AV872" s="393"/>
      <c r="AW872" s="332"/>
      <c r="AX872" s="332"/>
      <c r="AY872" s="332"/>
      <c r="AZ872" s="332"/>
      <c r="BA872" s="332"/>
      <c r="BB872" s="332"/>
      <c r="BC872" s="332"/>
      <c r="BD872" s="332"/>
      <c r="BE872" s="332"/>
      <c r="BF872" s="492">
        <v>0.44161191999999999</v>
      </c>
      <c r="BG872" s="467"/>
      <c r="BH872" s="341"/>
      <c r="BI872" s="447"/>
      <c r="BJ872" s="337"/>
    </row>
    <row r="873" spans="1:62" ht="15.75" customHeight="1" thickBot="1" x14ac:dyDescent="0.25">
      <c r="A873" s="176">
        <v>874</v>
      </c>
      <c r="B873" s="175">
        <v>2</v>
      </c>
      <c r="C873" s="166" t="s">
        <v>162</v>
      </c>
      <c r="D873" s="167" t="s">
        <v>2460</v>
      </c>
      <c r="E873" s="167"/>
      <c r="F873" s="167"/>
      <c r="G873" s="167"/>
      <c r="H873" s="167" t="s">
        <v>2877</v>
      </c>
      <c r="I873" s="184"/>
      <c r="J873" s="190" t="s">
        <v>2924</v>
      </c>
      <c r="K873" s="184"/>
      <c r="L873" s="181"/>
      <c r="M873" s="556" t="s">
        <v>4282</v>
      </c>
      <c r="N873" s="214"/>
      <c r="O873" s="214"/>
      <c r="P873" s="214"/>
      <c r="Q873" s="214"/>
      <c r="R873" s="214"/>
      <c r="S873" s="214"/>
      <c r="T873" s="214"/>
      <c r="U873" s="214"/>
      <c r="V873" s="214"/>
      <c r="W873" s="214"/>
      <c r="X873" s="214"/>
      <c r="Y873" s="214"/>
      <c r="Z873" s="234"/>
      <c r="AA873" s="234"/>
      <c r="AB873" s="234"/>
      <c r="AC873" s="234"/>
      <c r="AD873" s="319"/>
      <c r="AE873" s="319"/>
      <c r="AF873" s="162">
        <f t="shared" si="63"/>
        <v>0.56645767999999996</v>
      </c>
      <c r="AG873" s="162" t="str">
        <f t="shared" si="66"/>
        <v/>
      </c>
      <c r="AH873" s="164">
        <f t="shared" si="64"/>
        <v>0.11944332000000001</v>
      </c>
      <c r="AI873" s="164" t="str">
        <f t="shared" si="65"/>
        <v/>
      </c>
      <c r="AJ873" s="382"/>
      <c r="AK873" s="382"/>
      <c r="AL873" s="382"/>
      <c r="AM873" s="382"/>
      <c r="AN873" s="382"/>
      <c r="AO873" s="382"/>
      <c r="AP873" s="382"/>
      <c r="AQ873" s="382"/>
      <c r="AR873" s="382"/>
      <c r="AS873" s="348">
        <v>0.56645767999999996</v>
      </c>
      <c r="AT873" s="199"/>
      <c r="AU873" s="377"/>
      <c r="AV873" s="393"/>
      <c r="AW873" s="332"/>
      <c r="AX873" s="332"/>
      <c r="AY873" s="332"/>
      <c r="AZ873" s="332"/>
      <c r="BA873" s="332"/>
      <c r="BB873" s="332"/>
      <c r="BC873" s="332"/>
      <c r="BD873" s="332"/>
      <c r="BE873" s="332"/>
      <c r="BF873" s="492">
        <v>0.11944332000000001</v>
      </c>
      <c r="BG873" s="467"/>
      <c r="BH873" s="341"/>
      <c r="BI873" s="447"/>
      <c r="BJ873" s="337"/>
    </row>
    <row r="874" spans="1:62" ht="15.75" customHeight="1" thickBot="1" x14ac:dyDescent="0.25">
      <c r="A874" s="176">
        <v>875</v>
      </c>
      <c r="B874" s="175">
        <v>2</v>
      </c>
      <c r="C874" s="166" t="s">
        <v>162</v>
      </c>
      <c r="D874" s="167" t="s">
        <v>2460</v>
      </c>
      <c r="E874" s="167"/>
      <c r="F874" s="167"/>
      <c r="G874" s="167"/>
      <c r="H874" s="167" t="s">
        <v>2901</v>
      </c>
      <c r="I874" s="184"/>
      <c r="J874" s="190" t="s">
        <v>2925</v>
      </c>
      <c r="K874" s="184"/>
      <c r="L874" s="181"/>
      <c r="M874" s="556" t="s">
        <v>4282</v>
      </c>
      <c r="N874" s="214"/>
      <c r="O874" s="214"/>
      <c r="P874" s="214"/>
      <c r="Q874" s="214"/>
      <c r="R874" s="214"/>
      <c r="S874" s="214"/>
      <c r="T874" s="214"/>
      <c r="U874" s="214"/>
      <c r="V874" s="214"/>
      <c r="W874" s="214"/>
      <c r="X874" s="214"/>
      <c r="Y874" s="214"/>
      <c r="Z874" s="234"/>
      <c r="AA874" s="234"/>
      <c r="AB874" s="234"/>
      <c r="AC874" s="234"/>
      <c r="AD874" s="319"/>
      <c r="AE874" s="319"/>
      <c r="AF874" s="162">
        <f t="shared" si="63"/>
        <v>0.35823792999999998</v>
      </c>
      <c r="AG874" s="162" t="str">
        <f t="shared" si="66"/>
        <v/>
      </c>
      <c r="AH874" s="164">
        <f t="shared" si="64"/>
        <v>0.11627535</v>
      </c>
      <c r="AI874" s="164" t="str">
        <f t="shared" si="65"/>
        <v/>
      </c>
      <c r="AJ874" s="382"/>
      <c r="AK874" s="382"/>
      <c r="AL874" s="382"/>
      <c r="AM874" s="382"/>
      <c r="AN874" s="382"/>
      <c r="AO874" s="382"/>
      <c r="AP874" s="382"/>
      <c r="AQ874" s="382"/>
      <c r="AR874" s="382"/>
      <c r="AS874" s="348">
        <v>0.35823792999999998</v>
      </c>
      <c r="AT874" s="199"/>
      <c r="AU874" s="377"/>
      <c r="AV874" s="393"/>
      <c r="AW874" s="332"/>
      <c r="AX874" s="332"/>
      <c r="AY874" s="332"/>
      <c r="AZ874" s="332"/>
      <c r="BA874" s="332"/>
      <c r="BB874" s="332"/>
      <c r="BC874" s="332"/>
      <c r="BD874" s="332"/>
      <c r="BE874" s="332"/>
      <c r="BF874" s="492">
        <v>0.11627535</v>
      </c>
      <c r="BG874" s="467"/>
      <c r="BH874" s="341"/>
      <c r="BI874" s="447"/>
      <c r="BJ874" s="337"/>
    </row>
    <row r="875" spans="1:62" ht="15.75" customHeight="1" thickBot="1" x14ac:dyDescent="0.25">
      <c r="A875" s="176">
        <v>876</v>
      </c>
      <c r="B875" s="175">
        <v>2</v>
      </c>
      <c r="C875" s="166" t="s">
        <v>542</v>
      </c>
      <c r="D875" s="159" t="s">
        <v>2228</v>
      </c>
      <c r="E875" s="167"/>
      <c r="F875" s="167"/>
      <c r="G875" s="167"/>
      <c r="H875" s="167"/>
      <c r="I875" s="184"/>
      <c r="J875" s="184" t="s">
        <v>2926</v>
      </c>
      <c r="K875" s="184"/>
      <c r="L875" s="181"/>
      <c r="M875" s="556" t="s">
        <v>4282</v>
      </c>
      <c r="N875" s="214"/>
      <c r="O875" s="214"/>
      <c r="P875" s="214"/>
      <c r="Q875" s="214"/>
      <c r="R875" s="214"/>
      <c r="S875" s="214"/>
      <c r="T875" s="214"/>
      <c r="U875" s="214"/>
      <c r="V875" s="214"/>
      <c r="W875" s="214"/>
      <c r="X875" s="214"/>
      <c r="Y875" s="214"/>
      <c r="Z875" s="234"/>
      <c r="AA875" s="234"/>
      <c r="AB875" s="234"/>
      <c r="AC875" s="234"/>
      <c r="AD875" s="319"/>
      <c r="AE875" s="319"/>
      <c r="AF875" s="162" t="str">
        <f t="shared" si="63"/>
        <v/>
      </c>
      <c r="AG875" s="162">
        <f t="shared" si="66"/>
        <v>13.327939000000001</v>
      </c>
      <c r="AH875" s="164" t="str">
        <f t="shared" si="64"/>
        <v/>
      </c>
      <c r="AI875" s="164">
        <f t="shared" si="65"/>
        <v>1.92</v>
      </c>
      <c r="AJ875" s="382"/>
      <c r="AK875" s="382"/>
      <c r="AL875" s="384">
        <v>13.327939000000001</v>
      </c>
      <c r="AM875" s="382"/>
      <c r="AN875" s="382"/>
      <c r="AO875" s="382"/>
      <c r="AP875" s="382"/>
      <c r="AQ875" s="382"/>
      <c r="AR875" s="382"/>
      <c r="AS875" s="204"/>
      <c r="AT875" s="202">
        <f>SUM(AJ875:AR875)</f>
        <v>13.327939000000001</v>
      </c>
      <c r="AU875" s="377"/>
      <c r="AV875" s="411"/>
      <c r="AW875" s="332"/>
      <c r="AX875" s="332"/>
      <c r="AY875" s="341">
        <v>1.92</v>
      </c>
      <c r="AZ875" s="332"/>
      <c r="BA875" s="332"/>
      <c r="BB875" s="332"/>
      <c r="BC875" s="332"/>
      <c r="BD875" s="332"/>
      <c r="BE875" s="332"/>
      <c r="BF875" s="490"/>
      <c r="BG875" s="491">
        <f>SUM(AW875:BE875)</f>
        <v>1.92</v>
      </c>
      <c r="BH875" s="341"/>
      <c r="BI875" s="447"/>
      <c r="BJ875" s="337"/>
    </row>
    <row r="876" spans="1:62" ht="15.75" customHeight="1" thickBot="1" x14ac:dyDescent="0.25">
      <c r="A876" s="176">
        <v>877</v>
      </c>
      <c r="B876" s="175">
        <v>2</v>
      </c>
      <c r="C876" s="166" t="s">
        <v>236</v>
      </c>
      <c r="D876" s="167" t="s">
        <v>2343</v>
      </c>
      <c r="E876" s="167"/>
      <c r="F876" s="167"/>
      <c r="G876" s="167"/>
      <c r="H876" s="167" t="s">
        <v>2869</v>
      </c>
      <c r="I876" s="188" t="s">
        <v>2868</v>
      </c>
      <c r="J876" s="184" t="s">
        <v>2866</v>
      </c>
      <c r="K876" s="184" t="s">
        <v>2867</v>
      </c>
      <c r="L876" s="181" t="s">
        <v>83</v>
      </c>
      <c r="M876" s="556" t="s">
        <v>4280</v>
      </c>
      <c r="N876" s="214"/>
      <c r="O876" s="214"/>
      <c r="P876" s="214"/>
      <c r="Q876" s="214"/>
      <c r="R876" s="214"/>
      <c r="S876" s="214"/>
      <c r="T876" s="214"/>
      <c r="U876" s="214"/>
      <c r="V876" s="214"/>
      <c r="W876" s="214"/>
      <c r="X876" s="214"/>
      <c r="Y876" s="214"/>
      <c r="Z876" s="234"/>
      <c r="AA876" s="234"/>
      <c r="AB876" s="234"/>
      <c r="AC876" s="234"/>
      <c r="AD876" s="319"/>
      <c r="AE876" s="319"/>
      <c r="AF876" s="162" t="str">
        <f t="shared" si="63"/>
        <v/>
      </c>
      <c r="AG876" s="162" t="str">
        <f t="shared" si="66"/>
        <v/>
      </c>
      <c r="AH876" s="164">
        <f t="shared" si="64"/>
        <v>1.33</v>
      </c>
      <c r="AI876" s="164" t="str">
        <f t="shared" si="65"/>
        <v/>
      </c>
      <c r="AJ876" s="382"/>
      <c r="AK876" s="382"/>
      <c r="AL876" s="382"/>
      <c r="AM876" s="382"/>
      <c r="AN876" s="382"/>
      <c r="AO876" s="382"/>
      <c r="AP876" s="382"/>
      <c r="AQ876" s="382"/>
      <c r="AR876" s="382"/>
      <c r="AS876" s="204"/>
      <c r="AT876" s="199"/>
      <c r="AU876" s="377"/>
      <c r="AV876" s="393"/>
      <c r="AW876" s="332"/>
      <c r="AX876" s="332"/>
      <c r="AY876" s="332"/>
      <c r="AZ876" s="332"/>
      <c r="BA876" s="332"/>
      <c r="BB876" s="332"/>
      <c r="BC876" s="332"/>
      <c r="BD876" s="332"/>
      <c r="BE876" s="332"/>
      <c r="BF876" s="490">
        <v>1.33</v>
      </c>
      <c r="BG876" s="467"/>
      <c r="BH876" s="341"/>
      <c r="BI876" s="447"/>
      <c r="BJ876" s="337"/>
    </row>
    <row r="877" spans="1:62" ht="15.75" customHeight="1" thickBot="1" x14ac:dyDescent="0.25">
      <c r="A877" s="176">
        <v>878</v>
      </c>
      <c r="B877" s="175">
        <v>2</v>
      </c>
      <c r="C877" s="166" t="s">
        <v>236</v>
      </c>
      <c r="D877" s="167" t="s">
        <v>2343</v>
      </c>
      <c r="E877" s="167"/>
      <c r="F877" s="167"/>
      <c r="G877" s="167"/>
      <c r="H877" s="167" t="s">
        <v>2870</v>
      </c>
      <c r="I877" s="188" t="s">
        <v>2868</v>
      </c>
      <c r="J877" s="184" t="s">
        <v>2866</v>
      </c>
      <c r="K877" s="184" t="s">
        <v>2867</v>
      </c>
      <c r="L877" s="181" t="s">
        <v>83</v>
      </c>
      <c r="M877" s="556" t="s">
        <v>4280</v>
      </c>
      <c r="N877" s="214"/>
      <c r="O877" s="214"/>
      <c r="P877" s="214"/>
      <c r="Q877" s="214"/>
      <c r="R877" s="214"/>
      <c r="S877" s="214"/>
      <c r="T877" s="214"/>
      <c r="U877" s="214"/>
      <c r="V877" s="214"/>
      <c r="W877" s="214"/>
      <c r="X877" s="214"/>
      <c r="Y877" s="214"/>
      <c r="Z877" s="234"/>
      <c r="AA877" s="234"/>
      <c r="AB877" s="234"/>
      <c r="AC877" s="234"/>
      <c r="AD877" s="319"/>
      <c r="AE877" s="319"/>
      <c r="AF877" s="162" t="str">
        <f t="shared" ref="AF877:AF940" si="67">IF(AS877&lt;&gt;0,AS877,"")</f>
        <v/>
      </c>
      <c r="AG877" s="162" t="str">
        <f t="shared" si="66"/>
        <v/>
      </c>
      <c r="AH877" s="164">
        <f t="shared" si="64"/>
        <v>1.33</v>
      </c>
      <c r="AI877" s="164" t="str">
        <f t="shared" si="65"/>
        <v/>
      </c>
      <c r="AJ877" s="382"/>
      <c r="AK877" s="382"/>
      <c r="AL877" s="382"/>
      <c r="AM877" s="382"/>
      <c r="AN877" s="382"/>
      <c r="AO877" s="382"/>
      <c r="AP877" s="382"/>
      <c r="AQ877" s="382"/>
      <c r="AR877" s="382"/>
      <c r="AS877" s="204"/>
      <c r="AT877" s="199"/>
      <c r="AU877" s="377"/>
      <c r="AV877" s="393"/>
      <c r="AW877" s="332"/>
      <c r="AX877" s="332"/>
      <c r="AY877" s="332"/>
      <c r="AZ877" s="332"/>
      <c r="BA877" s="332"/>
      <c r="BB877" s="332"/>
      <c r="BC877" s="332"/>
      <c r="BD877" s="332"/>
      <c r="BE877" s="332"/>
      <c r="BF877" s="490">
        <v>1.33</v>
      </c>
      <c r="BG877" s="467"/>
      <c r="BH877" s="341"/>
      <c r="BI877" s="447"/>
      <c r="BJ877" s="337"/>
    </row>
    <row r="878" spans="1:62" ht="15.75" customHeight="1" thickBot="1" x14ac:dyDescent="0.25">
      <c r="A878" s="176">
        <v>879</v>
      </c>
      <c r="B878" s="175">
        <v>2</v>
      </c>
      <c r="C878" s="166" t="s">
        <v>236</v>
      </c>
      <c r="D878" s="167" t="s">
        <v>1879</v>
      </c>
      <c r="E878" s="167"/>
      <c r="F878" s="167"/>
      <c r="G878" s="167"/>
      <c r="H878" s="167" t="s">
        <v>2881</v>
      </c>
      <c r="I878" s="184">
        <v>2011</v>
      </c>
      <c r="J878" s="184" t="s">
        <v>2910</v>
      </c>
      <c r="K878" s="184"/>
      <c r="L878" s="181" t="s">
        <v>19</v>
      </c>
      <c r="M878" s="556" t="s">
        <v>4284</v>
      </c>
      <c r="N878" s="214"/>
      <c r="O878" s="214"/>
      <c r="P878" s="214"/>
      <c r="Q878" s="214"/>
      <c r="R878" s="214"/>
      <c r="S878" s="214"/>
      <c r="T878" s="214"/>
      <c r="U878" s="214"/>
      <c r="V878" s="214"/>
      <c r="W878" s="214"/>
      <c r="X878" s="214"/>
      <c r="Y878" s="214"/>
      <c r="Z878" s="234"/>
      <c r="AA878" s="234"/>
      <c r="AB878" s="234"/>
      <c r="AC878" s="234"/>
      <c r="AD878" s="319"/>
      <c r="AE878" s="319"/>
      <c r="AF878" s="162">
        <f t="shared" si="67"/>
        <v>3</v>
      </c>
      <c r="AG878" s="162" t="str">
        <f t="shared" si="66"/>
        <v/>
      </c>
      <c r="AH878" s="164">
        <f t="shared" si="64"/>
        <v>0.26</v>
      </c>
      <c r="AI878" s="164" t="str">
        <f t="shared" si="65"/>
        <v/>
      </c>
      <c r="AJ878" s="382"/>
      <c r="AK878" s="382"/>
      <c r="AL878" s="382"/>
      <c r="AM878" s="382"/>
      <c r="AN878" s="382"/>
      <c r="AO878" s="382"/>
      <c r="AP878" s="382"/>
      <c r="AQ878" s="382"/>
      <c r="AR878" s="382"/>
      <c r="AS878" s="204">
        <v>3</v>
      </c>
      <c r="AT878" s="199"/>
      <c r="AU878" s="377"/>
      <c r="AV878" s="393"/>
      <c r="AW878" s="332"/>
      <c r="AX878" s="332"/>
      <c r="AY878" s="332"/>
      <c r="AZ878" s="332"/>
      <c r="BA878" s="332"/>
      <c r="BB878" s="332"/>
      <c r="BC878" s="332"/>
      <c r="BD878" s="332"/>
      <c r="BE878" s="332"/>
      <c r="BF878" s="490">
        <v>0.26</v>
      </c>
      <c r="BG878" s="467"/>
      <c r="BH878" s="341"/>
      <c r="BI878" s="447"/>
      <c r="BJ878" s="337"/>
    </row>
    <row r="879" spans="1:62" ht="15.75" customHeight="1" thickBot="1" x14ac:dyDescent="0.25">
      <c r="A879" s="176">
        <v>880</v>
      </c>
      <c r="B879" s="175">
        <v>2</v>
      </c>
      <c r="C879" s="166" t="s">
        <v>236</v>
      </c>
      <c r="D879" s="167" t="s">
        <v>1879</v>
      </c>
      <c r="E879" s="167"/>
      <c r="F879" s="167"/>
      <c r="G879" s="167"/>
      <c r="H879" s="167" t="s">
        <v>351</v>
      </c>
      <c r="I879" s="184">
        <v>2011</v>
      </c>
      <c r="J879" s="184" t="s">
        <v>2910</v>
      </c>
      <c r="K879" s="184"/>
      <c r="L879" s="181" t="s">
        <v>19</v>
      </c>
      <c r="M879" s="556" t="s">
        <v>4284</v>
      </c>
      <c r="N879" s="214"/>
      <c r="O879" s="214"/>
      <c r="P879" s="214"/>
      <c r="Q879" s="214"/>
      <c r="R879" s="214"/>
      <c r="S879" s="214"/>
      <c r="T879" s="214"/>
      <c r="U879" s="214"/>
      <c r="V879" s="214"/>
      <c r="W879" s="214"/>
      <c r="X879" s="214"/>
      <c r="Y879" s="214"/>
      <c r="Z879" s="234"/>
      <c r="AA879" s="234"/>
      <c r="AB879" s="234"/>
      <c r="AC879" s="234"/>
      <c r="AD879" s="319"/>
      <c r="AE879" s="319"/>
      <c r="AF879" s="162">
        <f t="shared" si="67"/>
        <v>5</v>
      </c>
      <c r="AG879" s="162" t="str">
        <f t="shared" si="66"/>
        <v/>
      </c>
      <c r="AH879" s="164">
        <f t="shared" si="64"/>
        <v>0.45</v>
      </c>
      <c r="AI879" s="164" t="str">
        <f t="shared" si="65"/>
        <v/>
      </c>
      <c r="AJ879" s="382"/>
      <c r="AK879" s="382"/>
      <c r="AL879" s="382"/>
      <c r="AM879" s="382"/>
      <c r="AN879" s="382"/>
      <c r="AO879" s="382"/>
      <c r="AP879" s="382"/>
      <c r="AQ879" s="382"/>
      <c r="AR879" s="382"/>
      <c r="AS879" s="204">
        <v>5</v>
      </c>
      <c r="AT879" s="199"/>
      <c r="AU879" s="377"/>
      <c r="AV879" s="393"/>
      <c r="AW879" s="332"/>
      <c r="AX879" s="332"/>
      <c r="AY879" s="332"/>
      <c r="AZ879" s="332"/>
      <c r="BA879" s="332"/>
      <c r="BB879" s="332"/>
      <c r="BC879" s="332"/>
      <c r="BD879" s="332"/>
      <c r="BE879" s="332"/>
      <c r="BF879" s="490">
        <v>0.45</v>
      </c>
      <c r="BG879" s="467"/>
      <c r="BH879" s="341"/>
      <c r="BI879" s="447"/>
      <c r="BJ879" s="337"/>
    </row>
    <row r="880" spans="1:62" ht="15.75" customHeight="1" thickBot="1" x14ac:dyDescent="0.25">
      <c r="A880" s="176">
        <v>881</v>
      </c>
      <c r="B880" s="175">
        <v>2</v>
      </c>
      <c r="C880" s="166" t="s">
        <v>162</v>
      </c>
      <c r="D880" s="167" t="s">
        <v>846</v>
      </c>
      <c r="E880" s="167"/>
      <c r="F880" s="167"/>
      <c r="G880" s="167"/>
      <c r="H880" s="167" t="s">
        <v>2881</v>
      </c>
      <c r="I880" s="184">
        <v>2011</v>
      </c>
      <c r="J880" s="184" t="s">
        <v>2910</v>
      </c>
      <c r="K880" s="184"/>
      <c r="L880" s="181" t="s">
        <v>19</v>
      </c>
      <c r="M880" s="556" t="s">
        <v>4284</v>
      </c>
      <c r="N880" s="214"/>
      <c r="O880" s="214"/>
      <c r="P880" s="214"/>
      <c r="Q880" s="214"/>
      <c r="R880" s="214"/>
      <c r="S880" s="214"/>
      <c r="T880" s="214"/>
      <c r="U880" s="214"/>
      <c r="V880" s="214"/>
      <c r="W880" s="214"/>
      <c r="X880" s="214"/>
      <c r="Y880" s="214"/>
      <c r="Z880" s="234"/>
      <c r="AA880" s="234"/>
      <c r="AB880" s="234"/>
      <c r="AC880" s="234"/>
      <c r="AD880" s="319"/>
      <c r="AE880" s="319"/>
      <c r="AF880" s="162">
        <f t="shared" si="67"/>
        <v>0.84</v>
      </c>
      <c r="AG880" s="162" t="str">
        <f t="shared" si="66"/>
        <v/>
      </c>
      <c r="AH880" s="164">
        <f t="shared" si="64"/>
        <v>0.08</v>
      </c>
      <c r="AI880" s="164" t="str">
        <f t="shared" si="65"/>
        <v/>
      </c>
      <c r="AJ880" s="382"/>
      <c r="AK880" s="382"/>
      <c r="AL880" s="382"/>
      <c r="AM880" s="382"/>
      <c r="AN880" s="382"/>
      <c r="AO880" s="382"/>
      <c r="AP880" s="382"/>
      <c r="AQ880" s="382"/>
      <c r="AR880" s="382"/>
      <c r="AS880" s="204">
        <v>0.84</v>
      </c>
      <c r="AT880" s="199"/>
      <c r="AU880" s="377"/>
      <c r="AV880" s="393"/>
      <c r="AW880" s="332"/>
      <c r="AX880" s="332"/>
      <c r="AY880" s="332"/>
      <c r="AZ880" s="332"/>
      <c r="BA880" s="332"/>
      <c r="BB880" s="332"/>
      <c r="BC880" s="332"/>
      <c r="BD880" s="332"/>
      <c r="BE880" s="332"/>
      <c r="BF880" s="490">
        <v>0.08</v>
      </c>
      <c r="BG880" s="467"/>
      <c r="BH880" s="341"/>
      <c r="BI880" s="447"/>
      <c r="BJ880" s="337"/>
    </row>
    <row r="881" spans="1:62" ht="15.75" customHeight="1" thickBot="1" x14ac:dyDescent="0.25">
      <c r="A881" s="176">
        <v>882</v>
      </c>
      <c r="B881" s="175">
        <v>2</v>
      </c>
      <c r="C881" s="166" t="s">
        <v>162</v>
      </c>
      <c r="D881" s="167" t="s">
        <v>890</v>
      </c>
      <c r="E881" s="167"/>
      <c r="F881" s="167"/>
      <c r="G881" s="167"/>
      <c r="H881" s="167"/>
      <c r="I881" s="184"/>
      <c r="J881" s="184" t="s">
        <v>2927</v>
      </c>
      <c r="K881" s="184"/>
      <c r="L881" s="181"/>
      <c r="M881" s="556" t="s">
        <v>4281</v>
      </c>
      <c r="N881" s="214"/>
      <c r="O881" s="214"/>
      <c r="P881" s="214"/>
      <c r="Q881" s="214"/>
      <c r="R881" s="214"/>
      <c r="S881" s="214"/>
      <c r="T881" s="214"/>
      <c r="U881" s="214"/>
      <c r="V881" s="214"/>
      <c r="W881" s="214"/>
      <c r="X881" s="214"/>
      <c r="Y881" s="214"/>
      <c r="Z881" s="234"/>
      <c r="AA881" s="234"/>
      <c r="AB881" s="234"/>
      <c r="AC881" s="234"/>
      <c r="AD881" s="319"/>
      <c r="AE881" s="319"/>
      <c r="AF881" s="162">
        <f t="shared" si="67"/>
        <v>0.18415999999999999</v>
      </c>
      <c r="AG881" s="162" t="str">
        <f t="shared" si="66"/>
        <v/>
      </c>
      <c r="AH881" s="164">
        <f t="shared" si="64"/>
        <v>2.2156125099999997</v>
      </c>
      <c r="AI881" s="164" t="str">
        <f t="shared" si="65"/>
        <v/>
      </c>
      <c r="AJ881" s="382"/>
      <c r="AK881" s="382"/>
      <c r="AL881" s="382"/>
      <c r="AM881" s="382"/>
      <c r="AN881" s="382"/>
      <c r="AO881" s="382"/>
      <c r="AP881" s="382"/>
      <c r="AQ881" s="382"/>
      <c r="AR881" s="382"/>
      <c r="AS881" s="204">
        <v>0.18415999999999999</v>
      </c>
      <c r="AT881" s="199"/>
      <c r="AU881" s="377"/>
      <c r="AV881" s="393"/>
      <c r="AW881" s="332"/>
      <c r="AX881" s="332"/>
      <c r="AY881" s="332"/>
      <c r="AZ881" s="332"/>
      <c r="BA881" s="332"/>
      <c r="BB881" s="332"/>
      <c r="BC881" s="332"/>
      <c r="BD881" s="332"/>
      <c r="BE881" s="332"/>
      <c r="BF881" s="490">
        <f>2.1416+0.073612+0.00040051</f>
        <v>2.2156125099999997</v>
      </c>
      <c r="BG881" s="467"/>
      <c r="BH881" s="341"/>
      <c r="BI881" s="447"/>
      <c r="BJ881" s="337"/>
    </row>
    <row r="882" spans="1:62" ht="15.75" customHeight="1" thickBot="1" x14ac:dyDescent="0.25">
      <c r="A882" s="176">
        <v>883</v>
      </c>
      <c r="B882" s="175">
        <v>2</v>
      </c>
      <c r="C882" s="166" t="s">
        <v>259</v>
      </c>
      <c r="D882" s="159" t="s">
        <v>2094</v>
      </c>
      <c r="E882" s="167"/>
      <c r="F882" s="167"/>
      <c r="G882" s="167"/>
      <c r="H882" s="167" t="s">
        <v>2881</v>
      </c>
      <c r="I882" s="184">
        <v>2011</v>
      </c>
      <c r="J882" s="184" t="s">
        <v>2910</v>
      </c>
      <c r="K882" s="184"/>
      <c r="L882" s="181" t="s">
        <v>19</v>
      </c>
      <c r="M882" s="556" t="s">
        <v>4284</v>
      </c>
      <c r="N882" s="214"/>
      <c r="O882" s="214"/>
      <c r="P882" s="214"/>
      <c r="Q882" s="214"/>
      <c r="R882" s="214"/>
      <c r="S882" s="214"/>
      <c r="T882" s="214"/>
      <c r="U882" s="214"/>
      <c r="V882" s="214"/>
      <c r="W882" s="214"/>
      <c r="X882" s="214"/>
      <c r="Y882" s="214"/>
      <c r="Z882" s="234"/>
      <c r="AA882" s="234"/>
      <c r="AB882" s="234"/>
      <c r="AC882" s="234"/>
      <c r="AD882" s="319"/>
      <c r="AE882" s="319"/>
      <c r="AF882" s="162">
        <f t="shared" si="67"/>
        <v>2.9</v>
      </c>
      <c r="AG882" s="162" t="str">
        <f t="shared" si="66"/>
        <v/>
      </c>
      <c r="AH882" s="164">
        <f t="shared" si="64"/>
        <v>0.47</v>
      </c>
      <c r="AI882" s="164" t="str">
        <f t="shared" si="65"/>
        <v/>
      </c>
      <c r="AJ882" s="382"/>
      <c r="AK882" s="382"/>
      <c r="AL882" s="382"/>
      <c r="AM882" s="382"/>
      <c r="AN882" s="382"/>
      <c r="AO882" s="382"/>
      <c r="AP882" s="382"/>
      <c r="AQ882" s="382"/>
      <c r="AR882" s="382"/>
      <c r="AS882" s="204">
        <v>2.9</v>
      </c>
      <c r="AT882" s="199"/>
      <c r="AU882" s="377"/>
      <c r="AV882" s="393"/>
      <c r="AW882" s="332"/>
      <c r="AX882" s="332"/>
      <c r="AY882" s="332"/>
      <c r="AZ882" s="332"/>
      <c r="BA882" s="332"/>
      <c r="BB882" s="332"/>
      <c r="BC882" s="332"/>
      <c r="BD882" s="332"/>
      <c r="BE882" s="332"/>
      <c r="BF882" s="490">
        <v>0.47</v>
      </c>
      <c r="BG882" s="467"/>
      <c r="BH882" s="341"/>
      <c r="BI882" s="447"/>
      <c r="BJ882" s="337"/>
    </row>
    <row r="883" spans="1:62" ht="15.75" customHeight="1" thickBot="1" x14ac:dyDescent="0.25">
      <c r="A883" s="176">
        <v>884</v>
      </c>
      <c r="B883" s="175">
        <v>2</v>
      </c>
      <c r="C883" s="166" t="s">
        <v>259</v>
      </c>
      <c r="D883" s="159" t="s">
        <v>2094</v>
      </c>
      <c r="E883" s="167"/>
      <c r="F883" s="167"/>
      <c r="G883" s="167"/>
      <c r="H883" s="167" t="s">
        <v>2900</v>
      </c>
      <c r="I883" s="184"/>
      <c r="J883" s="184" t="s">
        <v>2928</v>
      </c>
      <c r="K883" s="184"/>
      <c r="L883" s="181"/>
      <c r="M883" s="556" t="s">
        <v>4282</v>
      </c>
      <c r="N883" s="214"/>
      <c r="O883" s="214"/>
      <c r="P883" s="214"/>
      <c r="Q883" s="214"/>
      <c r="R883" s="214"/>
      <c r="S883" s="214"/>
      <c r="T883" s="214"/>
      <c r="U883" s="214"/>
      <c r="V883" s="214"/>
      <c r="W883" s="214"/>
      <c r="X883" s="214"/>
      <c r="Y883" s="214"/>
      <c r="Z883" s="234"/>
      <c r="AA883" s="234"/>
      <c r="AB883" s="234"/>
      <c r="AC883" s="234"/>
      <c r="AD883" s="319"/>
      <c r="AE883" s="319"/>
      <c r="AF883" s="162">
        <f t="shared" si="67"/>
        <v>2.8693</v>
      </c>
      <c r="AG883" s="162" t="str">
        <f t="shared" si="66"/>
        <v/>
      </c>
      <c r="AH883" s="164">
        <f t="shared" si="64"/>
        <v>0.36201</v>
      </c>
      <c r="AI883" s="164" t="str">
        <f t="shared" si="65"/>
        <v/>
      </c>
      <c r="AJ883" s="382"/>
      <c r="AK883" s="382"/>
      <c r="AL883" s="382"/>
      <c r="AM883" s="382"/>
      <c r="AN883" s="382"/>
      <c r="AO883" s="382"/>
      <c r="AP883" s="382"/>
      <c r="AQ883" s="382"/>
      <c r="AR883" s="382"/>
      <c r="AS883" s="348">
        <v>2.8693</v>
      </c>
      <c r="AT883" s="199"/>
      <c r="AU883" s="377"/>
      <c r="AV883" s="393"/>
      <c r="AW883" s="332"/>
      <c r="AX883" s="332"/>
      <c r="AY883" s="332"/>
      <c r="AZ883" s="332"/>
      <c r="BA883" s="332"/>
      <c r="BB883" s="332"/>
      <c r="BC883" s="332"/>
      <c r="BD883" s="332"/>
      <c r="BE883" s="332"/>
      <c r="BF883" s="492">
        <v>0.36201</v>
      </c>
      <c r="BG883" s="467"/>
      <c r="BH883" s="341"/>
      <c r="BI883" s="447"/>
      <c r="BJ883" s="337"/>
    </row>
    <row r="884" spans="1:62" ht="15.75" customHeight="1" thickBot="1" x14ac:dyDescent="0.25">
      <c r="A884" s="176">
        <v>885</v>
      </c>
      <c r="B884" s="175">
        <v>2</v>
      </c>
      <c r="C884" s="166" t="s">
        <v>259</v>
      </c>
      <c r="D884" s="159" t="s">
        <v>2094</v>
      </c>
      <c r="E884" s="167"/>
      <c r="F884" s="167"/>
      <c r="G884" s="167"/>
      <c r="H884" s="167" t="s">
        <v>2901</v>
      </c>
      <c r="I884" s="184"/>
      <c r="J884" s="184" t="s">
        <v>2929</v>
      </c>
      <c r="K884" s="184"/>
      <c r="L884" s="181"/>
      <c r="M884" s="556" t="s">
        <v>4282</v>
      </c>
      <c r="N884" s="214"/>
      <c r="O884" s="214"/>
      <c r="P884" s="214"/>
      <c r="Q884" s="214"/>
      <c r="R884" s="214"/>
      <c r="S884" s="214"/>
      <c r="T884" s="214"/>
      <c r="U884" s="214"/>
      <c r="V884" s="214"/>
      <c r="W884" s="214"/>
      <c r="X884" s="214"/>
      <c r="Y884" s="214"/>
      <c r="Z884" s="234"/>
      <c r="AA884" s="234"/>
      <c r="AB884" s="234"/>
      <c r="AC884" s="234"/>
      <c r="AD884" s="319"/>
      <c r="AE884" s="319"/>
      <c r="AF884" s="162">
        <f t="shared" si="67"/>
        <v>2.5423</v>
      </c>
      <c r="AG884" s="162" t="str">
        <f t="shared" si="66"/>
        <v/>
      </c>
      <c r="AH884" s="164">
        <f t="shared" si="64"/>
        <v>0.41276000000000002</v>
      </c>
      <c r="AI884" s="164" t="str">
        <f t="shared" si="65"/>
        <v/>
      </c>
      <c r="AJ884" s="382"/>
      <c r="AK884" s="382"/>
      <c r="AL884" s="382"/>
      <c r="AM884" s="382"/>
      <c r="AN884" s="382"/>
      <c r="AO884" s="382"/>
      <c r="AP884" s="382"/>
      <c r="AQ884" s="382"/>
      <c r="AR884" s="382"/>
      <c r="AS884" s="348">
        <v>2.5423</v>
      </c>
      <c r="AT884" s="199"/>
      <c r="AU884" s="377"/>
      <c r="AV884" s="393"/>
      <c r="AW884" s="332"/>
      <c r="AX884" s="332"/>
      <c r="AY884" s="332"/>
      <c r="AZ884" s="332"/>
      <c r="BA884" s="332"/>
      <c r="BB884" s="332"/>
      <c r="BC884" s="332"/>
      <c r="BD884" s="332"/>
      <c r="BE884" s="332"/>
      <c r="BF884" s="492">
        <v>0.41276000000000002</v>
      </c>
      <c r="BG884" s="467"/>
      <c r="BH884" s="341"/>
      <c r="BI884" s="447"/>
      <c r="BJ884" s="337"/>
    </row>
    <row r="885" spans="1:62" ht="15.75" customHeight="1" thickBot="1" x14ac:dyDescent="0.25">
      <c r="A885" s="176">
        <v>886</v>
      </c>
      <c r="B885" s="175">
        <v>2</v>
      </c>
      <c r="C885" s="166" t="s">
        <v>162</v>
      </c>
      <c r="D885" s="167" t="s">
        <v>2447</v>
      </c>
      <c r="E885" s="167"/>
      <c r="F885" s="167"/>
      <c r="G885" s="167"/>
      <c r="H885" s="167" t="s">
        <v>2881</v>
      </c>
      <c r="I885" s="184">
        <v>2011</v>
      </c>
      <c r="J885" s="184" t="s">
        <v>2910</v>
      </c>
      <c r="K885" s="184"/>
      <c r="L885" s="181" t="s">
        <v>19</v>
      </c>
      <c r="M885" s="556" t="s">
        <v>4284</v>
      </c>
      <c r="N885" s="214"/>
      <c r="O885" s="214"/>
      <c r="P885" s="214"/>
      <c r="Q885" s="214"/>
      <c r="R885" s="214"/>
      <c r="S885" s="214"/>
      <c r="T885" s="214"/>
      <c r="U885" s="214"/>
      <c r="V885" s="214"/>
      <c r="W885" s="214"/>
      <c r="X885" s="214"/>
      <c r="Y885" s="214"/>
      <c r="Z885" s="234"/>
      <c r="AA885" s="234"/>
      <c r="AB885" s="234"/>
      <c r="AC885" s="234"/>
      <c r="AD885" s="319"/>
      <c r="AE885" s="319"/>
      <c r="AF885" s="162">
        <f t="shared" si="67"/>
        <v>1</v>
      </c>
      <c r="AG885" s="162" t="str">
        <f t="shared" si="66"/>
        <v/>
      </c>
      <c r="AH885" s="164">
        <f t="shared" si="64"/>
        <v>0.1</v>
      </c>
      <c r="AI885" s="164" t="str">
        <f t="shared" si="65"/>
        <v/>
      </c>
      <c r="AJ885" s="382"/>
      <c r="AK885" s="382"/>
      <c r="AL885" s="382"/>
      <c r="AM885" s="382"/>
      <c r="AN885" s="382"/>
      <c r="AO885" s="382"/>
      <c r="AP885" s="382"/>
      <c r="AQ885" s="382"/>
      <c r="AR885" s="382"/>
      <c r="AS885" s="204">
        <v>1</v>
      </c>
      <c r="AT885" s="199"/>
      <c r="AU885" s="377"/>
      <c r="AV885" s="393"/>
      <c r="AW885" s="332"/>
      <c r="AX885" s="332"/>
      <c r="AY885" s="332"/>
      <c r="AZ885" s="332"/>
      <c r="BA885" s="332"/>
      <c r="BB885" s="332"/>
      <c r="BC885" s="332"/>
      <c r="BD885" s="332"/>
      <c r="BE885" s="332"/>
      <c r="BF885" s="490">
        <v>0.1</v>
      </c>
      <c r="BG885" s="467"/>
      <c r="BH885" s="341"/>
      <c r="BI885" s="447"/>
      <c r="BJ885" s="337"/>
    </row>
    <row r="886" spans="1:62" ht="15.75" customHeight="1" thickBot="1" x14ac:dyDescent="0.25">
      <c r="A886" s="176">
        <v>887</v>
      </c>
      <c r="B886" s="175">
        <v>2</v>
      </c>
      <c r="C886" s="166" t="s">
        <v>2933</v>
      </c>
      <c r="D886" s="167" t="s">
        <v>2745</v>
      </c>
      <c r="E886" s="167"/>
      <c r="F886" s="167"/>
      <c r="G886" s="167"/>
      <c r="H886" s="167" t="s">
        <v>101</v>
      </c>
      <c r="I886" s="184">
        <v>2011</v>
      </c>
      <c r="J886" s="184" t="s">
        <v>2910</v>
      </c>
      <c r="K886" s="184"/>
      <c r="L886" s="181" t="s">
        <v>19</v>
      </c>
      <c r="M886" s="556" t="s">
        <v>4284</v>
      </c>
      <c r="N886" s="214"/>
      <c r="O886" s="214"/>
      <c r="P886" s="214"/>
      <c r="Q886" s="214"/>
      <c r="R886" s="214"/>
      <c r="S886" s="214"/>
      <c r="T886" s="214"/>
      <c r="U886" s="214"/>
      <c r="V886" s="214"/>
      <c r="W886" s="214"/>
      <c r="X886" s="214"/>
      <c r="Y886" s="214"/>
      <c r="Z886" s="234"/>
      <c r="AA886" s="234"/>
      <c r="AB886" s="234"/>
      <c r="AC886" s="234"/>
      <c r="AD886" s="319"/>
      <c r="AE886" s="319"/>
      <c r="AF886" s="162">
        <f t="shared" si="67"/>
        <v>82</v>
      </c>
      <c r="AG886" s="162" t="str">
        <f t="shared" si="66"/>
        <v/>
      </c>
      <c r="AH886" s="164">
        <f t="shared" si="64"/>
        <v>20</v>
      </c>
      <c r="AI886" s="164" t="str">
        <f t="shared" si="65"/>
        <v/>
      </c>
      <c r="AJ886" s="382"/>
      <c r="AK886" s="382"/>
      <c r="AL886" s="382"/>
      <c r="AM886" s="382"/>
      <c r="AN886" s="382"/>
      <c r="AO886" s="382"/>
      <c r="AP886" s="382"/>
      <c r="AQ886" s="382"/>
      <c r="AR886" s="382"/>
      <c r="AS886" s="204">
        <v>82</v>
      </c>
      <c r="AT886" s="199"/>
      <c r="AU886" s="377"/>
      <c r="AV886" s="393"/>
      <c r="AW886" s="332"/>
      <c r="AX886" s="332"/>
      <c r="AY886" s="332"/>
      <c r="AZ886" s="332"/>
      <c r="BA886" s="332"/>
      <c r="BB886" s="332"/>
      <c r="BC886" s="332"/>
      <c r="BD886" s="332"/>
      <c r="BE886" s="332"/>
      <c r="BF886" s="490">
        <v>20</v>
      </c>
      <c r="BG886" s="467"/>
      <c r="BH886" s="341"/>
      <c r="BI886" s="447"/>
      <c r="BJ886" s="337"/>
    </row>
    <row r="887" spans="1:62" ht="15.75" customHeight="1" thickBot="1" x14ac:dyDescent="0.25">
      <c r="A887" s="176">
        <v>888</v>
      </c>
      <c r="B887" s="175">
        <v>2</v>
      </c>
      <c r="C887" s="166" t="s">
        <v>2933</v>
      </c>
      <c r="D887" s="167" t="s">
        <v>2745</v>
      </c>
      <c r="E887" s="167"/>
      <c r="F887" s="167"/>
      <c r="G887" s="167"/>
      <c r="H887" s="167" t="s">
        <v>369</v>
      </c>
      <c r="I887" s="184">
        <v>2011</v>
      </c>
      <c r="J887" s="184" t="s">
        <v>2910</v>
      </c>
      <c r="K887" s="184"/>
      <c r="L887" s="181" t="s">
        <v>19</v>
      </c>
      <c r="M887" s="556" t="s">
        <v>4284</v>
      </c>
      <c r="N887" s="214"/>
      <c r="O887" s="214"/>
      <c r="P887" s="214"/>
      <c r="Q887" s="214"/>
      <c r="R887" s="214"/>
      <c r="S887" s="214"/>
      <c r="T887" s="214"/>
      <c r="U887" s="214"/>
      <c r="V887" s="214"/>
      <c r="W887" s="214"/>
      <c r="X887" s="214"/>
      <c r="Y887" s="214"/>
      <c r="Z887" s="234"/>
      <c r="AA887" s="234"/>
      <c r="AB887" s="234"/>
      <c r="AC887" s="234"/>
      <c r="AD887" s="319"/>
      <c r="AE887" s="319"/>
      <c r="AF887" s="162">
        <f t="shared" si="67"/>
        <v>52</v>
      </c>
      <c r="AG887" s="162" t="str">
        <f t="shared" si="66"/>
        <v/>
      </c>
      <c r="AH887" s="164">
        <f t="shared" si="64"/>
        <v>22</v>
      </c>
      <c r="AI887" s="164" t="str">
        <f t="shared" si="65"/>
        <v/>
      </c>
      <c r="AJ887" s="382"/>
      <c r="AK887" s="382"/>
      <c r="AL887" s="382"/>
      <c r="AM887" s="382"/>
      <c r="AN887" s="382"/>
      <c r="AO887" s="382"/>
      <c r="AP887" s="382"/>
      <c r="AQ887" s="382"/>
      <c r="AR887" s="382"/>
      <c r="AS887" s="204">
        <v>52</v>
      </c>
      <c r="AT887" s="199"/>
      <c r="AU887" s="377"/>
      <c r="AV887" s="393"/>
      <c r="AW887" s="332"/>
      <c r="AX887" s="332"/>
      <c r="AY887" s="332"/>
      <c r="AZ887" s="332"/>
      <c r="BA887" s="332"/>
      <c r="BB887" s="332"/>
      <c r="BC887" s="332"/>
      <c r="BD887" s="332"/>
      <c r="BE887" s="332"/>
      <c r="BF887" s="490">
        <v>22</v>
      </c>
      <c r="BG887" s="467"/>
      <c r="BH887" s="341"/>
      <c r="BI887" s="447"/>
      <c r="BJ887" s="337"/>
    </row>
    <row r="888" spans="1:62" ht="15.75" customHeight="1" thickBot="1" x14ac:dyDescent="0.25">
      <c r="A888" s="176">
        <v>889</v>
      </c>
      <c r="B888" s="175">
        <v>2</v>
      </c>
      <c r="C888" s="166" t="s">
        <v>2933</v>
      </c>
      <c r="D888" s="167" t="s">
        <v>2745</v>
      </c>
      <c r="E888" s="167"/>
      <c r="F888" s="167"/>
      <c r="G888" s="167"/>
      <c r="H888" s="167" t="s">
        <v>2930</v>
      </c>
      <c r="I888" s="184">
        <v>2011</v>
      </c>
      <c r="J888" s="184" t="s">
        <v>2910</v>
      </c>
      <c r="K888" s="184"/>
      <c r="L888" s="181" t="s">
        <v>19</v>
      </c>
      <c r="M888" s="556" t="s">
        <v>4284</v>
      </c>
      <c r="N888" s="214"/>
      <c r="O888" s="214"/>
      <c r="P888" s="214"/>
      <c r="Q888" s="214"/>
      <c r="R888" s="214"/>
      <c r="S888" s="214"/>
      <c r="T888" s="214"/>
      <c r="U888" s="214"/>
      <c r="V888" s="214"/>
      <c r="W888" s="214"/>
      <c r="X888" s="214"/>
      <c r="Y888" s="214"/>
      <c r="Z888" s="234"/>
      <c r="AA888" s="234"/>
      <c r="AB888" s="234"/>
      <c r="AC888" s="234"/>
      <c r="AD888" s="319"/>
      <c r="AE888" s="319"/>
      <c r="AF888" s="162">
        <f t="shared" si="67"/>
        <v>38</v>
      </c>
      <c r="AG888" s="162" t="str">
        <f t="shared" si="66"/>
        <v/>
      </c>
      <c r="AH888" s="164">
        <f t="shared" si="64"/>
        <v>29</v>
      </c>
      <c r="AI888" s="164" t="str">
        <f t="shared" si="65"/>
        <v/>
      </c>
      <c r="AJ888" s="382"/>
      <c r="AK888" s="382"/>
      <c r="AL888" s="382"/>
      <c r="AM888" s="382"/>
      <c r="AN888" s="382"/>
      <c r="AO888" s="382"/>
      <c r="AP888" s="382"/>
      <c r="AQ888" s="382"/>
      <c r="AR888" s="382"/>
      <c r="AS888" s="204">
        <v>38</v>
      </c>
      <c r="AT888" s="199"/>
      <c r="AU888" s="377"/>
      <c r="AV888" s="393"/>
      <c r="AW888" s="332"/>
      <c r="AX888" s="332"/>
      <c r="AY888" s="332"/>
      <c r="AZ888" s="332"/>
      <c r="BA888" s="332"/>
      <c r="BB888" s="332"/>
      <c r="BC888" s="332"/>
      <c r="BD888" s="332"/>
      <c r="BE888" s="332"/>
      <c r="BF888" s="490">
        <v>29</v>
      </c>
      <c r="BG888" s="467"/>
      <c r="BH888" s="341"/>
      <c r="BI888" s="447"/>
      <c r="BJ888" s="337"/>
    </row>
    <row r="889" spans="1:62" ht="15.75" customHeight="1" thickBot="1" x14ac:dyDescent="0.25">
      <c r="A889" s="176">
        <v>890</v>
      </c>
      <c r="B889" s="175">
        <v>2</v>
      </c>
      <c r="C889" s="166" t="s">
        <v>2933</v>
      </c>
      <c r="D889" s="167" t="s">
        <v>346</v>
      </c>
      <c r="E889" s="167"/>
      <c r="F889" s="167"/>
      <c r="G889" s="167"/>
      <c r="H889" s="167" t="s">
        <v>101</v>
      </c>
      <c r="I889" s="184">
        <v>2011</v>
      </c>
      <c r="J889" s="184" t="s">
        <v>2910</v>
      </c>
      <c r="K889" s="184"/>
      <c r="L889" s="181" t="s">
        <v>19</v>
      </c>
      <c r="M889" s="556" t="s">
        <v>4284</v>
      </c>
      <c r="N889" s="214"/>
      <c r="O889" s="214"/>
      <c r="P889" s="214"/>
      <c r="Q889" s="214"/>
      <c r="R889" s="214"/>
      <c r="S889" s="214"/>
      <c r="T889" s="214"/>
      <c r="U889" s="214"/>
      <c r="V889" s="214"/>
      <c r="W889" s="214"/>
      <c r="X889" s="214"/>
      <c r="Y889" s="214"/>
      <c r="Z889" s="234"/>
      <c r="AA889" s="234"/>
      <c r="AB889" s="234"/>
      <c r="AC889" s="234"/>
      <c r="AD889" s="319"/>
      <c r="AE889" s="319"/>
      <c r="AF889" s="162">
        <f t="shared" si="67"/>
        <v>65</v>
      </c>
      <c r="AG889" s="162" t="str">
        <f t="shared" si="66"/>
        <v/>
      </c>
      <c r="AH889" s="164">
        <f t="shared" si="64"/>
        <v>17</v>
      </c>
      <c r="AI889" s="164" t="str">
        <f t="shared" si="65"/>
        <v/>
      </c>
      <c r="AJ889" s="382"/>
      <c r="AK889" s="382"/>
      <c r="AL889" s="382"/>
      <c r="AM889" s="382"/>
      <c r="AN889" s="382"/>
      <c r="AO889" s="382"/>
      <c r="AP889" s="382"/>
      <c r="AQ889" s="382"/>
      <c r="AR889" s="382"/>
      <c r="AS889" s="204">
        <v>65</v>
      </c>
      <c r="AT889" s="199"/>
      <c r="AU889" s="377"/>
      <c r="AV889" s="393"/>
      <c r="AW889" s="332"/>
      <c r="AX889" s="332"/>
      <c r="AY889" s="332"/>
      <c r="AZ889" s="332"/>
      <c r="BA889" s="332"/>
      <c r="BB889" s="332"/>
      <c r="BC889" s="332"/>
      <c r="BD889" s="332"/>
      <c r="BE889" s="332"/>
      <c r="BF889" s="490">
        <v>17</v>
      </c>
      <c r="BG889" s="467"/>
      <c r="BH889" s="341"/>
      <c r="BI889" s="447"/>
      <c r="BJ889" s="337"/>
    </row>
    <row r="890" spans="1:62" ht="15.75" customHeight="1" thickBot="1" x14ac:dyDescent="0.25">
      <c r="A890" s="176">
        <v>891</v>
      </c>
      <c r="B890" s="175">
        <v>2</v>
      </c>
      <c r="C890" s="166" t="s">
        <v>2933</v>
      </c>
      <c r="D890" s="167" t="s">
        <v>346</v>
      </c>
      <c r="E890" s="167"/>
      <c r="F890" s="167"/>
      <c r="G890" s="167"/>
      <c r="H890" s="167" t="s">
        <v>2930</v>
      </c>
      <c r="I890" s="184">
        <v>2011</v>
      </c>
      <c r="J890" s="184" t="s">
        <v>2910</v>
      </c>
      <c r="K890" s="184"/>
      <c r="L890" s="181" t="s">
        <v>19</v>
      </c>
      <c r="M890" s="556" t="s">
        <v>4284</v>
      </c>
      <c r="N890" s="214"/>
      <c r="O890" s="214"/>
      <c r="P890" s="214"/>
      <c r="Q890" s="214"/>
      <c r="R890" s="214"/>
      <c r="S890" s="214"/>
      <c r="T890" s="214"/>
      <c r="U890" s="214"/>
      <c r="V890" s="214"/>
      <c r="W890" s="214"/>
      <c r="X890" s="214"/>
      <c r="Y890" s="214"/>
      <c r="Z890" s="234"/>
      <c r="AA890" s="234"/>
      <c r="AB890" s="234"/>
      <c r="AC890" s="234"/>
      <c r="AD890" s="319"/>
      <c r="AE890" s="319"/>
      <c r="AF890" s="162">
        <f t="shared" si="67"/>
        <v>40</v>
      </c>
      <c r="AG890" s="162" t="str">
        <f t="shared" si="66"/>
        <v/>
      </c>
      <c r="AH890" s="164">
        <f t="shared" si="64"/>
        <v>36</v>
      </c>
      <c r="AI890" s="164" t="str">
        <f t="shared" si="65"/>
        <v/>
      </c>
      <c r="AJ890" s="382"/>
      <c r="AK890" s="382"/>
      <c r="AL890" s="382"/>
      <c r="AM890" s="382"/>
      <c r="AN890" s="382"/>
      <c r="AO890" s="382"/>
      <c r="AP890" s="382"/>
      <c r="AQ890" s="382"/>
      <c r="AR890" s="382"/>
      <c r="AS890" s="204">
        <v>40</v>
      </c>
      <c r="AT890" s="199"/>
      <c r="AU890" s="377"/>
      <c r="AV890" s="393"/>
      <c r="AW890" s="332"/>
      <c r="AX890" s="332"/>
      <c r="AY890" s="332"/>
      <c r="AZ890" s="332"/>
      <c r="BA890" s="332"/>
      <c r="BB890" s="332"/>
      <c r="BC890" s="332"/>
      <c r="BD890" s="332"/>
      <c r="BE890" s="332"/>
      <c r="BF890" s="490">
        <v>36</v>
      </c>
      <c r="BG890" s="467"/>
      <c r="BH890" s="341"/>
      <c r="BI890" s="447"/>
      <c r="BJ890" s="337"/>
    </row>
    <row r="891" spans="1:62" ht="15.75" customHeight="1" thickBot="1" x14ac:dyDescent="0.25">
      <c r="A891" s="176">
        <v>892</v>
      </c>
      <c r="B891" s="175">
        <v>2</v>
      </c>
      <c r="C891" s="166" t="s">
        <v>2933</v>
      </c>
      <c r="D891" s="167" t="s">
        <v>2931</v>
      </c>
      <c r="E891" s="167"/>
      <c r="F891" s="167"/>
      <c r="G891" s="167"/>
      <c r="H891" s="167" t="s">
        <v>101</v>
      </c>
      <c r="I891" s="184">
        <v>2011</v>
      </c>
      <c r="J891" s="184" t="s">
        <v>2910</v>
      </c>
      <c r="K891" s="184"/>
      <c r="L891" s="181" t="s">
        <v>19</v>
      </c>
      <c r="M891" s="556" t="s">
        <v>4284</v>
      </c>
      <c r="N891" s="214"/>
      <c r="O891" s="214"/>
      <c r="P891" s="214"/>
      <c r="Q891" s="214"/>
      <c r="R891" s="214"/>
      <c r="S891" s="214"/>
      <c r="T891" s="214"/>
      <c r="U891" s="214"/>
      <c r="V891" s="214"/>
      <c r="W891" s="214"/>
      <c r="X891" s="214"/>
      <c r="Y891" s="214"/>
      <c r="Z891" s="234"/>
      <c r="AA891" s="234"/>
      <c r="AB891" s="234"/>
      <c r="AC891" s="234"/>
      <c r="AD891" s="319"/>
      <c r="AE891" s="319"/>
      <c r="AF891" s="162">
        <f t="shared" si="67"/>
        <v>31</v>
      </c>
      <c r="AG891" s="162" t="str">
        <f t="shared" si="66"/>
        <v/>
      </c>
      <c r="AH891" s="164">
        <f t="shared" si="64"/>
        <v>7.2</v>
      </c>
      <c r="AI891" s="164" t="str">
        <f t="shared" si="65"/>
        <v/>
      </c>
      <c r="AJ891" s="382"/>
      <c r="AK891" s="382"/>
      <c r="AL891" s="382"/>
      <c r="AM891" s="382"/>
      <c r="AN891" s="382"/>
      <c r="AO891" s="382"/>
      <c r="AP891" s="382"/>
      <c r="AQ891" s="382"/>
      <c r="AR891" s="382"/>
      <c r="AS891" s="204">
        <v>31</v>
      </c>
      <c r="AT891" s="199"/>
      <c r="AU891" s="377"/>
      <c r="AV891" s="393"/>
      <c r="AW891" s="332"/>
      <c r="AX891" s="332"/>
      <c r="AY891" s="332"/>
      <c r="AZ891" s="332"/>
      <c r="BA891" s="332"/>
      <c r="BB891" s="332"/>
      <c r="BC891" s="332"/>
      <c r="BD891" s="332"/>
      <c r="BE891" s="332"/>
      <c r="BF891" s="490">
        <v>7.2</v>
      </c>
      <c r="BG891" s="467"/>
      <c r="BH891" s="341"/>
      <c r="BI891" s="447"/>
      <c r="BJ891" s="337"/>
    </row>
    <row r="892" spans="1:62" ht="15.75" customHeight="1" thickBot="1" x14ac:dyDescent="0.25">
      <c r="A892" s="176">
        <v>893</v>
      </c>
      <c r="B892" s="175">
        <v>2</v>
      </c>
      <c r="C892" s="166" t="s">
        <v>2933</v>
      </c>
      <c r="D892" s="167" t="s">
        <v>2448</v>
      </c>
      <c r="E892" s="167"/>
      <c r="F892" s="167"/>
      <c r="G892" s="167"/>
      <c r="H892" s="167" t="s">
        <v>101</v>
      </c>
      <c r="I892" s="184">
        <v>2011</v>
      </c>
      <c r="J892" s="184" t="s">
        <v>2910</v>
      </c>
      <c r="K892" s="184"/>
      <c r="L892" s="181" t="s">
        <v>19</v>
      </c>
      <c r="M892" s="556" t="s">
        <v>4284</v>
      </c>
      <c r="N892" s="214"/>
      <c r="O892" s="214"/>
      <c r="P892" s="214"/>
      <c r="Q892" s="214"/>
      <c r="R892" s="214"/>
      <c r="S892" s="214"/>
      <c r="T892" s="214"/>
      <c r="U892" s="214"/>
      <c r="V892" s="214"/>
      <c r="W892" s="214"/>
      <c r="X892" s="214"/>
      <c r="Y892" s="214"/>
      <c r="Z892" s="234"/>
      <c r="AA892" s="234"/>
      <c r="AB892" s="234"/>
      <c r="AC892" s="234"/>
      <c r="AD892" s="319"/>
      <c r="AE892" s="319"/>
      <c r="AF892" s="162">
        <f t="shared" si="67"/>
        <v>29</v>
      </c>
      <c r="AG892" s="162" t="str">
        <f t="shared" si="66"/>
        <v/>
      </c>
      <c r="AH892" s="164">
        <f t="shared" si="64"/>
        <v>2.9</v>
      </c>
      <c r="AI892" s="164" t="str">
        <f t="shared" si="65"/>
        <v/>
      </c>
      <c r="AJ892" s="382"/>
      <c r="AK892" s="382"/>
      <c r="AL892" s="382"/>
      <c r="AM892" s="382"/>
      <c r="AN892" s="382"/>
      <c r="AO892" s="382"/>
      <c r="AP892" s="382"/>
      <c r="AQ892" s="382"/>
      <c r="AR892" s="382"/>
      <c r="AS892" s="204">
        <v>29</v>
      </c>
      <c r="AT892" s="199"/>
      <c r="AU892" s="377"/>
      <c r="AV892" s="393"/>
      <c r="AW892" s="332"/>
      <c r="AX892" s="332"/>
      <c r="AY892" s="332"/>
      <c r="AZ892" s="332"/>
      <c r="BA892" s="332"/>
      <c r="BB892" s="332"/>
      <c r="BC892" s="332"/>
      <c r="BD892" s="332"/>
      <c r="BE892" s="332"/>
      <c r="BF892" s="490">
        <v>2.9</v>
      </c>
      <c r="BG892" s="467"/>
      <c r="BH892" s="341"/>
      <c r="BI892" s="447"/>
      <c r="BJ892" s="337"/>
    </row>
    <row r="893" spans="1:62" ht="15.75" customHeight="1" thickBot="1" x14ac:dyDescent="0.25">
      <c r="A893" s="176">
        <v>894</v>
      </c>
      <c r="B893" s="175">
        <v>2</v>
      </c>
      <c r="C893" s="166" t="s">
        <v>39</v>
      </c>
      <c r="D893" s="166" t="s">
        <v>40</v>
      </c>
      <c r="E893" s="167"/>
      <c r="F893" s="167"/>
      <c r="G893" s="167"/>
      <c r="H893" s="167" t="s">
        <v>101</v>
      </c>
      <c r="I893" s="184">
        <v>2011</v>
      </c>
      <c r="J893" s="184" t="s">
        <v>2910</v>
      </c>
      <c r="K893" s="184"/>
      <c r="L893" s="181" t="s">
        <v>19</v>
      </c>
      <c r="M893" s="556" t="s">
        <v>4284</v>
      </c>
      <c r="N893" s="214"/>
      <c r="O893" s="214"/>
      <c r="P893" s="214"/>
      <c r="Q893" s="214"/>
      <c r="R893" s="214"/>
      <c r="S893" s="214"/>
      <c r="T893" s="214"/>
      <c r="U893" s="214"/>
      <c r="V893" s="214"/>
      <c r="W893" s="214"/>
      <c r="X893" s="214"/>
      <c r="Y893" s="214"/>
      <c r="Z893" s="234"/>
      <c r="AA893" s="234"/>
      <c r="AB893" s="234"/>
      <c r="AC893" s="234"/>
      <c r="AD893" s="319"/>
      <c r="AE893" s="319"/>
      <c r="AF893" s="162">
        <f t="shared" si="67"/>
        <v>12</v>
      </c>
      <c r="AG893" s="162" t="str">
        <f t="shared" si="66"/>
        <v/>
      </c>
      <c r="AH893" s="164">
        <f t="shared" si="64"/>
        <v>1.6</v>
      </c>
      <c r="AI893" s="164" t="str">
        <f t="shared" si="65"/>
        <v/>
      </c>
      <c r="AJ893" s="382"/>
      <c r="AK893" s="382"/>
      <c r="AL893" s="382"/>
      <c r="AM893" s="382"/>
      <c r="AN893" s="382"/>
      <c r="AO893" s="382"/>
      <c r="AP893" s="382"/>
      <c r="AQ893" s="382"/>
      <c r="AR893" s="382"/>
      <c r="AS893" s="204">
        <v>12</v>
      </c>
      <c r="AT893" s="199"/>
      <c r="AU893" s="377"/>
      <c r="AV893" s="393"/>
      <c r="AW893" s="332"/>
      <c r="AX893" s="332"/>
      <c r="AY893" s="332"/>
      <c r="AZ893" s="332"/>
      <c r="BA893" s="332"/>
      <c r="BB893" s="332"/>
      <c r="BC893" s="332"/>
      <c r="BD893" s="332"/>
      <c r="BE893" s="332"/>
      <c r="BF893" s="490">
        <v>1.6</v>
      </c>
      <c r="BG893" s="467"/>
      <c r="BH893" s="341"/>
      <c r="BI893" s="447"/>
      <c r="BJ893" s="337"/>
    </row>
    <row r="894" spans="1:62" ht="15.75" customHeight="1" thickBot="1" x14ac:dyDescent="0.25">
      <c r="A894" s="176">
        <v>895</v>
      </c>
      <c r="B894" s="175">
        <v>2</v>
      </c>
      <c r="C894" s="166" t="s">
        <v>39</v>
      </c>
      <c r="D894" s="166" t="s">
        <v>40</v>
      </c>
      <c r="E894" s="167"/>
      <c r="F894" s="167"/>
      <c r="G894" s="167"/>
      <c r="H894" s="167" t="s">
        <v>101</v>
      </c>
      <c r="I894" s="184">
        <v>2011</v>
      </c>
      <c r="J894" s="184" t="s">
        <v>2910</v>
      </c>
      <c r="K894" s="184"/>
      <c r="L894" s="181" t="s">
        <v>19</v>
      </c>
      <c r="M894" s="556" t="s">
        <v>4284</v>
      </c>
      <c r="N894" s="214"/>
      <c r="O894" s="214"/>
      <c r="P894" s="214"/>
      <c r="Q894" s="214"/>
      <c r="R894" s="214"/>
      <c r="S894" s="214"/>
      <c r="T894" s="214"/>
      <c r="U894" s="214"/>
      <c r="V894" s="214"/>
      <c r="W894" s="214"/>
      <c r="X894" s="214"/>
      <c r="Y894" s="214"/>
      <c r="Z894" s="234"/>
      <c r="AA894" s="234"/>
      <c r="AB894" s="234"/>
      <c r="AC894" s="234"/>
      <c r="AD894" s="319"/>
      <c r="AE894" s="319"/>
      <c r="AF894" s="162">
        <f t="shared" si="67"/>
        <v>17</v>
      </c>
      <c r="AG894" s="162" t="str">
        <f t="shared" si="66"/>
        <v/>
      </c>
      <c r="AH894" s="164">
        <f t="shared" si="64"/>
        <v>1.9</v>
      </c>
      <c r="AI894" s="164" t="str">
        <f t="shared" si="65"/>
        <v/>
      </c>
      <c r="AJ894" s="382"/>
      <c r="AK894" s="382"/>
      <c r="AL894" s="382"/>
      <c r="AM894" s="382"/>
      <c r="AN894" s="382"/>
      <c r="AO894" s="382"/>
      <c r="AP894" s="382"/>
      <c r="AQ894" s="382"/>
      <c r="AR894" s="382"/>
      <c r="AS894" s="204">
        <v>17</v>
      </c>
      <c r="AT894" s="199"/>
      <c r="AU894" s="377"/>
      <c r="AV894" s="393"/>
      <c r="AW894" s="332"/>
      <c r="AX894" s="332"/>
      <c r="AY894" s="332"/>
      <c r="AZ894" s="332"/>
      <c r="BA894" s="332"/>
      <c r="BB894" s="332"/>
      <c r="BC894" s="332"/>
      <c r="BD894" s="332"/>
      <c r="BE894" s="332"/>
      <c r="BF894" s="490">
        <v>1.9</v>
      </c>
      <c r="BG894" s="467"/>
      <c r="BH894" s="341"/>
      <c r="BI894" s="447"/>
      <c r="BJ894" s="337"/>
    </row>
    <row r="895" spans="1:62" ht="15.75" customHeight="1" thickBot="1" x14ac:dyDescent="0.25">
      <c r="A895" s="176">
        <v>896</v>
      </c>
      <c r="B895" s="175">
        <v>2</v>
      </c>
      <c r="C895" s="166" t="s">
        <v>760</v>
      </c>
      <c r="D895" s="167" t="s">
        <v>3072</v>
      </c>
      <c r="E895" s="167"/>
      <c r="F895" s="167"/>
      <c r="G895" s="167"/>
      <c r="H895" s="167" t="s">
        <v>375</v>
      </c>
      <c r="I895" s="184">
        <v>2011</v>
      </c>
      <c r="J895" s="184" t="s">
        <v>2910</v>
      </c>
      <c r="K895" s="184"/>
      <c r="L895" s="181" t="s">
        <v>19</v>
      </c>
      <c r="M895" s="556" t="s">
        <v>4284</v>
      </c>
      <c r="N895" s="214"/>
      <c r="O895" s="214"/>
      <c r="P895" s="214"/>
      <c r="Q895" s="214"/>
      <c r="R895" s="214"/>
      <c r="S895" s="214"/>
      <c r="T895" s="214"/>
      <c r="U895" s="214"/>
      <c r="V895" s="214"/>
      <c r="W895" s="214"/>
      <c r="X895" s="214"/>
      <c r="Y895" s="214"/>
      <c r="Z895" s="234"/>
      <c r="AA895" s="234"/>
      <c r="AB895" s="234"/>
      <c r="AC895" s="234"/>
      <c r="AD895" s="319" t="s">
        <v>2932</v>
      </c>
      <c r="AE895" s="319"/>
      <c r="AF895" s="162">
        <f t="shared" si="67"/>
        <v>4</v>
      </c>
      <c r="AG895" s="162" t="str">
        <f t="shared" si="66"/>
        <v/>
      </c>
      <c r="AH895" s="164">
        <f t="shared" si="64"/>
        <v>3.8</v>
      </c>
      <c r="AI895" s="164" t="str">
        <f t="shared" si="65"/>
        <v/>
      </c>
      <c r="AJ895" s="382"/>
      <c r="AK895" s="382"/>
      <c r="AL895" s="382"/>
      <c r="AM895" s="382"/>
      <c r="AN895" s="382"/>
      <c r="AO895" s="382"/>
      <c r="AP895" s="382"/>
      <c r="AQ895" s="382"/>
      <c r="AR895" s="382"/>
      <c r="AS895" s="204">
        <v>4</v>
      </c>
      <c r="AT895" s="199"/>
      <c r="AU895" s="377"/>
      <c r="AV895" s="393"/>
      <c r="AW895" s="332"/>
      <c r="AX895" s="332"/>
      <c r="AY895" s="332"/>
      <c r="AZ895" s="332"/>
      <c r="BA895" s="332"/>
      <c r="BB895" s="332"/>
      <c r="BC895" s="332"/>
      <c r="BD895" s="332"/>
      <c r="BE895" s="332"/>
      <c r="BF895" s="490">
        <v>3.8</v>
      </c>
      <c r="BG895" s="467"/>
      <c r="BH895" s="341"/>
      <c r="BI895" s="447"/>
      <c r="BJ895" s="337"/>
    </row>
    <row r="896" spans="1:62" ht="15.75" customHeight="1" thickBot="1" x14ac:dyDescent="0.25">
      <c r="A896" s="176">
        <v>897</v>
      </c>
      <c r="B896" s="175">
        <v>2</v>
      </c>
      <c r="C896" s="166" t="s">
        <v>760</v>
      </c>
      <c r="D896" s="167" t="s">
        <v>3292</v>
      </c>
      <c r="E896" s="167"/>
      <c r="F896" s="167" t="s">
        <v>4054</v>
      </c>
      <c r="G896" s="167"/>
      <c r="H896" s="167" t="s">
        <v>101</v>
      </c>
      <c r="I896" s="184">
        <v>2011</v>
      </c>
      <c r="J896" s="184" t="s">
        <v>2910</v>
      </c>
      <c r="K896" s="184"/>
      <c r="L896" s="181" t="s">
        <v>19</v>
      </c>
      <c r="M896" s="556" t="s">
        <v>4284</v>
      </c>
      <c r="N896" s="214"/>
      <c r="O896" s="214"/>
      <c r="P896" s="214"/>
      <c r="Q896" s="214"/>
      <c r="R896" s="214"/>
      <c r="S896" s="214"/>
      <c r="T896" s="214"/>
      <c r="U896" s="214"/>
      <c r="V896" s="214"/>
      <c r="W896" s="214"/>
      <c r="X896" s="214"/>
      <c r="Y896" s="214"/>
      <c r="Z896" s="234"/>
      <c r="AA896" s="234"/>
      <c r="AB896" s="234"/>
      <c r="AC896" s="234"/>
      <c r="AD896" s="319" t="s">
        <v>2932</v>
      </c>
      <c r="AE896" s="319"/>
      <c r="AF896" s="162">
        <f t="shared" si="67"/>
        <v>7.4</v>
      </c>
      <c r="AG896" s="162" t="str">
        <f t="shared" si="66"/>
        <v/>
      </c>
      <c r="AH896" s="164">
        <f t="shared" si="64"/>
        <v>0.68</v>
      </c>
      <c r="AI896" s="164" t="str">
        <f t="shared" si="65"/>
        <v/>
      </c>
      <c r="AJ896" s="382"/>
      <c r="AK896" s="382"/>
      <c r="AL896" s="382"/>
      <c r="AM896" s="382"/>
      <c r="AN896" s="382"/>
      <c r="AO896" s="382"/>
      <c r="AP896" s="382"/>
      <c r="AQ896" s="382"/>
      <c r="AR896" s="382"/>
      <c r="AS896" s="204">
        <v>7.4</v>
      </c>
      <c r="AT896" s="199"/>
      <c r="AU896" s="377"/>
      <c r="AV896" s="393"/>
      <c r="AW896" s="332"/>
      <c r="AX896" s="332"/>
      <c r="AY896" s="332"/>
      <c r="AZ896" s="332"/>
      <c r="BA896" s="332"/>
      <c r="BB896" s="332"/>
      <c r="BC896" s="332"/>
      <c r="BD896" s="332"/>
      <c r="BE896" s="332"/>
      <c r="BF896" s="490">
        <v>0.68</v>
      </c>
      <c r="BG896" s="467"/>
      <c r="BH896" s="341"/>
      <c r="BI896" s="447"/>
      <c r="BJ896" s="337"/>
    </row>
    <row r="897" spans="1:62" ht="15.75" customHeight="1" thickBot="1" x14ac:dyDescent="0.25">
      <c r="A897" s="176">
        <v>898</v>
      </c>
      <c r="B897" s="175">
        <v>2</v>
      </c>
      <c r="C897" s="166" t="s">
        <v>162</v>
      </c>
      <c r="D897" s="159" t="s">
        <v>2134</v>
      </c>
      <c r="E897" s="167"/>
      <c r="F897" s="167"/>
      <c r="G897" s="167"/>
      <c r="H897" s="167" t="s">
        <v>101</v>
      </c>
      <c r="I897" s="184">
        <v>2011</v>
      </c>
      <c r="J897" s="184" t="s">
        <v>2910</v>
      </c>
      <c r="K897" s="184"/>
      <c r="L897" s="181" t="s">
        <v>19</v>
      </c>
      <c r="M897" s="556" t="s">
        <v>4284</v>
      </c>
      <c r="N897" s="214"/>
      <c r="O897" s="214"/>
      <c r="P897" s="214"/>
      <c r="Q897" s="214"/>
      <c r="R897" s="214"/>
      <c r="S897" s="214"/>
      <c r="T897" s="214"/>
      <c r="U897" s="214"/>
      <c r="V897" s="214"/>
      <c r="W897" s="214"/>
      <c r="X897" s="214"/>
      <c r="Y897" s="214"/>
      <c r="Z897" s="234"/>
      <c r="AA897" s="234"/>
      <c r="AB897" s="234"/>
      <c r="AC897" s="234"/>
      <c r="AD897" s="319" t="s">
        <v>2932</v>
      </c>
      <c r="AE897" s="319"/>
      <c r="AF897" s="162">
        <f t="shared" si="67"/>
        <v>3.5</v>
      </c>
      <c r="AG897" s="162" t="str">
        <f t="shared" si="66"/>
        <v/>
      </c>
      <c r="AH897" s="164">
        <f t="shared" si="64"/>
        <v>0.49</v>
      </c>
      <c r="AI897" s="164" t="str">
        <f t="shared" si="65"/>
        <v/>
      </c>
      <c r="AJ897" s="382"/>
      <c r="AK897" s="382"/>
      <c r="AL897" s="382"/>
      <c r="AM897" s="382"/>
      <c r="AN897" s="382"/>
      <c r="AO897" s="382"/>
      <c r="AP897" s="382"/>
      <c r="AQ897" s="382"/>
      <c r="AR897" s="382"/>
      <c r="AS897" s="204">
        <v>3.5</v>
      </c>
      <c r="AT897" s="199"/>
      <c r="AU897" s="377"/>
      <c r="AV897" s="393"/>
      <c r="AW897" s="332"/>
      <c r="AX897" s="332"/>
      <c r="AY897" s="332"/>
      <c r="AZ897" s="332"/>
      <c r="BA897" s="332"/>
      <c r="BB897" s="332"/>
      <c r="BC897" s="332"/>
      <c r="BD897" s="332"/>
      <c r="BE897" s="332"/>
      <c r="BF897" s="490">
        <v>0.49</v>
      </c>
      <c r="BG897" s="467"/>
      <c r="BH897" s="341"/>
      <c r="BI897" s="447"/>
      <c r="BJ897" s="337"/>
    </row>
    <row r="898" spans="1:62" ht="15.75" customHeight="1" thickBot="1" x14ac:dyDescent="0.25">
      <c r="A898" s="176">
        <v>899</v>
      </c>
      <c r="B898" s="175">
        <v>2</v>
      </c>
      <c r="C898" s="166" t="s">
        <v>259</v>
      </c>
      <c r="D898" s="167" t="s">
        <v>3068</v>
      </c>
      <c r="E898" s="167"/>
      <c r="F898" s="167"/>
      <c r="G898" s="167"/>
      <c r="H898" s="167" t="s">
        <v>351</v>
      </c>
      <c r="I898" s="184">
        <v>2011</v>
      </c>
      <c r="J898" s="184" t="s">
        <v>2910</v>
      </c>
      <c r="K898" s="184"/>
      <c r="L898" s="181" t="s">
        <v>19</v>
      </c>
      <c r="M898" s="556" t="s">
        <v>4284</v>
      </c>
      <c r="N898" s="214"/>
      <c r="O898" s="214"/>
      <c r="P898" s="214"/>
      <c r="Q898" s="214"/>
      <c r="R898" s="214"/>
      <c r="S898" s="214"/>
      <c r="T898" s="214"/>
      <c r="U898" s="214"/>
      <c r="V898" s="214"/>
      <c r="W898" s="214"/>
      <c r="X898" s="214"/>
      <c r="Y898" s="214"/>
      <c r="Z898" s="234"/>
      <c r="AA898" s="234"/>
      <c r="AB898" s="234"/>
      <c r="AC898" s="234"/>
      <c r="AD898" s="319" t="s">
        <v>2934</v>
      </c>
      <c r="AE898" s="319"/>
      <c r="AF898" s="162">
        <f t="shared" si="67"/>
        <v>6.6</v>
      </c>
      <c r="AG898" s="162" t="str">
        <f t="shared" si="66"/>
        <v/>
      </c>
      <c r="AH898" s="164">
        <f t="shared" ref="AH898:AH961" si="68">IF(BF898&lt;&gt;0,BF898,"")</f>
        <v>1.1000000000000001</v>
      </c>
      <c r="AI898" s="164" t="str">
        <f t="shared" ref="AI898:AI961" si="69">IF(AND(SUM(AW898:AY898)&lt;&gt;0,SUM(AW898:AY898)&lt;&gt;AW898),SUM(AW898:AY898),"")</f>
        <v/>
      </c>
      <c r="AJ898" s="382"/>
      <c r="AK898" s="382"/>
      <c r="AL898" s="382"/>
      <c r="AM898" s="382"/>
      <c r="AN898" s="382"/>
      <c r="AO898" s="382"/>
      <c r="AP898" s="382"/>
      <c r="AQ898" s="382"/>
      <c r="AR898" s="382"/>
      <c r="AS898" s="204">
        <v>6.6</v>
      </c>
      <c r="AT898" s="199"/>
      <c r="AU898" s="377"/>
      <c r="AV898" s="393"/>
      <c r="AW898" s="332"/>
      <c r="AX898" s="332"/>
      <c r="AY898" s="332"/>
      <c r="AZ898" s="332"/>
      <c r="BA898" s="332"/>
      <c r="BB898" s="332"/>
      <c r="BC898" s="332"/>
      <c r="BD898" s="332"/>
      <c r="BE898" s="332"/>
      <c r="BF898" s="490">
        <v>1.1000000000000001</v>
      </c>
      <c r="BG898" s="467"/>
      <c r="BH898" s="341"/>
      <c r="BI898" s="447"/>
      <c r="BJ898" s="337"/>
    </row>
    <row r="899" spans="1:62" ht="15.75" customHeight="1" thickBot="1" x14ac:dyDescent="0.25">
      <c r="A899" s="176">
        <v>900</v>
      </c>
      <c r="B899" s="175">
        <v>2</v>
      </c>
      <c r="C899" s="166" t="s">
        <v>259</v>
      </c>
      <c r="D899" s="167" t="s">
        <v>3068</v>
      </c>
      <c r="E899" s="167"/>
      <c r="F899" s="167"/>
      <c r="G899" s="167"/>
      <c r="H899" s="167" t="s">
        <v>1284</v>
      </c>
      <c r="I899" s="184">
        <v>2011</v>
      </c>
      <c r="J899" s="184" t="s">
        <v>2910</v>
      </c>
      <c r="K899" s="184"/>
      <c r="L899" s="181" t="s">
        <v>19</v>
      </c>
      <c r="M899" s="556" t="s">
        <v>4284</v>
      </c>
      <c r="N899" s="214"/>
      <c r="O899" s="214"/>
      <c r="P899" s="214"/>
      <c r="Q899" s="214"/>
      <c r="R899" s="214"/>
      <c r="S899" s="214"/>
      <c r="T899" s="214"/>
      <c r="U899" s="214"/>
      <c r="V899" s="214"/>
      <c r="W899" s="214"/>
      <c r="X899" s="214"/>
      <c r="Y899" s="214"/>
      <c r="Z899" s="234"/>
      <c r="AA899" s="234"/>
      <c r="AB899" s="234"/>
      <c r="AC899" s="234"/>
      <c r="AD899" s="319" t="s">
        <v>2934</v>
      </c>
      <c r="AE899" s="319"/>
      <c r="AF899" s="162">
        <f t="shared" si="67"/>
        <v>7.4</v>
      </c>
      <c r="AG899" s="162" t="str">
        <f t="shared" si="66"/>
        <v/>
      </c>
      <c r="AH899" s="164">
        <f t="shared" si="68"/>
        <v>1.2</v>
      </c>
      <c r="AI899" s="164" t="str">
        <f t="shared" si="69"/>
        <v/>
      </c>
      <c r="AJ899" s="382"/>
      <c r="AK899" s="382"/>
      <c r="AL899" s="382"/>
      <c r="AM899" s="382"/>
      <c r="AN899" s="382"/>
      <c r="AO899" s="382"/>
      <c r="AP899" s="382"/>
      <c r="AQ899" s="382"/>
      <c r="AR899" s="382"/>
      <c r="AS899" s="204">
        <v>7.4</v>
      </c>
      <c r="AT899" s="199"/>
      <c r="AU899" s="377"/>
      <c r="AV899" s="393"/>
      <c r="AW899" s="332"/>
      <c r="AX899" s="332"/>
      <c r="AY899" s="332"/>
      <c r="AZ899" s="332"/>
      <c r="BA899" s="332"/>
      <c r="BB899" s="332"/>
      <c r="BC899" s="332"/>
      <c r="BD899" s="332"/>
      <c r="BE899" s="332"/>
      <c r="BF899" s="490">
        <v>1.2</v>
      </c>
      <c r="BG899" s="467"/>
      <c r="BH899" s="341"/>
      <c r="BI899" s="447"/>
      <c r="BJ899" s="337"/>
    </row>
    <row r="900" spans="1:62" ht="15.75" customHeight="1" thickBot="1" x14ac:dyDescent="0.25">
      <c r="A900" s="176">
        <v>901</v>
      </c>
      <c r="B900" s="175">
        <v>2</v>
      </c>
      <c r="C900" s="166" t="s">
        <v>162</v>
      </c>
      <c r="D900" s="159" t="s">
        <v>2206</v>
      </c>
      <c r="E900" s="167"/>
      <c r="F900" s="167"/>
      <c r="G900" s="167"/>
      <c r="H900" s="167" t="s">
        <v>101</v>
      </c>
      <c r="I900" s="184">
        <v>2011</v>
      </c>
      <c r="J900" s="184" t="s">
        <v>2910</v>
      </c>
      <c r="K900" s="184"/>
      <c r="L900" s="181" t="s">
        <v>19</v>
      </c>
      <c r="M900" s="556" t="s">
        <v>4284</v>
      </c>
      <c r="N900" s="214"/>
      <c r="O900" s="214"/>
      <c r="P900" s="214"/>
      <c r="Q900" s="214"/>
      <c r="R900" s="214"/>
      <c r="S900" s="214"/>
      <c r="T900" s="214"/>
      <c r="U900" s="214"/>
      <c r="V900" s="214"/>
      <c r="W900" s="214"/>
      <c r="X900" s="214"/>
      <c r="Y900" s="214"/>
      <c r="Z900" s="234"/>
      <c r="AA900" s="234"/>
      <c r="AB900" s="234"/>
      <c r="AC900" s="234"/>
      <c r="AD900" s="319"/>
      <c r="AE900" s="319"/>
      <c r="AF900" s="162">
        <f t="shared" si="67"/>
        <v>1.5</v>
      </c>
      <c r="AG900" s="162" t="str">
        <f t="shared" si="66"/>
        <v/>
      </c>
      <c r="AH900" s="164">
        <f t="shared" si="68"/>
        <v>0.16</v>
      </c>
      <c r="AI900" s="164" t="str">
        <f t="shared" si="69"/>
        <v/>
      </c>
      <c r="AJ900" s="382"/>
      <c r="AK900" s="382"/>
      <c r="AL900" s="382"/>
      <c r="AM900" s="382"/>
      <c r="AN900" s="382"/>
      <c r="AO900" s="382"/>
      <c r="AP900" s="382"/>
      <c r="AQ900" s="382"/>
      <c r="AR900" s="382"/>
      <c r="AS900" s="204">
        <v>1.5</v>
      </c>
      <c r="AT900" s="199"/>
      <c r="AU900" s="377"/>
      <c r="AV900" s="393"/>
      <c r="AW900" s="332"/>
      <c r="AX900" s="332"/>
      <c r="AY900" s="332"/>
      <c r="AZ900" s="332"/>
      <c r="BA900" s="332"/>
      <c r="BB900" s="332"/>
      <c r="BC900" s="332"/>
      <c r="BD900" s="332"/>
      <c r="BE900" s="332"/>
      <c r="BF900" s="490">
        <v>0.16</v>
      </c>
      <c r="BG900" s="467"/>
      <c r="BH900" s="341"/>
      <c r="BI900" s="447"/>
      <c r="BJ900" s="337"/>
    </row>
    <row r="901" spans="1:62" ht="15.75" customHeight="1" thickBot="1" x14ac:dyDescent="0.25">
      <c r="A901" s="176">
        <v>902</v>
      </c>
      <c r="B901" s="175">
        <v>2</v>
      </c>
      <c r="C901" s="166" t="s">
        <v>162</v>
      </c>
      <c r="D901" s="159" t="s">
        <v>2206</v>
      </c>
      <c r="E901" s="167"/>
      <c r="F901" s="167"/>
      <c r="G901" s="167"/>
      <c r="H901" s="167" t="s">
        <v>708</v>
      </c>
      <c r="I901" s="184">
        <v>2011</v>
      </c>
      <c r="J901" s="184" t="s">
        <v>2910</v>
      </c>
      <c r="K901" s="184"/>
      <c r="L901" s="181" t="s">
        <v>19</v>
      </c>
      <c r="M901" s="556" t="s">
        <v>4284</v>
      </c>
      <c r="N901" s="214"/>
      <c r="O901" s="214"/>
      <c r="P901" s="214"/>
      <c r="Q901" s="214"/>
      <c r="R901" s="214"/>
      <c r="S901" s="214"/>
      <c r="T901" s="214"/>
      <c r="U901" s="214"/>
      <c r="V901" s="214"/>
      <c r="W901" s="214"/>
      <c r="X901" s="214"/>
      <c r="Y901" s="214"/>
      <c r="Z901" s="234"/>
      <c r="AA901" s="234"/>
      <c r="AB901" s="234"/>
      <c r="AC901" s="234"/>
      <c r="AD901" s="319"/>
      <c r="AE901" s="319"/>
      <c r="AF901" s="162">
        <f t="shared" si="67"/>
        <v>1.5</v>
      </c>
      <c r="AG901" s="162" t="str">
        <f t="shared" si="66"/>
        <v/>
      </c>
      <c r="AH901" s="164">
        <f t="shared" si="68"/>
        <v>0.14000000000000001</v>
      </c>
      <c r="AI901" s="164" t="str">
        <f t="shared" si="69"/>
        <v/>
      </c>
      <c r="AJ901" s="382"/>
      <c r="AK901" s="382"/>
      <c r="AL901" s="382"/>
      <c r="AM901" s="382"/>
      <c r="AN901" s="382"/>
      <c r="AO901" s="382"/>
      <c r="AP901" s="382"/>
      <c r="AQ901" s="382"/>
      <c r="AR901" s="382"/>
      <c r="AS901" s="204">
        <v>1.5</v>
      </c>
      <c r="AT901" s="199"/>
      <c r="AU901" s="377"/>
      <c r="AV901" s="393"/>
      <c r="AW901" s="332"/>
      <c r="AX901" s="332"/>
      <c r="AY901" s="332"/>
      <c r="AZ901" s="332"/>
      <c r="BA901" s="332"/>
      <c r="BB901" s="332"/>
      <c r="BC901" s="332"/>
      <c r="BD901" s="332"/>
      <c r="BE901" s="332"/>
      <c r="BF901" s="490">
        <v>0.14000000000000001</v>
      </c>
      <c r="BG901" s="467"/>
      <c r="BH901" s="341"/>
      <c r="BI901" s="447"/>
      <c r="BJ901" s="337"/>
    </row>
    <row r="902" spans="1:62" ht="15.75" customHeight="1" thickBot="1" x14ac:dyDescent="0.25">
      <c r="A902" s="176">
        <v>903</v>
      </c>
      <c r="B902" s="175">
        <v>2</v>
      </c>
      <c r="C902" s="166" t="s">
        <v>162</v>
      </c>
      <c r="D902" s="159" t="s">
        <v>2206</v>
      </c>
      <c r="E902" s="167"/>
      <c r="F902" s="167"/>
      <c r="G902" s="167"/>
      <c r="H902" s="167" t="s">
        <v>80</v>
      </c>
      <c r="I902" s="184">
        <v>2011</v>
      </c>
      <c r="J902" s="184" t="s">
        <v>2910</v>
      </c>
      <c r="K902" s="184"/>
      <c r="L902" s="181" t="s">
        <v>19</v>
      </c>
      <c r="M902" s="556" t="s">
        <v>4284</v>
      </c>
      <c r="N902" s="214"/>
      <c r="O902" s="214"/>
      <c r="P902" s="214"/>
      <c r="Q902" s="214"/>
      <c r="R902" s="214"/>
      <c r="S902" s="214"/>
      <c r="T902" s="214"/>
      <c r="U902" s="214"/>
      <c r="V902" s="214"/>
      <c r="W902" s="214"/>
      <c r="X902" s="214"/>
      <c r="Y902" s="214"/>
      <c r="Z902" s="234"/>
      <c r="AA902" s="234"/>
      <c r="AB902" s="234"/>
      <c r="AC902" s="234"/>
      <c r="AD902" s="319"/>
      <c r="AE902" s="319"/>
      <c r="AF902" s="162">
        <f t="shared" si="67"/>
        <v>0.8</v>
      </c>
      <c r="AG902" s="162" t="str">
        <f t="shared" si="66"/>
        <v/>
      </c>
      <c r="AH902" s="164">
        <f t="shared" si="68"/>
        <v>0.09</v>
      </c>
      <c r="AI902" s="164" t="str">
        <f t="shared" si="69"/>
        <v/>
      </c>
      <c r="AJ902" s="382"/>
      <c r="AK902" s="382"/>
      <c r="AL902" s="382"/>
      <c r="AM902" s="382"/>
      <c r="AN902" s="382"/>
      <c r="AO902" s="382"/>
      <c r="AP902" s="382"/>
      <c r="AQ902" s="382"/>
      <c r="AR902" s="382"/>
      <c r="AS902" s="204">
        <v>0.8</v>
      </c>
      <c r="AT902" s="199"/>
      <c r="AU902" s="377"/>
      <c r="AV902" s="393"/>
      <c r="AW902" s="332"/>
      <c r="AX902" s="332"/>
      <c r="AY902" s="332"/>
      <c r="AZ902" s="332"/>
      <c r="BA902" s="332"/>
      <c r="BB902" s="332"/>
      <c r="BC902" s="332"/>
      <c r="BD902" s="332"/>
      <c r="BE902" s="332"/>
      <c r="BF902" s="490">
        <v>0.09</v>
      </c>
      <c r="BG902" s="467"/>
      <c r="BH902" s="341"/>
      <c r="BI902" s="447"/>
      <c r="BJ902" s="337"/>
    </row>
    <row r="903" spans="1:62" ht="15.75" customHeight="1" thickBot="1" x14ac:dyDescent="0.25">
      <c r="A903" s="176">
        <v>904</v>
      </c>
      <c r="B903" s="175">
        <v>2</v>
      </c>
      <c r="C903" s="166" t="s">
        <v>162</v>
      </c>
      <c r="D903" s="167" t="s">
        <v>2935</v>
      </c>
      <c r="E903" s="167"/>
      <c r="F903" s="167"/>
      <c r="G903" s="167"/>
      <c r="H903" s="167" t="s">
        <v>101</v>
      </c>
      <c r="I903" s="184">
        <v>2011</v>
      </c>
      <c r="J903" s="184" t="s">
        <v>2910</v>
      </c>
      <c r="K903" s="184"/>
      <c r="L903" s="181" t="s">
        <v>19</v>
      </c>
      <c r="M903" s="556" t="s">
        <v>4284</v>
      </c>
      <c r="N903" s="214"/>
      <c r="O903" s="214"/>
      <c r="P903" s="214"/>
      <c r="Q903" s="214"/>
      <c r="R903" s="214"/>
      <c r="S903" s="214"/>
      <c r="T903" s="214"/>
      <c r="U903" s="214"/>
      <c r="V903" s="214"/>
      <c r="W903" s="214"/>
      <c r="X903" s="214"/>
      <c r="Y903" s="214"/>
      <c r="Z903" s="234"/>
      <c r="AA903" s="234"/>
      <c r="AB903" s="234"/>
      <c r="AC903" s="234"/>
      <c r="AD903" s="319"/>
      <c r="AE903" s="319"/>
      <c r="AF903" s="162">
        <f t="shared" si="67"/>
        <v>0.96</v>
      </c>
      <c r="AG903" s="162" t="str">
        <f t="shared" si="66"/>
        <v/>
      </c>
      <c r="AH903" s="164">
        <f t="shared" si="68"/>
        <v>0.09</v>
      </c>
      <c r="AI903" s="164" t="str">
        <f t="shared" si="69"/>
        <v/>
      </c>
      <c r="AJ903" s="382"/>
      <c r="AK903" s="382"/>
      <c r="AL903" s="382"/>
      <c r="AM903" s="382"/>
      <c r="AN903" s="382"/>
      <c r="AO903" s="382"/>
      <c r="AP903" s="382"/>
      <c r="AQ903" s="382"/>
      <c r="AR903" s="382"/>
      <c r="AS903" s="204">
        <v>0.96</v>
      </c>
      <c r="AT903" s="199"/>
      <c r="AU903" s="377"/>
      <c r="AV903" s="393"/>
      <c r="AW903" s="332"/>
      <c r="AX903" s="332"/>
      <c r="AY903" s="332"/>
      <c r="AZ903" s="332"/>
      <c r="BA903" s="332"/>
      <c r="BB903" s="332"/>
      <c r="BC903" s="332"/>
      <c r="BD903" s="332"/>
      <c r="BE903" s="332"/>
      <c r="BF903" s="490">
        <v>0.09</v>
      </c>
      <c r="BG903" s="467"/>
      <c r="BH903" s="341"/>
      <c r="BI903" s="447"/>
      <c r="BJ903" s="337"/>
    </row>
    <row r="904" spans="1:62" ht="15.75" customHeight="1" thickBot="1" x14ac:dyDescent="0.25">
      <c r="A904" s="176">
        <v>905</v>
      </c>
      <c r="B904" s="175">
        <v>2</v>
      </c>
      <c r="C904" s="166" t="s">
        <v>162</v>
      </c>
      <c r="D904" s="166" t="s">
        <v>2311</v>
      </c>
      <c r="E904" s="167"/>
      <c r="F904" s="167"/>
      <c r="G904" s="167"/>
      <c r="H904" s="167" t="s">
        <v>73</v>
      </c>
      <c r="I904" s="184">
        <v>2011</v>
      </c>
      <c r="J904" s="184" t="s">
        <v>2910</v>
      </c>
      <c r="K904" s="184"/>
      <c r="L904" s="181" t="s">
        <v>19</v>
      </c>
      <c r="M904" s="556" t="s">
        <v>4284</v>
      </c>
      <c r="N904" s="214"/>
      <c r="O904" s="214"/>
      <c r="P904" s="214"/>
      <c r="Q904" s="214"/>
      <c r="R904" s="214"/>
      <c r="S904" s="214"/>
      <c r="T904" s="214"/>
      <c r="U904" s="214"/>
      <c r="V904" s="214"/>
      <c r="W904" s="214"/>
      <c r="X904" s="214"/>
      <c r="Y904" s="214"/>
      <c r="Z904" s="234"/>
      <c r="AA904" s="234"/>
      <c r="AB904" s="234"/>
      <c r="AC904" s="234"/>
      <c r="AD904" s="319"/>
      <c r="AE904" s="319"/>
      <c r="AF904" s="162">
        <f t="shared" si="67"/>
        <v>3</v>
      </c>
      <c r="AG904" s="162" t="str">
        <f t="shared" si="66"/>
        <v/>
      </c>
      <c r="AH904" s="164">
        <f t="shared" si="68"/>
        <v>0.37</v>
      </c>
      <c r="AI904" s="164" t="str">
        <f t="shared" si="69"/>
        <v/>
      </c>
      <c r="AJ904" s="382"/>
      <c r="AK904" s="382"/>
      <c r="AL904" s="382"/>
      <c r="AM904" s="382"/>
      <c r="AN904" s="382"/>
      <c r="AO904" s="382"/>
      <c r="AP904" s="382"/>
      <c r="AQ904" s="382"/>
      <c r="AR904" s="382"/>
      <c r="AS904" s="204">
        <v>3</v>
      </c>
      <c r="AT904" s="199"/>
      <c r="AU904" s="377"/>
      <c r="AV904" s="393"/>
      <c r="AW904" s="332"/>
      <c r="AX904" s="332"/>
      <c r="AY904" s="332"/>
      <c r="AZ904" s="332"/>
      <c r="BA904" s="332"/>
      <c r="BB904" s="332"/>
      <c r="BC904" s="332"/>
      <c r="BD904" s="332"/>
      <c r="BE904" s="332"/>
      <c r="BF904" s="490">
        <v>0.37</v>
      </c>
      <c r="BG904" s="467"/>
      <c r="BH904" s="341"/>
      <c r="BI904" s="447"/>
      <c r="BJ904" s="337"/>
    </row>
    <row r="905" spans="1:62" ht="15.75" customHeight="1" thickBot="1" x14ac:dyDescent="0.25">
      <c r="A905" s="176">
        <v>906</v>
      </c>
      <c r="B905" s="175">
        <v>2</v>
      </c>
      <c r="C905" s="166" t="s">
        <v>162</v>
      </c>
      <c r="D905" s="167" t="s">
        <v>771</v>
      </c>
      <c r="E905" s="167"/>
      <c r="F905" s="167"/>
      <c r="G905" s="167"/>
      <c r="H905" s="167" t="s">
        <v>101</v>
      </c>
      <c r="I905" s="184">
        <v>2011</v>
      </c>
      <c r="J905" s="184" t="s">
        <v>2910</v>
      </c>
      <c r="K905" s="184"/>
      <c r="L905" s="181" t="s">
        <v>19</v>
      </c>
      <c r="M905" s="556" t="s">
        <v>4284</v>
      </c>
      <c r="N905" s="214"/>
      <c r="O905" s="214"/>
      <c r="P905" s="214"/>
      <c r="Q905" s="214"/>
      <c r="R905" s="214"/>
      <c r="S905" s="214"/>
      <c r="T905" s="214"/>
      <c r="U905" s="214"/>
      <c r="V905" s="214"/>
      <c r="W905" s="214"/>
      <c r="X905" s="214"/>
      <c r="Y905" s="214"/>
      <c r="Z905" s="234"/>
      <c r="AA905" s="234"/>
      <c r="AB905" s="234"/>
      <c r="AC905" s="234"/>
      <c r="AD905" s="319"/>
      <c r="AE905" s="319"/>
      <c r="AF905" s="162">
        <f t="shared" si="67"/>
        <v>3.6</v>
      </c>
      <c r="AG905" s="162" t="str">
        <f t="shared" si="66"/>
        <v/>
      </c>
      <c r="AH905" s="164">
        <f t="shared" si="68"/>
        <v>0.37</v>
      </c>
      <c r="AI905" s="164" t="str">
        <f t="shared" si="69"/>
        <v/>
      </c>
      <c r="AJ905" s="382"/>
      <c r="AK905" s="382"/>
      <c r="AL905" s="382"/>
      <c r="AM905" s="382"/>
      <c r="AN905" s="382"/>
      <c r="AO905" s="382"/>
      <c r="AP905" s="382"/>
      <c r="AQ905" s="382"/>
      <c r="AR905" s="382"/>
      <c r="AS905" s="204">
        <v>3.6</v>
      </c>
      <c r="AT905" s="199"/>
      <c r="AU905" s="377"/>
      <c r="AV905" s="393"/>
      <c r="AW905" s="332"/>
      <c r="AX905" s="332"/>
      <c r="AY905" s="332"/>
      <c r="AZ905" s="332"/>
      <c r="BA905" s="332"/>
      <c r="BB905" s="332"/>
      <c r="BC905" s="332"/>
      <c r="BD905" s="332"/>
      <c r="BE905" s="332"/>
      <c r="BF905" s="490">
        <v>0.37</v>
      </c>
      <c r="BG905" s="467"/>
      <c r="BH905" s="341"/>
      <c r="BI905" s="447"/>
      <c r="BJ905" s="337"/>
    </row>
    <row r="906" spans="1:62" ht="15.75" customHeight="1" thickBot="1" x14ac:dyDescent="0.25">
      <c r="A906" s="176">
        <v>907</v>
      </c>
      <c r="B906" s="175">
        <v>2</v>
      </c>
      <c r="C906" s="166" t="s">
        <v>162</v>
      </c>
      <c r="D906" s="167" t="s">
        <v>1864</v>
      </c>
      <c r="E906" s="167"/>
      <c r="F906" s="167"/>
      <c r="G906" s="167"/>
      <c r="H906" s="167" t="s">
        <v>101</v>
      </c>
      <c r="I906" s="184">
        <v>2011</v>
      </c>
      <c r="J906" s="184" t="s">
        <v>2910</v>
      </c>
      <c r="K906" s="184"/>
      <c r="L906" s="181" t="s">
        <v>19</v>
      </c>
      <c r="M906" s="556" t="s">
        <v>4284</v>
      </c>
      <c r="N906" s="214"/>
      <c r="O906" s="214"/>
      <c r="P906" s="214"/>
      <c r="Q906" s="214"/>
      <c r="R906" s="214"/>
      <c r="S906" s="214"/>
      <c r="T906" s="214"/>
      <c r="U906" s="214"/>
      <c r="V906" s="214"/>
      <c r="W906" s="214"/>
      <c r="X906" s="214"/>
      <c r="Y906" s="214"/>
      <c r="Z906" s="234"/>
      <c r="AA906" s="234"/>
      <c r="AB906" s="234"/>
      <c r="AC906" s="234"/>
      <c r="AD906" s="319"/>
      <c r="AE906" s="319"/>
      <c r="AF906" s="162">
        <f t="shared" si="67"/>
        <v>0.97</v>
      </c>
      <c r="AG906" s="162" t="str">
        <f t="shared" si="66"/>
        <v/>
      </c>
      <c r="AH906" s="164">
        <f t="shared" si="68"/>
        <v>0.09</v>
      </c>
      <c r="AI906" s="164" t="str">
        <f t="shared" si="69"/>
        <v/>
      </c>
      <c r="AJ906" s="382"/>
      <c r="AK906" s="382"/>
      <c r="AL906" s="382"/>
      <c r="AM906" s="382"/>
      <c r="AN906" s="382"/>
      <c r="AO906" s="382"/>
      <c r="AP906" s="382"/>
      <c r="AQ906" s="382"/>
      <c r="AR906" s="382"/>
      <c r="AS906" s="204">
        <v>0.97</v>
      </c>
      <c r="AT906" s="199"/>
      <c r="AU906" s="377"/>
      <c r="AV906" s="393"/>
      <c r="AW906" s="332"/>
      <c r="AX906" s="332"/>
      <c r="AY906" s="332"/>
      <c r="AZ906" s="332"/>
      <c r="BA906" s="332"/>
      <c r="BB906" s="332"/>
      <c r="BC906" s="332"/>
      <c r="BD906" s="332"/>
      <c r="BE906" s="332"/>
      <c r="BF906" s="490">
        <v>0.09</v>
      </c>
      <c r="BG906" s="467"/>
      <c r="BH906" s="341"/>
      <c r="BI906" s="447"/>
      <c r="BJ906" s="337"/>
    </row>
    <row r="907" spans="1:62" ht="15.75" customHeight="1" thickBot="1" x14ac:dyDescent="0.25">
      <c r="A907" s="176">
        <v>908</v>
      </c>
      <c r="B907" s="175">
        <v>2</v>
      </c>
      <c r="C907" s="166" t="s">
        <v>162</v>
      </c>
      <c r="D907" s="167" t="s">
        <v>1864</v>
      </c>
      <c r="E907" s="167"/>
      <c r="F907" s="167"/>
      <c r="G907" s="167"/>
      <c r="H907" s="167" t="s">
        <v>708</v>
      </c>
      <c r="I907" s="184">
        <v>2011</v>
      </c>
      <c r="J907" s="184" t="s">
        <v>2910</v>
      </c>
      <c r="K907" s="184"/>
      <c r="L907" s="181" t="s">
        <v>19</v>
      </c>
      <c r="M907" s="556" t="s">
        <v>4284</v>
      </c>
      <c r="N907" s="214"/>
      <c r="O907" s="214"/>
      <c r="P907" s="214"/>
      <c r="Q907" s="214"/>
      <c r="R907" s="214"/>
      <c r="S907" s="214"/>
      <c r="T907" s="214"/>
      <c r="U907" s="214"/>
      <c r="V907" s="214"/>
      <c r="W907" s="214"/>
      <c r="X907" s="214"/>
      <c r="Y907" s="214"/>
      <c r="Z907" s="234"/>
      <c r="AA907" s="234"/>
      <c r="AB907" s="234"/>
      <c r="AC907" s="234"/>
      <c r="AD907" s="319"/>
      <c r="AE907" s="319"/>
      <c r="AF907" s="162">
        <f t="shared" si="67"/>
        <v>1.7</v>
      </c>
      <c r="AG907" s="162" t="str">
        <f t="shared" si="66"/>
        <v/>
      </c>
      <c r="AH907" s="164">
        <f t="shared" si="68"/>
        <v>0.14000000000000001</v>
      </c>
      <c r="AI907" s="164" t="str">
        <f t="shared" si="69"/>
        <v/>
      </c>
      <c r="AJ907" s="382"/>
      <c r="AK907" s="382"/>
      <c r="AL907" s="382"/>
      <c r="AM907" s="382"/>
      <c r="AN907" s="382"/>
      <c r="AO907" s="382"/>
      <c r="AP907" s="382"/>
      <c r="AQ907" s="382"/>
      <c r="AR907" s="382"/>
      <c r="AS907" s="204">
        <v>1.7</v>
      </c>
      <c r="AT907" s="199"/>
      <c r="AU907" s="377"/>
      <c r="AV907" s="393"/>
      <c r="AW907" s="332"/>
      <c r="AX907" s="332"/>
      <c r="AY907" s="332"/>
      <c r="AZ907" s="332"/>
      <c r="BA907" s="332"/>
      <c r="BB907" s="332"/>
      <c r="BC907" s="332"/>
      <c r="BD907" s="332"/>
      <c r="BE907" s="332"/>
      <c r="BF907" s="490">
        <v>0.14000000000000001</v>
      </c>
      <c r="BG907" s="467"/>
      <c r="BH907" s="341"/>
      <c r="BI907" s="447"/>
      <c r="BJ907" s="337"/>
    </row>
    <row r="908" spans="1:62" ht="15.75" customHeight="1" thickBot="1" x14ac:dyDescent="0.25">
      <c r="A908" s="176">
        <v>909</v>
      </c>
      <c r="B908" s="175">
        <v>2</v>
      </c>
      <c r="C908" s="166" t="s">
        <v>162</v>
      </c>
      <c r="D908" s="159" t="s">
        <v>2057</v>
      </c>
      <c r="E908" s="167"/>
      <c r="F908" s="167"/>
      <c r="G908" s="167"/>
      <c r="H908" s="167" t="s">
        <v>101</v>
      </c>
      <c r="I908" s="184">
        <v>2011</v>
      </c>
      <c r="J908" s="184" t="s">
        <v>2910</v>
      </c>
      <c r="K908" s="184"/>
      <c r="L908" s="181" t="s">
        <v>19</v>
      </c>
      <c r="M908" s="556" t="s">
        <v>4284</v>
      </c>
      <c r="N908" s="214"/>
      <c r="O908" s="214"/>
      <c r="P908" s="214"/>
      <c r="Q908" s="214"/>
      <c r="R908" s="214"/>
      <c r="S908" s="214"/>
      <c r="T908" s="214"/>
      <c r="U908" s="214"/>
      <c r="V908" s="214"/>
      <c r="W908" s="214"/>
      <c r="X908" s="214"/>
      <c r="Y908" s="214"/>
      <c r="Z908" s="234"/>
      <c r="AA908" s="234"/>
      <c r="AB908" s="234"/>
      <c r="AC908" s="234"/>
      <c r="AD908" s="319"/>
      <c r="AE908" s="319"/>
      <c r="AF908" s="162">
        <f t="shared" si="67"/>
        <v>1.4</v>
      </c>
      <c r="AG908" s="162" t="str">
        <f t="shared" si="66"/>
        <v/>
      </c>
      <c r="AH908" s="164">
        <f t="shared" si="68"/>
        <v>0.13</v>
      </c>
      <c r="AI908" s="164" t="str">
        <f t="shared" si="69"/>
        <v/>
      </c>
      <c r="AJ908" s="382"/>
      <c r="AK908" s="382"/>
      <c r="AL908" s="382"/>
      <c r="AM908" s="382"/>
      <c r="AN908" s="382"/>
      <c r="AO908" s="382"/>
      <c r="AP908" s="382"/>
      <c r="AQ908" s="382"/>
      <c r="AR908" s="382"/>
      <c r="AS908" s="204">
        <v>1.4</v>
      </c>
      <c r="AT908" s="199"/>
      <c r="AU908" s="377"/>
      <c r="AV908" s="393"/>
      <c r="AW908" s="332"/>
      <c r="AX908" s="332"/>
      <c r="AY908" s="332"/>
      <c r="AZ908" s="332"/>
      <c r="BA908" s="332"/>
      <c r="BB908" s="332"/>
      <c r="BC908" s="332"/>
      <c r="BD908" s="332"/>
      <c r="BE908" s="332"/>
      <c r="BF908" s="490">
        <v>0.13</v>
      </c>
      <c r="BG908" s="467"/>
      <c r="BH908" s="341"/>
      <c r="BI908" s="447"/>
      <c r="BJ908" s="337"/>
    </row>
    <row r="909" spans="1:62" ht="15.75" customHeight="1" thickBot="1" x14ac:dyDescent="0.25">
      <c r="A909" s="176">
        <v>910</v>
      </c>
      <c r="B909" s="175">
        <v>2</v>
      </c>
      <c r="C909" s="166" t="s">
        <v>162</v>
      </c>
      <c r="D909" s="159" t="s">
        <v>2057</v>
      </c>
      <c r="E909" s="167"/>
      <c r="F909" s="167"/>
      <c r="G909" s="167"/>
      <c r="H909" s="167" t="s">
        <v>2936</v>
      </c>
      <c r="I909" s="184">
        <v>2011</v>
      </c>
      <c r="J909" s="184" t="s">
        <v>2910</v>
      </c>
      <c r="K909" s="184"/>
      <c r="L909" s="181" t="s">
        <v>19</v>
      </c>
      <c r="M909" s="556" t="s">
        <v>4284</v>
      </c>
      <c r="N909" s="214"/>
      <c r="O909" s="214"/>
      <c r="P909" s="214"/>
      <c r="Q909" s="214"/>
      <c r="R909" s="214"/>
      <c r="S909" s="214"/>
      <c r="T909" s="214"/>
      <c r="U909" s="214"/>
      <c r="V909" s="214"/>
      <c r="W909" s="214"/>
      <c r="X909" s="214"/>
      <c r="Y909" s="214"/>
      <c r="Z909" s="234"/>
      <c r="AA909" s="234"/>
      <c r="AB909" s="234"/>
      <c r="AC909" s="234"/>
      <c r="AD909" s="319"/>
      <c r="AE909" s="319"/>
      <c r="AF909" s="162">
        <f t="shared" si="67"/>
        <v>1.3</v>
      </c>
      <c r="AG909" s="162" t="str">
        <f t="shared" si="66"/>
        <v/>
      </c>
      <c r="AH909" s="164">
        <f t="shared" si="68"/>
        <v>0.14000000000000001</v>
      </c>
      <c r="AI909" s="164" t="str">
        <f t="shared" si="69"/>
        <v/>
      </c>
      <c r="AJ909" s="382"/>
      <c r="AK909" s="382"/>
      <c r="AL909" s="382"/>
      <c r="AM909" s="382"/>
      <c r="AN909" s="382"/>
      <c r="AO909" s="382"/>
      <c r="AP909" s="382"/>
      <c r="AQ909" s="382"/>
      <c r="AR909" s="382"/>
      <c r="AS909" s="204">
        <v>1.3</v>
      </c>
      <c r="AT909" s="199"/>
      <c r="AU909" s="377"/>
      <c r="AV909" s="393"/>
      <c r="AW909" s="332"/>
      <c r="AX909" s="332"/>
      <c r="AY909" s="332"/>
      <c r="AZ909" s="332"/>
      <c r="BA909" s="332"/>
      <c r="BB909" s="332"/>
      <c r="BC909" s="332"/>
      <c r="BD909" s="332"/>
      <c r="BE909" s="332"/>
      <c r="BF909" s="490">
        <v>0.14000000000000001</v>
      </c>
      <c r="BG909" s="467"/>
      <c r="BH909" s="341"/>
      <c r="BI909" s="447"/>
      <c r="BJ909" s="337"/>
    </row>
    <row r="910" spans="1:62" ht="15.75" customHeight="1" thickBot="1" x14ac:dyDescent="0.25">
      <c r="A910" s="176">
        <v>911</v>
      </c>
      <c r="B910" s="175">
        <v>2</v>
      </c>
      <c r="C910" s="166" t="s">
        <v>162</v>
      </c>
      <c r="D910" s="159" t="s">
        <v>2057</v>
      </c>
      <c r="E910" s="167"/>
      <c r="F910" s="167"/>
      <c r="G910" s="167"/>
      <c r="H910" s="167" t="s">
        <v>351</v>
      </c>
      <c r="I910" s="184">
        <v>2011</v>
      </c>
      <c r="J910" s="184" t="s">
        <v>2910</v>
      </c>
      <c r="K910" s="184"/>
      <c r="L910" s="181" t="s">
        <v>19</v>
      </c>
      <c r="M910" s="556" t="s">
        <v>4284</v>
      </c>
      <c r="N910" s="214"/>
      <c r="O910" s="214"/>
      <c r="P910" s="214"/>
      <c r="Q910" s="214"/>
      <c r="R910" s="214"/>
      <c r="S910" s="214"/>
      <c r="T910" s="214"/>
      <c r="U910" s="214"/>
      <c r="V910" s="214"/>
      <c r="W910" s="214"/>
      <c r="X910" s="214"/>
      <c r="Y910" s="214"/>
      <c r="Z910" s="234"/>
      <c r="AA910" s="234"/>
      <c r="AB910" s="234"/>
      <c r="AC910" s="234"/>
      <c r="AD910" s="319"/>
      <c r="AE910" s="319"/>
      <c r="AF910" s="162">
        <f t="shared" si="67"/>
        <v>3.9</v>
      </c>
      <c r="AG910" s="162" t="str">
        <f t="shared" si="66"/>
        <v/>
      </c>
      <c r="AH910" s="164">
        <f t="shared" si="68"/>
        <v>0.32</v>
      </c>
      <c r="AI910" s="164" t="str">
        <f t="shared" si="69"/>
        <v/>
      </c>
      <c r="AJ910" s="382"/>
      <c r="AK910" s="382"/>
      <c r="AL910" s="382"/>
      <c r="AM910" s="382"/>
      <c r="AN910" s="382"/>
      <c r="AO910" s="382"/>
      <c r="AP910" s="382"/>
      <c r="AQ910" s="382"/>
      <c r="AR910" s="382"/>
      <c r="AS910" s="204">
        <v>3.9</v>
      </c>
      <c r="AT910" s="199"/>
      <c r="AU910" s="377"/>
      <c r="AV910" s="393"/>
      <c r="AW910" s="332"/>
      <c r="AX910" s="332"/>
      <c r="AY910" s="332"/>
      <c r="AZ910" s="332"/>
      <c r="BA910" s="332"/>
      <c r="BB910" s="332"/>
      <c r="BC910" s="332"/>
      <c r="BD910" s="332"/>
      <c r="BE910" s="332"/>
      <c r="BF910" s="490">
        <v>0.32</v>
      </c>
      <c r="BG910" s="467"/>
      <c r="BH910" s="341"/>
      <c r="BI910" s="447"/>
      <c r="BJ910" s="337"/>
    </row>
    <row r="911" spans="1:62" ht="15.75" customHeight="1" thickBot="1" x14ac:dyDescent="0.25">
      <c r="A911" s="176">
        <v>912</v>
      </c>
      <c r="B911" s="175">
        <v>2</v>
      </c>
      <c r="C911" s="166" t="s">
        <v>236</v>
      </c>
      <c r="D911" s="159" t="s">
        <v>1739</v>
      </c>
      <c r="E911" s="167"/>
      <c r="F911" s="167"/>
      <c r="G911" s="167"/>
      <c r="H911" s="167" t="s">
        <v>101</v>
      </c>
      <c r="I911" s="184">
        <v>2011</v>
      </c>
      <c r="J911" s="184" t="s">
        <v>2910</v>
      </c>
      <c r="K911" s="184"/>
      <c r="L911" s="181" t="s">
        <v>19</v>
      </c>
      <c r="M911" s="556" t="s">
        <v>4284</v>
      </c>
      <c r="N911" s="214"/>
      <c r="O911" s="214"/>
      <c r="P911" s="214"/>
      <c r="Q911" s="214"/>
      <c r="R911" s="214"/>
      <c r="S911" s="214"/>
      <c r="T911" s="214"/>
      <c r="U911" s="214"/>
      <c r="V911" s="214"/>
      <c r="W911" s="214"/>
      <c r="X911" s="214"/>
      <c r="Y911" s="214"/>
      <c r="Z911" s="234"/>
      <c r="AA911" s="234"/>
      <c r="AB911" s="234"/>
      <c r="AC911" s="234"/>
      <c r="AD911" s="319"/>
      <c r="AE911" s="319"/>
      <c r="AF911" s="162">
        <f t="shared" si="67"/>
        <v>0.63</v>
      </c>
      <c r="AG911" s="162" t="str">
        <f t="shared" si="66"/>
        <v/>
      </c>
      <c r="AH911" s="164">
        <f t="shared" si="68"/>
        <v>0.06</v>
      </c>
      <c r="AI911" s="164" t="str">
        <f t="shared" si="69"/>
        <v/>
      </c>
      <c r="AJ911" s="382"/>
      <c r="AK911" s="382"/>
      <c r="AL911" s="382"/>
      <c r="AM911" s="382"/>
      <c r="AN911" s="382"/>
      <c r="AO911" s="382"/>
      <c r="AP911" s="382"/>
      <c r="AQ911" s="382"/>
      <c r="AR911" s="382"/>
      <c r="AS911" s="204">
        <v>0.63</v>
      </c>
      <c r="AT911" s="199"/>
      <c r="AU911" s="377"/>
      <c r="AV911" s="393"/>
      <c r="AW911" s="332"/>
      <c r="AX911" s="332"/>
      <c r="AY911" s="332"/>
      <c r="AZ911" s="332"/>
      <c r="BA911" s="332"/>
      <c r="BB911" s="332"/>
      <c r="BC911" s="332"/>
      <c r="BD911" s="332"/>
      <c r="BE911" s="332"/>
      <c r="BF911" s="490">
        <v>0.06</v>
      </c>
      <c r="BG911" s="467"/>
      <c r="BH911" s="341"/>
      <c r="BI911" s="447"/>
      <c r="BJ911" s="337"/>
    </row>
    <row r="912" spans="1:62" ht="15.75" customHeight="1" thickBot="1" x14ac:dyDescent="0.25">
      <c r="A912" s="176">
        <v>913</v>
      </c>
      <c r="B912" s="175">
        <v>2</v>
      </c>
      <c r="C912" s="166" t="s">
        <v>236</v>
      </c>
      <c r="D912" s="159" t="s">
        <v>1739</v>
      </c>
      <c r="E912" s="167"/>
      <c r="F912" s="167"/>
      <c r="G912" s="167"/>
      <c r="H912" s="167" t="s">
        <v>700</v>
      </c>
      <c r="I912" s="184">
        <v>2011</v>
      </c>
      <c r="J912" s="184" t="s">
        <v>2910</v>
      </c>
      <c r="K912" s="184"/>
      <c r="L912" s="181" t="s">
        <v>19</v>
      </c>
      <c r="M912" s="556" t="s">
        <v>4284</v>
      </c>
      <c r="N912" s="214"/>
      <c r="O912" s="214"/>
      <c r="P912" s="214"/>
      <c r="Q912" s="214"/>
      <c r="R912" s="214"/>
      <c r="S912" s="214"/>
      <c r="T912" s="214"/>
      <c r="U912" s="214"/>
      <c r="V912" s="214"/>
      <c r="W912" s="214"/>
      <c r="X912" s="214"/>
      <c r="Y912" s="214"/>
      <c r="Z912" s="234"/>
      <c r="AA912" s="234"/>
      <c r="AB912" s="234"/>
      <c r="AC912" s="234"/>
      <c r="AD912" s="319"/>
      <c r="AE912" s="319"/>
      <c r="AF912" s="162">
        <f t="shared" si="67"/>
        <v>6.1</v>
      </c>
      <c r="AG912" s="162" t="str">
        <f t="shared" si="66"/>
        <v/>
      </c>
      <c r="AH912" s="164">
        <f t="shared" si="68"/>
        <v>0.48</v>
      </c>
      <c r="AI912" s="164" t="str">
        <f t="shared" si="69"/>
        <v/>
      </c>
      <c r="AJ912" s="382"/>
      <c r="AK912" s="382"/>
      <c r="AL912" s="382"/>
      <c r="AM912" s="382"/>
      <c r="AN912" s="382"/>
      <c r="AO912" s="382"/>
      <c r="AP912" s="382"/>
      <c r="AQ912" s="382"/>
      <c r="AR912" s="382"/>
      <c r="AS912" s="204">
        <v>6.1</v>
      </c>
      <c r="AT912" s="199"/>
      <c r="AU912" s="377"/>
      <c r="AV912" s="393"/>
      <c r="AW912" s="332"/>
      <c r="AX912" s="332"/>
      <c r="AY912" s="332"/>
      <c r="AZ912" s="332"/>
      <c r="BA912" s="332"/>
      <c r="BB912" s="332"/>
      <c r="BC912" s="332"/>
      <c r="BD912" s="332"/>
      <c r="BE912" s="332"/>
      <c r="BF912" s="490">
        <v>0.48</v>
      </c>
      <c r="BG912" s="467"/>
      <c r="BH912" s="341"/>
      <c r="BI912" s="447"/>
      <c r="BJ912" s="337"/>
    </row>
    <row r="913" spans="1:62" ht="15.75" customHeight="1" thickBot="1" x14ac:dyDescent="0.25">
      <c r="A913" s="176">
        <v>914</v>
      </c>
      <c r="B913" s="175">
        <v>2</v>
      </c>
      <c r="C913" s="166" t="s">
        <v>236</v>
      </c>
      <c r="D913" s="159" t="s">
        <v>1739</v>
      </c>
      <c r="E913" s="167"/>
      <c r="F913" s="167"/>
      <c r="G913" s="167"/>
      <c r="H913" s="167" t="s">
        <v>165</v>
      </c>
      <c r="I913" s="184">
        <v>2011</v>
      </c>
      <c r="J913" s="184" t="s">
        <v>2910</v>
      </c>
      <c r="K913" s="184"/>
      <c r="L913" s="181" t="s">
        <v>19</v>
      </c>
      <c r="M913" s="556" t="s">
        <v>4284</v>
      </c>
      <c r="N913" s="214"/>
      <c r="O913" s="214"/>
      <c r="P913" s="214"/>
      <c r="Q913" s="214"/>
      <c r="R913" s="214"/>
      <c r="S913" s="214"/>
      <c r="T913" s="214"/>
      <c r="U913" s="214"/>
      <c r="V913" s="214"/>
      <c r="W913" s="214"/>
      <c r="X913" s="214"/>
      <c r="Y913" s="214"/>
      <c r="Z913" s="234"/>
      <c r="AA913" s="234"/>
      <c r="AB913" s="234"/>
      <c r="AC913" s="234"/>
      <c r="AD913" s="319"/>
      <c r="AE913" s="319"/>
      <c r="AF913" s="162">
        <f t="shared" si="67"/>
        <v>1.6</v>
      </c>
      <c r="AG913" s="162" t="str">
        <f t="shared" si="66"/>
        <v/>
      </c>
      <c r="AH913" s="164">
        <f t="shared" si="68"/>
        <v>0.12</v>
      </c>
      <c r="AI913" s="164" t="str">
        <f t="shared" si="69"/>
        <v/>
      </c>
      <c r="AJ913" s="382"/>
      <c r="AK913" s="382"/>
      <c r="AL913" s="382"/>
      <c r="AM913" s="382"/>
      <c r="AN913" s="382"/>
      <c r="AO913" s="382"/>
      <c r="AP913" s="382"/>
      <c r="AQ913" s="382"/>
      <c r="AR913" s="382"/>
      <c r="AS913" s="204">
        <v>1.6</v>
      </c>
      <c r="AT913" s="199"/>
      <c r="AU913" s="377"/>
      <c r="AV913" s="393"/>
      <c r="AW913" s="332"/>
      <c r="AX913" s="332"/>
      <c r="AY913" s="332"/>
      <c r="AZ913" s="332"/>
      <c r="BA913" s="332"/>
      <c r="BB913" s="332"/>
      <c r="BC913" s="332"/>
      <c r="BD913" s="332"/>
      <c r="BE913" s="332"/>
      <c r="BF913" s="490">
        <v>0.12</v>
      </c>
      <c r="BG913" s="467"/>
      <c r="BH913" s="341"/>
      <c r="BI913" s="447"/>
      <c r="BJ913" s="337"/>
    </row>
    <row r="914" spans="1:62" ht="15.75" customHeight="1" thickBot="1" x14ac:dyDescent="0.25">
      <c r="A914" s="176">
        <v>915</v>
      </c>
      <c r="B914" s="175">
        <v>2</v>
      </c>
      <c r="C914" s="166" t="s">
        <v>236</v>
      </c>
      <c r="D914" s="167" t="s">
        <v>2769</v>
      </c>
      <c r="E914" s="167"/>
      <c r="F914" s="167"/>
      <c r="G914" s="167"/>
      <c r="H914" s="167" t="s">
        <v>351</v>
      </c>
      <c r="I914" s="184">
        <v>2011</v>
      </c>
      <c r="J914" s="184" t="s">
        <v>2910</v>
      </c>
      <c r="K914" s="184"/>
      <c r="L914" s="181" t="s">
        <v>19</v>
      </c>
      <c r="M914" s="556" t="s">
        <v>4284</v>
      </c>
      <c r="N914" s="214"/>
      <c r="O914" s="214"/>
      <c r="P914" s="214"/>
      <c r="Q914" s="214"/>
      <c r="R914" s="214"/>
      <c r="S914" s="214"/>
      <c r="T914" s="214"/>
      <c r="U914" s="214"/>
      <c r="V914" s="214"/>
      <c r="W914" s="214"/>
      <c r="X914" s="214"/>
      <c r="Y914" s="214"/>
      <c r="Z914" s="234"/>
      <c r="AA914" s="234"/>
      <c r="AB914" s="234"/>
      <c r="AC914" s="234"/>
      <c r="AD914" s="319"/>
      <c r="AE914" s="319"/>
      <c r="AF914" s="162">
        <f t="shared" si="67"/>
        <v>3.7</v>
      </c>
      <c r="AG914" s="162" t="str">
        <f t="shared" si="66"/>
        <v/>
      </c>
      <c r="AH914" s="164">
        <f t="shared" si="68"/>
        <v>0.33</v>
      </c>
      <c r="AI914" s="164" t="str">
        <f t="shared" si="69"/>
        <v/>
      </c>
      <c r="AJ914" s="382"/>
      <c r="AK914" s="382"/>
      <c r="AL914" s="382"/>
      <c r="AM914" s="382"/>
      <c r="AN914" s="382"/>
      <c r="AO914" s="382"/>
      <c r="AP914" s="382"/>
      <c r="AQ914" s="382"/>
      <c r="AR914" s="382"/>
      <c r="AS914" s="204">
        <v>3.7</v>
      </c>
      <c r="AT914" s="199"/>
      <c r="AU914" s="377"/>
      <c r="AV914" s="393"/>
      <c r="AW914" s="332"/>
      <c r="AX914" s="332"/>
      <c r="AY914" s="332"/>
      <c r="AZ914" s="332"/>
      <c r="BA914" s="332"/>
      <c r="BB914" s="332"/>
      <c r="BC914" s="332"/>
      <c r="BD914" s="332"/>
      <c r="BE914" s="332"/>
      <c r="BF914" s="490">
        <v>0.33</v>
      </c>
      <c r="BG914" s="467"/>
      <c r="BH914" s="341"/>
      <c r="BI914" s="447"/>
      <c r="BJ914" s="337"/>
    </row>
    <row r="915" spans="1:62" ht="15.75" customHeight="1" thickBot="1" x14ac:dyDescent="0.25">
      <c r="A915" s="176">
        <v>916</v>
      </c>
      <c r="B915" s="175">
        <v>2</v>
      </c>
      <c r="C915" s="166" t="s">
        <v>236</v>
      </c>
      <c r="D915" s="167" t="s">
        <v>2282</v>
      </c>
      <c r="E915" s="167"/>
      <c r="F915" s="167"/>
      <c r="G915" s="167"/>
      <c r="H915" s="167" t="s">
        <v>101</v>
      </c>
      <c r="I915" s="184">
        <v>2011</v>
      </c>
      <c r="J915" s="184" t="s">
        <v>2910</v>
      </c>
      <c r="K915" s="184"/>
      <c r="L915" s="181" t="s">
        <v>19</v>
      </c>
      <c r="M915" s="556" t="s">
        <v>4284</v>
      </c>
      <c r="N915" s="214"/>
      <c r="O915" s="214"/>
      <c r="P915" s="214"/>
      <c r="Q915" s="214"/>
      <c r="R915" s="214"/>
      <c r="S915" s="214"/>
      <c r="T915" s="214"/>
      <c r="U915" s="214"/>
      <c r="V915" s="214"/>
      <c r="W915" s="214"/>
      <c r="X915" s="214"/>
      <c r="Y915" s="214"/>
      <c r="Z915" s="234"/>
      <c r="AA915" s="234"/>
      <c r="AB915" s="234"/>
      <c r="AC915" s="234"/>
      <c r="AD915" s="319"/>
      <c r="AE915" s="319"/>
      <c r="AF915" s="162">
        <f t="shared" si="67"/>
        <v>2.8</v>
      </c>
      <c r="AG915" s="162" t="str">
        <f t="shared" ref="AG915:AG978" si="70">IF(AND(SUM(AJ915:AL915)&lt;&gt;0,SUM(AJ915:AL915)&lt;&gt;AJ915),SUM(AJ915:AL915),"")</f>
        <v/>
      </c>
      <c r="AH915" s="164">
        <f t="shared" si="68"/>
        <v>0.21</v>
      </c>
      <c r="AI915" s="164" t="str">
        <f t="shared" si="69"/>
        <v/>
      </c>
      <c r="AJ915" s="382"/>
      <c r="AK915" s="382"/>
      <c r="AL915" s="382"/>
      <c r="AM915" s="382"/>
      <c r="AN915" s="382"/>
      <c r="AO915" s="382"/>
      <c r="AP915" s="382"/>
      <c r="AQ915" s="382"/>
      <c r="AR915" s="382"/>
      <c r="AS915" s="204">
        <v>2.8</v>
      </c>
      <c r="AT915" s="199"/>
      <c r="AU915" s="377"/>
      <c r="AV915" s="393"/>
      <c r="AW915" s="332"/>
      <c r="AX915" s="332"/>
      <c r="AY915" s="332"/>
      <c r="AZ915" s="332"/>
      <c r="BA915" s="332"/>
      <c r="BB915" s="332"/>
      <c r="BC915" s="332"/>
      <c r="BD915" s="332"/>
      <c r="BE915" s="332"/>
      <c r="BF915" s="490">
        <v>0.21</v>
      </c>
      <c r="BG915" s="467"/>
      <c r="BH915" s="341"/>
      <c r="BI915" s="447"/>
      <c r="BJ915" s="337"/>
    </row>
    <row r="916" spans="1:62" ht="15.75" customHeight="1" thickBot="1" x14ac:dyDescent="0.25">
      <c r="A916" s="176">
        <v>917</v>
      </c>
      <c r="B916" s="175">
        <v>2</v>
      </c>
      <c r="C916" s="166" t="s">
        <v>236</v>
      </c>
      <c r="D916" s="167" t="s">
        <v>2282</v>
      </c>
      <c r="E916" s="167"/>
      <c r="F916" s="167"/>
      <c r="G916" s="167"/>
      <c r="H916" s="167" t="s">
        <v>351</v>
      </c>
      <c r="I916" s="184">
        <v>2011</v>
      </c>
      <c r="J916" s="184" t="s">
        <v>2910</v>
      </c>
      <c r="K916" s="184"/>
      <c r="L916" s="181" t="s">
        <v>19</v>
      </c>
      <c r="M916" s="556" t="s">
        <v>4284</v>
      </c>
      <c r="N916" s="214"/>
      <c r="O916" s="214"/>
      <c r="P916" s="214"/>
      <c r="Q916" s="214"/>
      <c r="R916" s="214"/>
      <c r="S916" s="214"/>
      <c r="T916" s="214"/>
      <c r="U916" s="214"/>
      <c r="V916" s="214"/>
      <c r="W916" s="214"/>
      <c r="X916" s="214"/>
      <c r="Y916" s="214"/>
      <c r="Z916" s="234"/>
      <c r="AA916" s="234"/>
      <c r="AB916" s="234"/>
      <c r="AC916" s="234"/>
      <c r="AD916" s="319"/>
      <c r="AE916" s="319"/>
      <c r="AF916" s="162">
        <f t="shared" si="67"/>
        <v>5.4</v>
      </c>
      <c r="AG916" s="162" t="str">
        <f t="shared" si="70"/>
        <v/>
      </c>
      <c r="AH916" s="164">
        <f t="shared" si="68"/>
        <v>0.55000000000000004</v>
      </c>
      <c r="AI916" s="164" t="str">
        <f t="shared" si="69"/>
        <v/>
      </c>
      <c r="AJ916" s="382"/>
      <c r="AK916" s="382"/>
      <c r="AL916" s="382"/>
      <c r="AM916" s="382"/>
      <c r="AN916" s="382"/>
      <c r="AO916" s="382"/>
      <c r="AP916" s="382"/>
      <c r="AQ916" s="382"/>
      <c r="AR916" s="382"/>
      <c r="AS916" s="204">
        <v>5.4</v>
      </c>
      <c r="AT916" s="199"/>
      <c r="AU916" s="377"/>
      <c r="AV916" s="393"/>
      <c r="AW916" s="332"/>
      <c r="AX916" s="332"/>
      <c r="AY916" s="332"/>
      <c r="AZ916" s="332"/>
      <c r="BA916" s="332"/>
      <c r="BB916" s="332"/>
      <c r="BC916" s="332"/>
      <c r="BD916" s="332"/>
      <c r="BE916" s="332"/>
      <c r="BF916" s="490">
        <v>0.55000000000000004</v>
      </c>
      <c r="BG916" s="467"/>
      <c r="BH916" s="341"/>
      <c r="BI916" s="447"/>
      <c r="BJ916" s="337"/>
    </row>
    <row r="917" spans="1:62" ht="15.75" customHeight="1" thickBot="1" x14ac:dyDescent="0.25">
      <c r="A917" s="176">
        <v>918</v>
      </c>
      <c r="B917" s="175">
        <v>2</v>
      </c>
      <c r="C917" s="166" t="s">
        <v>236</v>
      </c>
      <c r="D917" s="167" t="s">
        <v>1769</v>
      </c>
      <c r="E917" s="167"/>
      <c r="F917" s="167"/>
      <c r="G917" s="167"/>
      <c r="H917" s="167" t="s">
        <v>2941</v>
      </c>
      <c r="I917" s="184"/>
      <c r="J917" s="190" t="s">
        <v>2937</v>
      </c>
      <c r="K917" s="184"/>
      <c r="L917" s="181"/>
      <c r="M917" s="556" t="s">
        <v>4281</v>
      </c>
      <c r="N917" s="214"/>
      <c r="O917" s="214"/>
      <c r="P917" s="214"/>
      <c r="Q917" s="214"/>
      <c r="R917" s="214"/>
      <c r="S917" s="214"/>
      <c r="T917" s="214"/>
      <c r="U917" s="214"/>
      <c r="V917" s="214"/>
      <c r="W917" s="214"/>
      <c r="X917" s="214"/>
      <c r="Y917" s="214"/>
      <c r="Z917" s="234"/>
      <c r="AA917" s="234"/>
      <c r="AB917" s="234"/>
      <c r="AC917" s="234"/>
      <c r="AD917" s="319"/>
      <c r="AE917" s="319"/>
      <c r="AF917" s="162">
        <f t="shared" si="67"/>
        <v>0.97439113229999996</v>
      </c>
      <c r="AG917" s="162" t="str">
        <f t="shared" si="70"/>
        <v/>
      </c>
      <c r="AH917" s="164">
        <f t="shared" si="68"/>
        <v>8.1206746999999996E-2</v>
      </c>
      <c r="AI917" s="164" t="str">
        <f t="shared" si="69"/>
        <v/>
      </c>
      <c r="AJ917" s="382"/>
      <c r="AK917" s="382"/>
      <c r="AL917" s="382"/>
      <c r="AM917" s="382"/>
      <c r="AN917" s="382"/>
      <c r="AO917" s="382"/>
      <c r="AP917" s="382"/>
      <c r="AQ917" s="382"/>
      <c r="AR917" s="382"/>
      <c r="AS917" s="348">
        <v>0.97439113229999996</v>
      </c>
      <c r="AT917" s="199"/>
      <c r="AU917" s="377"/>
      <c r="AV917" s="393"/>
      <c r="AW917" s="332"/>
      <c r="AX917" s="332"/>
      <c r="AY917" s="332"/>
      <c r="AZ917" s="332"/>
      <c r="BA917" s="332"/>
      <c r="BB917" s="332"/>
      <c r="BC917" s="332"/>
      <c r="BD917" s="332"/>
      <c r="BE917" s="332"/>
      <c r="BF917" s="492">
        <v>8.1206746999999996E-2</v>
      </c>
      <c r="BG917" s="467"/>
      <c r="BH917" s="341"/>
      <c r="BI917" s="447"/>
      <c r="BJ917" s="337"/>
    </row>
    <row r="918" spans="1:62" ht="15.75" customHeight="1" thickBot="1" x14ac:dyDescent="0.25">
      <c r="A918" s="176">
        <v>919</v>
      </c>
      <c r="B918" s="175">
        <v>2</v>
      </c>
      <c r="C918" s="166" t="s">
        <v>236</v>
      </c>
      <c r="D918" s="167" t="s">
        <v>1769</v>
      </c>
      <c r="E918" s="167"/>
      <c r="F918" s="167"/>
      <c r="G918" s="167"/>
      <c r="H918" s="167" t="s">
        <v>2942</v>
      </c>
      <c r="I918" s="184"/>
      <c r="J918" s="190" t="s">
        <v>2938</v>
      </c>
      <c r="K918" s="184"/>
      <c r="L918" s="181"/>
      <c r="M918" s="556" t="s">
        <v>4281</v>
      </c>
      <c r="N918" s="214"/>
      <c r="O918" s="214"/>
      <c r="P918" s="214"/>
      <c r="Q918" s="214"/>
      <c r="R918" s="214"/>
      <c r="S918" s="214"/>
      <c r="T918" s="214"/>
      <c r="U918" s="214"/>
      <c r="V918" s="214"/>
      <c r="W918" s="214"/>
      <c r="X918" s="214"/>
      <c r="Y918" s="214"/>
      <c r="Z918" s="234"/>
      <c r="AA918" s="234"/>
      <c r="AB918" s="234"/>
      <c r="AC918" s="234"/>
      <c r="AD918" s="319"/>
      <c r="AE918" s="319"/>
      <c r="AF918" s="162">
        <f t="shared" si="67"/>
        <v>3.3026936950999999</v>
      </c>
      <c r="AG918" s="162" t="str">
        <f t="shared" si="70"/>
        <v/>
      </c>
      <c r="AH918" s="164">
        <f t="shared" si="68"/>
        <v>0.26266316000000001</v>
      </c>
      <c r="AI918" s="164" t="str">
        <f t="shared" si="69"/>
        <v/>
      </c>
      <c r="AJ918" s="382"/>
      <c r="AK918" s="382"/>
      <c r="AL918" s="382"/>
      <c r="AM918" s="382"/>
      <c r="AN918" s="382"/>
      <c r="AO918" s="382"/>
      <c r="AP918" s="382"/>
      <c r="AQ918" s="382"/>
      <c r="AR918" s="382"/>
      <c r="AS918" s="348">
        <v>3.3026936950999999</v>
      </c>
      <c r="AT918" s="199"/>
      <c r="AU918" s="377"/>
      <c r="AV918" s="393"/>
      <c r="AW918" s="332"/>
      <c r="AX918" s="332"/>
      <c r="AY918" s="332"/>
      <c r="AZ918" s="332"/>
      <c r="BA918" s="332"/>
      <c r="BB918" s="332"/>
      <c r="BC918" s="332"/>
      <c r="BD918" s="332"/>
      <c r="BE918" s="332"/>
      <c r="BF918" s="492">
        <v>0.26266316000000001</v>
      </c>
      <c r="BG918" s="467"/>
      <c r="BH918" s="341"/>
      <c r="BI918" s="447"/>
      <c r="BJ918" s="337"/>
    </row>
    <row r="919" spans="1:62" ht="15.75" customHeight="1" thickBot="1" x14ac:dyDescent="0.25">
      <c r="A919" s="176">
        <v>920</v>
      </c>
      <c r="B919" s="175">
        <v>2</v>
      </c>
      <c r="C919" s="166" t="s">
        <v>236</v>
      </c>
      <c r="D919" s="167" t="s">
        <v>1769</v>
      </c>
      <c r="E919" s="167"/>
      <c r="F919" s="167"/>
      <c r="G919" s="167"/>
      <c r="H919" s="167" t="s">
        <v>2943</v>
      </c>
      <c r="I919" s="184"/>
      <c r="J919" s="190" t="s">
        <v>2939</v>
      </c>
      <c r="K919" s="184"/>
      <c r="L919" s="181"/>
      <c r="M919" s="556" t="s">
        <v>4281</v>
      </c>
      <c r="N919" s="214"/>
      <c r="O919" s="214"/>
      <c r="P919" s="214"/>
      <c r="Q919" s="214"/>
      <c r="R919" s="214"/>
      <c r="S919" s="214"/>
      <c r="T919" s="214"/>
      <c r="U919" s="214"/>
      <c r="V919" s="214"/>
      <c r="W919" s="214"/>
      <c r="X919" s="214"/>
      <c r="Y919" s="214"/>
      <c r="Z919" s="234"/>
      <c r="AA919" s="234"/>
      <c r="AB919" s="234"/>
      <c r="AC919" s="234"/>
      <c r="AD919" s="319"/>
      <c r="AE919" s="319"/>
      <c r="AF919" s="162">
        <f t="shared" si="67"/>
        <v>3.1540473375000002</v>
      </c>
      <c r="AG919" s="162" t="str">
        <f t="shared" si="70"/>
        <v/>
      </c>
      <c r="AH919" s="164">
        <f t="shared" si="68"/>
        <v>0.26752540000000002</v>
      </c>
      <c r="AI919" s="164" t="str">
        <f t="shared" si="69"/>
        <v/>
      </c>
      <c r="AJ919" s="382"/>
      <c r="AK919" s="382"/>
      <c r="AL919" s="382"/>
      <c r="AM919" s="382"/>
      <c r="AN919" s="382"/>
      <c r="AO919" s="382"/>
      <c r="AP919" s="382"/>
      <c r="AQ919" s="382"/>
      <c r="AR919" s="382"/>
      <c r="AS919" s="348">
        <v>3.1540473375000002</v>
      </c>
      <c r="AT919" s="199"/>
      <c r="AU919" s="377"/>
      <c r="AV919" s="393"/>
      <c r="AW919" s="332"/>
      <c r="AX919" s="332"/>
      <c r="AY919" s="332"/>
      <c r="AZ919" s="332"/>
      <c r="BA919" s="332"/>
      <c r="BB919" s="332"/>
      <c r="BC919" s="332"/>
      <c r="BD919" s="332"/>
      <c r="BE919" s="332"/>
      <c r="BF919" s="492">
        <v>0.26752540000000002</v>
      </c>
      <c r="BG919" s="467"/>
      <c r="BH919" s="341"/>
      <c r="BI919" s="447"/>
      <c r="BJ919" s="337"/>
    </row>
    <row r="920" spans="1:62" ht="15.75" customHeight="1" thickBot="1" x14ac:dyDescent="0.25">
      <c r="A920" s="176">
        <v>921</v>
      </c>
      <c r="B920" s="175">
        <v>2</v>
      </c>
      <c r="C920" s="166" t="s">
        <v>236</v>
      </c>
      <c r="D920" s="167" t="s">
        <v>1769</v>
      </c>
      <c r="E920" s="167"/>
      <c r="F920" s="167"/>
      <c r="G920" s="167"/>
      <c r="H920" s="167" t="s">
        <v>2870</v>
      </c>
      <c r="I920" s="184"/>
      <c r="J920" s="190" t="s">
        <v>2940</v>
      </c>
      <c r="K920" s="184"/>
      <c r="L920" s="181"/>
      <c r="M920" s="556" t="s">
        <v>4281</v>
      </c>
      <c r="N920" s="214"/>
      <c r="O920" s="214"/>
      <c r="P920" s="214"/>
      <c r="Q920" s="214"/>
      <c r="R920" s="214"/>
      <c r="S920" s="214"/>
      <c r="T920" s="214"/>
      <c r="U920" s="214"/>
      <c r="V920" s="214"/>
      <c r="W920" s="214"/>
      <c r="X920" s="214"/>
      <c r="Y920" s="214"/>
      <c r="Z920" s="234"/>
      <c r="AA920" s="234"/>
      <c r="AB920" s="234"/>
      <c r="AC920" s="234"/>
      <c r="AD920" s="319"/>
      <c r="AE920" s="319"/>
      <c r="AF920" s="162">
        <f t="shared" si="67"/>
        <v>2.6421060044000004</v>
      </c>
      <c r="AG920" s="162" t="str">
        <f t="shared" si="70"/>
        <v/>
      </c>
      <c r="AH920" s="164">
        <f t="shared" si="68"/>
        <v>0.26593591</v>
      </c>
      <c r="AI920" s="164" t="str">
        <f t="shared" si="69"/>
        <v/>
      </c>
      <c r="AJ920" s="382"/>
      <c r="AK920" s="382"/>
      <c r="AL920" s="382"/>
      <c r="AM920" s="382"/>
      <c r="AN920" s="382"/>
      <c r="AO920" s="382"/>
      <c r="AP920" s="382"/>
      <c r="AQ920" s="382"/>
      <c r="AR920" s="382"/>
      <c r="AS920" s="348">
        <v>2.6421060044000004</v>
      </c>
      <c r="AT920" s="199"/>
      <c r="AU920" s="377"/>
      <c r="AV920" s="393"/>
      <c r="AW920" s="332"/>
      <c r="AX920" s="332"/>
      <c r="AY920" s="332"/>
      <c r="AZ920" s="332"/>
      <c r="BA920" s="332"/>
      <c r="BB920" s="332"/>
      <c r="BC920" s="332"/>
      <c r="BD920" s="332"/>
      <c r="BE920" s="332"/>
      <c r="BF920" s="492">
        <v>0.26593591</v>
      </c>
      <c r="BG920" s="467"/>
      <c r="BH920" s="341"/>
      <c r="BI920" s="447"/>
      <c r="BJ920" s="337"/>
    </row>
    <row r="921" spans="1:62" ht="15.75" customHeight="1" thickBot="1" x14ac:dyDescent="0.25">
      <c r="A921" s="176">
        <v>922</v>
      </c>
      <c r="B921" s="175">
        <v>2</v>
      </c>
      <c r="C921" s="166" t="s">
        <v>162</v>
      </c>
      <c r="D921" s="167" t="s">
        <v>2944</v>
      </c>
      <c r="E921" s="167"/>
      <c r="F921" s="167"/>
      <c r="G921" s="167"/>
      <c r="H921" s="167" t="s">
        <v>2876</v>
      </c>
      <c r="I921" s="184"/>
      <c r="J921" s="190" t="s">
        <v>2945</v>
      </c>
      <c r="K921" s="184"/>
      <c r="L921" s="181"/>
      <c r="M921" s="556" t="s">
        <v>4282</v>
      </c>
      <c r="N921" s="214"/>
      <c r="O921" s="214"/>
      <c r="P921" s="214"/>
      <c r="Q921" s="214"/>
      <c r="R921" s="214"/>
      <c r="S921" s="214"/>
      <c r="T921" s="214"/>
      <c r="U921" s="214"/>
      <c r="V921" s="214"/>
      <c r="W921" s="214"/>
      <c r="X921" s="214"/>
      <c r="Y921" s="214"/>
      <c r="Z921" s="234"/>
      <c r="AA921" s="234"/>
      <c r="AB921" s="234"/>
      <c r="AC921" s="234"/>
      <c r="AD921" s="319"/>
      <c r="AE921" s="319"/>
      <c r="AF921" s="162" t="str">
        <f t="shared" si="67"/>
        <v/>
      </c>
      <c r="AG921" s="162">
        <f t="shared" si="70"/>
        <v>6.7838162000000004</v>
      </c>
      <c r="AH921" s="164" t="str">
        <f t="shared" si="68"/>
        <v/>
      </c>
      <c r="AI921" s="164">
        <f t="shared" si="69"/>
        <v>0.93291893999999997</v>
      </c>
      <c r="AJ921" s="382"/>
      <c r="AK921" s="382"/>
      <c r="AL921" s="384">
        <v>6.7838162000000004</v>
      </c>
      <c r="AM921" s="382"/>
      <c r="AN921" s="382"/>
      <c r="AO921" s="382"/>
      <c r="AP921" s="382"/>
      <c r="AQ921" s="382"/>
      <c r="AR921" s="382"/>
      <c r="AS921" s="204"/>
      <c r="AT921" s="202">
        <f>SUM(AJ921:AR921)</f>
        <v>6.7838162000000004</v>
      </c>
      <c r="AU921" s="377"/>
      <c r="AV921" s="411"/>
      <c r="AW921" s="332"/>
      <c r="AX921" s="332"/>
      <c r="AY921" s="336">
        <v>0.93291893999999997</v>
      </c>
      <c r="AZ921" s="332"/>
      <c r="BA921" s="332"/>
      <c r="BB921" s="332"/>
      <c r="BC921" s="332"/>
      <c r="BD921" s="332"/>
      <c r="BE921" s="332"/>
      <c r="BF921" s="490"/>
      <c r="BG921" s="491">
        <f>SUM(AW921:BE921)</f>
        <v>0.93291893999999997</v>
      </c>
      <c r="BH921" s="341"/>
      <c r="BI921" s="447"/>
      <c r="BJ921" s="337"/>
    </row>
    <row r="922" spans="1:62" ht="15.75" customHeight="1" thickBot="1" x14ac:dyDescent="0.25">
      <c r="A922" s="176">
        <v>923</v>
      </c>
      <c r="B922" s="175">
        <v>2</v>
      </c>
      <c r="C922" s="166" t="s">
        <v>162</v>
      </c>
      <c r="D922" s="167" t="s">
        <v>2944</v>
      </c>
      <c r="E922" s="167"/>
      <c r="F922" s="167"/>
      <c r="G922" s="167"/>
      <c r="H922" s="167" t="s">
        <v>2901</v>
      </c>
      <c r="I922" s="184"/>
      <c r="J922" s="190" t="s">
        <v>2946</v>
      </c>
      <c r="K922" s="184"/>
      <c r="L922" s="181"/>
      <c r="M922" s="556" t="s">
        <v>4282</v>
      </c>
      <c r="N922" s="214"/>
      <c r="O922" s="214"/>
      <c r="P922" s="214"/>
      <c r="Q922" s="214"/>
      <c r="R922" s="214"/>
      <c r="S922" s="214"/>
      <c r="T922" s="214"/>
      <c r="U922" s="214"/>
      <c r="V922" s="214"/>
      <c r="W922" s="214"/>
      <c r="X922" s="214"/>
      <c r="Y922" s="214"/>
      <c r="Z922" s="234"/>
      <c r="AA922" s="234"/>
      <c r="AB922" s="234"/>
      <c r="AC922" s="234"/>
      <c r="AD922" s="319"/>
      <c r="AE922" s="319"/>
      <c r="AF922" s="162" t="str">
        <f t="shared" si="67"/>
        <v/>
      </c>
      <c r="AG922" s="162">
        <f t="shared" si="70"/>
        <v>6.4781129000000002</v>
      </c>
      <c r="AH922" s="164" t="str">
        <f t="shared" si="68"/>
        <v/>
      </c>
      <c r="AI922" s="164">
        <f t="shared" si="69"/>
        <v>0.97211035000000001</v>
      </c>
      <c r="AJ922" s="382"/>
      <c r="AK922" s="382"/>
      <c r="AL922" s="384">
        <v>6.4781129000000002</v>
      </c>
      <c r="AM922" s="382"/>
      <c r="AN922" s="382"/>
      <c r="AO922" s="382"/>
      <c r="AP922" s="382"/>
      <c r="AQ922" s="382"/>
      <c r="AR922" s="382"/>
      <c r="AS922" s="204"/>
      <c r="AT922" s="202">
        <f>SUM(AJ922:AR922)</f>
        <v>6.4781129000000002</v>
      </c>
      <c r="AU922" s="377"/>
      <c r="AV922" s="411"/>
      <c r="AW922" s="332"/>
      <c r="AX922" s="332"/>
      <c r="AY922" s="336">
        <v>0.97211035000000001</v>
      </c>
      <c r="AZ922" s="332"/>
      <c r="BA922" s="332"/>
      <c r="BB922" s="332"/>
      <c r="BC922" s="332"/>
      <c r="BD922" s="332"/>
      <c r="BE922" s="332"/>
      <c r="BF922" s="490"/>
      <c r="BG922" s="491">
        <f>SUM(AW922:BE922)</f>
        <v>0.97211035000000001</v>
      </c>
      <c r="BH922" s="341"/>
      <c r="BI922" s="447"/>
      <c r="BJ922" s="337"/>
    </row>
    <row r="923" spans="1:62" ht="15.75" customHeight="1" thickBot="1" x14ac:dyDescent="0.25">
      <c r="A923" s="176">
        <v>924</v>
      </c>
      <c r="B923" s="175">
        <v>2</v>
      </c>
      <c r="C923" s="166" t="s">
        <v>162</v>
      </c>
      <c r="D923" s="167" t="s">
        <v>1872</v>
      </c>
      <c r="E923" s="167"/>
      <c r="F923" s="167"/>
      <c r="G923" s="167"/>
      <c r="H923" s="167"/>
      <c r="I923" s="184"/>
      <c r="J923" s="184" t="s">
        <v>2947</v>
      </c>
      <c r="K923" s="184"/>
      <c r="L923" s="181"/>
      <c r="M923" s="556" t="s">
        <v>4281</v>
      </c>
      <c r="N923" s="214"/>
      <c r="O923" s="214"/>
      <c r="P923" s="214"/>
      <c r="Q923" s="214"/>
      <c r="R923" s="214"/>
      <c r="S923" s="214"/>
      <c r="T923" s="214"/>
      <c r="U923" s="214"/>
      <c r="V923" s="214"/>
      <c r="W923" s="214"/>
      <c r="X923" s="214"/>
      <c r="Y923" s="214"/>
      <c r="Z923" s="234"/>
      <c r="AA923" s="234"/>
      <c r="AB923" s="234"/>
      <c r="AC923" s="234"/>
      <c r="AD923" s="319"/>
      <c r="AE923" s="319"/>
      <c r="AF923" s="162">
        <f t="shared" si="67"/>
        <v>5.2511022999999994</v>
      </c>
      <c r="AG923" s="162" t="str">
        <f t="shared" si="70"/>
        <v/>
      </c>
      <c r="AH923" s="164">
        <f t="shared" si="68"/>
        <v>0.41115000000000002</v>
      </c>
      <c r="AI923" s="164" t="str">
        <f t="shared" si="69"/>
        <v/>
      </c>
      <c r="AJ923" s="382"/>
      <c r="AK923" s="382"/>
      <c r="AL923" s="382"/>
      <c r="AM923" s="382"/>
      <c r="AN923" s="382"/>
      <c r="AO923" s="382"/>
      <c r="AP923" s="382"/>
      <c r="AQ923" s="382"/>
      <c r="AR923" s="382"/>
      <c r="AS923" s="350">
        <f>4.6259+0.62412+0.0010823</f>
        <v>5.2511022999999994</v>
      </c>
      <c r="AT923" s="199"/>
      <c r="AU923" s="377"/>
      <c r="AV923" s="393"/>
      <c r="AW923" s="332"/>
      <c r="AX923" s="332"/>
      <c r="AY923" s="332"/>
      <c r="AZ923" s="332"/>
      <c r="BA923" s="332"/>
      <c r="BB923" s="332"/>
      <c r="BC923" s="332"/>
      <c r="BD923" s="332"/>
      <c r="BE923" s="332"/>
      <c r="BF923" s="546">
        <v>0.41115000000000002</v>
      </c>
      <c r="BG923" s="467"/>
      <c r="BH923" s="341"/>
      <c r="BI923" s="447"/>
      <c r="BJ923" s="337"/>
    </row>
    <row r="924" spans="1:62" ht="15.75" customHeight="1" thickBot="1" x14ac:dyDescent="0.25">
      <c r="A924" s="176">
        <v>925</v>
      </c>
      <c r="B924" s="175">
        <v>2</v>
      </c>
      <c r="C924" s="166" t="s">
        <v>162</v>
      </c>
      <c r="D924" s="167" t="s">
        <v>2949</v>
      </c>
      <c r="E924" s="167"/>
      <c r="F924" s="167"/>
      <c r="G924" s="167"/>
      <c r="H924" s="167"/>
      <c r="I924" s="184"/>
      <c r="J924" s="184" t="s">
        <v>2948</v>
      </c>
      <c r="K924" s="184"/>
      <c r="L924" s="181"/>
      <c r="M924" s="556" t="s">
        <v>4281</v>
      </c>
      <c r="N924" s="214"/>
      <c r="O924" s="214"/>
      <c r="P924" s="214"/>
      <c r="Q924" s="214"/>
      <c r="R924" s="214"/>
      <c r="S924" s="214"/>
      <c r="T924" s="214"/>
      <c r="U924" s="214"/>
      <c r="V924" s="214"/>
      <c r="W924" s="214"/>
      <c r="X924" s="214"/>
      <c r="Y924" s="214"/>
      <c r="Z924" s="234"/>
      <c r="AA924" s="234"/>
      <c r="AB924" s="234"/>
      <c r="AC924" s="234"/>
      <c r="AD924" s="319"/>
      <c r="AE924" s="319"/>
      <c r="AF924" s="162">
        <f t="shared" si="67"/>
        <v>1.9850391699999999</v>
      </c>
      <c r="AG924" s="162" t="str">
        <f t="shared" si="70"/>
        <v/>
      </c>
      <c r="AH924" s="164">
        <f t="shared" si="68"/>
        <v>0.15075</v>
      </c>
      <c r="AI924" s="164" t="str">
        <f t="shared" si="69"/>
        <v/>
      </c>
      <c r="AJ924" s="382"/>
      <c r="AK924" s="382"/>
      <c r="AL924" s="382"/>
      <c r="AM924" s="382"/>
      <c r="AN924" s="382"/>
      <c r="AO924" s="382"/>
      <c r="AP924" s="382"/>
      <c r="AQ924" s="382"/>
      <c r="AR924" s="382"/>
      <c r="AS924" s="204">
        <f>1.9163+0.068475+0.00026417</f>
        <v>1.9850391699999999</v>
      </c>
      <c r="AT924" s="199"/>
      <c r="AU924" s="377"/>
      <c r="AV924" s="393"/>
      <c r="AW924" s="332"/>
      <c r="AX924" s="332"/>
      <c r="AY924" s="332"/>
      <c r="AZ924" s="332"/>
      <c r="BA924" s="332"/>
      <c r="BB924" s="332"/>
      <c r="BC924" s="332"/>
      <c r="BD924" s="332"/>
      <c r="BE924" s="332"/>
      <c r="BF924" s="490">
        <v>0.15075</v>
      </c>
      <c r="BG924" s="467"/>
      <c r="BH924" s="341"/>
      <c r="BI924" s="447"/>
      <c r="BJ924" s="337"/>
    </row>
    <row r="925" spans="1:62" ht="15.75" customHeight="1" thickBot="1" x14ac:dyDescent="0.25">
      <c r="A925" s="176">
        <v>926</v>
      </c>
      <c r="B925" s="175">
        <v>2</v>
      </c>
      <c r="C925" s="166" t="s">
        <v>596</v>
      </c>
      <c r="D925" s="159" t="s">
        <v>2272</v>
      </c>
      <c r="E925" s="167"/>
      <c r="F925" s="167"/>
      <c r="G925" s="167"/>
      <c r="H925" s="167" t="s">
        <v>2951</v>
      </c>
      <c r="I925" s="184"/>
      <c r="J925" s="184" t="s">
        <v>2950</v>
      </c>
      <c r="K925" s="184"/>
      <c r="L925" s="181"/>
      <c r="M925" s="556" t="s">
        <v>4281</v>
      </c>
      <c r="N925" s="214"/>
      <c r="O925" s="214"/>
      <c r="P925" s="214"/>
      <c r="Q925" s="214"/>
      <c r="R925" s="214"/>
      <c r="S925" s="214"/>
      <c r="T925" s="214"/>
      <c r="U925" s="214"/>
      <c r="V925" s="214"/>
      <c r="W925" s="214"/>
      <c r="X925" s="214"/>
      <c r="Y925" s="214"/>
      <c r="Z925" s="234"/>
      <c r="AA925" s="234"/>
      <c r="AB925" s="234"/>
      <c r="AC925" s="234"/>
      <c r="AD925" s="319"/>
      <c r="AE925" s="319"/>
      <c r="AF925" s="162" t="str">
        <f t="shared" si="67"/>
        <v/>
      </c>
      <c r="AG925" s="162">
        <f t="shared" si="70"/>
        <v>1.6030119999999999</v>
      </c>
      <c r="AH925" s="164" t="str">
        <f t="shared" si="68"/>
        <v/>
      </c>
      <c r="AI925" s="164">
        <f t="shared" si="69"/>
        <v>0.15309</v>
      </c>
      <c r="AJ925" s="382"/>
      <c r="AK925" s="382"/>
      <c r="AL925" s="377">
        <f>1.4946+0.054206+0.054206</f>
        <v>1.6030119999999999</v>
      </c>
      <c r="AM925" s="382"/>
      <c r="AN925" s="382"/>
      <c r="AO925" s="382"/>
      <c r="AP925" s="382"/>
      <c r="AQ925" s="382"/>
      <c r="AR925" s="382"/>
      <c r="AS925" s="350"/>
      <c r="AT925" s="202">
        <f>SUM(AJ925:AR925)</f>
        <v>1.6030119999999999</v>
      </c>
      <c r="AU925" s="377"/>
      <c r="AV925" s="393"/>
      <c r="AW925" s="332"/>
      <c r="AX925" s="332"/>
      <c r="AY925" s="341">
        <v>0.15309</v>
      </c>
      <c r="AZ925" s="332"/>
      <c r="BA925" s="332"/>
      <c r="BB925" s="332"/>
      <c r="BC925" s="332"/>
      <c r="BD925" s="332"/>
      <c r="BE925" s="332"/>
      <c r="BF925" s="494"/>
      <c r="BG925" s="491">
        <f>SUM(AW925:BE925)</f>
        <v>0.15309</v>
      </c>
      <c r="BH925" s="341"/>
      <c r="BI925" s="447"/>
      <c r="BJ925" s="337"/>
    </row>
    <row r="926" spans="1:62" ht="15.75" customHeight="1" thickBot="1" x14ac:dyDescent="0.25">
      <c r="A926" s="176">
        <v>927</v>
      </c>
      <c r="B926" s="175">
        <v>2</v>
      </c>
      <c r="C926" s="166" t="s">
        <v>596</v>
      </c>
      <c r="D926" s="159" t="s">
        <v>2272</v>
      </c>
      <c r="E926" s="167"/>
      <c r="F926" s="167"/>
      <c r="G926" s="167"/>
      <c r="H926" s="167" t="s">
        <v>2870</v>
      </c>
      <c r="I926" s="184"/>
      <c r="J926" s="184" t="s">
        <v>2952</v>
      </c>
      <c r="K926" s="184"/>
      <c r="L926" s="181"/>
      <c r="M926" s="556" t="s">
        <v>4281</v>
      </c>
      <c r="N926" s="214"/>
      <c r="O926" s="214"/>
      <c r="P926" s="214"/>
      <c r="Q926" s="214"/>
      <c r="R926" s="214"/>
      <c r="S926" s="214"/>
      <c r="T926" s="214"/>
      <c r="U926" s="214"/>
      <c r="V926" s="214"/>
      <c r="W926" s="214"/>
      <c r="X926" s="214"/>
      <c r="Y926" s="214"/>
      <c r="Z926" s="234"/>
      <c r="AA926" s="234"/>
      <c r="AB926" s="234"/>
      <c r="AC926" s="234"/>
      <c r="AD926" s="319"/>
      <c r="AE926" s="319"/>
      <c r="AF926" s="162" t="str">
        <f t="shared" si="67"/>
        <v/>
      </c>
      <c r="AG926" s="162">
        <f t="shared" si="70"/>
        <v>1.76278241</v>
      </c>
      <c r="AH926" s="164" t="str">
        <f t="shared" si="68"/>
        <v/>
      </c>
      <c r="AI926" s="164">
        <f t="shared" si="69"/>
        <v>0.16888</v>
      </c>
      <c r="AJ926" s="382"/>
      <c r="AK926" s="382"/>
      <c r="AL926" s="377">
        <f>1.6732+0.089422+0.00016041</f>
        <v>1.76278241</v>
      </c>
      <c r="AM926" s="382"/>
      <c r="AN926" s="382"/>
      <c r="AO926" s="382"/>
      <c r="AP926" s="382"/>
      <c r="AQ926" s="382"/>
      <c r="AR926" s="382"/>
      <c r="AS926" s="350"/>
      <c r="AT926" s="202">
        <f>SUM(AJ926:AR926)</f>
        <v>1.76278241</v>
      </c>
      <c r="AU926" s="377"/>
      <c r="AV926" s="393"/>
      <c r="AW926" s="332"/>
      <c r="AX926" s="332"/>
      <c r="AY926" s="341">
        <v>0.16888</v>
      </c>
      <c r="AZ926" s="332"/>
      <c r="BA926" s="332"/>
      <c r="BB926" s="332"/>
      <c r="BC926" s="332"/>
      <c r="BD926" s="332"/>
      <c r="BE926" s="332"/>
      <c r="BF926" s="494"/>
      <c r="BG926" s="491">
        <f>SUM(AW926:BE926)</f>
        <v>0.16888</v>
      </c>
      <c r="BH926" s="341"/>
      <c r="BI926" s="447"/>
      <c r="BJ926" s="337"/>
    </row>
    <row r="927" spans="1:62" ht="15.75" customHeight="1" thickBot="1" x14ac:dyDescent="0.25">
      <c r="A927" s="176">
        <v>928</v>
      </c>
      <c r="B927" s="175">
        <v>2</v>
      </c>
      <c r="C927" s="166" t="s">
        <v>1110</v>
      </c>
      <c r="D927" s="167" t="s">
        <v>2954</v>
      </c>
      <c r="E927" s="167"/>
      <c r="F927" s="167"/>
      <c r="G927" s="167"/>
      <c r="H927" s="167"/>
      <c r="I927" s="184">
        <v>2008</v>
      </c>
      <c r="J927" s="184" t="s">
        <v>2953</v>
      </c>
      <c r="K927" s="184"/>
      <c r="L927" s="181"/>
      <c r="M927" s="556" t="s">
        <v>4274</v>
      </c>
      <c r="N927" s="214"/>
      <c r="O927" s="214"/>
      <c r="P927" s="214"/>
      <c r="Q927" s="214"/>
      <c r="R927" s="214"/>
      <c r="S927" s="214"/>
      <c r="T927" s="214"/>
      <c r="U927" s="214"/>
      <c r="V927" s="214"/>
      <c r="W927" s="214"/>
      <c r="X927" s="214"/>
      <c r="Y927" s="214"/>
      <c r="Z927" s="234"/>
      <c r="AA927" s="234"/>
      <c r="AB927" s="234"/>
      <c r="AC927" s="234"/>
      <c r="AD927" s="319"/>
      <c r="AE927" s="319"/>
      <c r="AF927" s="162" t="str">
        <f t="shared" si="67"/>
        <v/>
      </c>
      <c r="AG927" s="162" t="str">
        <f t="shared" si="70"/>
        <v/>
      </c>
      <c r="AH927" s="164">
        <f t="shared" si="68"/>
        <v>2.35</v>
      </c>
      <c r="AI927" s="164" t="str">
        <f t="shared" si="69"/>
        <v/>
      </c>
      <c r="AJ927" s="382"/>
      <c r="AK927" s="382"/>
      <c r="AL927" s="382"/>
      <c r="AM927" s="382"/>
      <c r="AN927" s="382"/>
      <c r="AO927" s="382"/>
      <c r="AP927" s="382"/>
      <c r="AQ927" s="382"/>
      <c r="AR927" s="382"/>
      <c r="AS927" s="204"/>
      <c r="AT927" s="199"/>
      <c r="AU927" s="377"/>
      <c r="AV927" s="393"/>
      <c r="AW927" s="332"/>
      <c r="AX927" s="332"/>
      <c r="AY927" s="332"/>
      <c r="AZ927" s="332"/>
      <c r="BA927" s="332"/>
      <c r="BB927" s="332"/>
      <c r="BC927" s="332"/>
      <c r="BD927" s="332"/>
      <c r="BE927" s="332"/>
      <c r="BF927" s="489">
        <v>2.35</v>
      </c>
      <c r="BG927" s="467"/>
      <c r="BH927" s="341"/>
      <c r="BI927" s="447"/>
      <c r="BJ927" s="337"/>
    </row>
    <row r="928" spans="1:62" ht="15.75" customHeight="1" thickBot="1" x14ac:dyDescent="0.25">
      <c r="A928" s="176">
        <v>929</v>
      </c>
      <c r="B928" s="175">
        <v>2</v>
      </c>
      <c r="C928" s="166" t="s">
        <v>162</v>
      </c>
      <c r="D928" s="167" t="s">
        <v>893</v>
      </c>
      <c r="E928" s="167"/>
      <c r="F928" s="167"/>
      <c r="G928" s="167"/>
      <c r="H928" s="167"/>
      <c r="I928" s="184">
        <v>2011</v>
      </c>
      <c r="J928" s="184" t="s">
        <v>2956</v>
      </c>
      <c r="K928" s="184"/>
      <c r="L928" s="181" t="s">
        <v>83</v>
      </c>
      <c r="M928" s="556" t="s">
        <v>4286</v>
      </c>
      <c r="N928" s="214"/>
      <c r="O928" s="214"/>
      <c r="P928" s="214"/>
      <c r="Q928" s="214"/>
      <c r="R928" s="214"/>
      <c r="S928" s="214"/>
      <c r="T928" s="214"/>
      <c r="U928" s="214"/>
      <c r="V928" s="214"/>
      <c r="W928" s="214"/>
      <c r="X928" s="214"/>
      <c r="Y928" s="214"/>
      <c r="Z928" s="234"/>
      <c r="AA928" s="234"/>
      <c r="AB928" s="234"/>
      <c r="AC928" s="234"/>
      <c r="AD928" s="319" t="s">
        <v>2957</v>
      </c>
      <c r="AE928" s="319"/>
      <c r="AF928" s="162">
        <f t="shared" si="67"/>
        <v>3.33</v>
      </c>
      <c r="AG928" s="162" t="str">
        <f t="shared" si="70"/>
        <v/>
      </c>
      <c r="AH928" s="164">
        <f t="shared" si="68"/>
        <v>0.30199999999999999</v>
      </c>
      <c r="AI928" s="164" t="str">
        <f t="shared" si="69"/>
        <v/>
      </c>
      <c r="AJ928" s="382"/>
      <c r="AK928" s="382"/>
      <c r="AL928" s="382"/>
      <c r="AM928" s="382"/>
      <c r="AN928" s="382"/>
      <c r="AO928" s="382"/>
      <c r="AP928" s="382"/>
      <c r="AQ928" s="382"/>
      <c r="AR928" s="382"/>
      <c r="AS928" s="204">
        <v>3.33</v>
      </c>
      <c r="AT928" s="199"/>
      <c r="AU928" s="377"/>
      <c r="AV928" s="393"/>
      <c r="AW928" s="332"/>
      <c r="AX928" s="332"/>
      <c r="AY928" s="332"/>
      <c r="AZ928" s="332"/>
      <c r="BA928" s="332"/>
      <c r="BB928" s="332"/>
      <c r="BC928" s="332"/>
      <c r="BD928" s="332"/>
      <c r="BE928" s="332"/>
      <c r="BF928" s="490">
        <v>0.30199999999999999</v>
      </c>
      <c r="BG928" s="467"/>
      <c r="BH928" s="341"/>
      <c r="BI928" s="447" t="s">
        <v>2958</v>
      </c>
      <c r="BJ928" s="337"/>
    </row>
    <row r="929" spans="1:62" ht="15.75" customHeight="1" thickBot="1" x14ac:dyDescent="0.25">
      <c r="A929" s="176">
        <v>930</v>
      </c>
      <c r="B929" s="175">
        <v>2</v>
      </c>
      <c r="C929" s="166" t="s">
        <v>162</v>
      </c>
      <c r="D929" s="167" t="s">
        <v>2746</v>
      </c>
      <c r="E929" s="167"/>
      <c r="F929" s="167"/>
      <c r="G929" s="167"/>
      <c r="H929" s="167"/>
      <c r="I929" s="184">
        <v>2011</v>
      </c>
      <c r="J929" s="184" t="s">
        <v>2956</v>
      </c>
      <c r="K929" s="184"/>
      <c r="L929" s="181" t="s">
        <v>83</v>
      </c>
      <c r="M929" s="556" t="s">
        <v>4286</v>
      </c>
      <c r="N929" s="214"/>
      <c r="O929" s="214"/>
      <c r="P929" s="214"/>
      <c r="Q929" s="214"/>
      <c r="R929" s="214"/>
      <c r="S929" s="214"/>
      <c r="T929" s="214"/>
      <c r="U929" s="214"/>
      <c r="V929" s="214"/>
      <c r="W929" s="214"/>
      <c r="X929" s="214"/>
      <c r="Y929" s="214"/>
      <c r="Z929" s="234"/>
      <c r="AA929" s="234"/>
      <c r="AB929" s="234"/>
      <c r="AC929" s="234"/>
      <c r="AD929" s="319" t="s">
        <v>2957</v>
      </c>
      <c r="AE929" s="319"/>
      <c r="AF929" s="162">
        <f t="shared" si="67"/>
        <v>1.92</v>
      </c>
      <c r="AG929" s="162" t="str">
        <f t="shared" si="70"/>
        <v/>
      </c>
      <c r="AH929" s="164">
        <f t="shared" si="68"/>
        <v>0.152</v>
      </c>
      <c r="AI929" s="164" t="str">
        <f t="shared" si="69"/>
        <v/>
      </c>
      <c r="AJ929" s="382"/>
      <c r="AK929" s="382"/>
      <c r="AL929" s="382"/>
      <c r="AM929" s="382"/>
      <c r="AN929" s="382"/>
      <c r="AO929" s="382"/>
      <c r="AP929" s="382"/>
      <c r="AQ929" s="382"/>
      <c r="AR929" s="382"/>
      <c r="AS929" s="204">
        <v>1.92</v>
      </c>
      <c r="AT929" s="199"/>
      <c r="AU929" s="377"/>
      <c r="AV929" s="393"/>
      <c r="AW929" s="332"/>
      <c r="AX929" s="332"/>
      <c r="AY929" s="332"/>
      <c r="AZ929" s="332"/>
      <c r="BA929" s="332"/>
      <c r="BB929" s="332"/>
      <c r="BC929" s="332"/>
      <c r="BD929" s="332"/>
      <c r="BE929" s="332"/>
      <c r="BF929" s="490">
        <v>0.152</v>
      </c>
      <c r="BG929" s="467"/>
      <c r="BH929" s="341"/>
      <c r="BI929" s="447" t="s">
        <v>2958</v>
      </c>
      <c r="BJ929" s="337"/>
    </row>
    <row r="930" spans="1:62" ht="15.75" customHeight="1" thickBot="1" x14ac:dyDescent="0.25">
      <c r="A930" s="176">
        <v>931</v>
      </c>
      <c r="B930" s="175">
        <v>2</v>
      </c>
      <c r="C930" s="166" t="s">
        <v>162</v>
      </c>
      <c r="D930" s="167" t="s">
        <v>1864</v>
      </c>
      <c r="E930" s="167"/>
      <c r="F930" s="167"/>
      <c r="G930" s="167"/>
      <c r="H930" s="167"/>
      <c r="I930" s="184">
        <v>2011</v>
      </c>
      <c r="J930" s="184" t="s">
        <v>2956</v>
      </c>
      <c r="K930" s="184"/>
      <c r="L930" s="181" t="s">
        <v>83</v>
      </c>
      <c r="M930" s="556" t="s">
        <v>4286</v>
      </c>
      <c r="N930" s="214"/>
      <c r="O930" s="214"/>
      <c r="P930" s="214"/>
      <c r="Q930" s="214"/>
      <c r="R930" s="214"/>
      <c r="S930" s="214"/>
      <c r="T930" s="214"/>
      <c r="U930" s="214"/>
      <c r="V930" s="214"/>
      <c r="W930" s="214"/>
      <c r="X930" s="214"/>
      <c r="Y930" s="214"/>
      <c r="Z930" s="234"/>
      <c r="AA930" s="234"/>
      <c r="AB930" s="234"/>
      <c r="AC930" s="234"/>
      <c r="AD930" s="319" t="s">
        <v>2957</v>
      </c>
      <c r="AE930" s="319"/>
      <c r="AF930" s="162">
        <f t="shared" si="67"/>
        <v>1.81</v>
      </c>
      <c r="AG930" s="162" t="str">
        <f t="shared" si="70"/>
        <v/>
      </c>
      <c r="AH930" s="164">
        <f t="shared" si="68"/>
        <v>0.121</v>
      </c>
      <c r="AI930" s="164" t="str">
        <f t="shared" si="69"/>
        <v/>
      </c>
      <c r="AJ930" s="382"/>
      <c r="AK930" s="382"/>
      <c r="AL930" s="382"/>
      <c r="AM930" s="382"/>
      <c r="AN930" s="382"/>
      <c r="AO930" s="382"/>
      <c r="AP930" s="382"/>
      <c r="AQ930" s="382"/>
      <c r="AR930" s="382"/>
      <c r="AS930" s="204">
        <v>1.81</v>
      </c>
      <c r="AT930" s="199"/>
      <c r="AU930" s="377"/>
      <c r="AV930" s="393"/>
      <c r="AW930" s="332"/>
      <c r="AX930" s="332"/>
      <c r="AY930" s="332"/>
      <c r="AZ930" s="332"/>
      <c r="BA930" s="332"/>
      <c r="BB930" s="332"/>
      <c r="BC930" s="332"/>
      <c r="BD930" s="332"/>
      <c r="BE930" s="332"/>
      <c r="BF930" s="490">
        <v>0.121</v>
      </c>
      <c r="BG930" s="467"/>
      <c r="BH930" s="341"/>
      <c r="BI930" s="447" t="s">
        <v>2958</v>
      </c>
      <c r="BJ930" s="337"/>
    </row>
    <row r="931" spans="1:62" ht="15.75" customHeight="1" thickBot="1" x14ac:dyDescent="0.25">
      <c r="A931" s="176">
        <v>932</v>
      </c>
      <c r="B931" s="175">
        <v>2</v>
      </c>
      <c r="C931" s="166" t="s">
        <v>162</v>
      </c>
      <c r="D931" s="167" t="s">
        <v>2447</v>
      </c>
      <c r="E931" s="167"/>
      <c r="F931" s="167"/>
      <c r="G931" s="167"/>
      <c r="H931" s="167"/>
      <c r="I931" s="184">
        <v>2011</v>
      </c>
      <c r="J931" s="184" t="s">
        <v>2956</v>
      </c>
      <c r="K931" s="184"/>
      <c r="L931" s="181" t="s">
        <v>83</v>
      </c>
      <c r="M931" s="556" t="s">
        <v>4286</v>
      </c>
      <c r="N931" s="214"/>
      <c r="O931" s="214"/>
      <c r="P931" s="214"/>
      <c r="Q931" s="214"/>
      <c r="R931" s="214"/>
      <c r="S931" s="214"/>
      <c r="T931" s="214"/>
      <c r="U931" s="214"/>
      <c r="V931" s="214"/>
      <c r="W931" s="214"/>
      <c r="X931" s="214"/>
      <c r="Y931" s="214"/>
      <c r="Z931" s="234"/>
      <c r="AA931" s="234"/>
      <c r="AB931" s="234"/>
      <c r="AC931" s="234"/>
      <c r="AD931" s="319" t="s">
        <v>2957</v>
      </c>
      <c r="AE931" s="319"/>
      <c r="AF931" s="162">
        <f t="shared" si="67"/>
        <v>0.96699999999999997</v>
      </c>
      <c r="AG931" s="162" t="str">
        <f t="shared" si="70"/>
        <v/>
      </c>
      <c r="AH931" s="164">
        <f t="shared" si="68"/>
        <v>9.8400000000000001E-2</v>
      </c>
      <c r="AI931" s="164" t="str">
        <f t="shared" si="69"/>
        <v/>
      </c>
      <c r="AJ931" s="382"/>
      <c r="AK931" s="382"/>
      <c r="AL931" s="382"/>
      <c r="AM931" s="382"/>
      <c r="AN931" s="382"/>
      <c r="AO931" s="382"/>
      <c r="AP931" s="382"/>
      <c r="AQ931" s="382"/>
      <c r="AR931" s="382"/>
      <c r="AS931" s="204">
        <v>0.96699999999999997</v>
      </c>
      <c r="AT931" s="199"/>
      <c r="AU931" s="377"/>
      <c r="AV931" s="393"/>
      <c r="AW931" s="332"/>
      <c r="AX931" s="332"/>
      <c r="AY931" s="332"/>
      <c r="AZ931" s="332"/>
      <c r="BA931" s="332"/>
      <c r="BB931" s="332"/>
      <c r="BC931" s="332"/>
      <c r="BD931" s="332"/>
      <c r="BE931" s="332"/>
      <c r="BF931" s="490">
        <v>9.8400000000000001E-2</v>
      </c>
      <c r="BG931" s="467"/>
      <c r="BH931" s="341"/>
      <c r="BI931" s="447" t="s">
        <v>2958</v>
      </c>
      <c r="BJ931" s="337"/>
    </row>
    <row r="932" spans="1:62" ht="15.75" customHeight="1" thickBot="1" x14ac:dyDescent="0.25">
      <c r="A932" s="176">
        <v>933</v>
      </c>
      <c r="B932" s="175">
        <v>2</v>
      </c>
      <c r="C932" s="166" t="s">
        <v>162</v>
      </c>
      <c r="D932" s="167" t="s">
        <v>2152</v>
      </c>
      <c r="E932" s="167"/>
      <c r="F932" s="167"/>
      <c r="G932" s="167"/>
      <c r="H932" s="167"/>
      <c r="I932" s="184">
        <v>2011</v>
      </c>
      <c r="J932" s="184" t="s">
        <v>2956</v>
      </c>
      <c r="K932" s="184"/>
      <c r="L932" s="181" t="s">
        <v>83</v>
      </c>
      <c r="M932" s="556" t="s">
        <v>4286</v>
      </c>
      <c r="N932" s="214"/>
      <c r="O932" s="214"/>
      <c r="P932" s="214"/>
      <c r="Q932" s="214"/>
      <c r="R932" s="214"/>
      <c r="S932" s="214"/>
      <c r="T932" s="214"/>
      <c r="U932" s="214"/>
      <c r="V932" s="214"/>
      <c r="W932" s="214"/>
      <c r="X932" s="214"/>
      <c r="Y932" s="214"/>
      <c r="Z932" s="234"/>
      <c r="AA932" s="234"/>
      <c r="AB932" s="234"/>
      <c r="AC932" s="234"/>
      <c r="AD932" s="319" t="s">
        <v>2957</v>
      </c>
      <c r="AE932" s="319"/>
      <c r="AF932" s="162">
        <f t="shared" si="67"/>
        <v>5.64</v>
      </c>
      <c r="AG932" s="162" t="str">
        <f t="shared" si="70"/>
        <v/>
      </c>
      <c r="AH932" s="164">
        <f t="shared" si="68"/>
        <v>0.27</v>
      </c>
      <c r="AI932" s="164" t="str">
        <f t="shared" si="69"/>
        <v/>
      </c>
      <c r="AJ932" s="382"/>
      <c r="AK932" s="382"/>
      <c r="AL932" s="382"/>
      <c r="AM932" s="382"/>
      <c r="AN932" s="382"/>
      <c r="AO932" s="382"/>
      <c r="AP932" s="382"/>
      <c r="AQ932" s="382"/>
      <c r="AR932" s="382"/>
      <c r="AS932" s="204">
        <v>5.64</v>
      </c>
      <c r="AT932" s="199"/>
      <c r="AU932" s="377"/>
      <c r="AV932" s="393"/>
      <c r="AW932" s="332"/>
      <c r="AX932" s="332"/>
      <c r="AY932" s="332"/>
      <c r="AZ932" s="332"/>
      <c r="BA932" s="332"/>
      <c r="BB932" s="332"/>
      <c r="BC932" s="332"/>
      <c r="BD932" s="332"/>
      <c r="BE932" s="332"/>
      <c r="BF932" s="490">
        <v>0.27</v>
      </c>
      <c r="BG932" s="467"/>
      <c r="BH932" s="341"/>
      <c r="BI932" s="447" t="s">
        <v>2958</v>
      </c>
      <c r="BJ932" s="337"/>
    </row>
    <row r="933" spans="1:62" ht="15.75" customHeight="1" thickBot="1" x14ac:dyDescent="0.25">
      <c r="A933" s="176">
        <v>934</v>
      </c>
      <c r="B933" s="175">
        <v>2</v>
      </c>
      <c r="C933" s="166" t="s">
        <v>760</v>
      </c>
      <c r="D933" s="167" t="s">
        <v>2959</v>
      </c>
      <c r="E933" s="167"/>
      <c r="F933" s="167"/>
      <c r="G933" s="167"/>
      <c r="H933" s="167"/>
      <c r="I933" s="184">
        <v>2011</v>
      </c>
      <c r="J933" s="184" t="s">
        <v>2956</v>
      </c>
      <c r="K933" s="184"/>
      <c r="L933" s="181" t="s">
        <v>83</v>
      </c>
      <c r="M933" s="556" t="s">
        <v>4286</v>
      </c>
      <c r="N933" s="214"/>
      <c r="O933" s="214"/>
      <c r="P933" s="214"/>
      <c r="Q933" s="214"/>
      <c r="R933" s="214"/>
      <c r="S933" s="214"/>
      <c r="T933" s="214"/>
      <c r="U933" s="214"/>
      <c r="V933" s="214"/>
      <c r="W933" s="214"/>
      <c r="X933" s="214"/>
      <c r="Y933" s="214"/>
      <c r="Z933" s="234"/>
      <c r="AA933" s="234"/>
      <c r="AB933" s="234"/>
      <c r="AC933" s="234"/>
      <c r="AD933" s="319" t="s">
        <v>2957</v>
      </c>
      <c r="AE933" s="319"/>
      <c r="AF933" s="162">
        <f t="shared" si="67"/>
        <v>28.4</v>
      </c>
      <c r="AG933" s="162" t="str">
        <f t="shared" si="70"/>
        <v/>
      </c>
      <c r="AH933" s="164">
        <f t="shared" si="68"/>
        <v>1.46</v>
      </c>
      <c r="AI933" s="164" t="str">
        <f t="shared" si="69"/>
        <v/>
      </c>
      <c r="AJ933" s="382"/>
      <c r="AK933" s="382"/>
      <c r="AL933" s="382"/>
      <c r="AM933" s="382"/>
      <c r="AN933" s="382"/>
      <c r="AO933" s="382"/>
      <c r="AP933" s="382"/>
      <c r="AQ933" s="382"/>
      <c r="AR933" s="382"/>
      <c r="AS933" s="204">
        <v>28.4</v>
      </c>
      <c r="AT933" s="199"/>
      <c r="AU933" s="377"/>
      <c r="AV933" s="393"/>
      <c r="AW933" s="332"/>
      <c r="AX933" s="332"/>
      <c r="AY933" s="332"/>
      <c r="AZ933" s="332"/>
      <c r="BA933" s="332"/>
      <c r="BB933" s="332"/>
      <c r="BC933" s="332"/>
      <c r="BD933" s="332"/>
      <c r="BE933" s="332"/>
      <c r="BF933" s="490">
        <v>1.46</v>
      </c>
      <c r="BG933" s="467"/>
      <c r="BH933" s="341"/>
      <c r="BI933" s="447" t="s">
        <v>2958</v>
      </c>
      <c r="BJ933" s="337"/>
    </row>
    <row r="934" spans="1:62" ht="15.75" customHeight="1" thickBot="1" x14ac:dyDescent="0.25">
      <c r="A934" s="176">
        <v>935</v>
      </c>
      <c r="B934" s="175">
        <v>2</v>
      </c>
      <c r="C934" s="166" t="s">
        <v>760</v>
      </c>
      <c r="D934" s="167" t="s">
        <v>2449</v>
      </c>
      <c r="E934" s="167"/>
      <c r="F934" s="167"/>
      <c r="G934" s="167"/>
      <c r="H934" s="167"/>
      <c r="I934" s="184">
        <v>2011</v>
      </c>
      <c r="J934" s="184" t="s">
        <v>2956</v>
      </c>
      <c r="K934" s="184"/>
      <c r="L934" s="181" t="s">
        <v>83</v>
      </c>
      <c r="M934" s="556" t="s">
        <v>4286</v>
      </c>
      <c r="N934" s="214"/>
      <c r="O934" s="214"/>
      <c r="P934" s="214"/>
      <c r="Q934" s="214"/>
      <c r="R934" s="214"/>
      <c r="S934" s="214"/>
      <c r="T934" s="214"/>
      <c r="U934" s="214"/>
      <c r="V934" s="214"/>
      <c r="W934" s="214"/>
      <c r="X934" s="214"/>
      <c r="Y934" s="214"/>
      <c r="Z934" s="234"/>
      <c r="AA934" s="234"/>
      <c r="AB934" s="234"/>
      <c r="AC934" s="234"/>
      <c r="AD934" s="319" t="s">
        <v>2957</v>
      </c>
      <c r="AE934" s="319"/>
      <c r="AF934" s="162">
        <f t="shared" si="67"/>
        <v>22.4</v>
      </c>
      <c r="AG934" s="162" t="str">
        <f t="shared" si="70"/>
        <v/>
      </c>
      <c r="AH934" s="164">
        <f t="shared" si="68"/>
        <v>1.1599999999999999</v>
      </c>
      <c r="AI934" s="164" t="str">
        <f t="shared" si="69"/>
        <v/>
      </c>
      <c r="AJ934" s="382"/>
      <c r="AK934" s="382"/>
      <c r="AL934" s="382"/>
      <c r="AM934" s="382"/>
      <c r="AN934" s="382"/>
      <c r="AO934" s="382"/>
      <c r="AP934" s="382"/>
      <c r="AQ934" s="382"/>
      <c r="AR934" s="382"/>
      <c r="AS934" s="204">
        <v>22.4</v>
      </c>
      <c r="AT934" s="199"/>
      <c r="AU934" s="377"/>
      <c r="AV934" s="393"/>
      <c r="AW934" s="332"/>
      <c r="AX934" s="332"/>
      <c r="AY934" s="332"/>
      <c r="AZ934" s="332"/>
      <c r="BA934" s="332"/>
      <c r="BB934" s="332"/>
      <c r="BC934" s="332"/>
      <c r="BD934" s="332"/>
      <c r="BE934" s="332"/>
      <c r="BF934" s="490">
        <v>1.1599999999999999</v>
      </c>
      <c r="BG934" s="467"/>
      <c r="BH934" s="341"/>
      <c r="BI934" s="447" t="s">
        <v>2958</v>
      </c>
      <c r="BJ934" s="337"/>
    </row>
    <row r="935" spans="1:62" ht="15.75" customHeight="1" thickBot="1" x14ac:dyDescent="0.25">
      <c r="A935" s="176">
        <v>936</v>
      </c>
      <c r="B935" s="175">
        <v>2</v>
      </c>
      <c r="C935" s="166" t="s">
        <v>236</v>
      </c>
      <c r="D935" s="167" t="s">
        <v>2136</v>
      </c>
      <c r="E935" s="167"/>
      <c r="F935" s="167"/>
      <c r="G935" s="167"/>
      <c r="H935" s="167"/>
      <c r="I935" s="184">
        <v>2011</v>
      </c>
      <c r="J935" s="184" t="s">
        <v>2956</v>
      </c>
      <c r="K935" s="184"/>
      <c r="L935" s="181" t="s">
        <v>83</v>
      </c>
      <c r="M935" s="556" t="s">
        <v>4286</v>
      </c>
      <c r="N935" s="214"/>
      <c r="O935" s="214"/>
      <c r="P935" s="214"/>
      <c r="Q935" s="214"/>
      <c r="R935" s="214"/>
      <c r="S935" s="214"/>
      <c r="T935" s="214"/>
      <c r="U935" s="214"/>
      <c r="V935" s="214"/>
      <c r="W935" s="214"/>
      <c r="X935" s="214"/>
      <c r="Y935" s="214"/>
      <c r="Z935" s="234"/>
      <c r="AA935" s="234"/>
      <c r="AB935" s="234"/>
      <c r="AC935" s="234"/>
      <c r="AD935" s="319" t="s">
        <v>2957</v>
      </c>
      <c r="AE935" s="319"/>
      <c r="AF935" s="162">
        <f t="shared" si="67"/>
        <v>7.08</v>
      </c>
      <c r="AG935" s="162" t="str">
        <f t="shared" si="70"/>
        <v/>
      </c>
      <c r="AH935" s="164">
        <f t="shared" si="68"/>
        <v>0.28499999999999998</v>
      </c>
      <c r="AI935" s="164" t="str">
        <f t="shared" si="69"/>
        <v/>
      </c>
      <c r="AJ935" s="382"/>
      <c r="AK935" s="382"/>
      <c r="AL935" s="382"/>
      <c r="AM935" s="382"/>
      <c r="AN935" s="382"/>
      <c r="AO935" s="382"/>
      <c r="AP935" s="382"/>
      <c r="AQ935" s="382"/>
      <c r="AR935" s="382"/>
      <c r="AS935" s="204">
        <v>7.08</v>
      </c>
      <c r="AT935" s="199"/>
      <c r="AU935" s="377"/>
      <c r="AV935" s="393"/>
      <c r="AW935" s="332"/>
      <c r="AX935" s="332"/>
      <c r="AY935" s="332"/>
      <c r="AZ935" s="332"/>
      <c r="BA935" s="332"/>
      <c r="BB935" s="332"/>
      <c r="BC935" s="332"/>
      <c r="BD935" s="332"/>
      <c r="BE935" s="332"/>
      <c r="BF935" s="490">
        <v>0.28499999999999998</v>
      </c>
      <c r="BG935" s="467"/>
      <c r="BH935" s="341"/>
      <c r="BI935" s="447" t="s">
        <v>2958</v>
      </c>
      <c r="BJ935" s="337"/>
    </row>
    <row r="936" spans="1:62" ht="15.75" customHeight="1" thickBot="1" x14ac:dyDescent="0.25">
      <c r="A936" s="176">
        <v>937</v>
      </c>
      <c r="B936" s="175">
        <v>2</v>
      </c>
      <c r="C936" s="166" t="s">
        <v>236</v>
      </c>
      <c r="D936" s="167" t="s">
        <v>2769</v>
      </c>
      <c r="E936" s="167"/>
      <c r="F936" s="167"/>
      <c r="G936" s="167"/>
      <c r="H936" s="167"/>
      <c r="I936" s="184">
        <v>2011</v>
      </c>
      <c r="J936" s="184" t="s">
        <v>2956</v>
      </c>
      <c r="K936" s="184"/>
      <c r="L936" s="181" t="s">
        <v>83</v>
      </c>
      <c r="M936" s="556" t="s">
        <v>4286</v>
      </c>
      <c r="N936" s="214"/>
      <c r="O936" s="214"/>
      <c r="P936" s="214"/>
      <c r="Q936" s="214"/>
      <c r="R936" s="214"/>
      <c r="S936" s="214"/>
      <c r="T936" s="214"/>
      <c r="U936" s="214"/>
      <c r="V936" s="214"/>
      <c r="W936" s="214"/>
      <c r="X936" s="214"/>
      <c r="Y936" s="214"/>
      <c r="Z936" s="234"/>
      <c r="AA936" s="234"/>
      <c r="AB936" s="234"/>
      <c r="AC936" s="234"/>
      <c r="AD936" s="319" t="s">
        <v>2957</v>
      </c>
      <c r="AE936" s="319"/>
      <c r="AF936" s="162">
        <f t="shared" si="67"/>
        <v>1.93</v>
      </c>
      <c r="AG936" s="162" t="str">
        <f t="shared" si="70"/>
        <v/>
      </c>
      <c r="AH936" s="164">
        <f t="shared" si="68"/>
        <v>0.107</v>
      </c>
      <c r="AI936" s="164" t="str">
        <f t="shared" si="69"/>
        <v/>
      </c>
      <c r="AJ936" s="382"/>
      <c r="AK936" s="382"/>
      <c r="AL936" s="382"/>
      <c r="AM936" s="382"/>
      <c r="AN936" s="382"/>
      <c r="AO936" s="382"/>
      <c r="AP936" s="382"/>
      <c r="AQ936" s="382"/>
      <c r="AR936" s="382"/>
      <c r="AS936" s="204">
        <v>1.93</v>
      </c>
      <c r="AT936" s="199"/>
      <c r="AU936" s="377"/>
      <c r="AV936" s="393"/>
      <c r="AW936" s="332"/>
      <c r="AX936" s="332"/>
      <c r="AY936" s="332"/>
      <c r="AZ936" s="332"/>
      <c r="BA936" s="332"/>
      <c r="BB936" s="332"/>
      <c r="BC936" s="332"/>
      <c r="BD936" s="332"/>
      <c r="BE936" s="332"/>
      <c r="BF936" s="490">
        <v>0.107</v>
      </c>
      <c r="BG936" s="467"/>
      <c r="BH936" s="341"/>
      <c r="BI936" s="447" t="s">
        <v>2958</v>
      </c>
      <c r="BJ936" s="337"/>
    </row>
    <row r="937" spans="1:62" ht="15.75" customHeight="1" thickBot="1" x14ac:dyDescent="0.25">
      <c r="A937" s="176">
        <v>938</v>
      </c>
      <c r="B937" s="175">
        <v>2</v>
      </c>
      <c r="C937" s="166" t="s">
        <v>236</v>
      </c>
      <c r="D937" s="167" t="s">
        <v>1769</v>
      </c>
      <c r="E937" s="167"/>
      <c r="F937" s="167"/>
      <c r="G937" s="167"/>
      <c r="H937" s="167"/>
      <c r="I937" s="184">
        <v>2011</v>
      </c>
      <c r="J937" s="184" t="s">
        <v>2956</v>
      </c>
      <c r="K937" s="184"/>
      <c r="L937" s="181" t="s">
        <v>83</v>
      </c>
      <c r="M937" s="556" t="s">
        <v>4286</v>
      </c>
      <c r="N937" s="214"/>
      <c r="O937" s="214"/>
      <c r="P937" s="214"/>
      <c r="Q937" s="214"/>
      <c r="R937" s="214"/>
      <c r="S937" s="214"/>
      <c r="T937" s="214"/>
      <c r="U937" s="214"/>
      <c r="V937" s="214"/>
      <c r="W937" s="214"/>
      <c r="X937" s="214"/>
      <c r="Y937" s="214"/>
      <c r="Z937" s="234"/>
      <c r="AA937" s="234"/>
      <c r="AB937" s="234"/>
      <c r="AC937" s="234"/>
      <c r="AD937" s="319" t="s">
        <v>2957</v>
      </c>
      <c r="AE937" s="319"/>
      <c r="AF937" s="162">
        <f t="shared" si="67"/>
        <v>2.68</v>
      </c>
      <c r="AG937" s="162" t="str">
        <f t="shared" si="70"/>
        <v/>
      </c>
      <c r="AH937" s="164">
        <f t="shared" si="68"/>
        <v>0.23</v>
      </c>
      <c r="AI937" s="164" t="str">
        <f t="shared" si="69"/>
        <v/>
      </c>
      <c r="AJ937" s="382"/>
      <c r="AK937" s="382"/>
      <c r="AL937" s="382"/>
      <c r="AM937" s="382"/>
      <c r="AN937" s="382"/>
      <c r="AO937" s="382"/>
      <c r="AP937" s="382"/>
      <c r="AQ937" s="382"/>
      <c r="AR937" s="382"/>
      <c r="AS937" s="204">
        <v>2.68</v>
      </c>
      <c r="AT937" s="199"/>
      <c r="AU937" s="377"/>
      <c r="AV937" s="393"/>
      <c r="AW937" s="332"/>
      <c r="AX937" s="332"/>
      <c r="AY937" s="332"/>
      <c r="AZ937" s="332"/>
      <c r="BA937" s="332"/>
      <c r="BB937" s="332"/>
      <c r="BC937" s="332"/>
      <c r="BD937" s="332"/>
      <c r="BE937" s="332"/>
      <c r="BF937" s="490">
        <v>0.23</v>
      </c>
      <c r="BG937" s="467"/>
      <c r="BH937" s="341"/>
      <c r="BI937" s="447" t="s">
        <v>2958</v>
      </c>
      <c r="BJ937" s="337"/>
    </row>
    <row r="938" spans="1:62" ht="15.75" customHeight="1" thickBot="1" x14ac:dyDescent="0.25">
      <c r="A938" s="176">
        <v>939</v>
      </c>
      <c r="B938" s="175">
        <v>2</v>
      </c>
      <c r="C938" s="166" t="s">
        <v>236</v>
      </c>
      <c r="D938" s="159" t="s">
        <v>1739</v>
      </c>
      <c r="E938" s="167"/>
      <c r="F938" s="167"/>
      <c r="G938" s="167"/>
      <c r="H938" s="167"/>
      <c r="I938" s="184">
        <v>2011</v>
      </c>
      <c r="J938" s="184" t="s">
        <v>2956</v>
      </c>
      <c r="K938" s="184"/>
      <c r="L938" s="181" t="s">
        <v>83</v>
      </c>
      <c r="M938" s="556" t="s">
        <v>4286</v>
      </c>
      <c r="N938" s="214"/>
      <c r="O938" s="214"/>
      <c r="P938" s="214"/>
      <c r="Q938" s="214"/>
      <c r="R938" s="214"/>
      <c r="S938" s="214"/>
      <c r="T938" s="214"/>
      <c r="U938" s="214"/>
      <c r="V938" s="214"/>
      <c r="W938" s="214"/>
      <c r="X938" s="214"/>
      <c r="Y938" s="214"/>
      <c r="Z938" s="234"/>
      <c r="AA938" s="234"/>
      <c r="AB938" s="234"/>
      <c r="AC938" s="234"/>
      <c r="AD938" s="319" t="s">
        <v>2957</v>
      </c>
      <c r="AE938" s="319"/>
      <c r="AF938" s="162">
        <f t="shared" si="67"/>
        <v>3.13</v>
      </c>
      <c r="AG938" s="162" t="str">
        <f t="shared" si="70"/>
        <v/>
      </c>
      <c r="AH938" s="164">
        <f t="shared" si="68"/>
        <v>0.14799999999999999</v>
      </c>
      <c r="AI938" s="164" t="str">
        <f t="shared" si="69"/>
        <v/>
      </c>
      <c r="AJ938" s="382"/>
      <c r="AK938" s="382"/>
      <c r="AL938" s="382"/>
      <c r="AM938" s="382"/>
      <c r="AN938" s="382"/>
      <c r="AO938" s="382"/>
      <c r="AP938" s="382"/>
      <c r="AQ938" s="382"/>
      <c r="AR938" s="382"/>
      <c r="AS938" s="204">
        <v>3.13</v>
      </c>
      <c r="AT938" s="199"/>
      <c r="AU938" s="377"/>
      <c r="AV938" s="393"/>
      <c r="AW938" s="332"/>
      <c r="AX938" s="332"/>
      <c r="AY938" s="332"/>
      <c r="AZ938" s="332"/>
      <c r="BA938" s="332"/>
      <c r="BB938" s="332"/>
      <c r="BC938" s="332"/>
      <c r="BD938" s="332"/>
      <c r="BE938" s="332"/>
      <c r="BF938" s="490">
        <v>0.14799999999999999</v>
      </c>
      <c r="BG938" s="467"/>
      <c r="BH938" s="341"/>
      <c r="BI938" s="447" t="s">
        <v>2958</v>
      </c>
      <c r="BJ938" s="337"/>
    </row>
    <row r="939" spans="1:62" ht="15.75" customHeight="1" thickBot="1" x14ac:dyDescent="0.25">
      <c r="A939" s="176">
        <v>940</v>
      </c>
      <c r="B939" s="175">
        <v>2</v>
      </c>
      <c r="C939" s="166" t="s">
        <v>162</v>
      </c>
      <c r="D939" s="159" t="s">
        <v>2206</v>
      </c>
      <c r="E939" s="167"/>
      <c r="F939" s="167"/>
      <c r="G939" s="167"/>
      <c r="H939" s="167"/>
      <c r="I939" s="184">
        <v>2018</v>
      </c>
      <c r="J939" s="184" t="s">
        <v>2956</v>
      </c>
      <c r="K939" s="184"/>
      <c r="L939" s="181" t="s">
        <v>83</v>
      </c>
      <c r="M939" s="556" t="s">
        <v>4286</v>
      </c>
      <c r="N939" s="214"/>
      <c r="O939" s="214"/>
      <c r="P939" s="214"/>
      <c r="Q939" s="214"/>
      <c r="R939" s="214"/>
      <c r="S939" s="214"/>
      <c r="T939" s="214"/>
      <c r="U939" s="214"/>
      <c r="V939" s="214"/>
      <c r="W939" s="214"/>
      <c r="X939" s="214"/>
      <c r="Y939" s="214"/>
      <c r="Z939" s="234"/>
      <c r="AA939" s="234"/>
      <c r="AB939" s="234"/>
      <c r="AC939" s="234"/>
      <c r="AD939" s="319" t="s">
        <v>2957</v>
      </c>
      <c r="AE939" s="319"/>
      <c r="AF939" s="162">
        <f t="shared" si="67"/>
        <v>2.69</v>
      </c>
      <c r="AG939" s="162" t="str">
        <f t="shared" si="70"/>
        <v/>
      </c>
      <c r="AH939" s="164">
        <f t="shared" si="68"/>
        <v>0.157</v>
      </c>
      <c r="AI939" s="164" t="str">
        <f t="shared" si="69"/>
        <v/>
      </c>
      <c r="AJ939" s="382"/>
      <c r="AK939" s="382"/>
      <c r="AL939" s="382"/>
      <c r="AM939" s="382"/>
      <c r="AN939" s="382"/>
      <c r="AO939" s="382"/>
      <c r="AP939" s="382"/>
      <c r="AQ939" s="382"/>
      <c r="AR939" s="382"/>
      <c r="AS939" s="204">
        <v>2.69</v>
      </c>
      <c r="AT939" s="199"/>
      <c r="AU939" s="377"/>
      <c r="AV939" s="393"/>
      <c r="AW939" s="332"/>
      <c r="AX939" s="332"/>
      <c r="AY939" s="332"/>
      <c r="AZ939" s="332"/>
      <c r="BA939" s="332"/>
      <c r="BB939" s="332"/>
      <c r="BC939" s="332"/>
      <c r="BD939" s="332"/>
      <c r="BE939" s="332"/>
      <c r="BF939" s="490">
        <v>0.157</v>
      </c>
      <c r="BG939" s="467"/>
      <c r="BH939" s="341"/>
      <c r="BI939" s="447" t="s">
        <v>2958</v>
      </c>
      <c r="BJ939" s="337"/>
    </row>
    <row r="940" spans="1:62" ht="15.75" customHeight="1" thickBot="1" x14ac:dyDescent="0.25">
      <c r="A940" s="176">
        <v>941</v>
      </c>
      <c r="B940" s="175">
        <v>2</v>
      </c>
      <c r="C940" s="166" t="s">
        <v>760</v>
      </c>
      <c r="D940" s="167" t="s">
        <v>2450</v>
      </c>
      <c r="E940" s="167"/>
      <c r="F940" s="167"/>
      <c r="G940" s="167"/>
      <c r="H940" s="167" t="s">
        <v>2961</v>
      </c>
      <c r="I940" s="184"/>
      <c r="J940" s="184" t="s">
        <v>2960</v>
      </c>
      <c r="K940" s="184"/>
      <c r="L940" s="181"/>
      <c r="M940" s="556" t="s">
        <v>4282</v>
      </c>
      <c r="N940" s="214"/>
      <c r="O940" s="214"/>
      <c r="P940" s="214"/>
      <c r="Q940" s="214"/>
      <c r="R940" s="214"/>
      <c r="S940" s="214"/>
      <c r="T940" s="214"/>
      <c r="U940" s="214"/>
      <c r="V940" s="214"/>
      <c r="W940" s="214"/>
      <c r="X940" s="214"/>
      <c r="Y940" s="214"/>
      <c r="Z940" s="234"/>
      <c r="AA940" s="234"/>
      <c r="AB940" s="234"/>
      <c r="AC940" s="234"/>
      <c r="AD940" s="319"/>
      <c r="AE940" s="319"/>
      <c r="AF940" s="162">
        <f t="shared" si="67"/>
        <v>1.4028</v>
      </c>
      <c r="AG940" s="162" t="str">
        <f t="shared" si="70"/>
        <v/>
      </c>
      <c r="AH940" s="164">
        <f t="shared" si="68"/>
        <v>0.42380000000000001</v>
      </c>
      <c r="AI940" s="164" t="str">
        <f t="shared" si="69"/>
        <v/>
      </c>
      <c r="AJ940" s="382"/>
      <c r="AK940" s="382"/>
      <c r="AL940" s="382"/>
      <c r="AM940" s="382"/>
      <c r="AN940" s="382"/>
      <c r="AO940" s="382"/>
      <c r="AP940" s="382"/>
      <c r="AQ940" s="382"/>
      <c r="AR940" s="382"/>
      <c r="AS940" s="204">
        <v>1.4028</v>
      </c>
      <c r="AT940" s="199"/>
      <c r="AU940" s="377"/>
      <c r="AV940" s="393"/>
      <c r="AW940" s="332"/>
      <c r="AX940" s="332"/>
      <c r="AY940" s="332"/>
      <c r="AZ940" s="332"/>
      <c r="BA940" s="332"/>
      <c r="BB940" s="332"/>
      <c r="BC940" s="332"/>
      <c r="BD940" s="332"/>
      <c r="BE940" s="332"/>
      <c r="BF940" s="490">
        <v>0.42380000000000001</v>
      </c>
      <c r="BG940" s="467"/>
      <c r="BH940" s="341"/>
      <c r="BI940" s="447"/>
      <c r="BJ940" s="337"/>
    </row>
    <row r="941" spans="1:62" ht="15.75" customHeight="1" thickBot="1" x14ac:dyDescent="0.25">
      <c r="A941" s="176">
        <v>942</v>
      </c>
      <c r="B941" s="175">
        <v>2</v>
      </c>
      <c r="C941" s="166" t="s">
        <v>760</v>
      </c>
      <c r="D941" s="167" t="s">
        <v>2450</v>
      </c>
      <c r="E941" s="167"/>
      <c r="F941" s="167"/>
      <c r="G941" s="167"/>
      <c r="H941" s="167" t="s">
        <v>2874</v>
      </c>
      <c r="I941" s="184"/>
      <c r="J941" s="184" t="s">
        <v>2962</v>
      </c>
      <c r="K941" s="184"/>
      <c r="L941" s="181"/>
      <c r="M941" s="556" t="s">
        <v>4282</v>
      </c>
      <c r="N941" s="214"/>
      <c r="O941" s="214"/>
      <c r="P941" s="214"/>
      <c r="Q941" s="214"/>
      <c r="R941" s="214"/>
      <c r="S941" s="214"/>
      <c r="T941" s="214"/>
      <c r="U941" s="214"/>
      <c r="V941" s="214"/>
      <c r="W941" s="214"/>
      <c r="X941" s="214"/>
      <c r="Y941" s="214"/>
      <c r="Z941" s="234"/>
      <c r="AA941" s="234"/>
      <c r="AB941" s="234"/>
      <c r="AC941" s="234"/>
      <c r="AD941" s="319"/>
      <c r="AE941" s="319"/>
      <c r="AF941" s="162">
        <f t="shared" ref="AF941:AF1004" si="71">IF(AS941&lt;&gt;0,AS941,"")</f>
        <v>1.2381</v>
      </c>
      <c r="AG941" s="162" t="str">
        <f t="shared" si="70"/>
        <v/>
      </c>
      <c r="AH941" s="164">
        <f t="shared" si="68"/>
        <v>3.3369</v>
      </c>
      <c r="AI941" s="164" t="str">
        <f t="shared" si="69"/>
        <v/>
      </c>
      <c r="AJ941" s="382"/>
      <c r="AK941" s="382"/>
      <c r="AL941" s="382"/>
      <c r="AM941" s="382"/>
      <c r="AN941" s="382"/>
      <c r="AO941" s="382"/>
      <c r="AP941" s="382"/>
      <c r="AQ941" s="382"/>
      <c r="AR941" s="382"/>
      <c r="AS941" s="204">
        <v>1.2381</v>
      </c>
      <c r="AT941" s="199"/>
      <c r="AU941" s="377"/>
      <c r="AV941" s="393"/>
      <c r="AW941" s="332"/>
      <c r="AX941" s="332"/>
      <c r="AY941" s="332"/>
      <c r="AZ941" s="332"/>
      <c r="BA941" s="332"/>
      <c r="BB941" s="332"/>
      <c r="BC941" s="332"/>
      <c r="BD941" s="332"/>
      <c r="BE941" s="332"/>
      <c r="BF941" s="490">
        <v>3.3369</v>
      </c>
      <c r="BG941" s="467"/>
      <c r="BH941" s="341"/>
      <c r="BI941" s="447"/>
      <c r="BJ941" s="337"/>
    </row>
    <row r="942" spans="1:62" ht="15.75" customHeight="1" thickBot="1" x14ac:dyDescent="0.25">
      <c r="A942" s="176">
        <v>943</v>
      </c>
      <c r="B942" s="175">
        <v>2</v>
      </c>
      <c r="C942" s="166" t="s">
        <v>760</v>
      </c>
      <c r="D942" s="159" t="s">
        <v>3292</v>
      </c>
      <c r="E942" s="167"/>
      <c r="F942" s="167"/>
      <c r="G942" s="167"/>
      <c r="H942" s="167" t="s">
        <v>351</v>
      </c>
      <c r="I942" s="184"/>
      <c r="J942" s="184" t="s">
        <v>2963</v>
      </c>
      <c r="K942" s="184"/>
      <c r="L942" s="181"/>
      <c r="M942" s="556" t="s">
        <v>4282</v>
      </c>
      <c r="N942" s="214"/>
      <c r="O942" s="214"/>
      <c r="P942" s="214"/>
      <c r="Q942" s="214"/>
      <c r="R942" s="214"/>
      <c r="S942" s="214"/>
      <c r="T942" s="214"/>
      <c r="U942" s="214"/>
      <c r="V942" s="214"/>
      <c r="W942" s="214"/>
      <c r="X942" s="214"/>
      <c r="Y942" s="214"/>
      <c r="Z942" s="234"/>
      <c r="AA942" s="234"/>
      <c r="AB942" s="234"/>
      <c r="AC942" s="234"/>
      <c r="AD942" s="319"/>
      <c r="AE942" s="319"/>
      <c r="AF942" s="162">
        <f t="shared" si="71"/>
        <v>2.1116000000000001</v>
      </c>
      <c r="AG942" s="162" t="str">
        <f t="shared" si="70"/>
        <v/>
      </c>
      <c r="AH942" s="164">
        <f t="shared" si="68"/>
        <v>0.46848000000000001</v>
      </c>
      <c r="AI942" s="164" t="str">
        <f t="shared" si="69"/>
        <v/>
      </c>
      <c r="AJ942" s="382"/>
      <c r="AK942" s="382"/>
      <c r="AL942" s="382"/>
      <c r="AM942" s="382"/>
      <c r="AN942" s="382"/>
      <c r="AO942" s="382"/>
      <c r="AP942" s="382"/>
      <c r="AQ942" s="382"/>
      <c r="AR942" s="382"/>
      <c r="AS942" s="349">
        <v>2.1116000000000001</v>
      </c>
      <c r="AT942" s="199"/>
      <c r="AU942" s="377"/>
      <c r="AV942" s="393"/>
      <c r="AW942" s="332"/>
      <c r="AX942" s="332"/>
      <c r="AY942" s="332"/>
      <c r="AZ942" s="332"/>
      <c r="BA942" s="332"/>
      <c r="BB942" s="332"/>
      <c r="BC942" s="332"/>
      <c r="BD942" s="332"/>
      <c r="BE942" s="332"/>
      <c r="BF942" s="493">
        <v>0.46848000000000001</v>
      </c>
      <c r="BG942" s="467"/>
      <c r="BH942" s="341"/>
      <c r="BI942" s="447"/>
      <c r="BJ942" s="337"/>
    </row>
    <row r="943" spans="1:62" ht="15.75" customHeight="1" thickBot="1" x14ac:dyDescent="0.25">
      <c r="A943" s="176">
        <v>944</v>
      </c>
      <c r="B943" s="175">
        <v>2</v>
      </c>
      <c r="C943" s="166" t="s">
        <v>760</v>
      </c>
      <c r="D943" s="159" t="s">
        <v>1896</v>
      </c>
      <c r="E943" s="167"/>
      <c r="F943" s="167"/>
      <c r="G943" s="167"/>
      <c r="H943" s="167" t="s">
        <v>351</v>
      </c>
      <c r="I943" s="184"/>
      <c r="J943" s="184" t="s">
        <v>2964</v>
      </c>
      <c r="K943" s="184"/>
      <c r="L943" s="181"/>
      <c r="M943" s="556" t="s">
        <v>4282</v>
      </c>
      <c r="N943" s="214"/>
      <c r="O943" s="214"/>
      <c r="P943" s="214"/>
      <c r="Q943" s="214"/>
      <c r="R943" s="214"/>
      <c r="S943" s="214"/>
      <c r="T943" s="214"/>
      <c r="U943" s="214"/>
      <c r="V943" s="214"/>
      <c r="W943" s="214"/>
      <c r="X943" s="214"/>
      <c r="Y943" s="214"/>
      <c r="Z943" s="234"/>
      <c r="AA943" s="234"/>
      <c r="AB943" s="234"/>
      <c r="AC943" s="234"/>
      <c r="AD943" s="319"/>
      <c r="AE943" s="319"/>
      <c r="AF943" s="162">
        <f t="shared" si="71"/>
        <v>1.5431999999999999</v>
      </c>
      <c r="AG943" s="162" t="str">
        <f t="shared" si="70"/>
        <v/>
      </c>
      <c r="AH943" s="164">
        <f t="shared" si="68"/>
        <v>0.4914</v>
      </c>
      <c r="AI943" s="164" t="str">
        <f t="shared" si="69"/>
        <v/>
      </c>
      <c r="AJ943" s="382"/>
      <c r="AK943" s="382"/>
      <c r="AL943" s="382"/>
      <c r="AM943" s="382"/>
      <c r="AN943" s="382"/>
      <c r="AO943" s="382"/>
      <c r="AP943" s="382"/>
      <c r="AQ943" s="382"/>
      <c r="AR943" s="382"/>
      <c r="AS943" s="349">
        <v>1.5431999999999999</v>
      </c>
      <c r="AT943" s="199"/>
      <c r="AU943" s="377"/>
      <c r="AV943" s="393"/>
      <c r="AW943" s="332"/>
      <c r="AX943" s="332"/>
      <c r="AY943" s="332"/>
      <c r="AZ943" s="332"/>
      <c r="BA943" s="332"/>
      <c r="BB943" s="332"/>
      <c r="BC943" s="332"/>
      <c r="BD943" s="332"/>
      <c r="BE943" s="332"/>
      <c r="BF943" s="493">
        <v>0.4914</v>
      </c>
      <c r="BG943" s="467"/>
      <c r="BH943" s="341"/>
      <c r="BI943" s="447"/>
      <c r="BJ943" s="337"/>
    </row>
    <row r="944" spans="1:62" ht="15.75" customHeight="1" thickBot="1" x14ac:dyDescent="0.25">
      <c r="A944" s="176">
        <v>945</v>
      </c>
      <c r="B944" s="175">
        <v>2</v>
      </c>
      <c r="C944" s="166" t="s">
        <v>760</v>
      </c>
      <c r="D944" s="159" t="s">
        <v>2270</v>
      </c>
      <c r="E944" s="167"/>
      <c r="F944" s="167"/>
      <c r="G944" s="167"/>
      <c r="H944" s="167" t="s">
        <v>351</v>
      </c>
      <c r="I944" s="184"/>
      <c r="J944" s="184" t="s">
        <v>2965</v>
      </c>
      <c r="K944" s="184"/>
      <c r="L944" s="181"/>
      <c r="M944" s="556" t="s">
        <v>4282</v>
      </c>
      <c r="N944" s="214"/>
      <c r="O944" s="214"/>
      <c r="P944" s="214"/>
      <c r="Q944" s="214"/>
      <c r="R944" s="214"/>
      <c r="S944" s="214"/>
      <c r="T944" s="214"/>
      <c r="U944" s="214"/>
      <c r="V944" s="214"/>
      <c r="W944" s="214"/>
      <c r="X944" s="214"/>
      <c r="Y944" s="214"/>
      <c r="Z944" s="234"/>
      <c r="AA944" s="234"/>
      <c r="AB944" s="234"/>
      <c r="AC944" s="234"/>
      <c r="AD944" s="319"/>
      <c r="AE944" s="319"/>
      <c r="AF944" s="162">
        <f t="shared" si="71"/>
        <v>3.0627</v>
      </c>
      <c r="AG944" s="162" t="str">
        <f t="shared" si="70"/>
        <v/>
      </c>
      <c r="AH944" s="164">
        <f t="shared" si="68"/>
        <v>0.37952000000000002</v>
      </c>
      <c r="AI944" s="164" t="str">
        <f t="shared" si="69"/>
        <v/>
      </c>
      <c r="AJ944" s="382"/>
      <c r="AK944" s="382"/>
      <c r="AL944" s="382"/>
      <c r="AM944" s="382"/>
      <c r="AN944" s="382"/>
      <c r="AO944" s="382"/>
      <c r="AP944" s="382"/>
      <c r="AQ944" s="382"/>
      <c r="AR944" s="382"/>
      <c r="AS944" s="349">
        <v>3.0627</v>
      </c>
      <c r="AT944" s="199"/>
      <c r="AU944" s="377"/>
      <c r="AV944" s="393"/>
      <c r="AW944" s="332"/>
      <c r="AX944" s="332"/>
      <c r="AY944" s="332"/>
      <c r="AZ944" s="332"/>
      <c r="BA944" s="332"/>
      <c r="BB944" s="332"/>
      <c r="BC944" s="332"/>
      <c r="BD944" s="332"/>
      <c r="BE944" s="332"/>
      <c r="BF944" s="493">
        <v>0.37952000000000002</v>
      </c>
      <c r="BG944" s="467"/>
      <c r="BH944" s="341"/>
      <c r="BI944" s="447"/>
      <c r="BJ944" s="337"/>
    </row>
    <row r="945" spans="1:62" ht="15.75" customHeight="1" thickBot="1" x14ac:dyDescent="0.25">
      <c r="A945" s="176">
        <v>946</v>
      </c>
      <c r="B945" s="175">
        <v>2</v>
      </c>
      <c r="C945" s="166" t="s">
        <v>587</v>
      </c>
      <c r="D945" s="159" t="s">
        <v>2285</v>
      </c>
      <c r="E945" s="167"/>
      <c r="F945" s="167"/>
      <c r="G945" s="167"/>
      <c r="H945" s="167" t="s">
        <v>351</v>
      </c>
      <c r="I945" s="184"/>
      <c r="J945" s="184" t="s">
        <v>2967</v>
      </c>
      <c r="K945" s="184"/>
      <c r="L945" s="181"/>
      <c r="M945" s="556" t="s">
        <v>4282</v>
      </c>
      <c r="N945" s="214"/>
      <c r="O945" s="214"/>
      <c r="P945" s="214"/>
      <c r="Q945" s="214"/>
      <c r="R945" s="214"/>
      <c r="S945" s="214"/>
      <c r="T945" s="214"/>
      <c r="U945" s="214"/>
      <c r="V945" s="214"/>
      <c r="W945" s="214"/>
      <c r="X945" s="214"/>
      <c r="Y945" s="214"/>
      <c r="Z945" s="234"/>
      <c r="AA945" s="234"/>
      <c r="AB945" s="234"/>
      <c r="AC945" s="234"/>
      <c r="AD945" s="319"/>
      <c r="AE945" s="319"/>
      <c r="AF945" s="162" t="str">
        <f t="shared" si="71"/>
        <v/>
      </c>
      <c r="AG945" s="162">
        <f t="shared" si="70"/>
        <v>5.0787000000000004</v>
      </c>
      <c r="AH945" s="164" t="str">
        <f t="shared" si="68"/>
        <v/>
      </c>
      <c r="AI945" s="164">
        <f t="shared" si="69"/>
        <v>0.48759999999999998</v>
      </c>
      <c r="AJ945" s="382"/>
      <c r="AK945" s="382"/>
      <c r="AL945" s="384">
        <v>5.0787000000000004</v>
      </c>
      <c r="AM945" s="382"/>
      <c r="AN945" s="382"/>
      <c r="AO945" s="382"/>
      <c r="AP945" s="382"/>
      <c r="AQ945" s="382"/>
      <c r="AR945" s="382"/>
      <c r="AS945" s="204"/>
      <c r="AT945" s="202">
        <f>SUM(AJ945:AR945)</f>
        <v>5.0787000000000004</v>
      </c>
      <c r="AU945" s="377"/>
      <c r="AV945" s="411"/>
      <c r="AW945" s="332"/>
      <c r="AX945" s="332"/>
      <c r="AY945" s="336">
        <v>0.48759999999999998</v>
      </c>
      <c r="AZ945" s="332"/>
      <c r="BA945" s="332"/>
      <c r="BB945" s="332"/>
      <c r="BC945" s="332"/>
      <c r="BD945" s="332"/>
      <c r="BE945" s="332"/>
      <c r="BF945" s="490"/>
      <c r="BG945" s="491">
        <f>SUM(AW945:BE945)</f>
        <v>0.48759999999999998</v>
      </c>
      <c r="BH945" s="341"/>
      <c r="BI945" s="447"/>
      <c r="BJ945" s="337"/>
    </row>
    <row r="946" spans="1:62" ht="15.75" customHeight="1" thickBot="1" x14ac:dyDescent="0.25">
      <c r="A946" s="176">
        <v>947</v>
      </c>
      <c r="B946" s="175">
        <v>2</v>
      </c>
      <c r="C946" s="166" t="s">
        <v>587</v>
      </c>
      <c r="D946" s="159" t="s">
        <v>2287</v>
      </c>
      <c r="E946" s="167"/>
      <c r="F946" s="167"/>
      <c r="G946" s="167"/>
      <c r="H946" s="167" t="s">
        <v>351</v>
      </c>
      <c r="I946" s="184"/>
      <c r="J946" s="184" t="s">
        <v>2966</v>
      </c>
      <c r="K946" s="184"/>
      <c r="L946" s="181"/>
      <c r="M946" s="556" t="s">
        <v>4282</v>
      </c>
      <c r="N946" s="214"/>
      <c r="O946" s="214"/>
      <c r="P946" s="214"/>
      <c r="Q946" s="214"/>
      <c r="R946" s="214"/>
      <c r="S946" s="214"/>
      <c r="T946" s="214"/>
      <c r="U946" s="214"/>
      <c r="V946" s="214"/>
      <c r="W946" s="214"/>
      <c r="X946" s="214"/>
      <c r="Y946" s="214"/>
      <c r="Z946" s="234"/>
      <c r="AA946" s="234"/>
      <c r="AB946" s="234"/>
      <c r="AC946" s="234"/>
      <c r="AD946" s="319"/>
      <c r="AE946" s="319"/>
      <c r="AF946" s="162" t="str">
        <f t="shared" si="71"/>
        <v/>
      </c>
      <c r="AG946" s="162">
        <f t="shared" si="70"/>
        <v>6.7751476000000004</v>
      </c>
      <c r="AH946" s="164" t="str">
        <f t="shared" si="68"/>
        <v/>
      </c>
      <c r="AI946" s="164">
        <f t="shared" si="69"/>
        <v>0.66705736999999998</v>
      </c>
      <c r="AJ946" s="382"/>
      <c r="AK946" s="382"/>
      <c r="AL946" s="384">
        <v>6.7751476000000004</v>
      </c>
      <c r="AM946" s="382"/>
      <c r="AN946" s="382"/>
      <c r="AO946" s="382"/>
      <c r="AP946" s="382"/>
      <c r="AQ946" s="382"/>
      <c r="AR946" s="382"/>
      <c r="AS946" s="204"/>
      <c r="AT946" s="202">
        <f>SUM(AJ946:AR946)</f>
        <v>6.7751476000000004</v>
      </c>
      <c r="AU946" s="377"/>
      <c r="AV946" s="411"/>
      <c r="AW946" s="332"/>
      <c r="AX946" s="332"/>
      <c r="AY946" s="336">
        <v>0.66705736999999998</v>
      </c>
      <c r="AZ946" s="332"/>
      <c r="BA946" s="332"/>
      <c r="BB946" s="332"/>
      <c r="BC946" s="332"/>
      <c r="BD946" s="332"/>
      <c r="BE946" s="332"/>
      <c r="BF946" s="490"/>
      <c r="BG946" s="491">
        <f>SUM(AW946:BE946)</f>
        <v>0.66705736999999998</v>
      </c>
      <c r="BH946" s="341"/>
      <c r="BI946" s="447"/>
      <c r="BJ946" s="337"/>
    </row>
    <row r="947" spans="1:62" ht="15.75" customHeight="1" thickBot="1" x14ac:dyDescent="0.25">
      <c r="A947" s="176">
        <v>948</v>
      </c>
      <c r="B947" s="175">
        <v>2</v>
      </c>
      <c r="C947" s="166" t="s">
        <v>542</v>
      </c>
      <c r="D947" s="159" t="s">
        <v>2969</v>
      </c>
      <c r="E947" s="167"/>
      <c r="F947" s="167"/>
      <c r="G947" s="167"/>
      <c r="H947" s="167" t="s">
        <v>351</v>
      </c>
      <c r="I947" s="184"/>
      <c r="J947" s="184" t="s">
        <v>2968</v>
      </c>
      <c r="K947" s="184"/>
      <c r="L947" s="181"/>
      <c r="M947" s="556" t="s">
        <v>4282</v>
      </c>
      <c r="N947" s="214"/>
      <c r="O947" s="214"/>
      <c r="P947" s="214"/>
      <c r="Q947" s="214"/>
      <c r="R947" s="214"/>
      <c r="S947" s="214"/>
      <c r="T947" s="214"/>
      <c r="U947" s="214"/>
      <c r="V947" s="214"/>
      <c r="W947" s="214"/>
      <c r="X947" s="214"/>
      <c r="Y947" s="214"/>
      <c r="Z947" s="234"/>
      <c r="AA947" s="234"/>
      <c r="AB947" s="234"/>
      <c r="AC947" s="234"/>
      <c r="AD947" s="319"/>
      <c r="AE947" s="319"/>
      <c r="AF947" s="162" t="str">
        <f t="shared" si="71"/>
        <v/>
      </c>
      <c r="AG947" s="162">
        <f t="shared" si="70"/>
        <v>8.75</v>
      </c>
      <c r="AH947" s="164" t="str">
        <f t="shared" si="68"/>
        <v/>
      </c>
      <c r="AI947" s="164">
        <f t="shared" si="69"/>
        <v>0.80688000000000004</v>
      </c>
      <c r="AJ947" s="382"/>
      <c r="AK947" s="382"/>
      <c r="AL947" s="377">
        <v>8.75</v>
      </c>
      <c r="AM947" s="382"/>
      <c r="AN947" s="382"/>
      <c r="AO947" s="382"/>
      <c r="AP947" s="382"/>
      <c r="AQ947" s="382"/>
      <c r="AR947" s="382"/>
      <c r="AS947" s="204"/>
      <c r="AT947" s="202">
        <f>SUM(AJ947:AR947)</f>
        <v>8.75</v>
      </c>
      <c r="AU947" s="377"/>
      <c r="AV947" s="393"/>
      <c r="AW947" s="332"/>
      <c r="AX947" s="332"/>
      <c r="AY947" s="341">
        <v>0.80688000000000004</v>
      </c>
      <c r="AZ947" s="332"/>
      <c r="BA947" s="332"/>
      <c r="BB947" s="332"/>
      <c r="BC947" s="332"/>
      <c r="BD947" s="332"/>
      <c r="BE947" s="332"/>
      <c r="BF947" s="490"/>
      <c r="BG947" s="491">
        <f>SUM(AW947:BE947)</f>
        <v>0.80688000000000004</v>
      </c>
      <c r="BH947" s="341"/>
      <c r="BI947" s="447"/>
      <c r="BJ947" s="337"/>
    </row>
    <row r="948" spans="1:62" ht="15.75" customHeight="1" thickBot="1" x14ac:dyDescent="0.25">
      <c r="A948" s="176">
        <v>949</v>
      </c>
      <c r="B948" s="175">
        <v>2</v>
      </c>
      <c r="C948" s="166" t="s">
        <v>760</v>
      </c>
      <c r="D948" s="159" t="s">
        <v>2970</v>
      </c>
      <c r="E948" s="167"/>
      <c r="F948" s="167"/>
      <c r="G948" s="167"/>
      <c r="H948" s="167" t="s">
        <v>351</v>
      </c>
      <c r="I948" s="184"/>
      <c r="J948" s="184" t="s">
        <v>2971</v>
      </c>
      <c r="K948" s="184"/>
      <c r="L948" s="181"/>
      <c r="M948" s="556" t="s">
        <v>4281</v>
      </c>
      <c r="N948" s="214"/>
      <c r="O948" s="214"/>
      <c r="P948" s="214"/>
      <c r="Q948" s="214"/>
      <c r="R948" s="214"/>
      <c r="S948" s="214"/>
      <c r="T948" s="214"/>
      <c r="U948" s="214"/>
      <c r="V948" s="214"/>
      <c r="W948" s="214"/>
      <c r="X948" s="214"/>
      <c r="Y948" s="214"/>
      <c r="Z948" s="234"/>
      <c r="AA948" s="234"/>
      <c r="AB948" s="234"/>
      <c r="AC948" s="234"/>
      <c r="AD948" s="319"/>
      <c r="AE948" s="319"/>
      <c r="AF948" s="162" t="str">
        <f t="shared" si="71"/>
        <v/>
      </c>
      <c r="AG948" s="162">
        <f t="shared" si="70"/>
        <v>2.9633449999999999</v>
      </c>
      <c r="AH948" s="164" t="str">
        <f t="shared" si="68"/>
        <v/>
      </c>
      <c r="AI948" s="164">
        <f t="shared" si="69"/>
        <v>0.40566000000000002</v>
      </c>
      <c r="AJ948" s="382"/>
      <c r="AK948" s="382"/>
      <c r="AL948" s="377">
        <f>2.6946+0.26627+0.002475</f>
        <v>2.9633449999999999</v>
      </c>
      <c r="AM948" s="382"/>
      <c r="AN948" s="382"/>
      <c r="AO948" s="382"/>
      <c r="AP948" s="382"/>
      <c r="AQ948" s="382"/>
      <c r="AR948" s="382"/>
      <c r="AS948" s="204"/>
      <c r="AT948" s="202">
        <f>SUM(AJ948:AR948)</f>
        <v>2.9633449999999999</v>
      </c>
      <c r="AU948" s="377"/>
      <c r="AV948" s="393"/>
      <c r="AW948" s="332"/>
      <c r="AX948" s="332"/>
      <c r="AY948" s="341">
        <v>0.40566000000000002</v>
      </c>
      <c r="AZ948" s="332"/>
      <c r="BA948" s="332"/>
      <c r="BB948" s="332"/>
      <c r="BC948" s="332"/>
      <c r="BD948" s="332"/>
      <c r="BE948" s="332"/>
      <c r="BF948" s="490"/>
      <c r="BG948" s="491">
        <f>SUM(AW948:BE948)</f>
        <v>0.40566000000000002</v>
      </c>
      <c r="BH948" s="341"/>
      <c r="BI948" s="447"/>
      <c r="BJ948" s="337"/>
    </row>
    <row r="949" spans="1:62" ht="15.75" customHeight="1" thickBot="1" x14ac:dyDescent="0.25">
      <c r="A949" s="176">
        <v>950</v>
      </c>
      <c r="B949" s="175">
        <v>2</v>
      </c>
      <c r="C949" s="166" t="s">
        <v>162</v>
      </c>
      <c r="D949" s="159" t="s">
        <v>1946</v>
      </c>
      <c r="E949" s="167"/>
      <c r="F949" s="167"/>
      <c r="G949" s="167"/>
      <c r="H949" s="167" t="s">
        <v>351</v>
      </c>
      <c r="I949" s="184"/>
      <c r="J949" s="190" t="s">
        <v>2972</v>
      </c>
      <c r="K949" s="184"/>
      <c r="L949" s="181"/>
      <c r="M949" s="556" t="s">
        <v>4281</v>
      </c>
      <c r="N949" s="214"/>
      <c r="O949" s="214"/>
      <c r="P949" s="214"/>
      <c r="Q949" s="214"/>
      <c r="R949" s="214"/>
      <c r="S949" s="214"/>
      <c r="T949" s="214"/>
      <c r="U949" s="214"/>
      <c r="V949" s="214"/>
      <c r="W949" s="214"/>
      <c r="X949" s="214"/>
      <c r="Y949" s="214"/>
      <c r="Z949" s="234"/>
      <c r="AA949" s="234"/>
      <c r="AB949" s="234"/>
      <c r="AC949" s="234"/>
      <c r="AD949" s="319"/>
      <c r="AE949" s="319"/>
      <c r="AF949" s="162">
        <f t="shared" si="71"/>
        <v>2.4748158250000003</v>
      </c>
      <c r="AG949" s="162" t="str">
        <f t="shared" si="70"/>
        <v/>
      </c>
      <c r="AH949" s="164">
        <f t="shared" si="68"/>
        <v>0.24421635</v>
      </c>
      <c r="AI949" s="164" t="str">
        <f t="shared" si="69"/>
        <v/>
      </c>
      <c r="AJ949" s="382"/>
      <c r="AK949" s="382"/>
      <c r="AL949" s="382"/>
      <c r="AM949" s="382"/>
      <c r="AN949" s="382"/>
      <c r="AO949" s="382"/>
      <c r="AP949" s="382"/>
      <c r="AQ949" s="382"/>
      <c r="AR949" s="382"/>
      <c r="AS949" s="204">
        <v>2.4748158250000003</v>
      </c>
      <c r="AT949" s="199"/>
      <c r="AU949" s="377"/>
      <c r="AV949" s="393"/>
      <c r="AW949" s="332"/>
      <c r="AX949" s="332"/>
      <c r="AY949" s="332"/>
      <c r="AZ949" s="332"/>
      <c r="BA949" s="332"/>
      <c r="BB949" s="332"/>
      <c r="BC949" s="332"/>
      <c r="BD949" s="332"/>
      <c r="BE949" s="332"/>
      <c r="BF949" s="492">
        <v>0.24421635</v>
      </c>
      <c r="BG949" s="467"/>
      <c r="BH949" s="341"/>
      <c r="BI949" s="447"/>
      <c r="BJ949" s="337"/>
    </row>
    <row r="950" spans="1:62" ht="15.75" customHeight="1" thickBot="1" x14ac:dyDescent="0.25">
      <c r="A950" s="176">
        <v>951</v>
      </c>
      <c r="B950" s="175">
        <v>2</v>
      </c>
      <c r="C950" s="166" t="s">
        <v>162</v>
      </c>
      <c r="D950" s="159" t="s">
        <v>1946</v>
      </c>
      <c r="E950" s="167"/>
      <c r="F950" s="167"/>
      <c r="G950" s="167"/>
      <c r="H950" s="167" t="s">
        <v>2886</v>
      </c>
      <c r="I950" s="184"/>
      <c r="J950" s="190" t="s">
        <v>2973</v>
      </c>
      <c r="K950" s="184"/>
      <c r="L950" s="181"/>
      <c r="M950" s="556" t="s">
        <v>4281</v>
      </c>
      <c r="N950" s="214"/>
      <c r="O950" s="214"/>
      <c r="P950" s="214"/>
      <c r="Q950" s="214"/>
      <c r="R950" s="214"/>
      <c r="S950" s="214"/>
      <c r="T950" s="214"/>
      <c r="U950" s="214"/>
      <c r="V950" s="214"/>
      <c r="W950" s="214"/>
      <c r="X950" s="214"/>
      <c r="Y950" s="214"/>
      <c r="Z950" s="234"/>
      <c r="AA950" s="234"/>
      <c r="AB950" s="234"/>
      <c r="AC950" s="234"/>
      <c r="AD950" s="319"/>
      <c r="AE950" s="319"/>
      <c r="AF950" s="162">
        <f t="shared" si="71"/>
        <v>2.6657383942699999</v>
      </c>
      <c r="AG950" s="162" t="str">
        <f t="shared" si="70"/>
        <v/>
      </c>
      <c r="AH950" s="164">
        <f t="shared" si="68"/>
        <v>0.28881754999999998</v>
      </c>
      <c r="AI950" s="164" t="str">
        <f t="shared" si="69"/>
        <v/>
      </c>
      <c r="AJ950" s="382"/>
      <c r="AK950" s="382"/>
      <c r="AL950" s="382"/>
      <c r="AM950" s="382"/>
      <c r="AN950" s="382"/>
      <c r="AO950" s="382"/>
      <c r="AP950" s="382"/>
      <c r="AQ950" s="382"/>
      <c r="AR950" s="382"/>
      <c r="AS950" s="204">
        <v>2.6657383942699999</v>
      </c>
      <c r="AT950" s="199"/>
      <c r="AU950" s="377"/>
      <c r="AV950" s="393"/>
      <c r="AW950" s="332"/>
      <c r="AX950" s="332"/>
      <c r="AY950" s="332"/>
      <c r="AZ950" s="332"/>
      <c r="BA950" s="332"/>
      <c r="BB950" s="332"/>
      <c r="BC950" s="332"/>
      <c r="BD950" s="332"/>
      <c r="BE950" s="332"/>
      <c r="BF950" s="492">
        <v>0.28881754999999998</v>
      </c>
      <c r="BG950" s="467"/>
      <c r="BH950" s="341"/>
      <c r="BI950" s="447"/>
      <c r="BJ950" s="337"/>
    </row>
    <row r="951" spans="1:62" ht="15.75" customHeight="1" thickBot="1" x14ac:dyDescent="0.25">
      <c r="A951" s="176">
        <v>952</v>
      </c>
      <c r="B951" s="175">
        <v>2</v>
      </c>
      <c r="C951" s="166" t="s">
        <v>162</v>
      </c>
      <c r="D951" s="159" t="s">
        <v>1946</v>
      </c>
      <c r="E951" s="167"/>
      <c r="F951" s="167"/>
      <c r="G951" s="167"/>
      <c r="H951" s="167" t="s">
        <v>2870</v>
      </c>
      <c r="I951" s="184"/>
      <c r="J951" s="190" t="s">
        <v>2974</v>
      </c>
      <c r="K951" s="184"/>
      <c r="L951" s="181"/>
      <c r="M951" s="556" t="s">
        <v>4281</v>
      </c>
      <c r="N951" s="214"/>
      <c r="O951" s="214"/>
      <c r="P951" s="214"/>
      <c r="Q951" s="214"/>
      <c r="R951" s="214"/>
      <c r="S951" s="214"/>
      <c r="T951" s="214"/>
      <c r="U951" s="214"/>
      <c r="V951" s="214"/>
      <c r="W951" s="214"/>
      <c r="X951" s="214"/>
      <c r="Y951" s="214"/>
      <c r="Z951" s="234"/>
      <c r="AA951" s="234"/>
      <c r="AB951" s="234"/>
      <c r="AC951" s="234"/>
      <c r="AD951" s="319"/>
      <c r="AE951" s="319"/>
      <c r="AF951" s="162">
        <f t="shared" si="71"/>
        <v>2.527893089</v>
      </c>
      <c r="AG951" s="162" t="str">
        <f t="shared" si="70"/>
        <v/>
      </c>
      <c r="AH951" s="164">
        <f t="shared" si="68"/>
        <v>0.37178664</v>
      </c>
      <c r="AI951" s="164" t="str">
        <f t="shared" si="69"/>
        <v/>
      </c>
      <c r="AJ951" s="382"/>
      <c r="AK951" s="382"/>
      <c r="AL951" s="382"/>
      <c r="AM951" s="382"/>
      <c r="AN951" s="382"/>
      <c r="AO951" s="382"/>
      <c r="AP951" s="382"/>
      <c r="AQ951" s="382"/>
      <c r="AR951" s="382"/>
      <c r="AS951" s="204">
        <v>2.527893089</v>
      </c>
      <c r="AT951" s="199"/>
      <c r="AU951" s="377"/>
      <c r="AV951" s="393"/>
      <c r="AW951" s="332"/>
      <c r="AX951" s="332"/>
      <c r="AY951" s="332"/>
      <c r="AZ951" s="332"/>
      <c r="BA951" s="332"/>
      <c r="BB951" s="332"/>
      <c r="BC951" s="332"/>
      <c r="BD951" s="332"/>
      <c r="BE951" s="332"/>
      <c r="BF951" s="492">
        <v>0.37178664</v>
      </c>
      <c r="BG951" s="467"/>
      <c r="BH951" s="341"/>
      <c r="BI951" s="447"/>
      <c r="BJ951" s="337"/>
    </row>
    <row r="952" spans="1:62" ht="15.75" customHeight="1" thickBot="1" x14ac:dyDescent="0.25">
      <c r="A952" s="176">
        <v>953</v>
      </c>
      <c r="B952" s="175">
        <v>2</v>
      </c>
      <c r="C952" s="166" t="s">
        <v>162</v>
      </c>
      <c r="D952" s="159" t="s">
        <v>1946</v>
      </c>
      <c r="E952" s="167"/>
      <c r="F952" s="167"/>
      <c r="G952" s="167"/>
      <c r="H952" s="167" t="s">
        <v>2892</v>
      </c>
      <c r="I952" s="184"/>
      <c r="J952" s="190" t="s">
        <v>2975</v>
      </c>
      <c r="K952" s="184"/>
      <c r="L952" s="181"/>
      <c r="M952" s="556" t="s">
        <v>4281</v>
      </c>
      <c r="N952" s="214"/>
      <c r="O952" s="214"/>
      <c r="P952" s="214"/>
      <c r="Q952" s="214"/>
      <c r="R952" s="214"/>
      <c r="S952" s="214"/>
      <c r="T952" s="214"/>
      <c r="U952" s="214"/>
      <c r="V952" s="214"/>
      <c r="W952" s="214"/>
      <c r="X952" s="214"/>
      <c r="Y952" s="214"/>
      <c r="Z952" s="234"/>
      <c r="AA952" s="234"/>
      <c r="AB952" s="234"/>
      <c r="AC952" s="234"/>
      <c r="AD952" s="319"/>
      <c r="AE952" s="319"/>
      <c r="AF952" s="162">
        <f t="shared" si="71"/>
        <v>1.8887313091</v>
      </c>
      <c r="AG952" s="162" t="str">
        <f t="shared" si="70"/>
        <v/>
      </c>
      <c r="AH952" s="164">
        <f t="shared" si="68"/>
        <v>0.18450696</v>
      </c>
      <c r="AI952" s="164" t="str">
        <f t="shared" si="69"/>
        <v/>
      </c>
      <c r="AJ952" s="382"/>
      <c r="AK952" s="382"/>
      <c r="AL952" s="382"/>
      <c r="AM952" s="382"/>
      <c r="AN952" s="382"/>
      <c r="AO952" s="382"/>
      <c r="AP952" s="382"/>
      <c r="AQ952" s="382"/>
      <c r="AR952" s="382"/>
      <c r="AS952" s="204">
        <v>1.8887313091</v>
      </c>
      <c r="AT952" s="199"/>
      <c r="AU952" s="377"/>
      <c r="AV952" s="393"/>
      <c r="AW952" s="332"/>
      <c r="AX952" s="332"/>
      <c r="AY952" s="332"/>
      <c r="AZ952" s="332"/>
      <c r="BA952" s="332"/>
      <c r="BB952" s="332"/>
      <c r="BC952" s="332"/>
      <c r="BD952" s="332"/>
      <c r="BE952" s="332"/>
      <c r="BF952" s="492">
        <v>0.18450696</v>
      </c>
      <c r="BG952" s="467"/>
      <c r="BH952" s="341"/>
      <c r="BI952" s="447"/>
      <c r="BJ952" s="337"/>
    </row>
    <row r="953" spans="1:62" ht="15.75" customHeight="1" thickBot="1" x14ac:dyDescent="0.25">
      <c r="A953" s="176">
        <v>954</v>
      </c>
      <c r="B953" s="175">
        <v>2</v>
      </c>
      <c r="C953" s="166" t="s">
        <v>542</v>
      </c>
      <c r="D953" s="167" t="s">
        <v>2144</v>
      </c>
      <c r="E953" s="167"/>
      <c r="F953" s="167"/>
      <c r="G953" s="167"/>
      <c r="H953" s="167" t="s">
        <v>248</v>
      </c>
      <c r="I953" s="184"/>
      <c r="J953" s="184" t="s">
        <v>2976</v>
      </c>
      <c r="K953" s="184"/>
      <c r="L953" s="181"/>
      <c r="M953" s="556" t="s">
        <v>4287</v>
      </c>
      <c r="N953" s="214"/>
      <c r="O953" s="214"/>
      <c r="P953" s="214"/>
      <c r="Q953" s="214"/>
      <c r="R953" s="214"/>
      <c r="S953" s="214"/>
      <c r="T953" s="214"/>
      <c r="U953" s="214"/>
      <c r="V953" s="214"/>
      <c r="W953" s="214"/>
      <c r="X953" s="214"/>
      <c r="Y953" s="214"/>
      <c r="Z953" s="234"/>
      <c r="AA953" s="234"/>
      <c r="AB953" s="234"/>
      <c r="AC953" s="234"/>
      <c r="AD953" s="319"/>
      <c r="AE953" s="319"/>
      <c r="AF953" s="162" t="str">
        <f t="shared" si="71"/>
        <v/>
      </c>
      <c r="AG953" s="162">
        <f t="shared" si="70"/>
        <v>3.1583665999999999</v>
      </c>
      <c r="AH953" s="164" t="str">
        <f t="shared" si="68"/>
        <v/>
      </c>
      <c r="AI953" s="164">
        <f t="shared" si="69"/>
        <v>4.3630063999999997</v>
      </c>
      <c r="AJ953" s="382"/>
      <c r="AK953" s="382"/>
      <c r="AL953" s="385">
        <v>3.1583665999999999</v>
      </c>
      <c r="AM953" s="382"/>
      <c r="AN953" s="382"/>
      <c r="AO953" s="382"/>
      <c r="AP953" s="382"/>
      <c r="AQ953" s="382"/>
      <c r="AR953" s="382"/>
      <c r="AS953" s="204"/>
      <c r="AT953" s="202">
        <f>SUM(AJ953:AR953)</f>
        <v>3.1583665999999999</v>
      </c>
      <c r="AU953" s="377"/>
      <c r="AV953" s="413"/>
      <c r="AW953" s="332"/>
      <c r="AX953" s="332"/>
      <c r="AY953" s="342">
        <v>4.3630063999999997</v>
      </c>
      <c r="AZ953" s="332"/>
      <c r="BA953" s="332"/>
      <c r="BB953" s="332"/>
      <c r="BC953" s="332"/>
      <c r="BD953" s="332"/>
      <c r="BE953" s="332"/>
      <c r="BF953" s="490"/>
      <c r="BG953" s="491">
        <f>SUM(AW953:BE953)</f>
        <v>4.3630063999999997</v>
      </c>
      <c r="BH953" s="341"/>
      <c r="BI953" s="447"/>
      <c r="BJ953" s="337"/>
    </row>
    <row r="954" spans="1:62" ht="15.75" customHeight="1" thickBot="1" x14ac:dyDescent="0.25">
      <c r="A954" s="176">
        <v>955</v>
      </c>
      <c r="B954" s="175">
        <v>2</v>
      </c>
      <c r="C954" s="166" t="s">
        <v>162</v>
      </c>
      <c r="D954" s="167" t="s">
        <v>2447</v>
      </c>
      <c r="E954" s="167"/>
      <c r="F954" s="167"/>
      <c r="G954" s="167"/>
      <c r="H954" s="167" t="s">
        <v>2884</v>
      </c>
      <c r="I954" s="184"/>
      <c r="J954" s="190" t="s">
        <v>2997</v>
      </c>
      <c r="K954" s="184"/>
      <c r="L954" s="181"/>
      <c r="M954" s="556" t="s">
        <v>4281</v>
      </c>
      <c r="N954" s="214"/>
      <c r="O954" s="214"/>
      <c r="P954" s="214"/>
      <c r="Q954" s="214"/>
      <c r="R954" s="214"/>
      <c r="S954" s="214"/>
      <c r="T954" s="214"/>
      <c r="U954" s="214"/>
      <c r="V954" s="214"/>
      <c r="W954" s="214"/>
      <c r="X954" s="214"/>
      <c r="Y954" s="214"/>
      <c r="Z954" s="234"/>
      <c r="AA954" s="234"/>
      <c r="AB954" s="234"/>
      <c r="AC954" s="234"/>
      <c r="AD954" s="319"/>
      <c r="AE954" s="319"/>
      <c r="AF954" s="162">
        <f t="shared" si="71"/>
        <v>2.1517225358000003</v>
      </c>
      <c r="AG954" s="162" t="str">
        <f t="shared" si="70"/>
        <v/>
      </c>
      <c r="AH954" s="164">
        <f t="shared" si="68"/>
        <v>0.18947802999999999</v>
      </c>
      <c r="AI954" s="164" t="str">
        <f t="shared" si="69"/>
        <v/>
      </c>
      <c r="AJ954" s="382"/>
      <c r="AK954" s="382"/>
      <c r="AL954" s="382"/>
      <c r="AM954" s="382"/>
      <c r="AN954" s="382"/>
      <c r="AO954" s="382"/>
      <c r="AP954" s="382"/>
      <c r="AQ954" s="382"/>
      <c r="AR954" s="382"/>
      <c r="AS954" s="204">
        <v>2.1517225358000003</v>
      </c>
      <c r="AT954" s="199"/>
      <c r="AU954" s="377"/>
      <c r="AV954" s="393"/>
      <c r="AW954" s="332"/>
      <c r="AX954" s="332"/>
      <c r="AY954" s="332"/>
      <c r="AZ954" s="332"/>
      <c r="BA954" s="332"/>
      <c r="BB954" s="332"/>
      <c r="BC954" s="332"/>
      <c r="BD954" s="332"/>
      <c r="BE954" s="332"/>
      <c r="BF954" s="492">
        <v>0.18947802999999999</v>
      </c>
      <c r="BG954" s="547"/>
      <c r="BH954" s="340"/>
      <c r="BI954" s="551"/>
      <c r="BJ954" s="337"/>
    </row>
    <row r="955" spans="1:62" ht="15.75" customHeight="1" thickBot="1" x14ac:dyDescent="0.25">
      <c r="A955" s="176">
        <v>956</v>
      </c>
      <c r="B955" s="175">
        <v>2</v>
      </c>
      <c r="C955" s="166" t="s">
        <v>162</v>
      </c>
      <c r="D955" s="167" t="s">
        <v>2447</v>
      </c>
      <c r="E955" s="167"/>
      <c r="F955" s="167"/>
      <c r="G955" s="167"/>
      <c r="H955" s="167" t="s">
        <v>2943</v>
      </c>
      <c r="I955" s="184"/>
      <c r="J955" s="190" t="s">
        <v>2977</v>
      </c>
      <c r="K955" s="184"/>
      <c r="L955" s="181"/>
      <c r="M955" s="556" t="s">
        <v>4281</v>
      </c>
      <c r="N955" s="214"/>
      <c r="O955" s="214"/>
      <c r="P955" s="214"/>
      <c r="Q955" s="214"/>
      <c r="R955" s="214"/>
      <c r="S955" s="214"/>
      <c r="T955" s="214"/>
      <c r="U955" s="214"/>
      <c r="V955" s="214"/>
      <c r="W955" s="214"/>
      <c r="X955" s="214"/>
      <c r="Y955" s="214"/>
      <c r="Z955" s="234"/>
      <c r="AA955" s="234"/>
      <c r="AB955" s="234"/>
      <c r="AC955" s="234"/>
      <c r="AD955" s="319"/>
      <c r="AE955" s="319"/>
      <c r="AF955" s="162">
        <f t="shared" si="71"/>
        <v>5.6378573961000003</v>
      </c>
      <c r="AG955" s="162" t="str">
        <f t="shared" si="70"/>
        <v/>
      </c>
      <c r="AH955" s="164">
        <f t="shared" si="68"/>
        <v>0.54483833000000004</v>
      </c>
      <c r="AI955" s="164" t="str">
        <f t="shared" si="69"/>
        <v/>
      </c>
      <c r="AJ955" s="382"/>
      <c r="AK955" s="382"/>
      <c r="AL955" s="382"/>
      <c r="AM955" s="382"/>
      <c r="AN955" s="382"/>
      <c r="AO955" s="382"/>
      <c r="AP955" s="382"/>
      <c r="AQ955" s="382"/>
      <c r="AR955" s="382"/>
      <c r="AS955" s="204">
        <v>5.6378573961000003</v>
      </c>
      <c r="AT955" s="199"/>
      <c r="AU955" s="377"/>
      <c r="AV955" s="393"/>
      <c r="AW955" s="332"/>
      <c r="AX955" s="332"/>
      <c r="AY955" s="332"/>
      <c r="AZ955" s="332"/>
      <c r="BA955" s="332"/>
      <c r="BB955" s="332"/>
      <c r="BC955" s="332"/>
      <c r="BD955" s="332"/>
      <c r="BE955" s="332"/>
      <c r="BF955" s="492">
        <v>0.54483833000000004</v>
      </c>
      <c r="BG955" s="547"/>
      <c r="BH955" s="340"/>
      <c r="BI955" s="551"/>
      <c r="BJ955" s="337"/>
    </row>
    <row r="956" spans="1:62" ht="15.75" customHeight="1" thickBot="1" x14ac:dyDescent="0.25">
      <c r="A956" s="176">
        <v>957</v>
      </c>
      <c r="B956" s="175">
        <v>2</v>
      </c>
      <c r="C956" s="166" t="s">
        <v>162</v>
      </c>
      <c r="D956" s="167" t="s">
        <v>2447</v>
      </c>
      <c r="E956" s="167"/>
      <c r="F956" s="167"/>
      <c r="G956" s="167"/>
      <c r="H956" s="167" t="s">
        <v>2901</v>
      </c>
      <c r="I956" s="184"/>
      <c r="J956" s="190" t="s">
        <v>2978</v>
      </c>
      <c r="K956" s="184"/>
      <c r="L956" s="181"/>
      <c r="M956" s="556" t="s">
        <v>4281</v>
      </c>
      <c r="N956" s="214"/>
      <c r="O956" s="214"/>
      <c r="P956" s="214"/>
      <c r="Q956" s="214"/>
      <c r="R956" s="214"/>
      <c r="S956" s="214"/>
      <c r="T956" s="214"/>
      <c r="U956" s="214"/>
      <c r="V956" s="214"/>
      <c r="W956" s="214"/>
      <c r="X956" s="214"/>
      <c r="Y956" s="214"/>
      <c r="Z956" s="234"/>
      <c r="AA956" s="234"/>
      <c r="AB956" s="234"/>
      <c r="AC956" s="234"/>
      <c r="AD956" s="319"/>
      <c r="AE956" s="319"/>
      <c r="AF956" s="162">
        <f t="shared" si="71"/>
        <v>2.1631013978000002</v>
      </c>
      <c r="AG956" s="162" t="str">
        <f t="shared" si="70"/>
        <v/>
      </c>
      <c r="AH956" s="164">
        <f t="shared" si="68"/>
        <v>0.19278450999999999</v>
      </c>
      <c r="AI956" s="164" t="str">
        <f t="shared" si="69"/>
        <v/>
      </c>
      <c r="AJ956" s="382"/>
      <c r="AK956" s="382"/>
      <c r="AL956" s="382"/>
      <c r="AM956" s="382"/>
      <c r="AN956" s="382"/>
      <c r="AO956" s="382"/>
      <c r="AP956" s="382"/>
      <c r="AQ956" s="382"/>
      <c r="AR956" s="382"/>
      <c r="AS956" s="204">
        <v>2.1631013978000002</v>
      </c>
      <c r="AT956" s="199"/>
      <c r="AU956" s="377"/>
      <c r="AV956" s="393"/>
      <c r="AW956" s="332"/>
      <c r="AX956" s="332"/>
      <c r="AY956" s="332"/>
      <c r="AZ956" s="332"/>
      <c r="BA956" s="332"/>
      <c r="BB956" s="332"/>
      <c r="BC956" s="332"/>
      <c r="BD956" s="332"/>
      <c r="BE956" s="332"/>
      <c r="BF956" s="492">
        <v>0.19278450999999999</v>
      </c>
      <c r="BG956" s="547"/>
      <c r="BH956" s="340"/>
      <c r="BI956" s="551"/>
      <c r="BJ956" s="337"/>
    </row>
    <row r="957" spans="1:62" ht="15.75" customHeight="1" thickBot="1" x14ac:dyDescent="0.25">
      <c r="A957" s="176">
        <v>958</v>
      </c>
      <c r="B957" s="175">
        <v>2</v>
      </c>
      <c r="C957" s="166" t="s">
        <v>162</v>
      </c>
      <c r="D957" s="167" t="s">
        <v>2447</v>
      </c>
      <c r="E957" s="167"/>
      <c r="F957" s="167"/>
      <c r="G957" s="167"/>
      <c r="H957" s="167" t="s">
        <v>2998</v>
      </c>
      <c r="I957" s="184"/>
      <c r="J957" s="190" t="s">
        <v>2979</v>
      </c>
      <c r="K957" s="184"/>
      <c r="L957" s="181"/>
      <c r="M957" s="556" t="s">
        <v>4281</v>
      </c>
      <c r="N957" s="214"/>
      <c r="O957" s="214"/>
      <c r="P957" s="214"/>
      <c r="Q957" s="214"/>
      <c r="R957" s="214"/>
      <c r="S957" s="214"/>
      <c r="T957" s="214"/>
      <c r="U957" s="214"/>
      <c r="V957" s="214"/>
      <c r="W957" s="214"/>
      <c r="X957" s="214"/>
      <c r="Y957" s="214"/>
      <c r="Z957" s="234"/>
      <c r="AA957" s="234"/>
      <c r="AB957" s="234"/>
      <c r="AC957" s="234"/>
      <c r="AD957" s="319"/>
      <c r="AE957" s="319"/>
      <c r="AF957" s="162">
        <f t="shared" si="71"/>
        <v>2.5110390611</v>
      </c>
      <c r="AG957" s="162" t="str">
        <f t="shared" si="70"/>
        <v/>
      </c>
      <c r="AH957" s="164">
        <f t="shared" si="68"/>
        <v>0.24044423000000001</v>
      </c>
      <c r="AI957" s="164" t="str">
        <f t="shared" si="69"/>
        <v/>
      </c>
      <c r="AJ957" s="382"/>
      <c r="AK957" s="382"/>
      <c r="AL957" s="382"/>
      <c r="AM957" s="382"/>
      <c r="AN957" s="382"/>
      <c r="AO957" s="382"/>
      <c r="AP957" s="382"/>
      <c r="AQ957" s="382"/>
      <c r="AR957" s="382"/>
      <c r="AS957" s="204">
        <v>2.5110390611</v>
      </c>
      <c r="AT957" s="199"/>
      <c r="AU957" s="377"/>
      <c r="AV957" s="393"/>
      <c r="AW957" s="332"/>
      <c r="AX957" s="332"/>
      <c r="AY957" s="332"/>
      <c r="AZ957" s="332"/>
      <c r="BA957" s="332"/>
      <c r="BB957" s="332"/>
      <c r="BC957" s="332"/>
      <c r="BD957" s="332"/>
      <c r="BE957" s="332"/>
      <c r="BF957" s="492">
        <v>0.24044423000000001</v>
      </c>
      <c r="BG957" s="547"/>
      <c r="BH957" s="340"/>
      <c r="BI957" s="551"/>
      <c r="BJ957" s="337"/>
    </row>
    <row r="958" spans="1:62" ht="15.75" customHeight="1" thickBot="1" x14ac:dyDescent="0.25">
      <c r="A958" s="176">
        <v>959</v>
      </c>
      <c r="B958" s="175">
        <v>2</v>
      </c>
      <c r="C958" s="166" t="s">
        <v>162</v>
      </c>
      <c r="D958" s="167" t="s">
        <v>2447</v>
      </c>
      <c r="E958" s="167"/>
      <c r="F958" s="167"/>
      <c r="G958" s="167"/>
      <c r="H958" s="167" t="s">
        <v>2870</v>
      </c>
      <c r="I958" s="184"/>
      <c r="J958" s="190" t="s">
        <v>2980</v>
      </c>
      <c r="K958" s="184"/>
      <c r="L958" s="181"/>
      <c r="M958" s="556" t="s">
        <v>4281</v>
      </c>
      <c r="N958" s="214"/>
      <c r="O958" s="214"/>
      <c r="P958" s="214"/>
      <c r="Q958" s="214"/>
      <c r="R958" s="214"/>
      <c r="S958" s="214"/>
      <c r="T958" s="214"/>
      <c r="U958" s="214"/>
      <c r="V958" s="214"/>
      <c r="W958" s="214"/>
      <c r="X958" s="214"/>
      <c r="Y958" s="214"/>
      <c r="Z958" s="234"/>
      <c r="AA958" s="234"/>
      <c r="AB958" s="234"/>
      <c r="AC958" s="234"/>
      <c r="AD958" s="319"/>
      <c r="AE958" s="319"/>
      <c r="AF958" s="162">
        <f t="shared" si="71"/>
        <v>3.4170270486000001</v>
      </c>
      <c r="AG958" s="162" t="str">
        <f t="shared" si="70"/>
        <v/>
      </c>
      <c r="AH958" s="164">
        <f t="shared" si="68"/>
        <v>0.32761311999999998</v>
      </c>
      <c r="AI958" s="164" t="str">
        <f t="shared" si="69"/>
        <v/>
      </c>
      <c r="AJ958" s="382"/>
      <c r="AK958" s="382"/>
      <c r="AL958" s="382"/>
      <c r="AM958" s="382"/>
      <c r="AN958" s="382"/>
      <c r="AO958" s="382"/>
      <c r="AP958" s="382"/>
      <c r="AQ958" s="382"/>
      <c r="AR958" s="382"/>
      <c r="AS958" s="204">
        <v>3.4170270486000001</v>
      </c>
      <c r="AT958" s="199"/>
      <c r="AU958" s="377"/>
      <c r="AV958" s="393"/>
      <c r="AW958" s="332"/>
      <c r="AX958" s="332"/>
      <c r="AY958" s="332"/>
      <c r="AZ958" s="332"/>
      <c r="BA958" s="332"/>
      <c r="BB958" s="332"/>
      <c r="BC958" s="332"/>
      <c r="BD958" s="332"/>
      <c r="BE958" s="332"/>
      <c r="BF958" s="492">
        <v>0.32761311999999998</v>
      </c>
      <c r="BG958" s="547"/>
      <c r="BH958" s="340"/>
      <c r="BI958" s="551"/>
      <c r="BJ958" s="337"/>
    </row>
    <row r="959" spans="1:62" ht="15.75" customHeight="1" thickBot="1" x14ac:dyDescent="0.25">
      <c r="A959" s="176">
        <v>960</v>
      </c>
      <c r="B959" s="175">
        <v>2</v>
      </c>
      <c r="C959" s="166" t="s">
        <v>587</v>
      </c>
      <c r="D959" s="167" t="s">
        <v>2955</v>
      </c>
      <c r="E959" s="167"/>
      <c r="F959" s="167"/>
      <c r="G959" s="167"/>
      <c r="H959" s="167" t="s">
        <v>2901</v>
      </c>
      <c r="I959" s="184"/>
      <c r="J959" s="190" t="s">
        <v>2982</v>
      </c>
      <c r="K959" s="184"/>
      <c r="L959" s="181"/>
      <c r="M959" s="556" t="s">
        <v>4282</v>
      </c>
      <c r="N959" s="214"/>
      <c r="O959" s="214"/>
      <c r="P959" s="214"/>
      <c r="Q959" s="214"/>
      <c r="R959" s="214"/>
      <c r="S959" s="214"/>
      <c r="T959" s="214"/>
      <c r="U959" s="214"/>
      <c r="V959" s="214"/>
      <c r="W959" s="214"/>
      <c r="X959" s="214"/>
      <c r="Y959" s="214"/>
      <c r="Z959" s="234"/>
      <c r="AA959" s="234"/>
      <c r="AB959" s="234"/>
      <c r="AC959" s="234"/>
      <c r="AD959" s="319"/>
      <c r="AE959" s="319"/>
      <c r="AF959" s="162" t="str">
        <f t="shared" si="71"/>
        <v/>
      </c>
      <c r="AG959" s="162">
        <f t="shared" si="70"/>
        <v>3.7005972000000003</v>
      </c>
      <c r="AH959" s="164" t="str">
        <f t="shared" si="68"/>
        <v/>
      </c>
      <c r="AI959" s="164">
        <f t="shared" si="69"/>
        <v>0.29486158999999995</v>
      </c>
      <c r="AJ959" s="382"/>
      <c r="AK959" s="382"/>
      <c r="AL959" s="384">
        <f>3700.5972/1000</f>
        <v>3.7005972000000003</v>
      </c>
      <c r="AM959" s="382"/>
      <c r="AN959" s="382"/>
      <c r="AO959" s="382"/>
      <c r="AP959" s="382"/>
      <c r="AQ959" s="382"/>
      <c r="AR959" s="382"/>
      <c r="AS959" s="204"/>
      <c r="AT959" s="202">
        <f t="shared" ref="AT959:AT966" si="72">SUM(AJ959:AR959)</f>
        <v>3.7005972000000003</v>
      </c>
      <c r="AU959" s="377"/>
      <c r="AV959" s="411"/>
      <c r="AW959" s="332"/>
      <c r="AX959" s="332"/>
      <c r="AY959" s="336">
        <f>294.86159/1000</f>
        <v>0.29486158999999995</v>
      </c>
      <c r="AZ959" s="332"/>
      <c r="BA959" s="332"/>
      <c r="BB959" s="332"/>
      <c r="BC959" s="332"/>
      <c r="BD959" s="332"/>
      <c r="BE959" s="332"/>
      <c r="BF959" s="490"/>
      <c r="BG959" s="491">
        <f t="shared" ref="BG959:BG966" si="73">SUM(AW959:BE959)</f>
        <v>0.29486158999999995</v>
      </c>
      <c r="BH959" s="341"/>
      <c r="BI959" s="447"/>
      <c r="BJ959" s="337"/>
    </row>
    <row r="960" spans="1:62" ht="15.75" customHeight="1" thickBot="1" x14ac:dyDescent="0.25">
      <c r="A960" s="176">
        <v>961</v>
      </c>
      <c r="B960" s="175">
        <v>2</v>
      </c>
      <c r="C960" s="166" t="s">
        <v>587</v>
      </c>
      <c r="D960" s="167" t="s">
        <v>2955</v>
      </c>
      <c r="E960" s="167"/>
      <c r="F960" s="167"/>
      <c r="G960" s="167"/>
      <c r="H960" s="167" t="s">
        <v>2999</v>
      </c>
      <c r="I960" s="184"/>
      <c r="J960" s="190" t="s">
        <v>2983</v>
      </c>
      <c r="K960" s="184"/>
      <c r="L960" s="181"/>
      <c r="M960" s="556" t="s">
        <v>4282</v>
      </c>
      <c r="N960" s="214"/>
      <c r="O960" s="214"/>
      <c r="P960" s="214"/>
      <c r="Q960" s="214"/>
      <c r="R960" s="214"/>
      <c r="S960" s="214"/>
      <c r="T960" s="214"/>
      <c r="U960" s="214"/>
      <c r="V960" s="214"/>
      <c r="W960" s="214"/>
      <c r="X960" s="214"/>
      <c r="Y960" s="214"/>
      <c r="Z960" s="234"/>
      <c r="AA960" s="234"/>
      <c r="AB960" s="234"/>
      <c r="AC960" s="234"/>
      <c r="AD960" s="319"/>
      <c r="AE960" s="319"/>
      <c r="AF960" s="162" t="str">
        <f t="shared" si="71"/>
        <v/>
      </c>
      <c r="AG960" s="162">
        <f t="shared" si="70"/>
        <v>5.132009</v>
      </c>
      <c r="AH960" s="164" t="str">
        <f t="shared" si="68"/>
        <v/>
      </c>
      <c r="AI960" s="164">
        <f t="shared" si="69"/>
        <v>0.47034267000000002</v>
      </c>
      <c r="AJ960" s="382"/>
      <c r="AK960" s="382"/>
      <c r="AL960" s="384">
        <v>5.132009</v>
      </c>
      <c r="AM960" s="382"/>
      <c r="AN960" s="382"/>
      <c r="AO960" s="382"/>
      <c r="AP960" s="382"/>
      <c r="AQ960" s="382"/>
      <c r="AR960" s="382"/>
      <c r="AS960" s="204"/>
      <c r="AT960" s="202">
        <f t="shared" si="72"/>
        <v>5.132009</v>
      </c>
      <c r="AU960" s="377"/>
      <c r="AV960" s="411"/>
      <c r="AW960" s="332"/>
      <c r="AX960" s="332"/>
      <c r="AY960" s="336">
        <v>0.47034267000000002</v>
      </c>
      <c r="AZ960" s="332"/>
      <c r="BA960" s="332"/>
      <c r="BB960" s="332"/>
      <c r="BC960" s="332"/>
      <c r="BD960" s="332"/>
      <c r="BE960" s="332"/>
      <c r="BF960" s="490"/>
      <c r="BG960" s="491">
        <f t="shared" si="73"/>
        <v>0.47034267000000002</v>
      </c>
      <c r="BH960" s="341"/>
      <c r="BI960" s="447"/>
      <c r="BJ960" s="337"/>
    </row>
    <row r="961" spans="1:62" ht="15.75" customHeight="1" thickBot="1" x14ac:dyDescent="0.25">
      <c r="A961" s="176">
        <v>962</v>
      </c>
      <c r="B961" s="175">
        <v>2</v>
      </c>
      <c r="C961" s="166" t="s">
        <v>587</v>
      </c>
      <c r="D961" s="167" t="s">
        <v>2955</v>
      </c>
      <c r="E961" s="167"/>
      <c r="F961" s="167"/>
      <c r="G961" s="167"/>
      <c r="H961" s="167" t="s">
        <v>2878</v>
      </c>
      <c r="I961" s="184"/>
      <c r="J961" s="190" t="s">
        <v>2984</v>
      </c>
      <c r="K961" s="184"/>
      <c r="L961" s="181"/>
      <c r="M961" s="556" t="s">
        <v>4282</v>
      </c>
      <c r="N961" s="214"/>
      <c r="O961" s="214"/>
      <c r="P961" s="214"/>
      <c r="Q961" s="214"/>
      <c r="R961" s="214"/>
      <c r="S961" s="214"/>
      <c r="T961" s="214"/>
      <c r="U961" s="214"/>
      <c r="V961" s="214"/>
      <c r="W961" s="214"/>
      <c r="X961" s="214"/>
      <c r="Y961" s="214"/>
      <c r="Z961" s="234"/>
      <c r="AA961" s="234"/>
      <c r="AB961" s="234"/>
      <c r="AC961" s="234"/>
      <c r="AD961" s="319"/>
      <c r="AE961" s="319"/>
      <c r="AF961" s="162" t="str">
        <f t="shared" si="71"/>
        <v/>
      </c>
      <c r="AG961" s="162">
        <f t="shared" si="70"/>
        <v>4.5169813999999997</v>
      </c>
      <c r="AH961" s="164" t="str">
        <f t="shared" si="68"/>
        <v/>
      </c>
      <c r="AI961" s="164">
        <f t="shared" si="69"/>
        <v>0.36901864000000001</v>
      </c>
      <c r="AJ961" s="382"/>
      <c r="AK961" s="382"/>
      <c r="AL961" s="384">
        <v>4.5169813999999997</v>
      </c>
      <c r="AM961" s="382"/>
      <c r="AN961" s="382"/>
      <c r="AO961" s="382"/>
      <c r="AP961" s="382"/>
      <c r="AQ961" s="382"/>
      <c r="AR961" s="382"/>
      <c r="AS961" s="204"/>
      <c r="AT961" s="202">
        <f t="shared" si="72"/>
        <v>4.5169813999999997</v>
      </c>
      <c r="AU961" s="377"/>
      <c r="AV961" s="411"/>
      <c r="AW961" s="332"/>
      <c r="AX961" s="332"/>
      <c r="AY961" s="336">
        <v>0.36901864000000001</v>
      </c>
      <c r="AZ961" s="332"/>
      <c r="BA961" s="332"/>
      <c r="BB961" s="332"/>
      <c r="BC961" s="332"/>
      <c r="BD961" s="332"/>
      <c r="BE961" s="332"/>
      <c r="BF961" s="490"/>
      <c r="BG961" s="491">
        <f t="shared" si="73"/>
        <v>0.36901864000000001</v>
      </c>
      <c r="BH961" s="341"/>
      <c r="BI961" s="447"/>
      <c r="BJ961" s="337"/>
    </row>
    <row r="962" spans="1:62" ht="15.75" customHeight="1" thickBot="1" x14ac:dyDescent="0.25">
      <c r="A962" s="176">
        <v>963</v>
      </c>
      <c r="B962" s="175">
        <v>2</v>
      </c>
      <c r="C962" s="166" t="s">
        <v>587</v>
      </c>
      <c r="D962" s="167" t="s">
        <v>2955</v>
      </c>
      <c r="E962" s="167"/>
      <c r="F962" s="167"/>
      <c r="G962" s="167"/>
      <c r="H962" s="167" t="s">
        <v>2876</v>
      </c>
      <c r="I962" s="184"/>
      <c r="J962" s="190" t="s">
        <v>2985</v>
      </c>
      <c r="K962" s="184"/>
      <c r="L962" s="181"/>
      <c r="M962" s="556" t="s">
        <v>4282</v>
      </c>
      <c r="N962" s="214"/>
      <c r="O962" s="214"/>
      <c r="P962" s="214"/>
      <c r="Q962" s="214"/>
      <c r="R962" s="214"/>
      <c r="S962" s="214"/>
      <c r="T962" s="214"/>
      <c r="U962" s="214"/>
      <c r="V962" s="214"/>
      <c r="W962" s="214"/>
      <c r="X962" s="214"/>
      <c r="Y962" s="214"/>
      <c r="Z962" s="234"/>
      <c r="AA962" s="234"/>
      <c r="AB962" s="234"/>
      <c r="AC962" s="234"/>
      <c r="AD962" s="319"/>
      <c r="AE962" s="319"/>
      <c r="AF962" s="162" t="str">
        <f t="shared" si="71"/>
        <v/>
      </c>
      <c r="AG962" s="162">
        <f t="shared" si="70"/>
        <v>4.9473551999999996</v>
      </c>
      <c r="AH962" s="164" t="str">
        <f t="shared" ref="AH962:AH1025" si="74">IF(BF962&lt;&gt;0,BF962,"")</f>
        <v/>
      </c>
      <c r="AI962" s="164">
        <f t="shared" ref="AI962:AI1025" si="75">IF(AND(SUM(AW962:AY962)&lt;&gt;0,SUM(AW962:AY962)&lt;&gt;AW962),SUM(AW962:AY962),"")</f>
        <v>0.42890933999999997</v>
      </c>
      <c r="AJ962" s="382"/>
      <c r="AK962" s="382"/>
      <c r="AL962" s="384">
        <v>4.9473551999999996</v>
      </c>
      <c r="AM962" s="382"/>
      <c r="AN962" s="382"/>
      <c r="AO962" s="382"/>
      <c r="AP962" s="382"/>
      <c r="AQ962" s="382"/>
      <c r="AR962" s="382"/>
      <c r="AS962" s="204"/>
      <c r="AT962" s="202">
        <f t="shared" si="72"/>
        <v>4.9473551999999996</v>
      </c>
      <c r="AU962" s="377"/>
      <c r="AV962" s="411"/>
      <c r="AW962" s="332"/>
      <c r="AX962" s="332"/>
      <c r="AY962" s="336">
        <v>0.42890933999999997</v>
      </c>
      <c r="AZ962" s="332"/>
      <c r="BA962" s="332"/>
      <c r="BB962" s="332"/>
      <c r="BC962" s="332"/>
      <c r="BD962" s="332"/>
      <c r="BE962" s="332"/>
      <c r="BF962" s="490"/>
      <c r="BG962" s="491">
        <f t="shared" si="73"/>
        <v>0.42890933999999997</v>
      </c>
      <c r="BH962" s="341"/>
      <c r="BI962" s="447"/>
      <c r="BJ962" s="337"/>
    </row>
    <row r="963" spans="1:62" ht="15.75" customHeight="1" thickBot="1" x14ac:dyDescent="0.25">
      <c r="A963" s="176">
        <v>964</v>
      </c>
      <c r="B963" s="175">
        <v>2</v>
      </c>
      <c r="C963" s="166" t="s">
        <v>587</v>
      </c>
      <c r="D963" s="167" t="s">
        <v>2981</v>
      </c>
      <c r="E963" s="167"/>
      <c r="F963" s="167"/>
      <c r="G963" s="167"/>
      <c r="H963" s="167" t="s">
        <v>2901</v>
      </c>
      <c r="I963" s="184"/>
      <c r="J963" s="190" t="s">
        <v>2986</v>
      </c>
      <c r="K963" s="184"/>
      <c r="L963" s="181"/>
      <c r="M963" s="556" t="s">
        <v>4282</v>
      </c>
      <c r="N963" s="214"/>
      <c r="O963" s="214"/>
      <c r="P963" s="214"/>
      <c r="Q963" s="214"/>
      <c r="R963" s="214"/>
      <c r="S963" s="214"/>
      <c r="T963" s="214"/>
      <c r="U963" s="214"/>
      <c r="V963" s="214"/>
      <c r="W963" s="214"/>
      <c r="X963" s="214"/>
      <c r="Y963" s="214"/>
      <c r="Z963" s="234"/>
      <c r="AA963" s="234"/>
      <c r="AB963" s="234"/>
      <c r="AC963" s="234"/>
      <c r="AD963" s="319"/>
      <c r="AE963" s="319"/>
      <c r="AF963" s="162" t="str">
        <f t="shared" si="71"/>
        <v/>
      </c>
      <c r="AG963" s="162">
        <f t="shared" si="70"/>
        <v>2.9346000000000001</v>
      </c>
      <c r="AH963" s="164" t="str">
        <f t="shared" si="74"/>
        <v/>
      </c>
      <c r="AI963" s="164">
        <f t="shared" si="75"/>
        <v>0.23335</v>
      </c>
      <c r="AJ963" s="382"/>
      <c r="AK963" s="382"/>
      <c r="AL963" s="384">
        <v>2.9346000000000001</v>
      </c>
      <c r="AM963" s="382"/>
      <c r="AN963" s="382"/>
      <c r="AO963" s="382"/>
      <c r="AP963" s="382"/>
      <c r="AQ963" s="382"/>
      <c r="AR963" s="382"/>
      <c r="AS963" s="204"/>
      <c r="AT963" s="202">
        <f t="shared" si="72"/>
        <v>2.9346000000000001</v>
      </c>
      <c r="AU963" s="377"/>
      <c r="AV963" s="411"/>
      <c r="AW963" s="332"/>
      <c r="AX963" s="332"/>
      <c r="AY963" s="336">
        <v>0.23335</v>
      </c>
      <c r="AZ963" s="332"/>
      <c r="BA963" s="332"/>
      <c r="BB963" s="332"/>
      <c r="BC963" s="332"/>
      <c r="BD963" s="332"/>
      <c r="BE963" s="332"/>
      <c r="BF963" s="490"/>
      <c r="BG963" s="491">
        <f t="shared" si="73"/>
        <v>0.23335</v>
      </c>
      <c r="BH963" s="341"/>
      <c r="BI963" s="447"/>
      <c r="BJ963" s="337"/>
    </row>
    <row r="964" spans="1:62" ht="15.75" customHeight="1" thickBot="1" x14ac:dyDescent="0.25">
      <c r="A964" s="176">
        <v>965</v>
      </c>
      <c r="B964" s="175">
        <v>2</v>
      </c>
      <c r="C964" s="166" t="s">
        <v>587</v>
      </c>
      <c r="D964" s="167" t="s">
        <v>2981</v>
      </c>
      <c r="E964" s="167"/>
      <c r="F964" s="167"/>
      <c r="G964" s="167"/>
      <c r="H964" s="167" t="s">
        <v>2999</v>
      </c>
      <c r="I964" s="184"/>
      <c r="J964" s="190" t="s">
        <v>2987</v>
      </c>
      <c r="K964" s="184"/>
      <c r="L964" s="181"/>
      <c r="M964" s="556" t="s">
        <v>4282</v>
      </c>
      <c r="N964" s="214"/>
      <c r="O964" s="214"/>
      <c r="P964" s="214"/>
      <c r="Q964" s="214"/>
      <c r="R964" s="214"/>
      <c r="S964" s="214"/>
      <c r="T964" s="214"/>
      <c r="U964" s="214"/>
      <c r="V964" s="214"/>
      <c r="W964" s="214"/>
      <c r="X964" s="214"/>
      <c r="Y964" s="214"/>
      <c r="Z964" s="234"/>
      <c r="AA964" s="234"/>
      <c r="AB964" s="234"/>
      <c r="AC964" s="234"/>
      <c r="AD964" s="319"/>
      <c r="AE964" s="319"/>
      <c r="AF964" s="162" t="str">
        <f t="shared" si="71"/>
        <v/>
      </c>
      <c r="AG964" s="162">
        <f t="shared" si="70"/>
        <v>3.7627999999999999</v>
      </c>
      <c r="AH964" s="164" t="str">
        <f t="shared" si="74"/>
        <v/>
      </c>
      <c r="AI964" s="164">
        <f t="shared" si="75"/>
        <v>0.34007999999999999</v>
      </c>
      <c r="AJ964" s="382"/>
      <c r="AK964" s="382"/>
      <c r="AL964" s="384">
        <v>3.7627999999999999</v>
      </c>
      <c r="AM964" s="382"/>
      <c r="AN964" s="382"/>
      <c r="AO964" s="382"/>
      <c r="AP964" s="382"/>
      <c r="AQ964" s="382"/>
      <c r="AR964" s="382"/>
      <c r="AS964" s="204"/>
      <c r="AT964" s="203">
        <f t="shared" si="72"/>
        <v>3.7627999999999999</v>
      </c>
      <c r="AU964" s="377"/>
      <c r="AV964" s="411"/>
      <c r="AW964" s="332"/>
      <c r="AX964" s="332"/>
      <c r="AY964" s="336">
        <v>0.34007999999999999</v>
      </c>
      <c r="AZ964" s="332"/>
      <c r="BA964" s="332"/>
      <c r="BB964" s="332"/>
      <c r="BC964" s="332"/>
      <c r="BD964" s="332"/>
      <c r="BE964" s="332"/>
      <c r="BF964" s="490"/>
      <c r="BG964" s="484">
        <f t="shared" si="73"/>
        <v>0.34007999999999999</v>
      </c>
      <c r="BH964" s="341"/>
      <c r="BI964" s="447"/>
      <c r="BJ964" s="337"/>
    </row>
    <row r="965" spans="1:62" ht="15.75" customHeight="1" thickBot="1" x14ac:dyDescent="0.25">
      <c r="A965" s="176">
        <v>966</v>
      </c>
      <c r="B965" s="175">
        <v>2</v>
      </c>
      <c r="C965" s="166" t="s">
        <v>587</v>
      </c>
      <c r="D965" s="167" t="s">
        <v>2981</v>
      </c>
      <c r="E965" s="167"/>
      <c r="F965" s="167"/>
      <c r="G965" s="167"/>
      <c r="H965" s="167" t="s">
        <v>2878</v>
      </c>
      <c r="I965" s="184"/>
      <c r="J965" s="190" t="s">
        <v>2988</v>
      </c>
      <c r="K965" s="184"/>
      <c r="L965" s="181"/>
      <c r="M965" s="556" t="s">
        <v>4282</v>
      </c>
      <c r="N965" s="214"/>
      <c r="O965" s="214"/>
      <c r="P965" s="214"/>
      <c r="Q965" s="214"/>
      <c r="R965" s="214"/>
      <c r="S965" s="214"/>
      <c r="T965" s="214"/>
      <c r="U965" s="214"/>
      <c r="V965" s="214"/>
      <c r="W965" s="214"/>
      <c r="X965" s="214"/>
      <c r="Y965" s="214"/>
      <c r="Z965" s="234"/>
      <c r="AA965" s="234"/>
      <c r="AB965" s="234"/>
      <c r="AC965" s="234"/>
      <c r="AD965" s="319"/>
      <c r="AE965" s="319"/>
      <c r="AF965" s="162" t="str">
        <f t="shared" si="71"/>
        <v/>
      </c>
      <c r="AG965" s="162">
        <f t="shared" si="70"/>
        <v>3.5030000000000001</v>
      </c>
      <c r="AH965" s="164" t="str">
        <f t="shared" si="74"/>
        <v/>
      </c>
      <c r="AI965" s="164">
        <f t="shared" si="75"/>
        <v>0.26682</v>
      </c>
      <c r="AJ965" s="382"/>
      <c r="AK965" s="382"/>
      <c r="AL965" s="384">
        <v>3.5030000000000001</v>
      </c>
      <c r="AM965" s="382"/>
      <c r="AN965" s="382"/>
      <c r="AO965" s="382"/>
      <c r="AP965" s="382"/>
      <c r="AQ965" s="382"/>
      <c r="AR965" s="382"/>
      <c r="AS965" s="204"/>
      <c r="AT965" s="203">
        <f t="shared" si="72"/>
        <v>3.5030000000000001</v>
      </c>
      <c r="AU965" s="377"/>
      <c r="AV965" s="411"/>
      <c r="AW965" s="332"/>
      <c r="AX965" s="332"/>
      <c r="AY965" s="336">
        <v>0.26682</v>
      </c>
      <c r="AZ965" s="332"/>
      <c r="BA965" s="332"/>
      <c r="BB965" s="332"/>
      <c r="BC965" s="332"/>
      <c r="BD965" s="332"/>
      <c r="BE965" s="332"/>
      <c r="BF965" s="490"/>
      <c r="BG965" s="484">
        <f t="shared" si="73"/>
        <v>0.26682</v>
      </c>
      <c r="BH965" s="341"/>
      <c r="BI965" s="447"/>
      <c r="BJ965" s="337"/>
    </row>
    <row r="966" spans="1:62" ht="15.75" customHeight="1" thickBot="1" x14ac:dyDescent="0.25">
      <c r="A966" s="176">
        <v>967</v>
      </c>
      <c r="B966" s="175">
        <v>2</v>
      </c>
      <c r="C966" s="166" t="s">
        <v>587</v>
      </c>
      <c r="D966" s="167" t="s">
        <v>2981</v>
      </c>
      <c r="E966" s="167"/>
      <c r="F966" s="167"/>
      <c r="G966" s="167"/>
      <c r="H966" s="167" t="s">
        <v>2876</v>
      </c>
      <c r="I966" s="184"/>
      <c r="J966" s="190" t="s">
        <v>2989</v>
      </c>
      <c r="K966" s="184"/>
      <c r="L966" s="181"/>
      <c r="M966" s="556" t="s">
        <v>4282</v>
      </c>
      <c r="N966" s="214"/>
      <c r="O966" s="214"/>
      <c r="P966" s="214"/>
      <c r="Q966" s="214"/>
      <c r="R966" s="214"/>
      <c r="S966" s="214"/>
      <c r="T966" s="214"/>
      <c r="U966" s="214"/>
      <c r="V966" s="214"/>
      <c r="W966" s="214"/>
      <c r="X966" s="214"/>
      <c r="Y966" s="214"/>
      <c r="Z966" s="234"/>
      <c r="AA966" s="234"/>
      <c r="AB966" s="234"/>
      <c r="AC966" s="234"/>
      <c r="AD966" s="319"/>
      <c r="AE966" s="319"/>
      <c r="AF966" s="162" t="str">
        <f t="shared" si="71"/>
        <v/>
      </c>
      <c r="AG966" s="162">
        <f t="shared" si="70"/>
        <v>3.7029999999999998</v>
      </c>
      <c r="AH966" s="164" t="str">
        <f t="shared" si="74"/>
        <v/>
      </c>
      <c r="AI966" s="164">
        <f t="shared" si="75"/>
        <v>0.31012000000000001</v>
      </c>
      <c r="AJ966" s="382"/>
      <c r="AK966" s="382"/>
      <c r="AL966" s="384">
        <v>3.7029999999999998</v>
      </c>
      <c r="AM966" s="382"/>
      <c r="AN966" s="382"/>
      <c r="AO966" s="382"/>
      <c r="AP966" s="382"/>
      <c r="AQ966" s="382"/>
      <c r="AR966" s="382"/>
      <c r="AS966" s="204"/>
      <c r="AT966" s="202">
        <f t="shared" si="72"/>
        <v>3.7029999999999998</v>
      </c>
      <c r="AU966" s="377"/>
      <c r="AV966" s="411"/>
      <c r="AW966" s="332"/>
      <c r="AX966" s="332"/>
      <c r="AY966" s="336">
        <v>0.31012000000000001</v>
      </c>
      <c r="AZ966" s="332"/>
      <c r="BA966" s="332"/>
      <c r="BB966" s="332"/>
      <c r="BC966" s="332"/>
      <c r="BD966" s="332"/>
      <c r="BE966" s="332"/>
      <c r="BF966" s="490"/>
      <c r="BG966" s="484">
        <f t="shared" si="73"/>
        <v>0.31012000000000001</v>
      </c>
      <c r="BH966" s="341"/>
      <c r="BI966" s="447"/>
      <c r="BJ966" s="337"/>
    </row>
    <row r="967" spans="1:62" ht="15.75" customHeight="1" thickBot="1" x14ac:dyDescent="0.25">
      <c r="A967" s="176">
        <v>968</v>
      </c>
      <c r="B967" s="175">
        <v>2</v>
      </c>
      <c r="C967" s="166" t="s">
        <v>162</v>
      </c>
      <c r="D967" s="167" t="s">
        <v>1868</v>
      </c>
      <c r="E967" s="167"/>
      <c r="F967" s="167"/>
      <c r="G967" s="167"/>
      <c r="H967" s="167" t="s">
        <v>2892</v>
      </c>
      <c r="I967" s="184"/>
      <c r="J967" s="184" t="s">
        <v>2990</v>
      </c>
      <c r="K967" s="184"/>
      <c r="L967" s="181"/>
      <c r="M967" s="556" t="s">
        <v>4282</v>
      </c>
      <c r="N967" s="214"/>
      <c r="O967" s="214"/>
      <c r="P967" s="214"/>
      <c r="Q967" s="214"/>
      <c r="R967" s="214"/>
      <c r="S967" s="214"/>
      <c r="T967" s="214"/>
      <c r="U967" s="214"/>
      <c r="V967" s="214"/>
      <c r="W967" s="214"/>
      <c r="X967" s="214"/>
      <c r="Y967" s="214"/>
      <c r="Z967" s="234"/>
      <c r="AA967" s="234"/>
      <c r="AB967" s="234"/>
      <c r="AC967" s="234"/>
      <c r="AD967" s="319"/>
      <c r="AE967" s="319"/>
      <c r="AF967" s="162">
        <f t="shared" si="71"/>
        <v>0.625</v>
      </c>
      <c r="AG967" s="162" t="str">
        <f t="shared" si="70"/>
        <v/>
      </c>
      <c r="AH967" s="164">
        <f t="shared" si="74"/>
        <v>7.8799999999999995E-2</v>
      </c>
      <c r="AI967" s="164" t="str">
        <f t="shared" si="75"/>
        <v/>
      </c>
      <c r="AJ967" s="382"/>
      <c r="AK967" s="382"/>
      <c r="AL967" s="382"/>
      <c r="AM967" s="382"/>
      <c r="AN967" s="382"/>
      <c r="AO967" s="382"/>
      <c r="AP967" s="382"/>
      <c r="AQ967" s="382"/>
      <c r="AR967" s="382"/>
      <c r="AS967" s="349">
        <v>0.625</v>
      </c>
      <c r="AT967" s="205"/>
      <c r="AU967" s="377"/>
      <c r="AV967" s="393"/>
      <c r="AW967" s="332"/>
      <c r="AX967" s="332"/>
      <c r="AY967" s="332"/>
      <c r="AZ967" s="332"/>
      <c r="BA967" s="332"/>
      <c r="BB967" s="332"/>
      <c r="BC967" s="332"/>
      <c r="BD967" s="332"/>
      <c r="BE967" s="332"/>
      <c r="BF967" s="493">
        <v>7.8799999999999995E-2</v>
      </c>
      <c r="BG967" s="495"/>
      <c r="BH967" s="341"/>
      <c r="BI967" s="447"/>
      <c r="BJ967" s="337"/>
    </row>
    <row r="968" spans="1:62" ht="15.75" customHeight="1" thickBot="1" x14ac:dyDescent="0.25">
      <c r="A968" s="176">
        <v>969</v>
      </c>
      <c r="B968" s="175">
        <v>2</v>
      </c>
      <c r="C968" s="166" t="s">
        <v>162</v>
      </c>
      <c r="D968" s="167" t="s">
        <v>2991</v>
      </c>
      <c r="E968" s="167"/>
      <c r="F968" s="167"/>
      <c r="G968" s="167"/>
      <c r="H968" s="167" t="s">
        <v>2900</v>
      </c>
      <c r="I968" s="184"/>
      <c r="J968" s="190" t="s">
        <v>2992</v>
      </c>
      <c r="K968" s="184"/>
      <c r="L968" s="181"/>
      <c r="M968" s="556" t="s">
        <v>4282</v>
      </c>
      <c r="N968" s="214"/>
      <c r="O968" s="214"/>
      <c r="P968" s="214"/>
      <c r="Q968" s="214"/>
      <c r="R968" s="214"/>
      <c r="S968" s="214"/>
      <c r="T968" s="214"/>
      <c r="U968" s="214"/>
      <c r="V968" s="214"/>
      <c r="W968" s="214"/>
      <c r="X968" s="214"/>
      <c r="Y968" s="214"/>
      <c r="Z968" s="234"/>
      <c r="AA968" s="234"/>
      <c r="AB968" s="234"/>
      <c r="AC968" s="234"/>
      <c r="AD968" s="319"/>
      <c r="AE968" s="319"/>
      <c r="AF968" s="162">
        <f t="shared" si="71"/>
        <v>0.14480000000000001</v>
      </c>
      <c r="AG968" s="162" t="str">
        <f t="shared" si="70"/>
        <v/>
      </c>
      <c r="AH968" s="164">
        <f t="shared" si="74"/>
        <v>4.4065E-2</v>
      </c>
      <c r="AI968" s="164" t="str">
        <f t="shared" si="75"/>
        <v/>
      </c>
      <c r="AJ968" s="382"/>
      <c r="AK968" s="382"/>
      <c r="AL968" s="382"/>
      <c r="AM968" s="382"/>
      <c r="AN968" s="382"/>
      <c r="AO968" s="382"/>
      <c r="AP968" s="382"/>
      <c r="AQ968" s="382"/>
      <c r="AR968" s="382"/>
      <c r="AS968" s="349">
        <v>0.14480000000000001</v>
      </c>
      <c r="AT968" s="205"/>
      <c r="AU968" s="377"/>
      <c r="AV968" s="393"/>
      <c r="AW968" s="332"/>
      <c r="AX968" s="332"/>
      <c r="AY968" s="332"/>
      <c r="AZ968" s="332"/>
      <c r="BA968" s="332"/>
      <c r="BB968" s="332"/>
      <c r="BC968" s="332"/>
      <c r="BD968" s="332"/>
      <c r="BE968" s="332"/>
      <c r="BF968" s="493">
        <v>4.4065E-2</v>
      </c>
      <c r="BG968" s="495"/>
      <c r="BH968" s="341"/>
      <c r="BI968" s="447"/>
      <c r="BJ968" s="337"/>
    </row>
    <row r="969" spans="1:62" ht="15.75" customHeight="1" thickBot="1" x14ac:dyDescent="0.25">
      <c r="A969" s="176">
        <v>970</v>
      </c>
      <c r="B969" s="175">
        <v>2</v>
      </c>
      <c r="C969" s="166" t="s">
        <v>162</v>
      </c>
      <c r="D969" s="167" t="s">
        <v>2991</v>
      </c>
      <c r="E969" s="167"/>
      <c r="F969" s="167"/>
      <c r="G969" s="167"/>
      <c r="H969" s="167" t="s">
        <v>2901</v>
      </c>
      <c r="I969" s="184"/>
      <c r="J969" s="190" t="s">
        <v>2993</v>
      </c>
      <c r="K969" s="184"/>
      <c r="L969" s="181"/>
      <c r="M969" s="556" t="s">
        <v>4282</v>
      </c>
      <c r="N969" s="214"/>
      <c r="O969" s="214"/>
      <c r="P969" s="214"/>
      <c r="Q969" s="214"/>
      <c r="R969" s="214"/>
      <c r="S969" s="214"/>
      <c r="T969" s="214"/>
      <c r="U969" s="214"/>
      <c r="V969" s="214"/>
      <c r="W969" s="214"/>
      <c r="X969" s="214"/>
      <c r="Y969" s="214"/>
      <c r="Z969" s="234"/>
      <c r="AA969" s="234"/>
      <c r="AB969" s="234"/>
      <c r="AC969" s="234"/>
      <c r="AD969" s="319"/>
      <c r="AE969" s="319"/>
      <c r="AF969" s="162">
        <f t="shared" si="71"/>
        <v>0.16400000000000001</v>
      </c>
      <c r="AG969" s="162" t="str">
        <f t="shared" si="70"/>
        <v/>
      </c>
      <c r="AH969" s="164">
        <f t="shared" si="74"/>
        <v>5.6827000000000003E-2</v>
      </c>
      <c r="AI969" s="164" t="str">
        <f t="shared" si="75"/>
        <v/>
      </c>
      <c r="AJ969" s="382"/>
      <c r="AK969" s="382"/>
      <c r="AL969" s="382"/>
      <c r="AM969" s="382"/>
      <c r="AN969" s="382"/>
      <c r="AO969" s="382"/>
      <c r="AP969" s="382"/>
      <c r="AQ969" s="382"/>
      <c r="AR969" s="382"/>
      <c r="AS969" s="349">
        <v>0.16400000000000001</v>
      </c>
      <c r="AT969" s="205"/>
      <c r="AU969" s="377"/>
      <c r="AV969" s="393"/>
      <c r="AW969" s="332"/>
      <c r="AX969" s="332"/>
      <c r="AY969" s="332"/>
      <c r="AZ969" s="332"/>
      <c r="BA969" s="332"/>
      <c r="BB969" s="332"/>
      <c r="BC969" s="332"/>
      <c r="BD969" s="332"/>
      <c r="BE969" s="332"/>
      <c r="BF969" s="493">
        <v>5.6827000000000003E-2</v>
      </c>
      <c r="BG969" s="495"/>
      <c r="BH969" s="341"/>
      <c r="BI969" s="447"/>
      <c r="BJ969" s="337"/>
    </row>
    <row r="970" spans="1:62" ht="15.75" customHeight="1" thickBot="1" x14ac:dyDescent="0.25">
      <c r="A970" s="176">
        <v>971</v>
      </c>
      <c r="B970" s="175">
        <v>2</v>
      </c>
      <c r="C970" s="166" t="s">
        <v>542</v>
      </c>
      <c r="D970" s="159" t="s">
        <v>1925</v>
      </c>
      <c r="E970" s="167"/>
      <c r="F970" s="167"/>
      <c r="G970" s="167"/>
      <c r="H970" s="167" t="s">
        <v>2890</v>
      </c>
      <c r="I970" s="184"/>
      <c r="J970" s="190" t="s">
        <v>2994</v>
      </c>
      <c r="K970" s="184"/>
      <c r="L970" s="181"/>
      <c r="M970" s="556" t="s">
        <v>4282</v>
      </c>
      <c r="N970" s="214"/>
      <c r="O970" s="214"/>
      <c r="P970" s="214"/>
      <c r="Q970" s="214"/>
      <c r="R970" s="214"/>
      <c r="S970" s="214"/>
      <c r="T970" s="214"/>
      <c r="U970" s="214"/>
      <c r="V970" s="214"/>
      <c r="W970" s="214"/>
      <c r="X970" s="214"/>
      <c r="Y970" s="214"/>
      <c r="Z970" s="234"/>
      <c r="AA970" s="234"/>
      <c r="AB970" s="234"/>
      <c r="AC970" s="234"/>
      <c r="AD970" s="319"/>
      <c r="AE970" s="319"/>
      <c r="AF970" s="162" t="str">
        <f t="shared" si="71"/>
        <v/>
      </c>
      <c r="AG970" s="162">
        <f t="shared" si="70"/>
        <v>10.811221</v>
      </c>
      <c r="AH970" s="164" t="str">
        <f t="shared" si="74"/>
        <v/>
      </c>
      <c r="AI970" s="164">
        <f t="shared" si="75"/>
        <v>3.8596341000000001</v>
      </c>
      <c r="AJ970" s="382"/>
      <c r="AK970" s="382"/>
      <c r="AL970" s="384">
        <v>10.811221</v>
      </c>
      <c r="AM970" s="382"/>
      <c r="AN970" s="382"/>
      <c r="AO970" s="382"/>
      <c r="AP970" s="382"/>
      <c r="AQ970" s="382"/>
      <c r="AR970" s="382"/>
      <c r="AS970" s="204"/>
      <c r="AT970" s="203">
        <f t="shared" ref="AT970:AT977" si="76">SUM(AJ970:AR970)</f>
        <v>10.811221</v>
      </c>
      <c r="AU970" s="377"/>
      <c r="AV970" s="411"/>
      <c r="AW970" s="332"/>
      <c r="AX970" s="332"/>
      <c r="AY970" s="336">
        <v>3.8596341000000001</v>
      </c>
      <c r="AZ970" s="332"/>
      <c r="BA970" s="332"/>
      <c r="BB970" s="332"/>
      <c r="BC970" s="332"/>
      <c r="BD970" s="332"/>
      <c r="BE970" s="332"/>
      <c r="BF970" s="490"/>
      <c r="BG970" s="484">
        <f t="shared" ref="BG970:BG977" si="77">SUM(AW970:BE970)</f>
        <v>3.8596341000000001</v>
      </c>
      <c r="BH970" s="341"/>
      <c r="BI970" s="447"/>
      <c r="BJ970" s="337"/>
    </row>
    <row r="971" spans="1:62" ht="15.75" customHeight="1" thickBot="1" x14ac:dyDescent="0.25">
      <c r="A971" s="176">
        <v>972</v>
      </c>
      <c r="B971" s="175">
        <v>2</v>
      </c>
      <c r="C971" s="166" t="s">
        <v>542</v>
      </c>
      <c r="D971" s="159" t="s">
        <v>1925</v>
      </c>
      <c r="E971" s="167"/>
      <c r="F971" s="167"/>
      <c r="G971" s="167"/>
      <c r="H971" s="167" t="s">
        <v>2943</v>
      </c>
      <c r="I971" s="184"/>
      <c r="J971" s="190" t="s">
        <v>2995</v>
      </c>
      <c r="K971" s="184"/>
      <c r="L971" s="181"/>
      <c r="M971" s="556" t="s">
        <v>4282</v>
      </c>
      <c r="N971" s="214"/>
      <c r="O971" s="214"/>
      <c r="P971" s="214"/>
      <c r="Q971" s="214"/>
      <c r="R971" s="214"/>
      <c r="S971" s="214"/>
      <c r="T971" s="214"/>
      <c r="U971" s="214"/>
      <c r="V971" s="214"/>
      <c r="W971" s="214"/>
      <c r="X971" s="214"/>
      <c r="Y971" s="214"/>
      <c r="Z971" s="234"/>
      <c r="AA971" s="234"/>
      <c r="AB971" s="234"/>
      <c r="AC971" s="234"/>
      <c r="AD971" s="319"/>
      <c r="AE971" s="319"/>
      <c r="AF971" s="162" t="str">
        <f t="shared" si="71"/>
        <v/>
      </c>
      <c r="AG971" s="162">
        <f t="shared" si="70"/>
        <v>12.123262</v>
      </c>
      <c r="AH971" s="164" t="str">
        <f t="shared" si="74"/>
        <v/>
      </c>
      <c r="AI971" s="164">
        <f t="shared" si="75"/>
        <v>2.0942848999999999</v>
      </c>
      <c r="AJ971" s="382"/>
      <c r="AK971" s="382"/>
      <c r="AL971" s="384">
        <v>12.123262</v>
      </c>
      <c r="AM971" s="382"/>
      <c r="AN971" s="382"/>
      <c r="AO971" s="382"/>
      <c r="AP971" s="382"/>
      <c r="AQ971" s="382"/>
      <c r="AR971" s="382"/>
      <c r="AS971" s="204"/>
      <c r="AT971" s="202">
        <f t="shared" si="76"/>
        <v>12.123262</v>
      </c>
      <c r="AU971" s="377"/>
      <c r="AV971" s="411"/>
      <c r="AW971" s="332"/>
      <c r="AX971" s="332"/>
      <c r="AY971" s="336">
        <v>2.0942848999999999</v>
      </c>
      <c r="AZ971" s="332"/>
      <c r="BA971" s="332"/>
      <c r="BB971" s="332"/>
      <c r="BC971" s="332"/>
      <c r="BD971" s="332"/>
      <c r="BE971" s="332"/>
      <c r="BF971" s="490"/>
      <c r="BG971" s="491">
        <f t="shared" si="77"/>
        <v>2.0942848999999999</v>
      </c>
      <c r="BH971" s="341"/>
      <c r="BI971" s="447"/>
      <c r="BJ971" s="337"/>
    </row>
    <row r="972" spans="1:62" ht="15.75" customHeight="1" thickBot="1" x14ac:dyDescent="0.25">
      <c r="A972" s="176">
        <v>973</v>
      </c>
      <c r="B972" s="175">
        <v>2</v>
      </c>
      <c r="C972" s="166" t="s">
        <v>542</v>
      </c>
      <c r="D972" s="159" t="s">
        <v>1925</v>
      </c>
      <c r="E972" s="167"/>
      <c r="F972" s="167"/>
      <c r="G972" s="167"/>
      <c r="H972" s="167" t="s">
        <v>2891</v>
      </c>
      <c r="I972" s="184"/>
      <c r="J972" s="190" t="s">
        <v>2996</v>
      </c>
      <c r="K972" s="184"/>
      <c r="L972" s="181"/>
      <c r="M972" s="556" t="s">
        <v>4282</v>
      </c>
      <c r="N972" s="214"/>
      <c r="O972" s="214"/>
      <c r="P972" s="214"/>
      <c r="Q972" s="214"/>
      <c r="R972" s="214"/>
      <c r="S972" s="214"/>
      <c r="T972" s="214"/>
      <c r="U972" s="214"/>
      <c r="V972" s="214"/>
      <c r="W972" s="214"/>
      <c r="X972" s="214"/>
      <c r="Y972" s="214"/>
      <c r="Z972" s="234"/>
      <c r="AA972" s="234"/>
      <c r="AB972" s="234"/>
      <c r="AC972" s="234"/>
      <c r="AD972" s="319"/>
      <c r="AE972" s="319"/>
      <c r="AF972" s="162" t="str">
        <f t="shared" si="71"/>
        <v/>
      </c>
      <c r="AG972" s="162">
        <f t="shared" si="70"/>
        <v>12.765396000000001</v>
      </c>
      <c r="AH972" s="164" t="str">
        <f t="shared" si="74"/>
        <v/>
      </c>
      <c r="AI972" s="164">
        <f t="shared" si="75"/>
        <v>2.2343989</v>
      </c>
      <c r="AJ972" s="382"/>
      <c r="AK972" s="382"/>
      <c r="AL972" s="384">
        <v>12.765396000000001</v>
      </c>
      <c r="AM972" s="382"/>
      <c r="AN972" s="382"/>
      <c r="AO972" s="382"/>
      <c r="AP972" s="382"/>
      <c r="AQ972" s="382"/>
      <c r="AR972" s="382"/>
      <c r="AS972" s="204"/>
      <c r="AT972" s="202">
        <f t="shared" si="76"/>
        <v>12.765396000000001</v>
      </c>
      <c r="AU972" s="377"/>
      <c r="AV972" s="411"/>
      <c r="AW972" s="332"/>
      <c r="AX972" s="332"/>
      <c r="AY972" s="336">
        <v>2.2343989</v>
      </c>
      <c r="AZ972" s="332"/>
      <c r="BA972" s="332"/>
      <c r="BB972" s="332"/>
      <c r="BC972" s="332"/>
      <c r="BD972" s="332"/>
      <c r="BE972" s="332"/>
      <c r="BF972" s="490"/>
      <c r="BG972" s="491">
        <f t="shared" si="77"/>
        <v>2.2343989</v>
      </c>
      <c r="BH972" s="341"/>
      <c r="BI972" s="447"/>
      <c r="BJ972" s="337"/>
    </row>
    <row r="973" spans="1:62" ht="15.75" customHeight="1" thickBot="1" x14ac:dyDescent="0.25">
      <c r="A973" s="176">
        <v>974</v>
      </c>
      <c r="B973" s="175">
        <v>2</v>
      </c>
      <c r="C973" s="166" t="s">
        <v>542</v>
      </c>
      <c r="D973" s="159" t="s">
        <v>1939</v>
      </c>
      <c r="E973" s="167"/>
      <c r="F973" s="167"/>
      <c r="G973" s="167"/>
      <c r="H973" s="167" t="s">
        <v>351</v>
      </c>
      <c r="I973" s="184"/>
      <c r="J973" s="189" t="s">
        <v>3000</v>
      </c>
      <c r="K973" s="184"/>
      <c r="L973" s="181"/>
      <c r="M973" s="556" t="s">
        <v>4282</v>
      </c>
      <c r="N973" s="214"/>
      <c r="O973" s="214"/>
      <c r="P973" s="214"/>
      <c r="Q973" s="214"/>
      <c r="R973" s="214"/>
      <c r="S973" s="214"/>
      <c r="T973" s="214"/>
      <c r="U973" s="214"/>
      <c r="V973" s="214"/>
      <c r="W973" s="214"/>
      <c r="X973" s="214"/>
      <c r="Y973" s="214"/>
      <c r="Z973" s="234"/>
      <c r="AA973" s="234"/>
      <c r="AB973" s="234"/>
      <c r="AC973" s="234"/>
      <c r="AD973" s="319"/>
      <c r="AE973" s="319"/>
      <c r="AF973" s="162" t="str">
        <f t="shared" si="71"/>
        <v/>
      </c>
      <c r="AG973" s="162">
        <f t="shared" si="70"/>
        <v>14.681468000000001</v>
      </c>
      <c r="AH973" s="164" t="str">
        <f t="shared" si="74"/>
        <v/>
      </c>
      <c r="AI973" s="164">
        <f t="shared" si="75"/>
        <v>1.1531735000000001</v>
      </c>
      <c r="AJ973" s="382"/>
      <c r="AK973" s="382"/>
      <c r="AL973" s="386">
        <v>14.681468000000001</v>
      </c>
      <c r="AM973" s="382"/>
      <c r="AN973" s="382"/>
      <c r="AO973" s="382"/>
      <c r="AP973" s="382"/>
      <c r="AQ973" s="382"/>
      <c r="AR973" s="382"/>
      <c r="AS973" s="204"/>
      <c r="AT973" s="202">
        <f t="shared" si="76"/>
        <v>14.681468000000001</v>
      </c>
      <c r="AU973" s="377"/>
      <c r="AV973" s="414"/>
      <c r="AW973" s="332"/>
      <c r="AX973" s="332"/>
      <c r="AY973" s="336">
        <v>1.1531735000000001</v>
      </c>
      <c r="AZ973" s="332"/>
      <c r="BA973" s="332"/>
      <c r="BB973" s="332"/>
      <c r="BC973" s="332"/>
      <c r="BD973" s="332"/>
      <c r="BE973" s="332"/>
      <c r="BF973" s="490"/>
      <c r="BG973" s="491">
        <f t="shared" si="77"/>
        <v>1.1531735000000001</v>
      </c>
      <c r="BH973" s="341"/>
      <c r="BI973" s="447"/>
      <c r="BJ973" s="337"/>
    </row>
    <row r="974" spans="1:62" ht="15.75" customHeight="1" thickBot="1" x14ac:dyDescent="0.25">
      <c r="A974" s="176">
        <v>975</v>
      </c>
      <c r="B974" s="175">
        <v>2</v>
      </c>
      <c r="C974" s="166" t="s">
        <v>542</v>
      </c>
      <c r="D974" s="159" t="s">
        <v>1939</v>
      </c>
      <c r="E974" s="167"/>
      <c r="F974" s="167"/>
      <c r="G974" s="167"/>
      <c r="H974" s="167" t="s">
        <v>351</v>
      </c>
      <c r="I974" s="184"/>
      <c r="J974" s="189" t="s">
        <v>3001</v>
      </c>
      <c r="K974" s="184"/>
      <c r="L974" s="181"/>
      <c r="M974" s="556" t="s">
        <v>4282</v>
      </c>
      <c r="N974" s="214"/>
      <c r="O974" s="214"/>
      <c r="P974" s="214"/>
      <c r="Q974" s="214"/>
      <c r="R974" s="214"/>
      <c r="S974" s="214"/>
      <c r="T974" s="214"/>
      <c r="U974" s="214"/>
      <c r="V974" s="214"/>
      <c r="W974" s="214"/>
      <c r="X974" s="214"/>
      <c r="Y974" s="214"/>
      <c r="Z974" s="234"/>
      <c r="AA974" s="234"/>
      <c r="AB974" s="234"/>
      <c r="AC974" s="234"/>
      <c r="AD974" s="319"/>
      <c r="AE974" s="319"/>
      <c r="AF974" s="162" t="str">
        <f t="shared" si="71"/>
        <v/>
      </c>
      <c r="AG974" s="162">
        <f t="shared" si="70"/>
        <v>15.649869000000001</v>
      </c>
      <c r="AH974" s="164" t="str">
        <f t="shared" si="74"/>
        <v/>
      </c>
      <c r="AI974" s="164">
        <f t="shared" si="75"/>
        <v>1.2454783</v>
      </c>
      <c r="AJ974" s="382"/>
      <c r="AK974" s="382"/>
      <c r="AL974" s="386">
        <v>15.649869000000001</v>
      </c>
      <c r="AM974" s="382"/>
      <c r="AN974" s="382"/>
      <c r="AO974" s="382"/>
      <c r="AP974" s="382"/>
      <c r="AQ974" s="382"/>
      <c r="AR974" s="382"/>
      <c r="AS974" s="204"/>
      <c r="AT974" s="202">
        <f t="shared" si="76"/>
        <v>15.649869000000001</v>
      </c>
      <c r="AU974" s="377"/>
      <c r="AV974" s="414"/>
      <c r="AW974" s="332"/>
      <c r="AX974" s="332"/>
      <c r="AY974" s="336">
        <v>1.2454783</v>
      </c>
      <c r="AZ974" s="332"/>
      <c r="BA974" s="332"/>
      <c r="BB974" s="332"/>
      <c r="BC974" s="332"/>
      <c r="BD974" s="332"/>
      <c r="BE974" s="332"/>
      <c r="BF974" s="490"/>
      <c r="BG974" s="491">
        <f t="shared" si="77"/>
        <v>1.2454783</v>
      </c>
      <c r="BH974" s="341"/>
      <c r="BI974" s="447"/>
      <c r="BJ974" s="337"/>
    </row>
    <row r="975" spans="1:62" ht="15.75" customHeight="1" thickBot="1" x14ac:dyDescent="0.25">
      <c r="A975" s="176">
        <v>976</v>
      </c>
      <c r="B975" s="175">
        <v>2</v>
      </c>
      <c r="C975" s="166" t="s">
        <v>542</v>
      </c>
      <c r="D975" s="159" t="s">
        <v>2114</v>
      </c>
      <c r="E975" s="167"/>
      <c r="F975" s="167"/>
      <c r="G975" s="167"/>
      <c r="H975" s="167" t="s">
        <v>2890</v>
      </c>
      <c r="I975" s="184"/>
      <c r="J975" s="190" t="s">
        <v>3002</v>
      </c>
      <c r="K975" s="184"/>
      <c r="L975" s="181"/>
      <c r="M975" s="556" t="s">
        <v>4282</v>
      </c>
      <c r="N975" s="214"/>
      <c r="O975" s="214"/>
      <c r="P975" s="214"/>
      <c r="Q975" s="214"/>
      <c r="R975" s="214"/>
      <c r="S975" s="214"/>
      <c r="T975" s="214"/>
      <c r="U975" s="214"/>
      <c r="V975" s="214"/>
      <c r="W975" s="214"/>
      <c r="X975" s="214"/>
      <c r="Y975" s="214"/>
      <c r="Z975" s="234"/>
      <c r="AA975" s="234"/>
      <c r="AB975" s="234"/>
      <c r="AC975" s="234"/>
      <c r="AD975" s="319"/>
      <c r="AE975" s="319"/>
      <c r="AF975" s="162" t="str">
        <f t="shared" si="71"/>
        <v/>
      </c>
      <c r="AG975" s="162">
        <f t="shared" si="70"/>
        <v>9.5381681</v>
      </c>
      <c r="AH975" s="164" t="str">
        <f t="shared" si="74"/>
        <v/>
      </c>
      <c r="AI975" s="164">
        <f t="shared" si="75"/>
        <v>11.189705</v>
      </c>
      <c r="AJ975" s="382"/>
      <c r="AK975" s="382"/>
      <c r="AL975" s="384">
        <v>9.5381681</v>
      </c>
      <c r="AM975" s="382"/>
      <c r="AN975" s="382"/>
      <c r="AO975" s="382"/>
      <c r="AP975" s="382"/>
      <c r="AQ975" s="382"/>
      <c r="AR975" s="382"/>
      <c r="AS975" s="204"/>
      <c r="AT975" s="202">
        <f t="shared" si="76"/>
        <v>9.5381681</v>
      </c>
      <c r="AU975" s="377"/>
      <c r="AV975" s="411"/>
      <c r="AW975" s="332"/>
      <c r="AX975" s="332"/>
      <c r="AY975" s="336">
        <v>11.189705</v>
      </c>
      <c r="AZ975" s="332"/>
      <c r="BA975" s="332"/>
      <c r="BB975" s="332"/>
      <c r="BC975" s="332"/>
      <c r="BD975" s="332"/>
      <c r="BE975" s="332"/>
      <c r="BF975" s="490"/>
      <c r="BG975" s="491">
        <f t="shared" si="77"/>
        <v>11.189705</v>
      </c>
      <c r="BH975" s="341"/>
      <c r="BI975" s="447"/>
      <c r="BJ975" s="337"/>
    </row>
    <row r="976" spans="1:62" ht="15.75" customHeight="1" thickBot="1" x14ac:dyDescent="0.25">
      <c r="A976" s="176">
        <v>977</v>
      </c>
      <c r="B976" s="175">
        <v>2</v>
      </c>
      <c r="C976" s="166" t="s">
        <v>542</v>
      </c>
      <c r="D976" s="159" t="s">
        <v>2114</v>
      </c>
      <c r="E976" s="167"/>
      <c r="F976" s="167"/>
      <c r="G976" s="167"/>
      <c r="H976" s="167" t="s">
        <v>3033</v>
      </c>
      <c r="I976" s="184"/>
      <c r="J976" s="190" t="s">
        <v>3003</v>
      </c>
      <c r="K976" s="184"/>
      <c r="L976" s="181"/>
      <c r="M976" s="556" t="s">
        <v>4282</v>
      </c>
      <c r="N976" s="214"/>
      <c r="O976" s="214"/>
      <c r="P976" s="214"/>
      <c r="Q976" s="214"/>
      <c r="R976" s="214"/>
      <c r="S976" s="214"/>
      <c r="T976" s="214"/>
      <c r="U976" s="214"/>
      <c r="V976" s="214"/>
      <c r="W976" s="214"/>
      <c r="X976" s="214"/>
      <c r="Y976" s="214"/>
      <c r="Z976" s="234"/>
      <c r="AA976" s="234"/>
      <c r="AB976" s="234"/>
      <c r="AC976" s="234"/>
      <c r="AD976" s="320"/>
      <c r="AE976" s="319"/>
      <c r="AF976" s="162" t="str">
        <f t="shared" si="71"/>
        <v/>
      </c>
      <c r="AG976" s="162">
        <f t="shared" si="70"/>
        <v>9.6309094999999996</v>
      </c>
      <c r="AH976" s="164" t="str">
        <f t="shared" si="74"/>
        <v/>
      </c>
      <c r="AI976" s="164">
        <f t="shared" si="75"/>
        <v>5.4762399999999998</v>
      </c>
      <c r="AJ976" s="382"/>
      <c r="AK976" s="382"/>
      <c r="AL976" s="384">
        <v>9.6309094999999996</v>
      </c>
      <c r="AM976" s="382"/>
      <c r="AN976" s="382"/>
      <c r="AO976" s="382"/>
      <c r="AP976" s="382"/>
      <c r="AQ976" s="382"/>
      <c r="AR976" s="382"/>
      <c r="AS976" s="204"/>
      <c r="AT976" s="203">
        <f t="shared" si="76"/>
        <v>9.6309094999999996</v>
      </c>
      <c r="AU976" s="377"/>
      <c r="AV976" s="411"/>
      <c r="AW976" s="332"/>
      <c r="AX976" s="332"/>
      <c r="AY976" s="336">
        <v>5.4762399999999998</v>
      </c>
      <c r="AZ976" s="332"/>
      <c r="BA976" s="332"/>
      <c r="BB976" s="332"/>
      <c r="BC976" s="332"/>
      <c r="BD976" s="332"/>
      <c r="BE976" s="332"/>
      <c r="BF976" s="490"/>
      <c r="BG976" s="484">
        <f t="shared" si="77"/>
        <v>5.4762399999999998</v>
      </c>
      <c r="BH976" s="341"/>
      <c r="BI976" s="447"/>
      <c r="BJ976" s="337"/>
    </row>
    <row r="977" spans="1:62" ht="15.75" customHeight="1" thickBot="1" x14ac:dyDescent="0.25">
      <c r="A977" s="176">
        <v>978</v>
      </c>
      <c r="B977" s="175">
        <v>2</v>
      </c>
      <c r="C977" s="166" t="s">
        <v>542</v>
      </c>
      <c r="D977" s="159" t="s">
        <v>2114</v>
      </c>
      <c r="E977" s="167"/>
      <c r="F977" s="167"/>
      <c r="G977" s="167"/>
      <c r="H977" s="167" t="s">
        <v>2901</v>
      </c>
      <c r="I977" s="184"/>
      <c r="J977" s="190" t="s">
        <v>3004</v>
      </c>
      <c r="K977" s="184"/>
      <c r="L977" s="181"/>
      <c r="M977" s="556" t="s">
        <v>4282</v>
      </c>
      <c r="N977" s="214"/>
      <c r="O977" s="214"/>
      <c r="P977" s="214"/>
      <c r="Q977" s="214"/>
      <c r="R977" s="214"/>
      <c r="S977" s="214"/>
      <c r="T977" s="214"/>
      <c r="U977" s="214"/>
      <c r="V977" s="214"/>
      <c r="W977" s="214"/>
      <c r="X977" s="214"/>
      <c r="Y977" s="214"/>
      <c r="Z977" s="234"/>
      <c r="AA977" s="234"/>
      <c r="AB977" s="234"/>
      <c r="AC977" s="234"/>
      <c r="AD977" s="319"/>
      <c r="AE977" s="319"/>
      <c r="AF977" s="162" t="str">
        <f t="shared" si="71"/>
        <v/>
      </c>
      <c r="AG977" s="162">
        <f t="shared" si="70"/>
        <v>11.043447</v>
      </c>
      <c r="AH977" s="164" t="str">
        <f t="shared" si="74"/>
        <v/>
      </c>
      <c r="AI977" s="164">
        <f t="shared" si="75"/>
        <v>7.9745176999999998</v>
      </c>
      <c r="AJ977" s="382"/>
      <c r="AK977" s="382"/>
      <c r="AL977" s="384">
        <v>11.043447</v>
      </c>
      <c r="AM977" s="382"/>
      <c r="AN977" s="382"/>
      <c r="AO977" s="382"/>
      <c r="AP977" s="382"/>
      <c r="AQ977" s="382"/>
      <c r="AR977" s="382"/>
      <c r="AS977" s="204"/>
      <c r="AT977" s="203">
        <f t="shared" si="76"/>
        <v>11.043447</v>
      </c>
      <c r="AU977" s="377"/>
      <c r="AV977" s="411"/>
      <c r="AW977" s="332"/>
      <c r="AX977" s="332"/>
      <c r="AY977" s="336">
        <v>7.9745176999999998</v>
      </c>
      <c r="AZ977" s="332"/>
      <c r="BA977" s="332"/>
      <c r="BB977" s="332"/>
      <c r="BC977" s="332"/>
      <c r="BD977" s="332"/>
      <c r="BE977" s="332"/>
      <c r="BF977" s="490"/>
      <c r="BG977" s="484">
        <f t="shared" si="77"/>
        <v>7.9745176999999998</v>
      </c>
      <c r="BH977" s="341"/>
      <c r="BI977" s="447"/>
      <c r="BJ977" s="337"/>
    </row>
    <row r="978" spans="1:62" ht="15.75" customHeight="1" thickBot="1" x14ac:dyDescent="0.25">
      <c r="A978" s="176">
        <v>979</v>
      </c>
      <c r="B978" s="175">
        <v>2</v>
      </c>
      <c r="C978" s="166" t="s">
        <v>760</v>
      </c>
      <c r="D978" s="159" t="s">
        <v>2130</v>
      </c>
      <c r="E978" s="167"/>
      <c r="F978" s="167"/>
      <c r="G978" s="167"/>
      <c r="H978" s="167" t="s">
        <v>2943</v>
      </c>
      <c r="I978" s="184"/>
      <c r="J978" s="190" t="s">
        <v>3005</v>
      </c>
      <c r="K978" s="184"/>
      <c r="L978" s="181"/>
      <c r="M978" s="556" t="s">
        <v>4282</v>
      </c>
      <c r="N978" s="214"/>
      <c r="O978" s="214"/>
      <c r="P978" s="214"/>
      <c r="Q978" s="214"/>
      <c r="R978" s="214"/>
      <c r="S978" s="214"/>
      <c r="T978" s="214"/>
      <c r="U978" s="214"/>
      <c r="V978" s="214"/>
      <c r="W978" s="214"/>
      <c r="X978" s="214"/>
      <c r="Y978" s="214"/>
      <c r="Z978" s="234"/>
      <c r="AA978" s="234"/>
      <c r="AB978" s="234"/>
      <c r="AC978" s="234"/>
      <c r="AD978" s="319"/>
      <c r="AE978" s="319"/>
      <c r="AF978" s="162">
        <f t="shared" si="71"/>
        <v>3.2267999999999999</v>
      </c>
      <c r="AG978" s="162" t="str">
        <f t="shared" si="70"/>
        <v/>
      </c>
      <c r="AH978" s="164">
        <f t="shared" si="74"/>
        <v>1.0539000000000001</v>
      </c>
      <c r="AI978" s="164" t="str">
        <f t="shared" si="75"/>
        <v/>
      </c>
      <c r="AJ978" s="382"/>
      <c r="AK978" s="382"/>
      <c r="AL978" s="382"/>
      <c r="AM978" s="382"/>
      <c r="AN978" s="382"/>
      <c r="AO978" s="382"/>
      <c r="AP978" s="382"/>
      <c r="AQ978" s="382"/>
      <c r="AR978" s="382"/>
      <c r="AS978" s="348">
        <v>3.2267999999999999</v>
      </c>
      <c r="AT978" s="205"/>
      <c r="AU978" s="377"/>
      <c r="AV978" s="393"/>
      <c r="AW978" s="332"/>
      <c r="AX978" s="332"/>
      <c r="AY978" s="332"/>
      <c r="AZ978" s="332"/>
      <c r="BA978" s="332"/>
      <c r="BB978" s="332"/>
      <c r="BC978" s="332"/>
      <c r="BD978" s="332"/>
      <c r="BE978" s="332"/>
      <c r="BF978" s="492">
        <v>1.0539000000000001</v>
      </c>
      <c r="BG978" s="495"/>
      <c r="BH978" s="341"/>
      <c r="BI978" s="447"/>
      <c r="BJ978" s="337"/>
    </row>
    <row r="979" spans="1:62" ht="15.75" customHeight="1" thickBot="1" x14ac:dyDescent="0.25">
      <c r="A979" s="176">
        <v>980</v>
      </c>
      <c r="B979" s="175">
        <v>2</v>
      </c>
      <c r="C979" s="166" t="s">
        <v>259</v>
      </c>
      <c r="D979" s="159" t="s">
        <v>2235</v>
      </c>
      <c r="E979" s="167"/>
      <c r="F979" s="167"/>
      <c r="G979" s="167"/>
      <c r="H979" s="167" t="s">
        <v>2884</v>
      </c>
      <c r="I979" s="184"/>
      <c r="J979" s="190" t="s">
        <v>3006</v>
      </c>
      <c r="K979" s="184"/>
      <c r="L979" s="181"/>
      <c r="M979" s="556" t="s">
        <v>4282</v>
      </c>
      <c r="N979" s="214"/>
      <c r="O979" s="214"/>
      <c r="P979" s="214"/>
      <c r="Q979" s="214"/>
      <c r="R979" s="214"/>
      <c r="S979" s="214"/>
      <c r="T979" s="214"/>
      <c r="U979" s="214"/>
      <c r="V979" s="214"/>
      <c r="W979" s="214"/>
      <c r="X979" s="214"/>
      <c r="Y979" s="214"/>
      <c r="Z979" s="234"/>
      <c r="AA979" s="234"/>
      <c r="AB979" s="234"/>
      <c r="AC979" s="234"/>
      <c r="AD979" s="319"/>
      <c r="AE979" s="319"/>
      <c r="AF979" s="162" t="str">
        <f t="shared" si="71"/>
        <v/>
      </c>
      <c r="AG979" s="162">
        <f t="shared" ref="AG979:AG1042" si="78">IF(AND(SUM(AJ979:AL979)&lt;&gt;0,SUM(AJ979:AL979)&lt;&gt;AJ979),SUM(AJ979:AL979),"")</f>
        <v>5.3975</v>
      </c>
      <c r="AH979" s="164" t="str">
        <f t="shared" si="74"/>
        <v/>
      </c>
      <c r="AI979" s="164">
        <f t="shared" si="75"/>
        <v>1.3567</v>
      </c>
      <c r="AJ979" s="382"/>
      <c r="AK979" s="382"/>
      <c r="AL979" s="383">
        <v>5.3975</v>
      </c>
      <c r="AM979" s="382"/>
      <c r="AN979" s="382"/>
      <c r="AO979" s="382"/>
      <c r="AP979" s="382"/>
      <c r="AQ979" s="382"/>
      <c r="AR979" s="382"/>
      <c r="AS979" s="204"/>
      <c r="AT979" s="203">
        <f>SUM(AJ979:AR979)</f>
        <v>5.3975</v>
      </c>
      <c r="AU979" s="377"/>
      <c r="AV979" s="410"/>
      <c r="AW979" s="332"/>
      <c r="AX979" s="332"/>
      <c r="AY979" s="340">
        <v>1.3567</v>
      </c>
      <c r="AZ979" s="332"/>
      <c r="BA979" s="332"/>
      <c r="BB979" s="332"/>
      <c r="BC979" s="332"/>
      <c r="BD979" s="332"/>
      <c r="BE979" s="332"/>
      <c r="BF979" s="490"/>
      <c r="BG979" s="484">
        <f>SUM(AW979:BE979)</f>
        <v>1.3567</v>
      </c>
      <c r="BH979" s="341"/>
      <c r="BI979" s="447"/>
      <c r="BJ979" s="337"/>
    </row>
    <row r="980" spans="1:62" ht="15.75" customHeight="1" thickBot="1" x14ac:dyDescent="0.25">
      <c r="A980" s="176">
        <v>981</v>
      </c>
      <c r="B980" s="175">
        <v>2</v>
      </c>
      <c r="C980" s="166" t="s">
        <v>259</v>
      </c>
      <c r="D980" s="159" t="s">
        <v>2242</v>
      </c>
      <c r="H980" s="166" t="s">
        <v>2900</v>
      </c>
      <c r="J980" s="190" t="s">
        <v>3007</v>
      </c>
      <c r="M980" s="556" t="s">
        <v>4282</v>
      </c>
      <c r="AF980" s="162" t="str">
        <f t="shared" si="71"/>
        <v/>
      </c>
      <c r="AG980" s="162">
        <f t="shared" si="78"/>
        <v>4.3230949000000001</v>
      </c>
      <c r="AH980" s="164" t="str">
        <f t="shared" si="74"/>
        <v/>
      </c>
      <c r="AI980" s="164">
        <f t="shared" si="75"/>
        <v>0.42067012999999998</v>
      </c>
      <c r="AJ980" s="382"/>
      <c r="AK980" s="382"/>
      <c r="AL980" s="383">
        <v>4.3230949000000001</v>
      </c>
      <c r="AM980" s="382"/>
      <c r="AN980" s="382"/>
      <c r="AO980" s="382"/>
      <c r="AP980" s="382"/>
      <c r="AQ980" s="382"/>
      <c r="AR980" s="382"/>
      <c r="AS980" s="350"/>
      <c r="AT980" s="202">
        <f>SUM(AJ980:AR980)</f>
        <v>4.3230949000000001</v>
      </c>
      <c r="AV980" s="410"/>
      <c r="AW980" s="332"/>
      <c r="AX980" s="332"/>
      <c r="AY980" s="340">
        <v>0.42067012999999998</v>
      </c>
      <c r="AZ980" s="332"/>
      <c r="BA980" s="332"/>
      <c r="BB980" s="332"/>
      <c r="BC980" s="332"/>
      <c r="BD980" s="332"/>
      <c r="BE980" s="332"/>
      <c r="BF980" s="494"/>
      <c r="BG980" s="491">
        <f>SUM(AW980:BE980)</f>
        <v>0.42067012999999998</v>
      </c>
      <c r="BJ980" s="337"/>
    </row>
    <row r="981" spans="1:62" ht="15.75" customHeight="1" thickBot="1" x14ac:dyDescent="0.25">
      <c r="A981" s="176">
        <v>982</v>
      </c>
      <c r="B981" s="175">
        <v>2</v>
      </c>
      <c r="C981" s="166" t="s">
        <v>259</v>
      </c>
      <c r="D981" s="159" t="s">
        <v>2242</v>
      </c>
      <c r="H981" s="166" t="s">
        <v>2876</v>
      </c>
      <c r="J981" s="190" t="s">
        <v>3008</v>
      </c>
      <c r="M981" s="556" t="s">
        <v>4282</v>
      </c>
      <c r="AF981" s="162" t="str">
        <f t="shared" si="71"/>
        <v/>
      </c>
      <c r="AG981" s="162">
        <f t="shared" si="78"/>
        <v>3.5523142999999999</v>
      </c>
      <c r="AH981" s="164" t="str">
        <f t="shared" si="74"/>
        <v/>
      </c>
      <c r="AI981" s="164">
        <f t="shared" si="75"/>
        <v>0.39468321000000001</v>
      </c>
      <c r="AJ981" s="382"/>
      <c r="AK981" s="382"/>
      <c r="AL981" s="383">
        <v>3.5523142999999999</v>
      </c>
      <c r="AM981" s="382"/>
      <c r="AN981" s="382"/>
      <c r="AO981" s="382"/>
      <c r="AP981" s="382"/>
      <c r="AQ981" s="382"/>
      <c r="AR981" s="382"/>
      <c r="AS981" s="350"/>
      <c r="AT981" s="202">
        <f>SUM(AJ981:AR981)</f>
        <v>3.5523142999999999</v>
      </c>
      <c r="AV981" s="410"/>
      <c r="AW981" s="332"/>
      <c r="AX981" s="332"/>
      <c r="AY981" s="340">
        <v>0.39468321000000001</v>
      </c>
      <c r="AZ981" s="332"/>
      <c r="BA981" s="332"/>
      <c r="BB981" s="332"/>
      <c r="BC981" s="332"/>
      <c r="BD981" s="332"/>
      <c r="BE981" s="332"/>
      <c r="BF981" s="494"/>
      <c r="BG981" s="491">
        <f>SUM(AW981:BE981)</f>
        <v>0.39468321000000001</v>
      </c>
      <c r="BJ981" s="337"/>
    </row>
    <row r="982" spans="1:62" ht="15" customHeight="1" thickBot="1" x14ac:dyDescent="0.25">
      <c r="A982" s="176">
        <v>983</v>
      </c>
      <c r="B982" s="175">
        <v>2</v>
      </c>
      <c r="C982" s="166" t="s">
        <v>259</v>
      </c>
      <c r="D982" s="159" t="s">
        <v>2242</v>
      </c>
      <c r="H982" s="166" t="s">
        <v>2901</v>
      </c>
      <c r="J982" s="190" t="s">
        <v>3009</v>
      </c>
      <c r="M982" s="556" t="s">
        <v>4282</v>
      </c>
      <c r="AF982" s="162" t="str">
        <f t="shared" si="71"/>
        <v/>
      </c>
      <c r="AG982" s="162">
        <f t="shared" si="78"/>
        <v>3.9704747999999999</v>
      </c>
      <c r="AH982" s="164" t="str">
        <f t="shared" si="74"/>
        <v/>
      </c>
      <c r="AI982" s="164">
        <f t="shared" si="75"/>
        <v>0.43798810999999999</v>
      </c>
      <c r="AJ982" s="382"/>
      <c r="AK982" s="382"/>
      <c r="AL982" s="383">
        <v>3.9704747999999999</v>
      </c>
      <c r="AM982" s="382"/>
      <c r="AN982" s="382"/>
      <c r="AO982" s="382"/>
      <c r="AP982" s="382"/>
      <c r="AQ982" s="382"/>
      <c r="AR982" s="382"/>
      <c r="AS982" s="350"/>
      <c r="AT982" s="202">
        <f>SUM(AJ982:AR982)</f>
        <v>3.9704747999999999</v>
      </c>
      <c r="AV982" s="410"/>
      <c r="AW982" s="332"/>
      <c r="AX982" s="332"/>
      <c r="AY982" s="340">
        <v>0.43798810999999999</v>
      </c>
      <c r="AZ982" s="332"/>
      <c r="BA982" s="332"/>
      <c r="BB982" s="332"/>
      <c r="BC982" s="332"/>
      <c r="BD982" s="332"/>
      <c r="BE982" s="332"/>
      <c r="BF982" s="494"/>
      <c r="BG982" s="491">
        <f>SUM(AW982:BE982)</f>
        <v>0.43798810999999999</v>
      </c>
      <c r="BJ982" s="337"/>
    </row>
    <row r="983" spans="1:62" ht="15" customHeight="1" thickBot="1" x14ac:dyDescent="0.25">
      <c r="A983" s="176">
        <v>984</v>
      </c>
      <c r="B983" s="175">
        <v>2</v>
      </c>
      <c r="C983" s="166" t="s">
        <v>259</v>
      </c>
      <c r="D983" s="159" t="s">
        <v>2243</v>
      </c>
      <c r="H983" s="166" t="s">
        <v>3034</v>
      </c>
      <c r="J983" s="190" t="s">
        <v>3010</v>
      </c>
      <c r="M983" s="556" t="s">
        <v>4282</v>
      </c>
      <c r="AF983" s="162">
        <f t="shared" si="71"/>
        <v>1.7805606</v>
      </c>
      <c r="AG983" s="162" t="str">
        <f t="shared" si="78"/>
        <v/>
      </c>
      <c r="AH983" s="164">
        <f t="shared" si="74"/>
        <v>0.27597774000000003</v>
      </c>
      <c r="AI983" s="164" t="str">
        <f t="shared" si="75"/>
        <v/>
      </c>
      <c r="AJ983" s="382"/>
      <c r="AK983" s="382"/>
      <c r="AL983" s="382"/>
      <c r="AM983" s="382"/>
      <c r="AN983" s="382"/>
      <c r="AO983" s="382"/>
      <c r="AP983" s="382"/>
      <c r="AQ983" s="382"/>
      <c r="AR983" s="382"/>
      <c r="AS983" s="348">
        <v>1.7805606</v>
      </c>
      <c r="AT983" s="202"/>
      <c r="AV983" s="412"/>
      <c r="AW983" s="332"/>
      <c r="AX983" s="332"/>
      <c r="AY983" s="332"/>
      <c r="AZ983" s="332"/>
      <c r="BA983" s="332"/>
      <c r="BB983" s="332"/>
      <c r="BC983" s="332"/>
      <c r="BD983" s="332"/>
      <c r="BE983" s="332"/>
      <c r="BF983" s="492">
        <v>0.27597774000000003</v>
      </c>
      <c r="BG983" s="491"/>
      <c r="BJ983" s="337"/>
    </row>
    <row r="984" spans="1:62" ht="15" customHeight="1" thickBot="1" x14ac:dyDescent="0.25">
      <c r="A984" s="176">
        <v>985</v>
      </c>
      <c r="B984" s="175">
        <v>2</v>
      </c>
      <c r="C984" s="166" t="s">
        <v>259</v>
      </c>
      <c r="D984" s="159" t="s">
        <v>2243</v>
      </c>
      <c r="H984" s="166" t="s">
        <v>2900</v>
      </c>
      <c r="J984" s="190" t="s">
        <v>3011</v>
      </c>
      <c r="M984" s="556" t="s">
        <v>4282</v>
      </c>
      <c r="AF984" s="162">
        <f t="shared" si="71"/>
        <v>1.850662</v>
      </c>
      <c r="AG984" s="162" t="str">
        <f t="shared" si="78"/>
        <v/>
      </c>
      <c r="AH984" s="164">
        <f t="shared" si="74"/>
        <v>0.33297652999999999</v>
      </c>
      <c r="AI984" s="164" t="str">
        <f t="shared" si="75"/>
        <v/>
      </c>
      <c r="AJ984" s="382"/>
      <c r="AK984" s="382"/>
      <c r="AL984" s="382"/>
      <c r="AM984" s="382"/>
      <c r="AN984" s="382"/>
      <c r="AO984" s="382"/>
      <c r="AP984" s="382"/>
      <c r="AQ984" s="382"/>
      <c r="AR984" s="382"/>
      <c r="AS984" s="348">
        <v>1.850662</v>
      </c>
      <c r="AT984" s="202"/>
      <c r="AV984" s="412"/>
      <c r="AW984" s="332"/>
      <c r="AX984" s="332"/>
      <c r="AY984" s="332"/>
      <c r="AZ984" s="332"/>
      <c r="BA984" s="332"/>
      <c r="BB984" s="332"/>
      <c r="BC984" s="332"/>
      <c r="BD984" s="332"/>
      <c r="BE984" s="332"/>
      <c r="BF984" s="492">
        <v>0.33297652999999999</v>
      </c>
      <c r="BG984" s="491"/>
      <c r="BJ984" s="337"/>
    </row>
    <row r="985" spans="1:62" ht="15" customHeight="1" thickBot="1" x14ac:dyDescent="0.25">
      <c r="A985" s="176">
        <v>986</v>
      </c>
      <c r="B985" s="175">
        <v>2</v>
      </c>
      <c r="C985" s="166" t="s">
        <v>259</v>
      </c>
      <c r="D985" s="159" t="s">
        <v>2243</v>
      </c>
      <c r="H985" s="166" t="s">
        <v>2883</v>
      </c>
      <c r="J985" s="190" t="s">
        <v>3012</v>
      </c>
      <c r="M985" s="556" t="s">
        <v>4282</v>
      </c>
      <c r="AF985" s="162">
        <f t="shared" si="71"/>
        <v>2.9174134</v>
      </c>
      <c r="AG985" s="162" t="str">
        <f t="shared" si="78"/>
        <v/>
      </c>
      <c r="AH985" s="164">
        <f t="shared" si="74"/>
        <v>0.36690483000000002</v>
      </c>
      <c r="AI985" s="164" t="str">
        <f t="shared" si="75"/>
        <v/>
      </c>
      <c r="AJ985" s="382"/>
      <c r="AK985" s="382"/>
      <c r="AL985" s="382"/>
      <c r="AM985" s="382"/>
      <c r="AN985" s="382"/>
      <c r="AO985" s="382"/>
      <c r="AP985" s="382"/>
      <c r="AQ985" s="382"/>
      <c r="AR985" s="382"/>
      <c r="AS985" s="348">
        <v>2.9174134</v>
      </c>
      <c r="AT985" s="202"/>
      <c r="AV985" s="412"/>
      <c r="AW985" s="332"/>
      <c r="AX985" s="332"/>
      <c r="AY985" s="332"/>
      <c r="AZ985" s="332"/>
      <c r="BA985" s="332"/>
      <c r="BB985" s="332"/>
      <c r="BC985" s="332"/>
      <c r="BD985" s="332"/>
      <c r="BE985" s="332"/>
      <c r="BF985" s="492">
        <v>0.36690483000000002</v>
      </c>
      <c r="BG985" s="491"/>
      <c r="BJ985" s="337"/>
    </row>
    <row r="986" spans="1:62" ht="15" customHeight="1" thickBot="1" x14ac:dyDescent="0.25">
      <c r="A986" s="176">
        <v>987</v>
      </c>
      <c r="B986" s="175">
        <v>2</v>
      </c>
      <c r="C986" s="166" t="s">
        <v>259</v>
      </c>
      <c r="D986" s="159" t="s">
        <v>2243</v>
      </c>
      <c r="H986" s="166" t="s">
        <v>2875</v>
      </c>
      <c r="J986" s="190" t="s">
        <v>3013</v>
      </c>
      <c r="M986" s="556" t="s">
        <v>4282</v>
      </c>
      <c r="AF986" s="162">
        <f t="shared" si="71"/>
        <v>1.9777943</v>
      </c>
      <c r="AG986" s="162" t="str">
        <f t="shared" si="78"/>
        <v/>
      </c>
      <c r="AH986" s="164">
        <f t="shared" si="74"/>
        <v>0.28285407000000001</v>
      </c>
      <c r="AI986" s="164" t="str">
        <f t="shared" si="75"/>
        <v/>
      </c>
      <c r="AJ986" s="382"/>
      <c r="AK986" s="382"/>
      <c r="AL986" s="382"/>
      <c r="AM986" s="382"/>
      <c r="AN986" s="382"/>
      <c r="AO986" s="382"/>
      <c r="AP986" s="382"/>
      <c r="AQ986" s="382"/>
      <c r="AR986" s="382"/>
      <c r="AS986" s="348">
        <v>1.9777943</v>
      </c>
      <c r="AT986" s="202"/>
      <c r="AV986" s="412"/>
      <c r="AW986" s="332"/>
      <c r="AX986" s="332"/>
      <c r="AY986" s="332"/>
      <c r="AZ986" s="332"/>
      <c r="BA986" s="332"/>
      <c r="BB986" s="332"/>
      <c r="BC986" s="332"/>
      <c r="BD986" s="332"/>
      <c r="BE986" s="332"/>
      <c r="BF986" s="492">
        <v>0.28285407000000001</v>
      </c>
      <c r="BG986" s="491"/>
      <c r="BJ986" s="337"/>
    </row>
    <row r="987" spans="1:62" ht="15" customHeight="1" thickBot="1" x14ac:dyDescent="0.25">
      <c r="A987" s="176">
        <v>988</v>
      </c>
      <c r="B987" s="175">
        <v>2</v>
      </c>
      <c r="C987" s="166" t="s">
        <v>259</v>
      </c>
      <c r="D987" s="159" t="s">
        <v>2243</v>
      </c>
      <c r="H987" s="166" t="s">
        <v>2876</v>
      </c>
      <c r="J987" s="190" t="s">
        <v>3014</v>
      </c>
      <c r="M987" s="556" t="s">
        <v>4282</v>
      </c>
      <c r="AF987" s="162">
        <f t="shared" si="71"/>
        <v>2.0300755000000001</v>
      </c>
      <c r="AG987" s="162" t="str">
        <f t="shared" si="78"/>
        <v/>
      </c>
      <c r="AH987" s="164">
        <f t="shared" si="74"/>
        <v>0.29365765999999999</v>
      </c>
      <c r="AI987" s="164" t="str">
        <f t="shared" si="75"/>
        <v/>
      </c>
      <c r="AJ987" s="382"/>
      <c r="AK987" s="382"/>
      <c r="AL987" s="382"/>
      <c r="AM987" s="382"/>
      <c r="AN987" s="382"/>
      <c r="AO987" s="382"/>
      <c r="AP987" s="382"/>
      <c r="AQ987" s="382"/>
      <c r="AR987" s="382"/>
      <c r="AS987" s="348">
        <v>2.0300755000000001</v>
      </c>
      <c r="AT987" s="202"/>
      <c r="AV987" s="412"/>
      <c r="AW987" s="332"/>
      <c r="AX987" s="332"/>
      <c r="AY987" s="332"/>
      <c r="AZ987" s="332"/>
      <c r="BA987" s="332"/>
      <c r="BB987" s="332"/>
      <c r="BC987" s="332"/>
      <c r="BD987" s="332"/>
      <c r="BE987" s="332"/>
      <c r="BF987" s="492">
        <v>0.29365765999999999</v>
      </c>
      <c r="BG987" s="491"/>
      <c r="BJ987" s="337"/>
    </row>
    <row r="988" spans="1:62" ht="15" customHeight="1" thickBot="1" x14ac:dyDescent="0.25">
      <c r="A988" s="176">
        <v>989</v>
      </c>
      <c r="B988" s="175">
        <v>2</v>
      </c>
      <c r="C988" s="166" t="s">
        <v>259</v>
      </c>
      <c r="D988" s="159" t="s">
        <v>2243</v>
      </c>
      <c r="H988" s="166" t="s">
        <v>2906</v>
      </c>
      <c r="J988" s="190" t="s">
        <v>3015</v>
      </c>
      <c r="M988" s="556" t="s">
        <v>4282</v>
      </c>
      <c r="AF988" s="162">
        <f t="shared" si="71"/>
        <v>1.3678718000000001</v>
      </c>
      <c r="AG988" s="162" t="str">
        <f t="shared" si="78"/>
        <v/>
      </c>
      <c r="AH988" s="164">
        <f t="shared" si="74"/>
        <v>0.2390169</v>
      </c>
      <c r="AI988" s="164" t="str">
        <f t="shared" si="75"/>
        <v/>
      </c>
      <c r="AJ988" s="382"/>
      <c r="AK988" s="382"/>
      <c r="AL988" s="382"/>
      <c r="AM988" s="382"/>
      <c r="AN988" s="382"/>
      <c r="AO988" s="382"/>
      <c r="AP988" s="382"/>
      <c r="AQ988" s="382"/>
      <c r="AR988" s="382"/>
      <c r="AS988" s="348">
        <v>1.3678718000000001</v>
      </c>
      <c r="AT988" s="202"/>
      <c r="AV988" s="412"/>
      <c r="AW988" s="332"/>
      <c r="AX988" s="332"/>
      <c r="AY988" s="332"/>
      <c r="AZ988" s="332"/>
      <c r="BA988" s="332"/>
      <c r="BB988" s="332"/>
      <c r="BC988" s="332"/>
      <c r="BD988" s="332"/>
      <c r="BE988" s="332"/>
      <c r="BF988" s="492">
        <v>0.2390169</v>
      </c>
      <c r="BG988" s="491"/>
      <c r="BJ988" s="337"/>
    </row>
    <row r="989" spans="1:62" ht="15" customHeight="1" thickBot="1" x14ac:dyDescent="0.25">
      <c r="A989" s="176">
        <v>990</v>
      </c>
      <c r="B989" s="175">
        <v>2</v>
      </c>
      <c r="C989" s="166" t="s">
        <v>259</v>
      </c>
      <c r="D989" s="159" t="s">
        <v>2243</v>
      </c>
      <c r="H989" s="166" t="s">
        <v>3035</v>
      </c>
      <c r="J989" s="190" t="s">
        <v>3016</v>
      </c>
      <c r="M989" s="556" t="s">
        <v>4282</v>
      </c>
      <c r="AF989" s="162">
        <f t="shared" si="71"/>
        <v>2.8377842000000002</v>
      </c>
      <c r="AG989" s="162" t="str">
        <f t="shared" si="78"/>
        <v/>
      </c>
      <c r="AH989" s="164">
        <f t="shared" si="74"/>
        <v>0.37842503</v>
      </c>
      <c r="AI989" s="164" t="str">
        <f t="shared" si="75"/>
        <v/>
      </c>
      <c r="AJ989" s="382"/>
      <c r="AK989" s="382"/>
      <c r="AL989" s="382"/>
      <c r="AM989" s="382"/>
      <c r="AN989" s="382"/>
      <c r="AO989" s="382"/>
      <c r="AP989" s="382"/>
      <c r="AQ989" s="382"/>
      <c r="AR989" s="382"/>
      <c r="AS989" s="348">
        <v>2.8377842000000002</v>
      </c>
      <c r="AT989" s="202"/>
      <c r="AV989" s="412"/>
      <c r="AW989" s="332"/>
      <c r="AX989" s="332"/>
      <c r="AY989" s="332"/>
      <c r="AZ989" s="332"/>
      <c r="BA989" s="332"/>
      <c r="BB989" s="332"/>
      <c r="BC989" s="332"/>
      <c r="BD989" s="332"/>
      <c r="BE989" s="332"/>
      <c r="BF989" s="492">
        <v>0.37842503</v>
      </c>
      <c r="BG989" s="491"/>
      <c r="BJ989" s="337"/>
    </row>
    <row r="990" spans="1:62" ht="15" customHeight="1" thickBot="1" x14ac:dyDescent="0.25">
      <c r="A990" s="176">
        <v>991</v>
      </c>
      <c r="B990" s="175">
        <v>2</v>
      </c>
      <c r="C990" s="166" t="s">
        <v>259</v>
      </c>
      <c r="D990" s="159" t="s">
        <v>2243</v>
      </c>
      <c r="H990" s="166" t="s">
        <v>2877</v>
      </c>
      <c r="J990" s="190" t="s">
        <v>3017</v>
      </c>
      <c r="M990" s="556" t="s">
        <v>4282</v>
      </c>
      <c r="AF990" s="162">
        <f t="shared" si="71"/>
        <v>3.7718463</v>
      </c>
      <c r="AG990" s="162" t="str">
        <f t="shared" si="78"/>
        <v/>
      </c>
      <c r="AH990" s="164">
        <f t="shared" si="74"/>
        <v>0.49762219000000002</v>
      </c>
      <c r="AI990" s="164" t="str">
        <f t="shared" si="75"/>
        <v/>
      </c>
      <c r="AJ990" s="382"/>
      <c r="AK990" s="382"/>
      <c r="AL990" s="382"/>
      <c r="AM990" s="382"/>
      <c r="AN990" s="382"/>
      <c r="AO990" s="382"/>
      <c r="AP990" s="382"/>
      <c r="AQ990" s="382"/>
      <c r="AR990" s="382"/>
      <c r="AS990" s="348">
        <v>3.7718463</v>
      </c>
      <c r="AT990" s="202"/>
      <c r="AV990" s="412"/>
      <c r="AW990" s="332"/>
      <c r="AX990" s="332"/>
      <c r="AY990" s="332"/>
      <c r="AZ990" s="332"/>
      <c r="BA990" s="332"/>
      <c r="BB990" s="332"/>
      <c r="BC990" s="332"/>
      <c r="BD990" s="332"/>
      <c r="BE990" s="332"/>
      <c r="BF990" s="492">
        <v>0.49762219000000002</v>
      </c>
      <c r="BG990" s="491"/>
      <c r="BJ990" s="337"/>
    </row>
    <row r="991" spans="1:62" ht="15" customHeight="1" thickBot="1" x14ac:dyDescent="0.25">
      <c r="A991" s="176">
        <v>992</v>
      </c>
      <c r="B991" s="175">
        <v>2</v>
      </c>
      <c r="C991" s="166" t="s">
        <v>259</v>
      </c>
      <c r="D991" s="159" t="s">
        <v>2243</v>
      </c>
      <c r="H991" s="166" t="s">
        <v>3036</v>
      </c>
      <c r="J991" s="190" t="s">
        <v>3018</v>
      </c>
      <c r="M991" s="556" t="s">
        <v>4282</v>
      </c>
      <c r="AF991" s="162">
        <f t="shared" si="71"/>
        <v>2.7070300999999999</v>
      </c>
      <c r="AG991" s="162" t="str">
        <f t="shared" si="78"/>
        <v/>
      </c>
      <c r="AH991" s="164">
        <f t="shared" si="74"/>
        <v>0.3903586</v>
      </c>
      <c r="AI991" s="164" t="str">
        <f t="shared" si="75"/>
        <v/>
      </c>
      <c r="AJ991" s="382"/>
      <c r="AK991" s="382"/>
      <c r="AL991" s="382"/>
      <c r="AM991" s="382"/>
      <c r="AN991" s="382"/>
      <c r="AO991" s="382"/>
      <c r="AP991" s="382"/>
      <c r="AQ991" s="382"/>
      <c r="AR991" s="382"/>
      <c r="AS991" s="348">
        <v>2.7070300999999999</v>
      </c>
      <c r="AT991" s="202"/>
      <c r="AV991" s="412"/>
      <c r="AW991" s="332"/>
      <c r="AX991" s="332"/>
      <c r="AY991" s="332"/>
      <c r="AZ991" s="332"/>
      <c r="BA991" s="332"/>
      <c r="BB991" s="332"/>
      <c r="BC991" s="332"/>
      <c r="BD991" s="332"/>
      <c r="BE991" s="332"/>
      <c r="BF991" s="492">
        <v>0.3903586</v>
      </c>
      <c r="BG991" s="491"/>
      <c r="BJ991" s="337"/>
    </row>
    <row r="992" spans="1:62" ht="15" customHeight="1" thickBot="1" x14ac:dyDescent="0.25">
      <c r="A992" s="176">
        <v>993</v>
      </c>
      <c r="B992" s="175">
        <v>2</v>
      </c>
      <c r="C992" s="166" t="s">
        <v>259</v>
      </c>
      <c r="D992" s="159" t="s">
        <v>2243</v>
      </c>
      <c r="H992" s="166" t="s">
        <v>2878</v>
      </c>
      <c r="J992" s="190" t="s">
        <v>3019</v>
      </c>
      <c r="M992" s="556" t="s">
        <v>4282</v>
      </c>
      <c r="AF992" s="162">
        <f t="shared" si="71"/>
        <v>1.7102907000000001</v>
      </c>
      <c r="AG992" s="162" t="str">
        <f t="shared" si="78"/>
        <v/>
      </c>
      <c r="AH992" s="164">
        <f t="shared" si="74"/>
        <v>0.24326358000000001</v>
      </c>
      <c r="AI992" s="164" t="str">
        <f t="shared" si="75"/>
        <v/>
      </c>
      <c r="AJ992" s="382"/>
      <c r="AK992" s="382"/>
      <c r="AL992" s="382"/>
      <c r="AM992" s="382"/>
      <c r="AN992" s="382"/>
      <c r="AO992" s="382"/>
      <c r="AP992" s="382"/>
      <c r="AQ992" s="382"/>
      <c r="AR992" s="382"/>
      <c r="AS992" s="348">
        <v>1.7102907000000001</v>
      </c>
      <c r="AT992" s="202"/>
      <c r="AV992" s="412"/>
      <c r="AW992" s="332"/>
      <c r="AX992" s="332"/>
      <c r="AY992" s="332"/>
      <c r="AZ992" s="332"/>
      <c r="BA992" s="332"/>
      <c r="BB992" s="332"/>
      <c r="BC992" s="332"/>
      <c r="BD992" s="332"/>
      <c r="BE992" s="332"/>
      <c r="BF992" s="492">
        <v>0.24326358000000001</v>
      </c>
      <c r="BG992" s="491"/>
      <c r="BJ992" s="337"/>
    </row>
    <row r="993" spans="1:62" ht="15" customHeight="1" thickBot="1" x14ac:dyDescent="0.25">
      <c r="A993" s="176">
        <v>994</v>
      </c>
      <c r="B993" s="175">
        <v>2</v>
      </c>
      <c r="C993" s="166" t="s">
        <v>259</v>
      </c>
      <c r="D993" s="159" t="s">
        <v>2243</v>
      </c>
      <c r="H993" s="166" t="s">
        <v>2885</v>
      </c>
      <c r="J993" s="190" t="s">
        <v>3020</v>
      </c>
      <c r="M993" s="556" t="s">
        <v>4282</v>
      </c>
      <c r="AF993" s="162">
        <f t="shared" si="71"/>
        <v>3.2257494000000002</v>
      </c>
      <c r="AG993" s="162" t="str">
        <f t="shared" si="78"/>
        <v/>
      </c>
      <c r="AH993" s="164">
        <f t="shared" si="74"/>
        <v>0.46447648000000002</v>
      </c>
      <c r="AI993" s="164" t="str">
        <f t="shared" si="75"/>
        <v/>
      </c>
      <c r="AJ993" s="382"/>
      <c r="AK993" s="382"/>
      <c r="AL993" s="382"/>
      <c r="AM993" s="382"/>
      <c r="AN993" s="382"/>
      <c r="AO993" s="382"/>
      <c r="AP993" s="382"/>
      <c r="AQ993" s="382"/>
      <c r="AR993" s="382"/>
      <c r="AS993" s="348">
        <v>3.2257494000000002</v>
      </c>
      <c r="AT993" s="202"/>
      <c r="AV993" s="412"/>
      <c r="AW993" s="332"/>
      <c r="AX993" s="332"/>
      <c r="AY993" s="332"/>
      <c r="AZ993" s="332"/>
      <c r="BA993" s="332"/>
      <c r="BB993" s="332"/>
      <c r="BC993" s="332"/>
      <c r="BD993" s="332"/>
      <c r="BE993" s="332"/>
      <c r="BF993" s="492">
        <v>0.46447648000000002</v>
      </c>
      <c r="BG993" s="491"/>
      <c r="BJ993" s="337"/>
    </row>
    <row r="994" spans="1:62" ht="15" customHeight="1" thickBot="1" x14ac:dyDescent="0.25">
      <c r="A994" s="176">
        <v>995</v>
      </c>
      <c r="B994" s="175">
        <v>2</v>
      </c>
      <c r="C994" s="166" t="s">
        <v>259</v>
      </c>
      <c r="D994" s="159" t="s">
        <v>2243</v>
      </c>
      <c r="H994" s="166" t="s">
        <v>2886</v>
      </c>
      <c r="J994" s="190" t="s">
        <v>3021</v>
      </c>
      <c r="M994" s="556" t="s">
        <v>4282</v>
      </c>
      <c r="AF994" s="162">
        <f t="shared" si="71"/>
        <v>2.7191961999999998</v>
      </c>
      <c r="AG994" s="162" t="str">
        <f t="shared" si="78"/>
        <v/>
      </c>
      <c r="AH994" s="164">
        <f t="shared" si="74"/>
        <v>0.35876218999999998</v>
      </c>
      <c r="AI994" s="164" t="str">
        <f t="shared" si="75"/>
        <v/>
      </c>
      <c r="AJ994" s="382"/>
      <c r="AK994" s="382"/>
      <c r="AL994" s="382"/>
      <c r="AM994" s="382"/>
      <c r="AN994" s="382"/>
      <c r="AO994" s="382"/>
      <c r="AP994" s="382"/>
      <c r="AQ994" s="382"/>
      <c r="AR994" s="382"/>
      <c r="AS994" s="348">
        <v>2.7191961999999998</v>
      </c>
      <c r="AT994" s="202"/>
      <c r="AV994" s="412"/>
      <c r="AW994" s="332"/>
      <c r="AX994" s="332"/>
      <c r="AY994" s="332"/>
      <c r="AZ994" s="332"/>
      <c r="BA994" s="332"/>
      <c r="BB994" s="332"/>
      <c r="BC994" s="332"/>
      <c r="BD994" s="332"/>
      <c r="BE994" s="332"/>
      <c r="BF994" s="492">
        <v>0.35876218999999998</v>
      </c>
      <c r="BG994" s="491"/>
      <c r="BJ994" s="337"/>
    </row>
    <row r="995" spans="1:62" ht="15" customHeight="1" thickBot="1" x14ac:dyDescent="0.25">
      <c r="A995" s="176">
        <v>996</v>
      </c>
      <c r="B995" s="175">
        <v>2</v>
      </c>
      <c r="C995" s="166" t="s">
        <v>259</v>
      </c>
      <c r="D995" s="159" t="s">
        <v>2243</v>
      </c>
      <c r="H995" s="166" t="s">
        <v>2879</v>
      </c>
      <c r="J995" s="190" t="s">
        <v>3022</v>
      </c>
      <c r="M995" s="556" t="s">
        <v>4282</v>
      </c>
      <c r="AF995" s="162">
        <f t="shared" si="71"/>
        <v>3.1086014</v>
      </c>
      <c r="AG995" s="162" t="str">
        <f t="shared" si="78"/>
        <v/>
      </c>
      <c r="AH995" s="164">
        <f t="shared" si="74"/>
        <v>0.44209584000000002</v>
      </c>
      <c r="AI995" s="164" t="str">
        <f t="shared" si="75"/>
        <v/>
      </c>
      <c r="AJ995" s="382"/>
      <c r="AK995" s="382"/>
      <c r="AL995" s="382"/>
      <c r="AM995" s="382"/>
      <c r="AN995" s="382"/>
      <c r="AO995" s="382"/>
      <c r="AP995" s="382"/>
      <c r="AQ995" s="382"/>
      <c r="AR995" s="382"/>
      <c r="AS995" s="348">
        <v>3.1086014</v>
      </c>
      <c r="AT995" s="202"/>
      <c r="AV995" s="412"/>
      <c r="AW995" s="332"/>
      <c r="AX995" s="332"/>
      <c r="AY995" s="332"/>
      <c r="AZ995" s="332"/>
      <c r="BA995" s="332"/>
      <c r="BB995" s="332"/>
      <c r="BC995" s="332"/>
      <c r="BD995" s="332"/>
      <c r="BE995" s="332"/>
      <c r="BF995" s="492">
        <v>0.44209584000000002</v>
      </c>
      <c r="BG995" s="491"/>
      <c r="BJ995" s="337"/>
    </row>
    <row r="996" spans="1:62" ht="15" customHeight="1" thickBot="1" x14ac:dyDescent="0.25">
      <c r="A996" s="176">
        <v>997</v>
      </c>
      <c r="B996" s="175">
        <v>2</v>
      </c>
      <c r="C996" s="166" t="s">
        <v>259</v>
      </c>
      <c r="D996" s="159" t="s">
        <v>2243</v>
      </c>
      <c r="H996" s="166" t="s">
        <v>3037</v>
      </c>
      <c r="J996" s="190" t="s">
        <v>3023</v>
      </c>
      <c r="M996" s="556" t="s">
        <v>4282</v>
      </c>
      <c r="AF996" s="162">
        <f t="shared" si="71"/>
        <v>3.1931208</v>
      </c>
      <c r="AG996" s="162" t="str">
        <f t="shared" si="78"/>
        <v/>
      </c>
      <c r="AH996" s="164">
        <f t="shared" si="74"/>
        <v>0.40830355000000002</v>
      </c>
      <c r="AI996" s="164" t="str">
        <f t="shared" si="75"/>
        <v/>
      </c>
      <c r="AJ996" s="382"/>
      <c r="AK996" s="382"/>
      <c r="AL996" s="382"/>
      <c r="AM996" s="382"/>
      <c r="AN996" s="382"/>
      <c r="AO996" s="382"/>
      <c r="AP996" s="382"/>
      <c r="AQ996" s="382"/>
      <c r="AR996" s="382"/>
      <c r="AS996" s="348">
        <v>3.1931208</v>
      </c>
      <c r="AT996" s="202"/>
      <c r="AV996" s="412"/>
      <c r="AW996" s="332"/>
      <c r="AX996" s="332"/>
      <c r="AY996" s="332"/>
      <c r="AZ996" s="332"/>
      <c r="BA996" s="332"/>
      <c r="BB996" s="332"/>
      <c r="BC996" s="332"/>
      <c r="BD996" s="332"/>
      <c r="BE996" s="332"/>
      <c r="BF996" s="492">
        <v>0.40830355000000002</v>
      </c>
      <c r="BG996" s="491"/>
      <c r="BJ996" s="337"/>
    </row>
    <row r="997" spans="1:62" ht="15" customHeight="1" thickBot="1" x14ac:dyDescent="0.25">
      <c r="A997" s="176">
        <v>998</v>
      </c>
      <c r="B997" s="175">
        <v>2</v>
      </c>
      <c r="C997" s="166" t="s">
        <v>259</v>
      </c>
      <c r="D997" s="159" t="s">
        <v>2243</v>
      </c>
      <c r="H997" s="166" t="s">
        <v>3038</v>
      </c>
      <c r="J997" s="190" t="s">
        <v>3024</v>
      </c>
      <c r="M997" s="556" t="s">
        <v>4282</v>
      </c>
      <c r="AF997" s="162">
        <f t="shared" si="71"/>
        <v>2.3240387</v>
      </c>
      <c r="AG997" s="162" t="str">
        <f t="shared" si="78"/>
        <v/>
      </c>
      <c r="AH997" s="164">
        <f t="shared" si="74"/>
        <v>0.31438938</v>
      </c>
      <c r="AI997" s="164" t="str">
        <f t="shared" si="75"/>
        <v/>
      </c>
      <c r="AJ997" s="382"/>
      <c r="AK997" s="382"/>
      <c r="AL997" s="382"/>
      <c r="AM997" s="382"/>
      <c r="AN997" s="382"/>
      <c r="AO997" s="382"/>
      <c r="AP997" s="382"/>
      <c r="AQ997" s="382"/>
      <c r="AR997" s="382"/>
      <c r="AS997" s="348">
        <v>2.3240387</v>
      </c>
      <c r="AT997" s="202"/>
      <c r="AV997" s="412"/>
      <c r="AW997" s="332"/>
      <c r="AX997" s="332"/>
      <c r="AY997" s="332"/>
      <c r="AZ997" s="332"/>
      <c r="BA997" s="332"/>
      <c r="BB997" s="332"/>
      <c r="BC997" s="332"/>
      <c r="BD997" s="332"/>
      <c r="BE997" s="332"/>
      <c r="BF997" s="492">
        <v>0.31438938</v>
      </c>
      <c r="BG997" s="491"/>
      <c r="BJ997" s="337"/>
    </row>
    <row r="998" spans="1:62" ht="15" customHeight="1" thickBot="1" x14ac:dyDescent="0.25">
      <c r="A998" s="176">
        <v>999</v>
      </c>
      <c r="B998" s="175">
        <v>2</v>
      </c>
      <c r="C998" s="166" t="s">
        <v>259</v>
      </c>
      <c r="D998" s="159" t="s">
        <v>2243</v>
      </c>
      <c r="H998" s="166" t="s">
        <v>3039</v>
      </c>
      <c r="J998" s="190" t="s">
        <v>3025</v>
      </c>
      <c r="M998" s="556" t="s">
        <v>4282</v>
      </c>
      <c r="AF998" s="162">
        <f t="shared" si="71"/>
        <v>2.1946276</v>
      </c>
      <c r="AG998" s="162" t="str">
        <f t="shared" si="78"/>
        <v/>
      </c>
      <c r="AH998" s="164">
        <f t="shared" si="74"/>
        <v>0.42598944999999999</v>
      </c>
      <c r="AI998" s="164" t="str">
        <f t="shared" si="75"/>
        <v/>
      </c>
      <c r="AJ998" s="382"/>
      <c r="AK998" s="382"/>
      <c r="AL998" s="382"/>
      <c r="AM998" s="382"/>
      <c r="AN998" s="382"/>
      <c r="AO998" s="382"/>
      <c r="AP998" s="382"/>
      <c r="AQ998" s="382"/>
      <c r="AR998" s="382"/>
      <c r="AS998" s="348">
        <v>2.1946276</v>
      </c>
      <c r="AT998" s="202"/>
      <c r="AV998" s="412"/>
      <c r="AW998" s="332"/>
      <c r="AX998" s="332"/>
      <c r="AY998" s="332"/>
      <c r="AZ998" s="332"/>
      <c r="BA998" s="332"/>
      <c r="BB998" s="332"/>
      <c r="BC998" s="332"/>
      <c r="BD998" s="332"/>
      <c r="BE998" s="332"/>
      <c r="BF998" s="492">
        <v>0.42598944999999999</v>
      </c>
      <c r="BG998" s="491"/>
      <c r="BJ998" s="337"/>
    </row>
    <row r="999" spans="1:62" ht="15" customHeight="1" thickBot="1" x14ac:dyDescent="0.25">
      <c r="A999" s="176">
        <v>1000</v>
      </c>
      <c r="B999" s="175">
        <v>2</v>
      </c>
      <c r="C999" s="166" t="s">
        <v>259</v>
      </c>
      <c r="D999" s="159" t="s">
        <v>2243</v>
      </c>
      <c r="H999" s="166" t="s">
        <v>2999</v>
      </c>
      <c r="J999" s="190" t="s">
        <v>3026</v>
      </c>
      <c r="M999" s="556" t="s">
        <v>4282</v>
      </c>
      <c r="AF999" s="162">
        <f t="shared" si="71"/>
        <v>2.7572553000000002</v>
      </c>
      <c r="AG999" s="162" t="str">
        <f t="shared" si="78"/>
        <v/>
      </c>
      <c r="AH999" s="164">
        <f t="shared" si="74"/>
        <v>0.36951792</v>
      </c>
      <c r="AI999" s="164" t="str">
        <f t="shared" si="75"/>
        <v/>
      </c>
      <c r="AJ999" s="382"/>
      <c r="AK999" s="382"/>
      <c r="AL999" s="382"/>
      <c r="AM999" s="382"/>
      <c r="AN999" s="382"/>
      <c r="AO999" s="382"/>
      <c r="AP999" s="382"/>
      <c r="AQ999" s="382"/>
      <c r="AR999" s="382"/>
      <c r="AS999" s="348">
        <v>2.7572553000000002</v>
      </c>
      <c r="AT999" s="202"/>
      <c r="AV999" s="412"/>
      <c r="AW999" s="332"/>
      <c r="AX999" s="332"/>
      <c r="AY999" s="332"/>
      <c r="AZ999" s="332"/>
      <c r="BA999" s="332"/>
      <c r="BB999" s="332"/>
      <c r="BC999" s="332"/>
      <c r="BD999" s="332"/>
      <c r="BE999" s="332"/>
      <c r="BF999" s="492">
        <v>0.36951792</v>
      </c>
      <c r="BG999" s="491"/>
      <c r="BJ999" s="337"/>
    </row>
    <row r="1000" spans="1:62" ht="15" customHeight="1" thickBot="1" x14ac:dyDescent="0.25">
      <c r="A1000" s="176">
        <v>1001</v>
      </c>
      <c r="B1000" s="175">
        <v>2</v>
      </c>
      <c r="C1000" s="166" t="s">
        <v>259</v>
      </c>
      <c r="D1000" s="159" t="s">
        <v>2243</v>
      </c>
      <c r="H1000" s="166" t="s">
        <v>3040</v>
      </c>
      <c r="J1000" s="190" t="s">
        <v>3027</v>
      </c>
      <c r="M1000" s="556" t="s">
        <v>4282</v>
      </c>
      <c r="AF1000" s="162">
        <f t="shared" si="71"/>
        <v>7.5897613000000002</v>
      </c>
      <c r="AG1000" s="162" t="str">
        <f t="shared" si="78"/>
        <v/>
      </c>
      <c r="AH1000" s="164">
        <f t="shared" si="74"/>
        <v>1.0864594999999999</v>
      </c>
      <c r="AI1000" s="164" t="str">
        <f t="shared" si="75"/>
        <v/>
      </c>
      <c r="AJ1000" s="382"/>
      <c r="AK1000" s="382"/>
      <c r="AL1000" s="382"/>
      <c r="AM1000" s="382"/>
      <c r="AN1000" s="382"/>
      <c r="AO1000" s="382"/>
      <c r="AP1000" s="382"/>
      <c r="AQ1000" s="382"/>
      <c r="AR1000" s="382"/>
      <c r="AS1000" s="348">
        <v>7.5897613000000002</v>
      </c>
      <c r="AT1000" s="203"/>
      <c r="AV1000" s="412"/>
      <c r="AW1000" s="332"/>
      <c r="AX1000" s="332"/>
      <c r="AY1000" s="332"/>
      <c r="AZ1000" s="332"/>
      <c r="BA1000" s="332"/>
      <c r="BB1000" s="332"/>
      <c r="BC1000" s="332"/>
      <c r="BD1000" s="332"/>
      <c r="BE1000" s="332"/>
      <c r="BF1000" s="492">
        <v>1.0864594999999999</v>
      </c>
      <c r="BG1000" s="484"/>
      <c r="BJ1000" s="337"/>
    </row>
    <row r="1001" spans="1:62" ht="15" customHeight="1" thickBot="1" x14ac:dyDescent="0.25">
      <c r="A1001" s="176">
        <v>1002</v>
      </c>
      <c r="B1001" s="175">
        <v>2</v>
      </c>
      <c r="C1001" s="166" t="s">
        <v>259</v>
      </c>
      <c r="D1001" s="159" t="s">
        <v>2243</v>
      </c>
      <c r="H1001" s="166" t="s">
        <v>2881</v>
      </c>
      <c r="J1001" s="190" t="s">
        <v>3028</v>
      </c>
      <c r="M1001" s="556" t="s">
        <v>4282</v>
      </c>
      <c r="AF1001" s="162">
        <f t="shared" si="71"/>
        <v>1.3583780000000001</v>
      </c>
      <c r="AG1001" s="162" t="str">
        <f t="shared" si="78"/>
        <v/>
      </c>
      <c r="AH1001" s="164">
        <f t="shared" si="74"/>
        <v>0.20081935000000001</v>
      </c>
      <c r="AI1001" s="164" t="str">
        <f t="shared" si="75"/>
        <v/>
      </c>
      <c r="AJ1001" s="382"/>
      <c r="AK1001" s="382"/>
      <c r="AL1001" s="382"/>
      <c r="AM1001" s="382"/>
      <c r="AN1001" s="382"/>
      <c r="AO1001" s="382"/>
      <c r="AP1001" s="382"/>
      <c r="AQ1001" s="382"/>
      <c r="AR1001" s="382"/>
      <c r="AS1001" s="348">
        <v>1.3583780000000001</v>
      </c>
      <c r="AT1001" s="203"/>
      <c r="AV1001" s="412"/>
      <c r="AW1001" s="332"/>
      <c r="AX1001" s="332"/>
      <c r="AY1001" s="332"/>
      <c r="AZ1001" s="332"/>
      <c r="BA1001" s="332"/>
      <c r="BB1001" s="332"/>
      <c r="BC1001" s="332"/>
      <c r="BD1001" s="332"/>
      <c r="BE1001" s="332"/>
      <c r="BF1001" s="492">
        <v>0.20081935000000001</v>
      </c>
      <c r="BG1001" s="484"/>
      <c r="BJ1001" s="337"/>
    </row>
    <row r="1002" spans="1:62" ht="15" customHeight="1" thickBot="1" x14ac:dyDescent="0.25">
      <c r="A1002" s="176">
        <v>1003</v>
      </c>
      <c r="B1002" s="175">
        <v>2</v>
      </c>
      <c r="C1002" s="166" t="s">
        <v>259</v>
      </c>
      <c r="D1002" s="159" t="s">
        <v>2243</v>
      </c>
      <c r="H1002" s="166" t="s">
        <v>3041</v>
      </c>
      <c r="J1002" s="190" t="s">
        <v>3029</v>
      </c>
      <c r="M1002" s="556" t="s">
        <v>4282</v>
      </c>
      <c r="AF1002" s="162">
        <f t="shared" si="71"/>
        <v>2.4911029999999998</v>
      </c>
      <c r="AG1002" s="162" t="str">
        <f t="shared" si="78"/>
        <v/>
      </c>
      <c r="AH1002" s="164">
        <f t="shared" si="74"/>
        <v>0.33164479000000002</v>
      </c>
      <c r="AI1002" s="164" t="str">
        <f t="shared" si="75"/>
        <v/>
      </c>
      <c r="AJ1002" s="382"/>
      <c r="AK1002" s="382"/>
      <c r="AL1002" s="382"/>
      <c r="AM1002" s="382"/>
      <c r="AN1002" s="382"/>
      <c r="AO1002" s="382"/>
      <c r="AP1002" s="382"/>
      <c r="AQ1002" s="382"/>
      <c r="AR1002" s="382"/>
      <c r="AS1002" s="348">
        <v>2.4911029999999998</v>
      </c>
      <c r="AT1002" s="203"/>
      <c r="AV1002" s="412"/>
      <c r="AW1002" s="332"/>
      <c r="AX1002" s="332"/>
      <c r="AY1002" s="332"/>
      <c r="AZ1002" s="332"/>
      <c r="BA1002" s="332"/>
      <c r="BB1002" s="332"/>
      <c r="BC1002" s="332"/>
      <c r="BD1002" s="332"/>
      <c r="BE1002" s="332"/>
      <c r="BF1002" s="492">
        <v>0.33164479000000002</v>
      </c>
      <c r="BG1002" s="484"/>
      <c r="BJ1002" s="337"/>
    </row>
    <row r="1003" spans="1:62" ht="15" customHeight="1" thickBot="1" x14ac:dyDescent="0.25">
      <c r="A1003" s="176">
        <v>1004</v>
      </c>
      <c r="B1003" s="175">
        <v>2</v>
      </c>
      <c r="C1003" s="166" t="s">
        <v>259</v>
      </c>
      <c r="D1003" s="159" t="s">
        <v>2348</v>
      </c>
      <c r="H1003" s="166" t="s">
        <v>2900</v>
      </c>
      <c r="J1003" s="190" t="s">
        <v>3030</v>
      </c>
      <c r="M1003" s="556" t="s">
        <v>4282</v>
      </c>
      <c r="AF1003" s="162" t="str">
        <f t="shared" si="71"/>
        <v/>
      </c>
      <c r="AG1003" s="162">
        <f t="shared" si="78"/>
        <v>2.3104819999999999</v>
      </c>
      <c r="AH1003" s="164" t="str">
        <f t="shared" si="74"/>
        <v/>
      </c>
      <c r="AI1003" s="164">
        <f t="shared" si="75"/>
        <v>0.35133746999999999</v>
      </c>
      <c r="AJ1003" s="382"/>
      <c r="AK1003" s="382"/>
      <c r="AL1003" s="384">
        <v>2.3104819999999999</v>
      </c>
      <c r="AM1003" s="382"/>
      <c r="AN1003" s="382"/>
      <c r="AO1003" s="382"/>
      <c r="AP1003" s="382"/>
      <c r="AQ1003" s="382"/>
      <c r="AR1003" s="382"/>
      <c r="AS1003" s="350"/>
      <c r="AT1003" s="203">
        <f>SUM(AJ1003:AR1003)</f>
        <v>2.3104819999999999</v>
      </c>
      <c r="AV1003" s="411"/>
      <c r="AW1003" s="332"/>
      <c r="AX1003" s="332"/>
      <c r="AY1003" s="336">
        <v>0.35133746999999999</v>
      </c>
      <c r="AZ1003" s="332"/>
      <c r="BA1003" s="332"/>
      <c r="BB1003" s="332"/>
      <c r="BC1003" s="332"/>
      <c r="BD1003" s="332"/>
      <c r="BE1003" s="332"/>
      <c r="BF1003" s="494"/>
      <c r="BG1003" s="484">
        <f>SUM(AW1003:BE1003)</f>
        <v>0.35133746999999999</v>
      </c>
      <c r="BJ1003" s="337"/>
    </row>
    <row r="1004" spans="1:62" ht="15" customHeight="1" thickBot="1" x14ac:dyDescent="0.25">
      <c r="A1004" s="176">
        <v>1005</v>
      </c>
      <c r="B1004" s="175">
        <v>2</v>
      </c>
      <c r="C1004" s="166" t="s">
        <v>259</v>
      </c>
      <c r="D1004" s="159" t="s">
        <v>2348</v>
      </c>
      <c r="H1004" s="166" t="s">
        <v>2876</v>
      </c>
      <c r="J1004" s="190" t="s">
        <v>3031</v>
      </c>
      <c r="M1004" s="556" t="s">
        <v>4282</v>
      </c>
      <c r="AF1004" s="162" t="str">
        <f t="shared" si="71"/>
        <v/>
      </c>
      <c r="AG1004" s="162">
        <f t="shared" si="78"/>
        <v>2.2685884999999999</v>
      </c>
      <c r="AH1004" s="164" t="str">
        <f t="shared" si="74"/>
        <v/>
      </c>
      <c r="AI1004" s="164">
        <f t="shared" si="75"/>
        <v>0.35211460999999999</v>
      </c>
      <c r="AJ1004" s="382"/>
      <c r="AK1004" s="382"/>
      <c r="AL1004" s="384">
        <v>2.2685884999999999</v>
      </c>
      <c r="AM1004" s="382"/>
      <c r="AN1004" s="382"/>
      <c r="AO1004" s="382"/>
      <c r="AP1004" s="382"/>
      <c r="AQ1004" s="382"/>
      <c r="AR1004" s="382"/>
      <c r="AS1004" s="350"/>
      <c r="AT1004" s="202">
        <f>SUM(AJ1004:AR1004)</f>
        <v>2.2685884999999999</v>
      </c>
      <c r="AV1004" s="411"/>
      <c r="AW1004" s="332"/>
      <c r="AX1004" s="332"/>
      <c r="AY1004" s="336">
        <v>0.35211460999999999</v>
      </c>
      <c r="AZ1004" s="332"/>
      <c r="BA1004" s="332"/>
      <c r="BB1004" s="332"/>
      <c r="BC1004" s="332"/>
      <c r="BD1004" s="332"/>
      <c r="BE1004" s="332"/>
      <c r="BF1004" s="494"/>
      <c r="BG1004" s="491">
        <f>SUM(AW1004:BE1004)</f>
        <v>0.35211460999999999</v>
      </c>
      <c r="BJ1004" s="337"/>
    </row>
    <row r="1005" spans="1:62" ht="15" customHeight="1" thickBot="1" x14ac:dyDescent="0.25">
      <c r="A1005" s="176">
        <v>1006</v>
      </c>
      <c r="B1005" s="175">
        <v>2</v>
      </c>
      <c r="C1005" s="166" t="s">
        <v>259</v>
      </c>
      <c r="D1005" s="159" t="s">
        <v>2348</v>
      </c>
      <c r="H1005" s="166" t="s">
        <v>2901</v>
      </c>
      <c r="J1005" s="190" t="s">
        <v>3032</v>
      </c>
      <c r="M1005" s="556" t="s">
        <v>4282</v>
      </c>
      <c r="AF1005" s="162" t="str">
        <f t="shared" ref="AF1005:AF1068" si="79">IF(AS1005&lt;&gt;0,AS1005,"")</f>
        <v/>
      </c>
      <c r="AG1005" s="162">
        <f t="shared" si="78"/>
        <v>2.5439123000000001</v>
      </c>
      <c r="AH1005" s="164" t="str">
        <f t="shared" si="74"/>
        <v/>
      </c>
      <c r="AI1005" s="164">
        <f t="shared" si="75"/>
        <v>0.37024625999999999</v>
      </c>
      <c r="AJ1005" s="382"/>
      <c r="AK1005" s="382"/>
      <c r="AL1005" s="384">
        <v>2.5439123000000001</v>
      </c>
      <c r="AM1005" s="382"/>
      <c r="AN1005" s="382"/>
      <c r="AO1005" s="382"/>
      <c r="AP1005" s="382"/>
      <c r="AQ1005" s="382"/>
      <c r="AR1005" s="382"/>
      <c r="AS1005" s="350"/>
      <c r="AT1005" s="202">
        <f>SUM(AJ1005:AR1005)</f>
        <v>2.5439123000000001</v>
      </c>
      <c r="AV1005" s="411"/>
      <c r="AW1005" s="332"/>
      <c r="AX1005" s="332"/>
      <c r="AY1005" s="336">
        <v>0.37024625999999999</v>
      </c>
      <c r="AZ1005" s="332"/>
      <c r="BA1005" s="332"/>
      <c r="BB1005" s="332"/>
      <c r="BC1005" s="332"/>
      <c r="BD1005" s="332"/>
      <c r="BE1005" s="332"/>
      <c r="BF1005" s="494"/>
      <c r="BG1005" s="491">
        <f>SUM(AW1005:BE1005)</f>
        <v>0.37024625999999999</v>
      </c>
      <c r="BJ1005" s="337"/>
    </row>
    <row r="1006" spans="1:62" ht="15" customHeight="1" thickBot="1" x14ac:dyDescent="0.25">
      <c r="A1006" s="176">
        <v>1007</v>
      </c>
      <c r="B1006" s="175">
        <v>2</v>
      </c>
      <c r="C1006" s="166" t="s">
        <v>1110</v>
      </c>
      <c r="D1006" s="159" t="s">
        <v>2157</v>
      </c>
      <c r="H1006" s="171" t="s">
        <v>2870</v>
      </c>
      <c r="I1006" s="188" t="s">
        <v>2868</v>
      </c>
      <c r="J1006" s="184" t="s">
        <v>2866</v>
      </c>
      <c r="K1006" s="184" t="s">
        <v>2867</v>
      </c>
      <c r="L1006" s="181" t="s">
        <v>83</v>
      </c>
      <c r="M1006" s="556" t="s">
        <v>4280</v>
      </c>
      <c r="AF1006" s="162" t="str">
        <f t="shared" si="79"/>
        <v/>
      </c>
      <c r="AG1006" s="162" t="str">
        <f t="shared" si="78"/>
        <v/>
      </c>
      <c r="AH1006" s="164">
        <f t="shared" si="74"/>
        <v>0.87</v>
      </c>
      <c r="AI1006" s="164" t="str">
        <f t="shared" si="75"/>
        <v/>
      </c>
      <c r="AJ1006" s="382"/>
      <c r="AK1006" s="382"/>
      <c r="AL1006" s="382"/>
      <c r="AM1006" s="382"/>
      <c r="AN1006" s="382"/>
      <c r="AO1006" s="382"/>
      <c r="AP1006" s="382"/>
      <c r="AQ1006" s="382"/>
      <c r="AR1006" s="382"/>
      <c r="AS1006" s="350"/>
      <c r="AT1006" s="202"/>
      <c r="AV1006" s="412"/>
      <c r="AW1006" s="332"/>
      <c r="AX1006" s="332"/>
      <c r="AY1006" s="332"/>
      <c r="AZ1006" s="332"/>
      <c r="BA1006" s="332"/>
      <c r="BB1006" s="332"/>
      <c r="BC1006" s="332"/>
      <c r="BD1006" s="332"/>
      <c r="BE1006" s="332"/>
      <c r="BF1006" s="494">
        <v>0.87</v>
      </c>
      <c r="BG1006" s="491"/>
      <c r="BJ1006" s="337"/>
    </row>
    <row r="1007" spans="1:62" ht="15" customHeight="1" thickBot="1" x14ac:dyDescent="0.25">
      <c r="A1007" s="176">
        <v>1008</v>
      </c>
      <c r="B1007" s="175">
        <v>2</v>
      </c>
      <c r="C1007" s="166" t="s">
        <v>236</v>
      </c>
      <c r="D1007" s="159" t="s">
        <v>1747</v>
      </c>
      <c r="H1007" s="171" t="s">
        <v>2869</v>
      </c>
      <c r="I1007" s="188" t="s">
        <v>2868</v>
      </c>
      <c r="J1007" s="184" t="s">
        <v>2866</v>
      </c>
      <c r="K1007" s="184" t="s">
        <v>2867</v>
      </c>
      <c r="L1007" s="181" t="s">
        <v>83</v>
      </c>
      <c r="M1007" s="556" t="s">
        <v>4280</v>
      </c>
      <c r="AF1007" s="162" t="str">
        <f t="shared" si="79"/>
        <v/>
      </c>
      <c r="AG1007" s="162" t="str">
        <f t="shared" si="78"/>
        <v/>
      </c>
      <c r="AH1007" s="164">
        <f t="shared" si="74"/>
        <v>0.43</v>
      </c>
      <c r="AI1007" s="164" t="str">
        <f t="shared" si="75"/>
        <v/>
      </c>
      <c r="AJ1007" s="382"/>
      <c r="AK1007" s="382"/>
      <c r="AL1007" s="382"/>
      <c r="AM1007" s="382"/>
      <c r="AN1007" s="382"/>
      <c r="AO1007" s="382"/>
      <c r="AP1007" s="382"/>
      <c r="AQ1007" s="382"/>
      <c r="AR1007" s="382"/>
      <c r="AS1007" s="350"/>
      <c r="AT1007" s="202"/>
      <c r="AV1007" s="412"/>
      <c r="AW1007" s="332"/>
      <c r="AX1007" s="332"/>
      <c r="AY1007" s="332"/>
      <c r="AZ1007" s="332"/>
      <c r="BA1007" s="332"/>
      <c r="BB1007" s="332"/>
      <c r="BC1007" s="332"/>
      <c r="BD1007" s="332"/>
      <c r="BE1007" s="332"/>
      <c r="BF1007" s="494">
        <v>0.43</v>
      </c>
      <c r="BG1007" s="491"/>
      <c r="BJ1007" s="337"/>
    </row>
    <row r="1008" spans="1:62" ht="15" customHeight="1" thickBot="1" x14ac:dyDescent="0.25">
      <c r="A1008" s="176">
        <v>1009</v>
      </c>
      <c r="B1008" s="175">
        <v>2</v>
      </c>
      <c r="C1008" s="166" t="s">
        <v>236</v>
      </c>
      <c r="D1008" s="171" t="s">
        <v>2115</v>
      </c>
      <c r="H1008" s="171" t="s">
        <v>248</v>
      </c>
      <c r="J1008" s="189" t="s">
        <v>3042</v>
      </c>
      <c r="M1008" s="556" t="s">
        <v>4281</v>
      </c>
      <c r="AF1008" s="162">
        <f t="shared" si="79"/>
        <v>1.3288105999999997</v>
      </c>
      <c r="AG1008" s="162" t="str">
        <f t="shared" si="78"/>
        <v/>
      </c>
      <c r="AH1008" s="164">
        <f t="shared" si="74"/>
        <v>0.14498</v>
      </c>
      <c r="AI1008" s="164" t="str">
        <f t="shared" si="75"/>
        <v/>
      </c>
      <c r="AJ1008" s="382"/>
      <c r="AK1008" s="382"/>
      <c r="AL1008" s="382"/>
      <c r="AM1008" s="382"/>
      <c r="AN1008" s="382"/>
      <c r="AO1008" s="382"/>
      <c r="AP1008" s="382"/>
      <c r="AQ1008" s="382"/>
      <c r="AR1008" s="382"/>
      <c r="AS1008" s="350">
        <f>1.2183+0.10997+0.0005406</f>
        <v>1.3288105999999997</v>
      </c>
      <c r="AT1008" s="202"/>
      <c r="AV1008" s="412"/>
      <c r="AW1008" s="332"/>
      <c r="AX1008" s="332"/>
      <c r="AY1008" s="332"/>
      <c r="AZ1008" s="332"/>
      <c r="BA1008" s="332"/>
      <c r="BB1008" s="332"/>
      <c r="BC1008" s="332"/>
      <c r="BD1008" s="332"/>
      <c r="BE1008" s="332"/>
      <c r="BF1008" s="494">
        <v>0.14498</v>
      </c>
      <c r="BG1008" s="491"/>
      <c r="BJ1008" s="337"/>
    </row>
    <row r="1009" spans="1:62" ht="15" customHeight="1" thickBot="1" x14ac:dyDescent="0.25">
      <c r="A1009" s="176">
        <v>1010</v>
      </c>
      <c r="B1009" s="175">
        <v>2</v>
      </c>
      <c r="C1009" s="166" t="s">
        <v>1110</v>
      </c>
      <c r="D1009" s="166" t="s">
        <v>3051</v>
      </c>
      <c r="H1009" s="171" t="s">
        <v>3075</v>
      </c>
      <c r="J1009" s="190" t="s">
        <v>3043</v>
      </c>
      <c r="M1009" s="556" t="s">
        <v>4281</v>
      </c>
      <c r="AF1009" s="162">
        <f t="shared" si="79"/>
        <v>27.198861299999997</v>
      </c>
      <c r="AG1009" s="162" t="str">
        <f t="shared" si="78"/>
        <v/>
      </c>
      <c r="AH1009" s="164">
        <f t="shared" si="74"/>
        <v>11.272119</v>
      </c>
      <c r="AI1009" s="164" t="str">
        <f t="shared" si="75"/>
        <v/>
      </c>
      <c r="AJ1009" s="382"/>
      <c r="AK1009" s="382"/>
      <c r="AL1009" s="382"/>
      <c r="AM1009" s="382"/>
      <c r="AN1009" s="382"/>
      <c r="AO1009" s="382"/>
      <c r="AP1009" s="382"/>
      <c r="AQ1009" s="382"/>
      <c r="AR1009" s="382"/>
      <c r="AS1009" s="350">
        <v>27.198861299999997</v>
      </c>
      <c r="AT1009" s="202"/>
      <c r="AV1009" s="412"/>
      <c r="AW1009" s="332"/>
      <c r="AX1009" s="332"/>
      <c r="AY1009" s="332"/>
      <c r="AZ1009" s="332"/>
      <c r="BA1009" s="332"/>
      <c r="BB1009" s="332"/>
      <c r="BC1009" s="332"/>
      <c r="BD1009" s="332"/>
      <c r="BE1009" s="332"/>
      <c r="BF1009" s="492">
        <v>11.272119</v>
      </c>
      <c r="BG1009" s="491"/>
      <c r="BJ1009" s="337"/>
    </row>
    <row r="1010" spans="1:62" ht="15" customHeight="1" thickBot="1" x14ac:dyDescent="0.25">
      <c r="A1010" s="176">
        <v>1011</v>
      </c>
      <c r="B1010" s="175">
        <v>2</v>
      </c>
      <c r="C1010" s="166" t="s">
        <v>1110</v>
      </c>
      <c r="D1010" s="166" t="s">
        <v>3051</v>
      </c>
      <c r="H1010" s="171" t="s">
        <v>3076</v>
      </c>
      <c r="J1010" s="190" t="s">
        <v>3044</v>
      </c>
      <c r="M1010" s="556" t="s">
        <v>4281</v>
      </c>
      <c r="AF1010" s="162">
        <f t="shared" si="79"/>
        <v>47.445412300000001</v>
      </c>
      <c r="AG1010" s="162" t="str">
        <f t="shared" si="78"/>
        <v/>
      </c>
      <c r="AH1010" s="164">
        <f t="shared" si="74"/>
        <v>16.469787</v>
      </c>
      <c r="AI1010" s="164" t="str">
        <f t="shared" si="75"/>
        <v/>
      </c>
      <c r="AJ1010" s="382"/>
      <c r="AK1010" s="382"/>
      <c r="AL1010" s="382"/>
      <c r="AM1010" s="382"/>
      <c r="AN1010" s="382"/>
      <c r="AO1010" s="382"/>
      <c r="AP1010" s="382"/>
      <c r="AQ1010" s="382"/>
      <c r="AR1010" s="382"/>
      <c r="AS1010" s="350">
        <v>47.445412300000001</v>
      </c>
      <c r="AT1010" s="202"/>
      <c r="AV1010" s="412"/>
      <c r="AW1010" s="332"/>
      <c r="AX1010" s="332"/>
      <c r="AY1010" s="332"/>
      <c r="AZ1010" s="332"/>
      <c r="BA1010" s="332"/>
      <c r="BB1010" s="332"/>
      <c r="BC1010" s="332"/>
      <c r="BD1010" s="332"/>
      <c r="BE1010" s="332"/>
      <c r="BF1010" s="492">
        <v>16.469787</v>
      </c>
      <c r="BG1010" s="491"/>
      <c r="BJ1010" s="337"/>
    </row>
    <row r="1011" spans="1:62" ht="15" customHeight="1" thickBot="1" x14ac:dyDescent="0.25">
      <c r="A1011" s="176">
        <v>1012</v>
      </c>
      <c r="B1011" s="175">
        <v>2</v>
      </c>
      <c r="C1011" s="166" t="s">
        <v>1110</v>
      </c>
      <c r="D1011" s="166" t="s">
        <v>3051</v>
      </c>
      <c r="H1011" s="171" t="s">
        <v>2890</v>
      </c>
      <c r="J1011" s="190" t="s">
        <v>3045</v>
      </c>
      <c r="M1011" s="556" t="s">
        <v>4281</v>
      </c>
      <c r="AF1011" s="162">
        <f t="shared" si="79"/>
        <v>246.3932897</v>
      </c>
      <c r="AG1011" s="162" t="str">
        <f t="shared" si="78"/>
        <v/>
      </c>
      <c r="AH1011" s="164">
        <f t="shared" si="74"/>
        <v>39.491154999999999</v>
      </c>
      <c r="AI1011" s="164" t="str">
        <f t="shared" si="75"/>
        <v/>
      </c>
      <c r="AJ1011" s="382"/>
      <c r="AK1011" s="382"/>
      <c r="AL1011" s="382"/>
      <c r="AM1011" s="382"/>
      <c r="AN1011" s="382"/>
      <c r="AO1011" s="382"/>
      <c r="AP1011" s="382"/>
      <c r="AQ1011" s="382"/>
      <c r="AR1011" s="382"/>
      <c r="AS1011" s="350">
        <v>246.3932897</v>
      </c>
      <c r="AT1011" s="202"/>
      <c r="AV1011" s="412"/>
      <c r="AW1011" s="332"/>
      <c r="AX1011" s="332"/>
      <c r="AY1011" s="332"/>
      <c r="AZ1011" s="332"/>
      <c r="BA1011" s="332"/>
      <c r="BB1011" s="332"/>
      <c r="BC1011" s="332"/>
      <c r="BD1011" s="332"/>
      <c r="BE1011" s="332"/>
      <c r="BF1011" s="492">
        <v>39.491154999999999</v>
      </c>
      <c r="BG1011" s="491"/>
      <c r="BJ1011" s="337"/>
    </row>
    <row r="1012" spans="1:62" ht="15" customHeight="1" thickBot="1" x14ac:dyDescent="0.25">
      <c r="A1012" s="176">
        <v>1013</v>
      </c>
      <c r="B1012" s="175">
        <v>2</v>
      </c>
      <c r="C1012" s="166" t="s">
        <v>1110</v>
      </c>
      <c r="D1012" s="166" t="s">
        <v>3051</v>
      </c>
      <c r="H1012" s="171" t="s">
        <v>2870</v>
      </c>
      <c r="J1012" s="190" t="s">
        <v>3046</v>
      </c>
      <c r="M1012" s="556" t="s">
        <v>4281</v>
      </c>
      <c r="AF1012" s="162">
        <f t="shared" si="79"/>
        <v>23.449981136000002</v>
      </c>
      <c r="AG1012" s="162" t="str">
        <f t="shared" si="78"/>
        <v/>
      </c>
      <c r="AH1012" s="164">
        <f t="shared" si="74"/>
        <v>11.33441</v>
      </c>
      <c r="AI1012" s="164" t="str">
        <f t="shared" si="75"/>
        <v/>
      </c>
      <c r="AJ1012" s="382"/>
      <c r="AK1012" s="382"/>
      <c r="AL1012" s="382"/>
      <c r="AM1012" s="382"/>
      <c r="AN1012" s="382"/>
      <c r="AO1012" s="382"/>
      <c r="AP1012" s="382"/>
      <c r="AQ1012" s="382"/>
      <c r="AR1012" s="382"/>
      <c r="AS1012" s="350">
        <v>23.449981136000002</v>
      </c>
      <c r="AT1012" s="202"/>
      <c r="AV1012" s="412"/>
      <c r="AW1012" s="332"/>
      <c r="AX1012" s="332"/>
      <c r="AY1012" s="332"/>
      <c r="AZ1012" s="332"/>
      <c r="BA1012" s="332"/>
      <c r="BB1012" s="332"/>
      <c r="BC1012" s="332"/>
      <c r="BD1012" s="332"/>
      <c r="BE1012" s="332"/>
      <c r="BF1012" s="492">
        <v>11.33441</v>
      </c>
      <c r="BG1012" s="491"/>
      <c r="BJ1012" s="337"/>
    </row>
    <row r="1013" spans="1:62" ht="15" customHeight="1" thickBot="1" x14ac:dyDescent="0.25">
      <c r="A1013" s="176">
        <v>1014</v>
      </c>
      <c r="B1013" s="175">
        <v>2</v>
      </c>
      <c r="C1013" s="166" t="s">
        <v>1110</v>
      </c>
      <c r="D1013" s="159" t="s">
        <v>1916</v>
      </c>
      <c r="H1013" s="171" t="s">
        <v>3077</v>
      </c>
      <c r="J1013" s="302" t="s">
        <v>3047</v>
      </c>
      <c r="M1013" s="556" t="s">
        <v>4287</v>
      </c>
      <c r="AF1013" s="162" t="str">
        <f t="shared" si="79"/>
        <v/>
      </c>
      <c r="AG1013" s="162">
        <f t="shared" si="78"/>
        <v>3.9887606999999998</v>
      </c>
      <c r="AH1013" s="164" t="str">
        <f t="shared" si="74"/>
        <v/>
      </c>
      <c r="AI1013" s="164">
        <f t="shared" si="75"/>
        <v>50.440724000000003</v>
      </c>
      <c r="AJ1013" s="382"/>
      <c r="AK1013" s="382"/>
      <c r="AL1013" s="385">
        <v>3.9887606999999998</v>
      </c>
      <c r="AM1013" s="382"/>
      <c r="AN1013" s="382"/>
      <c r="AO1013" s="382"/>
      <c r="AP1013" s="382"/>
      <c r="AQ1013" s="382"/>
      <c r="AR1013" s="382"/>
      <c r="AS1013" s="350"/>
      <c r="AT1013" s="202">
        <f>SUM(AJ1013:AR1013)</f>
        <v>3.9887606999999998</v>
      </c>
      <c r="AV1013" s="413"/>
      <c r="AW1013" s="332"/>
      <c r="AX1013" s="332"/>
      <c r="AY1013" s="342">
        <v>50.440724000000003</v>
      </c>
      <c r="AZ1013" s="332"/>
      <c r="BA1013" s="332"/>
      <c r="BB1013" s="332"/>
      <c r="BC1013" s="332"/>
      <c r="BD1013" s="332"/>
      <c r="BE1013" s="332"/>
      <c r="BF1013" s="494"/>
      <c r="BG1013" s="491">
        <f>SUM(AW1013:BE1013)</f>
        <v>50.440724000000003</v>
      </c>
      <c r="BJ1013" s="337"/>
    </row>
    <row r="1014" spans="1:62" ht="15" customHeight="1" thickBot="1" x14ac:dyDescent="0.25">
      <c r="A1014" s="176">
        <v>1015</v>
      </c>
      <c r="B1014" s="175">
        <v>2</v>
      </c>
      <c r="C1014" s="166" t="s">
        <v>1110</v>
      </c>
      <c r="D1014" s="159" t="s">
        <v>1916</v>
      </c>
      <c r="H1014" s="171" t="s">
        <v>3078</v>
      </c>
      <c r="J1014" s="302" t="s">
        <v>3048</v>
      </c>
      <c r="M1014" s="556" t="s">
        <v>4287</v>
      </c>
      <c r="AF1014" s="162" t="str">
        <f t="shared" si="79"/>
        <v/>
      </c>
      <c r="AG1014" s="162">
        <f t="shared" si="78"/>
        <v>3.6062574000000001</v>
      </c>
      <c r="AH1014" s="164" t="str">
        <f t="shared" si="74"/>
        <v/>
      </c>
      <c r="AI1014" s="164">
        <f t="shared" si="75"/>
        <v>25.23237</v>
      </c>
      <c r="AJ1014" s="382"/>
      <c r="AK1014" s="382"/>
      <c r="AL1014" s="385">
        <v>3.6062574000000001</v>
      </c>
      <c r="AM1014" s="382"/>
      <c r="AN1014" s="382"/>
      <c r="AO1014" s="382"/>
      <c r="AP1014" s="382"/>
      <c r="AQ1014" s="382"/>
      <c r="AR1014" s="382"/>
      <c r="AS1014" s="350"/>
      <c r="AT1014" s="202">
        <f>SUM(AJ1014:AR1014)</f>
        <v>3.6062574000000001</v>
      </c>
      <c r="AV1014" s="415"/>
      <c r="AW1014" s="332"/>
      <c r="AX1014" s="332"/>
      <c r="AY1014" s="342">
        <v>25.23237</v>
      </c>
      <c r="AZ1014" s="332"/>
      <c r="BA1014" s="332"/>
      <c r="BB1014" s="332"/>
      <c r="BC1014" s="332"/>
      <c r="BD1014" s="332"/>
      <c r="BE1014" s="332"/>
      <c r="BF1014" s="494"/>
      <c r="BG1014" s="491">
        <f>SUM(AW1014:BE1014)</f>
        <v>25.23237</v>
      </c>
      <c r="BJ1014" s="337"/>
    </row>
    <row r="1015" spans="1:62" ht="15" customHeight="1" thickBot="1" x14ac:dyDescent="0.25">
      <c r="A1015" s="176">
        <v>1016</v>
      </c>
      <c r="B1015" s="175">
        <v>2</v>
      </c>
      <c r="C1015" s="166" t="s">
        <v>1110</v>
      </c>
      <c r="D1015" s="159" t="s">
        <v>1916</v>
      </c>
      <c r="H1015" s="171" t="s">
        <v>3079</v>
      </c>
      <c r="J1015" s="302" t="s">
        <v>3049</v>
      </c>
      <c r="M1015" s="556" t="s">
        <v>4287</v>
      </c>
      <c r="AF1015" s="162" t="str">
        <f t="shared" si="79"/>
        <v/>
      </c>
      <c r="AG1015" s="162">
        <f t="shared" si="78"/>
        <v>3.6410518000000001</v>
      </c>
      <c r="AH1015" s="164" t="str">
        <f t="shared" si="74"/>
        <v/>
      </c>
      <c r="AI1015" s="164">
        <f t="shared" si="75"/>
        <v>25.268179</v>
      </c>
      <c r="AJ1015" s="382"/>
      <c r="AK1015" s="382"/>
      <c r="AL1015" s="385">
        <v>3.6410518000000001</v>
      </c>
      <c r="AM1015" s="382"/>
      <c r="AN1015" s="382"/>
      <c r="AO1015" s="382"/>
      <c r="AP1015" s="382"/>
      <c r="AQ1015" s="382"/>
      <c r="AR1015" s="382"/>
      <c r="AS1015" s="350"/>
      <c r="AT1015" s="203">
        <f>SUM(AJ1015:AR1015)</f>
        <v>3.6410518000000001</v>
      </c>
      <c r="AV1015" s="415"/>
      <c r="AW1015" s="332"/>
      <c r="AX1015" s="332"/>
      <c r="AY1015" s="342">
        <v>25.268179</v>
      </c>
      <c r="AZ1015" s="332"/>
      <c r="BA1015" s="332"/>
      <c r="BB1015" s="332"/>
      <c r="BC1015" s="332"/>
      <c r="BD1015" s="332"/>
      <c r="BE1015" s="332"/>
      <c r="BF1015" s="494"/>
      <c r="BG1015" s="484">
        <f>SUM(AW1015:BE1015)</f>
        <v>25.268179</v>
      </c>
      <c r="BJ1015" s="337"/>
    </row>
    <row r="1016" spans="1:62" ht="15" customHeight="1" thickBot="1" x14ac:dyDescent="0.25">
      <c r="A1016" s="176">
        <v>1017</v>
      </c>
      <c r="B1016" s="175">
        <v>2</v>
      </c>
      <c r="C1016" s="166" t="s">
        <v>259</v>
      </c>
      <c r="D1016" s="171" t="s">
        <v>3053</v>
      </c>
      <c r="H1016" s="171" t="s">
        <v>351</v>
      </c>
      <c r="J1016" s="189" t="s">
        <v>3054</v>
      </c>
      <c r="M1016" s="556" t="s">
        <v>4282</v>
      </c>
      <c r="AF1016" s="162" t="str">
        <f t="shared" si="79"/>
        <v/>
      </c>
      <c r="AG1016" s="162">
        <f t="shared" si="78"/>
        <v>8.8000000000000007</v>
      </c>
      <c r="AH1016" s="164" t="str">
        <f t="shared" si="74"/>
        <v/>
      </c>
      <c r="AI1016" s="164">
        <f t="shared" si="75"/>
        <v>0.76</v>
      </c>
      <c r="AJ1016" s="382"/>
      <c r="AK1016" s="382"/>
      <c r="AL1016" s="387">
        <v>8.8000000000000007</v>
      </c>
      <c r="AM1016" s="382"/>
      <c r="AN1016" s="382"/>
      <c r="AO1016" s="382"/>
      <c r="AP1016" s="382"/>
      <c r="AQ1016" s="382"/>
      <c r="AR1016" s="382"/>
      <c r="AS1016" s="350"/>
      <c r="AT1016" s="203">
        <f>SUM(AJ1016:AR1016)</f>
        <v>8.8000000000000007</v>
      </c>
      <c r="AV1016" s="374"/>
      <c r="AW1016" s="332"/>
      <c r="AX1016" s="332"/>
      <c r="AY1016" s="334">
        <v>0.76</v>
      </c>
      <c r="AZ1016" s="332"/>
      <c r="BA1016" s="332"/>
      <c r="BB1016" s="332"/>
      <c r="BC1016" s="332"/>
      <c r="BD1016" s="332"/>
      <c r="BE1016" s="332"/>
      <c r="BF1016" s="494"/>
      <c r="BG1016" s="484">
        <f>SUM(AW1016:BE1016)</f>
        <v>0.76</v>
      </c>
      <c r="BJ1016" s="337"/>
    </row>
    <row r="1017" spans="1:62" ht="15" customHeight="1" thickBot="1" x14ac:dyDescent="0.25">
      <c r="A1017" s="176">
        <v>1018</v>
      </c>
      <c r="B1017" s="175">
        <v>1</v>
      </c>
      <c r="C1017" s="166" t="s">
        <v>596</v>
      </c>
      <c r="D1017" s="166" t="s">
        <v>2760</v>
      </c>
      <c r="E1017" s="166" t="s">
        <v>13</v>
      </c>
      <c r="F1017" s="166" t="s">
        <v>1017</v>
      </c>
      <c r="G1017" s="166" t="s">
        <v>292</v>
      </c>
      <c r="H1017" s="166" t="s">
        <v>708</v>
      </c>
      <c r="I1017" s="181">
        <v>2009</v>
      </c>
      <c r="J1017" s="181" t="s">
        <v>1013</v>
      </c>
      <c r="K1017" s="181"/>
      <c r="L1017" s="181" t="s">
        <v>19</v>
      </c>
      <c r="M1017" s="556" t="s">
        <v>4184</v>
      </c>
      <c r="N1017" s="214" t="s">
        <v>20</v>
      </c>
      <c r="O1017" s="214" t="s">
        <v>15</v>
      </c>
      <c r="P1017" s="214" t="s">
        <v>20</v>
      </c>
      <c r="Q1017" s="214" t="s">
        <v>20</v>
      </c>
      <c r="R1017" s="214" t="s">
        <v>20</v>
      </c>
      <c r="S1017" s="214" t="s">
        <v>20</v>
      </c>
      <c r="T1017" s="214" t="s">
        <v>15</v>
      </c>
      <c r="U1017" s="214" t="s">
        <v>15</v>
      </c>
      <c r="V1017" s="214" t="s">
        <v>15</v>
      </c>
      <c r="W1017" s="214" t="s">
        <v>20</v>
      </c>
      <c r="X1017" s="214" t="s">
        <v>15</v>
      </c>
      <c r="Y1017" s="214" t="s">
        <v>15</v>
      </c>
      <c r="Z1017" s="234"/>
      <c r="AA1017" s="214" t="s">
        <v>1014</v>
      </c>
      <c r="AB1017" s="214" t="s">
        <v>15</v>
      </c>
      <c r="AC1017" s="214" t="s">
        <v>15</v>
      </c>
      <c r="AD1017" s="320" t="s">
        <v>1015</v>
      </c>
      <c r="AE1017" s="320" t="s">
        <v>1016</v>
      </c>
      <c r="AF1017" s="162" t="str">
        <f t="shared" si="79"/>
        <v/>
      </c>
      <c r="AG1017" s="162" t="str">
        <f t="shared" si="78"/>
        <v/>
      </c>
      <c r="AH1017" s="164" t="str">
        <f t="shared" si="74"/>
        <v/>
      </c>
      <c r="AI1017" s="164" t="str">
        <f t="shared" si="75"/>
        <v/>
      </c>
      <c r="AJ1017" s="382"/>
      <c r="AK1017" s="382"/>
      <c r="AL1017" s="382"/>
      <c r="AM1017" s="382"/>
      <c r="AN1017" s="382"/>
      <c r="AO1017" s="382"/>
      <c r="AP1017" s="382"/>
      <c r="AQ1017" s="382"/>
      <c r="AR1017" s="382"/>
      <c r="AS1017" s="204"/>
      <c r="AT1017" s="205">
        <f>2.14*10</f>
        <v>21.400000000000002</v>
      </c>
      <c r="AU1017" s="377"/>
      <c r="AV1017" s="393"/>
      <c r="AW1017" s="332"/>
      <c r="AX1017" s="332"/>
      <c r="AY1017" s="332"/>
      <c r="AZ1017" s="332"/>
      <c r="BA1017" s="332"/>
      <c r="BB1017" s="332"/>
      <c r="BC1017" s="332"/>
      <c r="BD1017" s="332"/>
      <c r="BE1017" s="332"/>
      <c r="BF1017" s="490"/>
      <c r="BG1017" s="548">
        <f>121*10/1000</f>
        <v>1.21</v>
      </c>
      <c r="BH1017" s="341"/>
      <c r="BI1017" s="446" t="s">
        <v>47</v>
      </c>
      <c r="BJ1017" s="337"/>
    </row>
    <row r="1018" spans="1:62" ht="15" customHeight="1" thickBot="1" x14ac:dyDescent="0.25">
      <c r="A1018" s="176">
        <v>1019</v>
      </c>
      <c r="B1018" s="175">
        <v>1</v>
      </c>
      <c r="C1018" s="166" t="s">
        <v>596</v>
      </c>
      <c r="D1018" s="166" t="s">
        <v>2760</v>
      </c>
      <c r="E1018" s="166" t="s">
        <v>13</v>
      </c>
      <c r="F1018" s="166" t="s">
        <v>1018</v>
      </c>
      <c r="G1018" s="166" t="s">
        <v>292</v>
      </c>
      <c r="H1018" s="166" t="s">
        <v>708</v>
      </c>
      <c r="I1018" s="181">
        <v>2009</v>
      </c>
      <c r="J1018" s="181" t="s">
        <v>1013</v>
      </c>
      <c r="K1018" s="184"/>
      <c r="L1018" s="181" t="s">
        <v>19</v>
      </c>
      <c r="M1018" s="556" t="s">
        <v>4184</v>
      </c>
      <c r="N1018" s="214" t="s">
        <v>20</v>
      </c>
      <c r="O1018" s="214" t="s">
        <v>15</v>
      </c>
      <c r="P1018" s="214" t="s">
        <v>20</v>
      </c>
      <c r="Q1018" s="214" t="s">
        <v>20</v>
      </c>
      <c r="R1018" s="214" t="s">
        <v>20</v>
      </c>
      <c r="S1018" s="214" t="s">
        <v>20</v>
      </c>
      <c r="T1018" s="214" t="s">
        <v>15</v>
      </c>
      <c r="U1018" s="214" t="s">
        <v>15</v>
      </c>
      <c r="V1018" s="214" t="s">
        <v>15</v>
      </c>
      <c r="W1018" s="214" t="s">
        <v>20</v>
      </c>
      <c r="X1018" s="214" t="s">
        <v>15</v>
      </c>
      <c r="Y1018" s="214" t="s">
        <v>15</v>
      </c>
      <c r="Z1018" s="234"/>
      <c r="AA1018" s="214" t="s">
        <v>1014</v>
      </c>
      <c r="AB1018" s="214" t="s">
        <v>15</v>
      </c>
      <c r="AC1018" s="214" t="s">
        <v>15</v>
      </c>
      <c r="AD1018" s="320" t="s">
        <v>1015</v>
      </c>
      <c r="AE1018" s="320" t="s">
        <v>1016</v>
      </c>
      <c r="AF1018" s="162" t="str">
        <f t="shared" si="79"/>
        <v/>
      </c>
      <c r="AG1018" s="162" t="str">
        <f t="shared" si="78"/>
        <v/>
      </c>
      <c r="AH1018" s="164" t="str">
        <f t="shared" si="74"/>
        <v/>
      </c>
      <c r="AI1018" s="164" t="str">
        <f t="shared" si="75"/>
        <v/>
      </c>
      <c r="AJ1018" s="382"/>
      <c r="AK1018" s="382"/>
      <c r="AL1018" s="382"/>
      <c r="AM1018" s="382"/>
      <c r="AN1018" s="382"/>
      <c r="AO1018" s="382"/>
      <c r="AP1018" s="382"/>
      <c r="AQ1018" s="382"/>
      <c r="AR1018" s="382"/>
      <c r="AS1018" s="204"/>
      <c r="AT1018" s="199">
        <f>1.91*10</f>
        <v>19.099999999999998</v>
      </c>
      <c r="AU1018" s="377"/>
      <c r="AV1018" s="393"/>
      <c r="AW1018" s="332"/>
      <c r="AX1018" s="332"/>
      <c r="AY1018" s="332"/>
      <c r="AZ1018" s="332"/>
      <c r="BA1018" s="332"/>
      <c r="BB1018" s="332"/>
      <c r="BC1018" s="332"/>
      <c r="BD1018" s="332"/>
      <c r="BE1018" s="332"/>
      <c r="BF1018" s="490"/>
      <c r="BG1018" s="468">
        <f>110*10/1000</f>
        <v>1.1000000000000001</v>
      </c>
      <c r="BH1018" s="341"/>
      <c r="BI1018" s="446" t="s">
        <v>47</v>
      </c>
      <c r="BJ1018" s="337"/>
    </row>
    <row r="1019" spans="1:62" ht="15.75" customHeight="1" thickBot="1" x14ac:dyDescent="0.25">
      <c r="A1019" s="176">
        <v>1020</v>
      </c>
      <c r="B1019" s="175">
        <v>1</v>
      </c>
      <c r="C1019" s="166" t="s">
        <v>596</v>
      </c>
      <c r="D1019" s="166" t="s">
        <v>2760</v>
      </c>
      <c r="E1019" s="166" t="s">
        <v>13</v>
      </c>
      <c r="F1019" s="166" t="s">
        <v>1019</v>
      </c>
      <c r="G1019" s="166" t="s">
        <v>292</v>
      </c>
      <c r="H1019" s="166" t="s">
        <v>708</v>
      </c>
      <c r="I1019" s="181">
        <v>2009</v>
      </c>
      <c r="J1019" s="181" t="s">
        <v>1020</v>
      </c>
      <c r="K1019" s="181" t="s">
        <v>1021</v>
      </c>
      <c r="L1019" s="181" t="s">
        <v>1022</v>
      </c>
      <c r="M1019" s="556" t="s">
        <v>4185</v>
      </c>
      <c r="N1019" s="214" t="s">
        <v>20</v>
      </c>
      <c r="O1019" s="214" t="s">
        <v>15</v>
      </c>
      <c r="P1019" s="214" t="s">
        <v>20</v>
      </c>
      <c r="Q1019" s="214" t="s">
        <v>20</v>
      </c>
      <c r="R1019" s="214" t="s">
        <v>20</v>
      </c>
      <c r="S1019" s="214" t="s">
        <v>20</v>
      </c>
      <c r="T1019" s="214" t="s">
        <v>15</v>
      </c>
      <c r="U1019" s="214" t="s">
        <v>20</v>
      </c>
      <c r="V1019" s="214" t="s">
        <v>15</v>
      </c>
      <c r="W1019" s="214" t="s">
        <v>20</v>
      </c>
      <c r="X1019" s="214" t="s">
        <v>15</v>
      </c>
      <c r="Y1019" s="214" t="s">
        <v>15</v>
      </c>
      <c r="Z1019" s="234"/>
      <c r="AA1019" s="214" t="s">
        <v>1023</v>
      </c>
      <c r="AB1019" s="214" t="s">
        <v>292</v>
      </c>
      <c r="AC1019" s="214" t="s">
        <v>15</v>
      </c>
      <c r="AD1019" s="320" t="s">
        <v>1024</v>
      </c>
      <c r="AE1019" s="320" t="s">
        <v>1025</v>
      </c>
      <c r="AF1019" s="162" t="str">
        <f t="shared" si="79"/>
        <v/>
      </c>
      <c r="AG1019" s="162" t="str">
        <f t="shared" si="78"/>
        <v/>
      </c>
      <c r="AH1019" s="164" t="str">
        <f t="shared" si="74"/>
        <v/>
      </c>
      <c r="AI1019" s="164" t="str">
        <f t="shared" si="75"/>
        <v/>
      </c>
      <c r="AJ1019" s="382"/>
      <c r="AK1019" s="382"/>
      <c r="AL1019" s="382"/>
      <c r="AM1019" s="382"/>
      <c r="AN1019" s="382"/>
      <c r="AO1019" s="382"/>
      <c r="AP1019" s="382"/>
      <c r="AQ1019" s="382"/>
      <c r="AR1019" s="382"/>
      <c r="AS1019" s="204"/>
      <c r="AT1019" s="260">
        <f>0.67*1000/236.588</f>
        <v>2.831927232150405</v>
      </c>
      <c r="AU1019" s="377"/>
      <c r="AV1019" s="416"/>
      <c r="AW1019" s="332"/>
      <c r="AX1019" s="332"/>
      <c r="AY1019" s="332"/>
      <c r="AZ1019" s="332"/>
      <c r="BA1019" s="332"/>
      <c r="BB1019" s="332"/>
      <c r="BC1019" s="332"/>
      <c r="BD1019" s="332"/>
      <c r="BE1019" s="332"/>
      <c r="BF1019" s="490"/>
      <c r="BG1019" s="478">
        <f>0.09*1000/236.588</f>
        <v>0.38040813566199472</v>
      </c>
      <c r="BH1019" s="341"/>
      <c r="BI1019" s="446"/>
      <c r="BJ1019" s="337"/>
    </row>
    <row r="1020" spans="1:62" ht="15.75" customHeight="1" thickBot="1" x14ac:dyDescent="0.25">
      <c r="A1020" s="176">
        <v>1021</v>
      </c>
      <c r="B1020" s="175">
        <v>1</v>
      </c>
      <c r="C1020" s="166" t="s">
        <v>596</v>
      </c>
      <c r="D1020" s="166" t="s">
        <v>2760</v>
      </c>
      <c r="E1020" s="166" t="s">
        <v>13</v>
      </c>
      <c r="F1020" s="166" t="s">
        <v>1019</v>
      </c>
      <c r="G1020" s="166" t="s">
        <v>292</v>
      </c>
      <c r="H1020" s="166" t="s">
        <v>708</v>
      </c>
      <c r="I1020" s="181">
        <v>2009</v>
      </c>
      <c r="J1020" s="181" t="s">
        <v>1020</v>
      </c>
      <c r="K1020" s="181" t="s">
        <v>1021</v>
      </c>
      <c r="L1020" s="181" t="s">
        <v>1022</v>
      </c>
      <c r="M1020" s="556" t="s">
        <v>4185</v>
      </c>
      <c r="N1020" s="214" t="s">
        <v>15</v>
      </c>
      <c r="O1020" s="214" t="s">
        <v>20</v>
      </c>
      <c r="P1020" s="214" t="s">
        <v>20</v>
      </c>
      <c r="Q1020" s="214" t="s">
        <v>20</v>
      </c>
      <c r="R1020" s="214" t="s">
        <v>20</v>
      </c>
      <c r="S1020" s="214" t="s">
        <v>15</v>
      </c>
      <c r="T1020" s="214" t="s">
        <v>20</v>
      </c>
      <c r="U1020" s="214" t="s">
        <v>15</v>
      </c>
      <c r="V1020" s="214" t="s">
        <v>20</v>
      </c>
      <c r="W1020" s="214" t="s">
        <v>15</v>
      </c>
      <c r="X1020" s="214" t="s">
        <v>15</v>
      </c>
      <c r="Y1020" s="214"/>
      <c r="Z1020" s="214" t="s">
        <v>1023</v>
      </c>
      <c r="AA1020" s="214" t="s">
        <v>292</v>
      </c>
      <c r="AB1020" s="214" t="s">
        <v>15</v>
      </c>
      <c r="AC1020" s="316" t="s">
        <v>1024</v>
      </c>
      <c r="AD1020" s="320" t="s">
        <v>1025</v>
      </c>
      <c r="AE1020" s="329"/>
      <c r="AF1020" s="162">
        <f t="shared" si="79"/>
        <v>2.8319000000000001</v>
      </c>
      <c r="AG1020" s="162" t="str">
        <f t="shared" si="78"/>
        <v/>
      </c>
      <c r="AH1020" s="164">
        <f t="shared" si="74"/>
        <v>0.38</v>
      </c>
      <c r="AI1020" s="164" t="str">
        <f t="shared" si="75"/>
        <v/>
      </c>
      <c r="AJ1020" s="382"/>
      <c r="AK1020" s="382"/>
      <c r="AL1020" s="382"/>
      <c r="AM1020" s="382"/>
      <c r="AN1020" s="382"/>
      <c r="AO1020" s="382"/>
      <c r="AP1020" s="382"/>
      <c r="AQ1020" s="382"/>
      <c r="AR1020" s="382"/>
      <c r="AS1020" s="273">
        <v>2.8319000000000001</v>
      </c>
      <c r="AT1020" s="194"/>
      <c r="AU1020" s="417"/>
      <c r="AV1020" s="412"/>
      <c r="AW1020" s="332"/>
      <c r="AX1020" s="332"/>
      <c r="AY1020" s="332"/>
      <c r="AZ1020" s="332"/>
      <c r="BA1020" s="332"/>
      <c r="BB1020" s="332"/>
      <c r="BC1020" s="332"/>
      <c r="BD1020" s="332"/>
      <c r="BE1020" s="332"/>
      <c r="BF1020" s="496">
        <v>0.38</v>
      </c>
      <c r="BG1020" s="468"/>
      <c r="BH1020" s="335"/>
      <c r="BJ1020" s="337"/>
    </row>
    <row r="1021" spans="1:62" ht="15.75" customHeight="1" thickBot="1" x14ac:dyDescent="0.25">
      <c r="A1021" s="176">
        <v>1022</v>
      </c>
      <c r="B1021" s="175">
        <v>1</v>
      </c>
      <c r="C1021" s="166" t="s">
        <v>596</v>
      </c>
      <c r="D1021" s="166" t="s">
        <v>1028</v>
      </c>
      <c r="E1021" s="166" t="s">
        <v>13</v>
      </c>
      <c r="F1021" s="166" t="s">
        <v>1040</v>
      </c>
      <c r="G1021" s="166" t="s">
        <v>122</v>
      </c>
      <c r="H1021" s="166" t="s">
        <v>1034</v>
      </c>
      <c r="I1021" s="181">
        <v>2010</v>
      </c>
      <c r="J1021" s="181" t="s">
        <v>1035</v>
      </c>
      <c r="K1021" s="181" t="s">
        <v>1036</v>
      </c>
      <c r="L1021" s="181" t="s">
        <v>1022</v>
      </c>
      <c r="M1021" s="556" t="s">
        <v>4288</v>
      </c>
      <c r="N1021" s="214" t="s">
        <v>20</v>
      </c>
      <c r="O1021" s="214" t="s">
        <v>15</v>
      </c>
      <c r="P1021" s="214" t="s">
        <v>20</v>
      </c>
      <c r="Q1021" s="214" t="s">
        <v>20</v>
      </c>
      <c r="R1021" s="214" t="s">
        <v>20</v>
      </c>
      <c r="S1021" s="214" t="s">
        <v>20</v>
      </c>
      <c r="T1021" s="214" t="s">
        <v>20</v>
      </c>
      <c r="U1021" s="214" t="s">
        <v>20</v>
      </c>
      <c r="V1021" s="214" t="s">
        <v>15</v>
      </c>
      <c r="W1021" s="214" t="s">
        <v>20</v>
      </c>
      <c r="X1021" s="214" t="s">
        <v>15</v>
      </c>
      <c r="Y1021" s="214" t="s">
        <v>15</v>
      </c>
      <c r="Z1021" s="234"/>
      <c r="AA1021" s="214" t="s">
        <v>243</v>
      </c>
      <c r="AB1021" s="214" t="s">
        <v>15</v>
      </c>
      <c r="AC1021" s="214" t="s">
        <v>15</v>
      </c>
      <c r="AD1021" s="320" t="s">
        <v>1037</v>
      </c>
      <c r="AE1021" s="320" t="s">
        <v>1038</v>
      </c>
      <c r="AF1021" s="162" t="str">
        <f t="shared" si="79"/>
        <v/>
      </c>
      <c r="AG1021" s="162" t="str">
        <f t="shared" si="78"/>
        <v/>
      </c>
      <c r="AH1021" s="164" t="str">
        <f t="shared" si="74"/>
        <v/>
      </c>
      <c r="AI1021" s="164" t="str">
        <f t="shared" si="75"/>
        <v/>
      </c>
      <c r="AJ1021" s="382"/>
      <c r="AK1021" s="382"/>
      <c r="AL1021" s="382"/>
      <c r="AM1021" s="382"/>
      <c r="AN1021" s="382"/>
      <c r="AO1021" s="382"/>
      <c r="AP1021" s="382"/>
      <c r="AQ1021" s="382"/>
      <c r="AR1021" s="382"/>
      <c r="AS1021" s="204"/>
      <c r="AT1021" s="269">
        <f>0.79*1000/250.44</f>
        <v>3.1544481712186552</v>
      </c>
      <c r="AU1021" s="373"/>
      <c r="AV1021" s="535"/>
      <c r="AW1021" s="332"/>
      <c r="AX1021" s="332"/>
      <c r="AY1021" s="332"/>
      <c r="AZ1021" s="332"/>
      <c r="BA1021" s="332"/>
      <c r="BB1021" s="332"/>
      <c r="BC1021" s="332"/>
      <c r="BD1021" s="332"/>
      <c r="BE1021" s="332"/>
      <c r="BF1021" s="497"/>
      <c r="BG1021" s="480">
        <f>0.0448*1000/250.44</f>
        <v>0.17888516211467817</v>
      </c>
      <c r="BH1021" s="341"/>
      <c r="BI1021" s="446"/>
      <c r="BJ1021" s="337"/>
    </row>
    <row r="1022" spans="1:62" ht="15" customHeight="1" thickBot="1" x14ac:dyDescent="0.25">
      <c r="A1022" s="176">
        <v>1023</v>
      </c>
      <c r="B1022" s="175">
        <v>1</v>
      </c>
      <c r="C1022" s="166" t="s">
        <v>975</v>
      </c>
      <c r="D1022" s="168" t="s">
        <v>3056</v>
      </c>
      <c r="E1022" s="166" t="s">
        <v>13</v>
      </c>
      <c r="F1022" s="167" t="s">
        <v>3102</v>
      </c>
      <c r="G1022" s="166" t="s">
        <v>122</v>
      </c>
      <c r="H1022" s="166" t="s">
        <v>165</v>
      </c>
      <c r="I1022" s="181">
        <v>2011</v>
      </c>
      <c r="J1022" s="181" t="s">
        <v>3101</v>
      </c>
      <c r="K1022" s="181" t="s">
        <v>3103</v>
      </c>
      <c r="L1022" s="181" t="s">
        <v>19</v>
      </c>
      <c r="M1022" s="556" t="s">
        <v>4289</v>
      </c>
      <c r="N1022" s="214" t="s">
        <v>20</v>
      </c>
      <c r="O1022" s="214" t="s">
        <v>292</v>
      </c>
      <c r="P1022" s="214" t="s">
        <v>292</v>
      </c>
      <c r="Q1022" s="214" t="s">
        <v>292</v>
      </c>
      <c r="R1022" s="214" t="s">
        <v>292</v>
      </c>
      <c r="S1022" s="214" t="s">
        <v>292</v>
      </c>
      <c r="T1022" s="214" t="s">
        <v>292</v>
      </c>
      <c r="U1022" s="214" t="s">
        <v>292</v>
      </c>
      <c r="V1022" s="214" t="s">
        <v>292</v>
      </c>
      <c r="W1022" s="214" t="s">
        <v>292</v>
      </c>
      <c r="X1022" s="214" t="s">
        <v>292</v>
      </c>
      <c r="Y1022" s="214" t="s">
        <v>292</v>
      </c>
      <c r="Z1022" s="234"/>
      <c r="AA1022" s="214" t="s">
        <v>3106</v>
      </c>
      <c r="AB1022" s="214" t="s">
        <v>292</v>
      </c>
      <c r="AC1022" s="214" t="s">
        <v>292</v>
      </c>
      <c r="AD1022" s="320" t="s">
        <v>944</v>
      </c>
      <c r="AE1022" s="319" t="s">
        <v>3105</v>
      </c>
      <c r="AF1022" s="162">
        <f t="shared" si="79"/>
        <v>85.738461538461536</v>
      </c>
      <c r="AG1022" s="162" t="str">
        <f t="shared" si="78"/>
        <v/>
      </c>
      <c r="AH1022" s="164">
        <f t="shared" si="74"/>
        <v>3.4153846153846157</v>
      </c>
      <c r="AI1022" s="164" t="str">
        <f t="shared" si="75"/>
        <v/>
      </c>
      <c r="AJ1022" s="382"/>
      <c r="AK1022" s="382"/>
      <c r="AL1022" s="382"/>
      <c r="AM1022" s="382"/>
      <c r="AN1022" s="382"/>
      <c r="AO1022" s="382"/>
      <c r="AP1022" s="382"/>
      <c r="AQ1022" s="382"/>
      <c r="AR1022" s="382"/>
      <c r="AS1022" s="348">
        <f>55.73/0.65</f>
        <v>85.738461538461536</v>
      </c>
      <c r="AT1022" s="355"/>
      <c r="AU1022" s="530"/>
      <c r="AV1022" s="412"/>
      <c r="AW1022" s="332"/>
      <c r="AX1022" s="332"/>
      <c r="AY1022" s="332"/>
      <c r="AZ1022" s="332"/>
      <c r="BA1022" s="332"/>
      <c r="BB1022" s="332"/>
      <c r="BC1022" s="332"/>
      <c r="BD1022" s="332"/>
      <c r="BE1022" s="332"/>
      <c r="BF1022" s="492">
        <f>2.22/0.65</f>
        <v>3.4153846153846157</v>
      </c>
      <c r="BG1022" s="490"/>
      <c r="BH1022" s="458"/>
      <c r="BI1022" s="459"/>
      <c r="BJ1022" s="337"/>
    </row>
    <row r="1023" spans="1:62" ht="15.75" customHeight="1" thickBot="1" x14ac:dyDescent="0.25">
      <c r="A1023" s="176">
        <v>1024</v>
      </c>
      <c r="B1023" s="175">
        <v>1</v>
      </c>
      <c r="C1023" s="166" t="s">
        <v>975</v>
      </c>
      <c r="D1023" s="168" t="s">
        <v>3056</v>
      </c>
      <c r="E1023" s="166" t="s">
        <v>13</v>
      </c>
      <c r="F1023" s="171" t="s">
        <v>3104</v>
      </c>
      <c r="G1023" s="166" t="s">
        <v>122</v>
      </c>
      <c r="H1023" s="166" t="s">
        <v>165</v>
      </c>
      <c r="I1023" s="181">
        <v>2011</v>
      </c>
      <c r="J1023" s="181" t="s">
        <v>3101</v>
      </c>
      <c r="K1023" s="181" t="s">
        <v>3103</v>
      </c>
      <c r="L1023" s="181" t="s">
        <v>19</v>
      </c>
      <c r="M1023" s="556" t="s">
        <v>4289</v>
      </c>
      <c r="N1023" s="214" t="s">
        <v>20</v>
      </c>
      <c r="O1023" s="214" t="s">
        <v>292</v>
      </c>
      <c r="P1023" s="214" t="s">
        <v>292</v>
      </c>
      <c r="Q1023" s="214" t="s">
        <v>292</v>
      </c>
      <c r="R1023" s="214" t="s">
        <v>292</v>
      </c>
      <c r="S1023" s="214" t="s">
        <v>292</v>
      </c>
      <c r="T1023" s="214" t="s">
        <v>292</v>
      </c>
      <c r="U1023" s="214" t="s">
        <v>292</v>
      </c>
      <c r="V1023" s="214" t="s">
        <v>292</v>
      </c>
      <c r="W1023" s="214" t="s">
        <v>292</v>
      </c>
      <c r="X1023" s="214" t="s">
        <v>292</v>
      </c>
      <c r="Y1023" s="214" t="s">
        <v>292</v>
      </c>
      <c r="Z1023" s="234"/>
      <c r="AA1023" s="214" t="s">
        <v>3106</v>
      </c>
      <c r="AB1023" s="214" t="s">
        <v>292</v>
      </c>
      <c r="AC1023" s="214" t="s">
        <v>292</v>
      </c>
      <c r="AD1023" s="320" t="s">
        <v>944</v>
      </c>
      <c r="AE1023" s="319" t="s">
        <v>3105</v>
      </c>
      <c r="AF1023" s="162">
        <f t="shared" si="79"/>
        <v>84.703076923076921</v>
      </c>
      <c r="AG1023" s="162" t="str">
        <f t="shared" si="78"/>
        <v/>
      </c>
      <c r="AH1023" s="164">
        <f t="shared" si="74"/>
        <v>3.4153846153846157</v>
      </c>
      <c r="AI1023" s="164" t="str">
        <f t="shared" si="75"/>
        <v/>
      </c>
      <c r="AJ1023" s="382"/>
      <c r="AK1023" s="382"/>
      <c r="AL1023" s="382"/>
      <c r="AM1023" s="382"/>
      <c r="AN1023" s="382"/>
      <c r="AO1023" s="382"/>
      <c r="AP1023" s="382"/>
      <c r="AQ1023" s="382"/>
      <c r="AR1023" s="382"/>
      <c r="AS1023" s="235">
        <f>55.057/0.65</f>
        <v>84.703076923076921</v>
      </c>
      <c r="AT1023" s="202"/>
      <c r="AV1023" s="412"/>
      <c r="AW1023" s="332"/>
      <c r="AX1023" s="332"/>
      <c r="AY1023" s="332"/>
      <c r="AZ1023" s="332"/>
      <c r="BA1023" s="332"/>
      <c r="BB1023" s="332"/>
      <c r="BC1023" s="332"/>
      <c r="BD1023" s="332"/>
      <c r="BE1023" s="332"/>
      <c r="BF1023" s="498">
        <f>2.22/0.65</f>
        <v>3.4153846153846157</v>
      </c>
      <c r="BG1023" s="491"/>
      <c r="BJ1023" s="337"/>
    </row>
    <row r="1024" spans="1:62" ht="15" customHeight="1" thickBot="1" x14ac:dyDescent="0.25">
      <c r="A1024" s="176">
        <v>1025</v>
      </c>
      <c r="B1024" s="175">
        <v>1</v>
      </c>
      <c r="C1024" s="166" t="s">
        <v>975</v>
      </c>
      <c r="D1024" s="168" t="s">
        <v>3056</v>
      </c>
      <c r="E1024" s="166" t="s">
        <v>13</v>
      </c>
      <c r="F1024" s="171" t="s">
        <v>3109</v>
      </c>
      <c r="G1024" s="171" t="s">
        <v>122</v>
      </c>
      <c r="H1024" s="171" t="s">
        <v>258</v>
      </c>
      <c r="I1024" s="189">
        <v>2013</v>
      </c>
      <c r="J1024" s="189" t="s">
        <v>3107</v>
      </c>
      <c r="K1024" s="189" t="s">
        <v>3108</v>
      </c>
      <c r="L1024" s="189" t="s">
        <v>19</v>
      </c>
      <c r="M1024" s="556" t="s">
        <v>4290</v>
      </c>
      <c r="N1024" s="214" t="s">
        <v>20</v>
      </c>
      <c r="O1024" s="214" t="s">
        <v>292</v>
      </c>
      <c r="P1024" s="214" t="s">
        <v>292</v>
      </c>
      <c r="Q1024" s="214" t="s">
        <v>292</v>
      </c>
      <c r="R1024" s="214" t="s">
        <v>292</v>
      </c>
      <c r="S1024" s="214" t="s">
        <v>292</v>
      </c>
      <c r="T1024" s="214" t="s">
        <v>292</v>
      </c>
      <c r="U1024" s="214" t="s">
        <v>292</v>
      </c>
      <c r="V1024" s="214" t="s">
        <v>292</v>
      </c>
      <c r="W1024" s="214" t="s">
        <v>292</v>
      </c>
      <c r="X1024" s="214" t="s">
        <v>292</v>
      </c>
      <c r="Y1024" s="214" t="s">
        <v>292</v>
      </c>
      <c r="Z1024" s="234"/>
      <c r="AA1024" s="214" t="s">
        <v>3106</v>
      </c>
      <c r="AB1024" s="214" t="s">
        <v>292</v>
      </c>
      <c r="AC1024" s="214" t="s">
        <v>292</v>
      </c>
      <c r="AD1024" s="320" t="s">
        <v>944</v>
      </c>
      <c r="AE1024" s="319" t="s">
        <v>3105</v>
      </c>
      <c r="AF1024" s="162" t="str">
        <f t="shared" si="79"/>
        <v/>
      </c>
      <c r="AG1024" s="162" t="str">
        <f t="shared" si="78"/>
        <v/>
      </c>
      <c r="AH1024" s="164">
        <f t="shared" si="74"/>
        <v>3.4452923076923079</v>
      </c>
      <c r="AI1024" s="164" t="str">
        <f t="shared" si="75"/>
        <v/>
      </c>
      <c r="AJ1024" s="382"/>
      <c r="AK1024" s="382"/>
      <c r="AL1024" s="382"/>
      <c r="AM1024" s="382"/>
      <c r="AN1024" s="382"/>
      <c r="AO1024" s="382"/>
      <c r="AP1024" s="382"/>
      <c r="AQ1024" s="382"/>
      <c r="AR1024" s="382"/>
      <c r="AS1024" s="203"/>
      <c r="AT1024" s="202"/>
      <c r="AV1024" s="412"/>
      <c r="AW1024" s="332"/>
      <c r="AX1024" s="332"/>
      <c r="AY1024" s="332"/>
      <c r="AZ1024" s="332"/>
      <c r="BA1024" s="332"/>
      <c r="BB1024" s="332"/>
      <c r="BC1024" s="332"/>
      <c r="BD1024" s="332"/>
      <c r="BE1024" s="332"/>
      <c r="BF1024" s="498">
        <f>2.23944/0.65</f>
        <v>3.4452923076923079</v>
      </c>
      <c r="BG1024" s="491"/>
      <c r="BJ1024" s="337"/>
    </row>
    <row r="1025" spans="1:62" ht="15" customHeight="1" thickBot="1" x14ac:dyDescent="0.25">
      <c r="A1025" s="176">
        <v>1026</v>
      </c>
      <c r="B1025" s="175">
        <v>1</v>
      </c>
      <c r="C1025" s="166" t="s">
        <v>975</v>
      </c>
      <c r="D1025" s="168" t="s">
        <v>3056</v>
      </c>
      <c r="E1025" s="166" t="s">
        <v>13</v>
      </c>
      <c r="F1025" s="171" t="s">
        <v>3110</v>
      </c>
      <c r="G1025" s="171" t="s">
        <v>122</v>
      </c>
      <c r="H1025" s="171" t="s">
        <v>258</v>
      </c>
      <c r="I1025" s="189">
        <v>2013</v>
      </c>
      <c r="J1025" s="189" t="s">
        <v>3107</v>
      </c>
      <c r="K1025" s="189" t="s">
        <v>3108</v>
      </c>
      <c r="L1025" s="189" t="s">
        <v>19</v>
      </c>
      <c r="M1025" s="556" t="s">
        <v>4290</v>
      </c>
      <c r="N1025" s="214" t="s">
        <v>20</v>
      </c>
      <c r="O1025" s="214" t="s">
        <v>292</v>
      </c>
      <c r="P1025" s="214" t="s">
        <v>292</v>
      </c>
      <c r="Q1025" s="214" t="s">
        <v>292</v>
      </c>
      <c r="R1025" s="214" t="s">
        <v>292</v>
      </c>
      <c r="S1025" s="214" t="s">
        <v>292</v>
      </c>
      <c r="T1025" s="214" t="s">
        <v>292</v>
      </c>
      <c r="U1025" s="214" t="s">
        <v>292</v>
      </c>
      <c r="V1025" s="214" t="s">
        <v>292</v>
      </c>
      <c r="W1025" s="214" t="s">
        <v>292</v>
      </c>
      <c r="X1025" s="214" t="s">
        <v>292</v>
      </c>
      <c r="Y1025" s="214" t="s">
        <v>292</v>
      </c>
      <c r="Z1025" s="234"/>
      <c r="AA1025" s="214" t="s">
        <v>3106</v>
      </c>
      <c r="AB1025" s="214" t="s">
        <v>292</v>
      </c>
      <c r="AC1025" s="214" t="s">
        <v>292</v>
      </c>
      <c r="AD1025" s="320" t="s">
        <v>944</v>
      </c>
      <c r="AE1025" s="319" t="s">
        <v>3105</v>
      </c>
      <c r="AF1025" s="162" t="str">
        <f t="shared" si="79"/>
        <v/>
      </c>
      <c r="AG1025" s="162" t="str">
        <f t="shared" si="78"/>
        <v/>
      </c>
      <c r="AH1025" s="164">
        <f t="shared" si="74"/>
        <v>5.4798615384615381</v>
      </c>
      <c r="AI1025" s="164" t="str">
        <f t="shared" si="75"/>
        <v/>
      </c>
      <c r="AJ1025" s="382"/>
      <c r="AK1025" s="382"/>
      <c r="AL1025" s="382"/>
      <c r="AM1025" s="382"/>
      <c r="AN1025" s="382"/>
      <c r="AO1025" s="382"/>
      <c r="AP1025" s="382"/>
      <c r="AQ1025" s="382"/>
      <c r="AR1025" s="382"/>
      <c r="AS1025" s="350"/>
      <c r="AT1025" s="202"/>
      <c r="AV1025" s="412"/>
      <c r="AW1025" s="332"/>
      <c r="AX1025" s="332"/>
      <c r="AY1025" s="332"/>
      <c r="AZ1025" s="332"/>
      <c r="BA1025" s="332"/>
      <c r="BB1025" s="332"/>
      <c r="BC1025" s="332"/>
      <c r="BD1025" s="332"/>
      <c r="BE1025" s="332"/>
      <c r="BF1025" s="498">
        <f>3.56191/0.65</f>
        <v>5.4798615384615381</v>
      </c>
      <c r="BG1025" s="491"/>
      <c r="BJ1025" s="337"/>
    </row>
    <row r="1026" spans="1:62" ht="15" customHeight="1" thickBot="1" x14ac:dyDescent="0.25">
      <c r="A1026" s="176">
        <v>1027</v>
      </c>
      <c r="B1026" s="175">
        <v>1</v>
      </c>
      <c r="C1026" s="166" t="s">
        <v>975</v>
      </c>
      <c r="D1026" s="168" t="s">
        <v>3056</v>
      </c>
      <c r="E1026" s="166" t="s">
        <v>13</v>
      </c>
      <c r="F1026" s="171" t="s">
        <v>3128</v>
      </c>
      <c r="G1026" s="171" t="s">
        <v>122</v>
      </c>
      <c r="H1026" s="171" t="s">
        <v>258</v>
      </c>
      <c r="I1026" s="189">
        <v>2013</v>
      </c>
      <c r="J1026" s="189" t="s">
        <v>3107</v>
      </c>
      <c r="K1026" s="189" t="s">
        <v>3108</v>
      </c>
      <c r="L1026" s="189" t="s">
        <v>19</v>
      </c>
      <c r="M1026" s="556" t="s">
        <v>4290</v>
      </c>
      <c r="N1026" s="214" t="s">
        <v>20</v>
      </c>
      <c r="O1026" s="214" t="s">
        <v>292</v>
      </c>
      <c r="P1026" s="214" t="s">
        <v>292</v>
      </c>
      <c r="Q1026" s="214" t="s">
        <v>292</v>
      </c>
      <c r="R1026" s="214" t="s">
        <v>292</v>
      </c>
      <c r="S1026" s="214" t="s">
        <v>292</v>
      </c>
      <c r="T1026" s="214" t="s">
        <v>292</v>
      </c>
      <c r="U1026" s="214" t="s">
        <v>292</v>
      </c>
      <c r="V1026" s="214" t="s">
        <v>292</v>
      </c>
      <c r="W1026" s="214" t="s">
        <v>292</v>
      </c>
      <c r="X1026" s="214" t="s">
        <v>292</v>
      </c>
      <c r="Y1026" s="214" t="s">
        <v>292</v>
      </c>
      <c r="Z1026" s="234"/>
      <c r="AA1026" s="214" t="s">
        <v>3106</v>
      </c>
      <c r="AB1026" s="214" t="s">
        <v>292</v>
      </c>
      <c r="AC1026" s="214" t="s">
        <v>292</v>
      </c>
      <c r="AD1026" s="320" t="s">
        <v>944</v>
      </c>
      <c r="AE1026" s="319" t="s">
        <v>3105</v>
      </c>
      <c r="AF1026" s="162" t="str">
        <f t="shared" si="79"/>
        <v/>
      </c>
      <c r="AG1026" s="162" t="str">
        <f t="shared" si="78"/>
        <v/>
      </c>
      <c r="AH1026" s="164">
        <f t="shared" ref="AH1026:AH1089" si="80">IF(BF1026&lt;&gt;0,BF1026,"")</f>
        <v>20.95750769230769</v>
      </c>
      <c r="AI1026" s="164" t="str">
        <f t="shared" ref="AI1026:AI1089" si="81">IF(AND(SUM(AW1026:AY1026)&lt;&gt;0,SUM(AW1026:AY1026)&lt;&gt;AW1026),SUM(AW1026:AY1026),"")</f>
        <v/>
      </c>
      <c r="AJ1026" s="382"/>
      <c r="AK1026" s="382"/>
      <c r="AL1026" s="382"/>
      <c r="AM1026" s="382"/>
      <c r="AN1026" s="382"/>
      <c r="AO1026" s="382"/>
      <c r="AP1026" s="382"/>
      <c r="AQ1026" s="382"/>
      <c r="AR1026" s="382"/>
      <c r="AS1026" s="350"/>
      <c r="AT1026" s="202"/>
      <c r="AV1026" s="412"/>
      <c r="AW1026" s="332"/>
      <c r="AX1026" s="332"/>
      <c r="AY1026" s="332"/>
      <c r="AZ1026" s="332"/>
      <c r="BA1026" s="332"/>
      <c r="BB1026" s="332"/>
      <c r="BC1026" s="332"/>
      <c r="BD1026" s="332"/>
      <c r="BE1026" s="332"/>
      <c r="BF1026" s="498">
        <f>13.62238/0.65</f>
        <v>20.95750769230769</v>
      </c>
      <c r="BG1026" s="491"/>
      <c r="BJ1026" s="337"/>
    </row>
    <row r="1027" spans="1:62" ht="15" customHeight="1" thickBot="1" x14ac:dyDescent="0.25">
      <c r="A1027" s="176">
        <v>1028</v>
      </c>
      <c r="B1027" s="175">
        <v>1</v>
      </c>
      <c r="C1027" s="166" t="s">
        <v>975</v>
      </c>
      <c r="D1027" s="168" t="s">
        <v>3056</v>
      </c>
      <c r="E1027" s="166" t="s">
        <v>13</v>
      </c>
      <c r="F1027" s="171" t="s">
        <v>3112</v>
      </c>
      <c r="G1027" s="171" t="s">
        <v>122</v>
      </c>
      <c r="H1027" s="171" t="s">
        <v>165</v>
      </c>
      <c r="I1027" s="189">
        <v>2013</v>
      </c>
      <c r="J1027" s="189" t="s">
        <v>3114</v>
      </c>
      <c r="K1027" s="189" t="s">
        <v>3115</v>
      </c>
      <c r="L1027" s="189" t="s">
        <v>19</v>
      </c>
      <c r="M1027" s="556" t="s">
        <v>4291</v>
      </c>
      <c r="N1027" s="214" t="s">
        <v>20</v>
      </c>
      <c r="O1027" s="214" t="s">
        <v>292</v>
      </c>
      <c r="P1027" s="214" t="s">
        <v>292</v>
      </c>
      <c r="Q1027" s="214" t="s">
        <v>292</v>
      </c>
      <c r="R1027" s="214" t="s">
        <v>292</v>
      </c>
      <c r="S1027" s="214" t="s">
        <v>292</v>
      </c>
      <c r="T1027" s="214" t="s">
        <v>292</v>
      </c>
      <c r="U1027" s="214" t="s">
        <v>292</v>
      </c>
      <c r="V1027" s="214" t="s">
        <v>292</v>
      </c>
      <c r="W1027" s="214" t="s">
        <v>292</v>
      </c>
      <c r="X1027" s="214" t="s">
        <v>292</v>
      </c>
      <c r="Y1027" s="214" t="s">
        <v>292</v>
      </c>
      <c r="Z1027" s="234"/>
      <c r="AA1027" s="214" t="s">
        <v>3106</v>
      </c>
      <c r="AB1027" s="214" t="s">
        <v>292</v>
      </c>
      <c r="AC1027" s="214" t="s">
        <v>292</v>
      </c>
      <c r="AD1027" s="320" t="s">
        <v>944</v>
      </c>
      <c r="AE1027" s="320" t="s">
        <v>3117</v>
      </c>
      <c r="AF1027" s="162">
        <f t="shared" si="79"/>
        <v>218.5185185185185</v>
      </c>
      <c r="AG1027" s="162" t="str">
        <f t="shared" si="78"/>
        <v/>
      </c>
      <c r="AH1027" s="164">
        <f t="shared" si="80"/>
        <v>2.6425925925925924</v>
      </c>
      <c r="AI1027" s="164" t="str">
        <f t="shared" si="81"/>
        <v/>
      </c>
      <c r="AJ1027" s="382"/>
      <c r="AK1027" s="382"/>
      <c r="AL1027" s="382"/>
      <c r="AM1027" s="382"/>
      <c r="AN1027" s="382"/>
      <c r="AO1027" s="382"/>
      <c r="AP1027" s="382"/>
      <c r="AQ1027" s="382"/>
      <c r="AR1027" s="382"/>
      <c r="AS1027" s="235">
        <f>118/0.54</f>
        <v>218.5185185185185</v>
      </c>
      <c r="AT1027" s="202"/>
      <c r="AV1027" s="412"/>
      <c r="AW1027" s="332"/>
      <c r="AX1027" s="332"/>
      <c r="AY1027" s="332"/>
      <c r="AZ1027" s="332"/>
      <c r="BA1027" s="332"/>
      <c r="BB1027" s="332"/>
      <c r="BC1027" s="332"/>
      <c r="BD1027" s="332"/>
      <c r="BE1027" s="332"/>
      <c r="BF1027" s="498">
        <f>1.427/0.54</f>
        <v>2.6425925925925924</v>
      </c>
      <c r="BG1027" s="491"/>
      <c r="BJ1027" s="337"/>
    </row>
    <row r="1028" spans="1:62" ht="15" customHeight="1" thickBot="1" x14ac:dyDescent="0.25">
      <c r="A1028" s="176">
        <v>1029</v>
      </c>
      <c r="B1028" s="175">
        <v>1</v>
      </c>
      <c r="C1028" s="166" t="s">
        <v>975</v>
      </c>
      <c r="D1028" s="168" t="s">
        <v>3056</v>
      </c>
      <c r="E1028" s="166" t="s">
        <v>13</v>
      </c>
      <c r="F1028" s="171" t="s">
        <v>3111</v>
      </c>
      <c r="G1028" s="171" t="s">
        <v>122</v>
      </c>
      <c r="H1028" s="171" t="s">
        <v>165</v>
      </c>
      <c r="I1028" s="189">
        <v>2013</v>
      </c>
      <c r="J1028" s="189" t="s">
        <v>3114</v>
      </c>
      <c r="K1028" s="189" t="s">
        <v>3115</v>
      </c>
      <c r="L1028" s="189" t="s">
        <v>19</v>
      </c>
      <c r="M1028" s="556" t="s">
        <v>4291</v>
      </c>
      <c r="N1028" s="214" t="s">
        <v>20</v>
      </c>
      <c r="O1028" s="214" t="s">
        <v>292</v>
      </c>
      <c r="P1028" s="214" t="s">
        <v>292</v>
      </c>
      <c r="Q1028" s="214" t="s">
        <v>292</v>
      </c>
      <c r="R1028" s="214" t="s">
        <v>292</v>
      </c>
      <c r="S1028" s="214" t="s">
        <v>292</v>
      </c>
      <c r="T1028" s="214" t="s">
        <v>292</v>
      </c>
      <c r="U1028" s="214" t="s">
        <v>292</v>
      </c>
      <c r="V1028" s="214" t="s">
        <v>292</v>
      </c>
      <c r="W1028" s="214" t="s">
        <v>292</v>
      </c>
      <c r="X1028" s="214" t="s">
        <v>292</v>
      </c>
      <c r="Y1028" s="214" t="s">
        <v>292</v>
      </c>
      <c r="Z1028" s="234"/>
      <c r="AA1028" s="214" t="s">
        <v>3106</v>
      </c>
      <c r="AB1028" s="214" t="s">
        <v>292</v>
      </c>
      <c r="AC1028" s="214" t="s">
        <v>292</v>
      </c>
      <c r="AD1028" s="320" t="s">
        <v>944</v>
      </c>
      <c r="AE1028" s="320" t="s">
        <v>3117</v>
      </c>
      <c r="AF1028" s="162">
        <f t="shared" si="79"/>
        <v>320.37037037037032</v>
      </c>
      <c r="AG1028" s="162" t="str">
        <f t="shared" si="78"/>
        <v/>
      </c>
      <c r="AH1028" s="164">
        <f t="shared" si="80"/>
        <v>15.898148148148149</v>
      </c>
      <c r="AI1028" s="164" t="str">
        <f t="shared" si="81"/>
        <v/>
      </c>
      <c r="AJ1028" s="382"/>
      <c r="AK1028" s="382"/>
      <c r="AL1028" s="382"/>
      <c r="AM1028" s="382"/>
      <c r="AN1028" s="382"/>
      <c r="AO1028" s="382"/>
      <c r="AP1028" s="382"/>
      <c r="AQ1028" s="382"/>
      <c r="AR1028" s="382"/>
      <c r="AS1028" s="235">
        <f>173/0.54</f>
        <v>320.37037037037032</v>
      </c>
      <c r="AT1028" s="202"/>
      <c r="AV1028" s="412"/>
      <c r="AW1028" s="332"/>
      <c r="AX1028" s="332"/>
      <c r="AY1028" s="332"/>
      <c r="AZ1028" s="332"/>
      <c r="BA1028" s="332"/>
      <c r="BB1028" s="332"/>
      <c r="BC1028" s="332"/>
      <c r="BD1028" s="332"/>
      <c r="BE1028" s="332"/>
      <c r="BF1028" s="498">
        <f>8.585/0.54</f>
        <v>15.898148148148149</v>
      </c>
      <c r="BG1028" s="491"/>
      <c r="BJ1028" s="337"/>
    </row>
    <row r="1029" spans="1:62" ht="15" customHeight="1" thickBot="1" x14ac:dyDescent="0.25">
      <c r="A1029" s="176">
        <v>1030</v>
      </c>
      <c r="B1029" s="175">
        <v>1</v>
      </c>
      <c r="C1029" s="166" t="s">
        <v>975</v>
      </c>
      <c r="D1029" s="168" t="s">
        <v>3056</v>
      </c>
      <c r="E1029" s="166" t="s">
        <v>13</v>
      </c>
      <c r="F1029" s="171" t="s">
        <v>3113</v>
      </c>
      <c r="G1029" s="171" t="s">
        <v>122</v>
      </c>
      <c r="H1029" s="171" t="s">
        <v>165</v>
      </c>
      <c r="I1029" s="189">
        <v>2013</v>
      </c>
      <c r="J1029" s="189" t="s">
        <v>3114</v>
      </c>
      <c r="K1029" s="189" t="s">
        <v>3115</v>
      </c>
      <c r="L1029" s="189" t="s">
        <v>19</v>
      </c>
      <c r="M1029" s="556" t="s">
        <v>4291</v>
      </c>
      <c r="N1029" s="214" t="s">
        <v>20</v>
      </c>
      <c r="O1029" s="214" t="s">
        <v>292</v>
      </c>
      <c r="P1029" s="214" t="s">
        <v>292</v>
      </c>
      <c r="Q1029" s="214" t="s">
        <v>292</v>
      </c>
      <c r="R1029" s="214" t="s">
        <v>292</v>
      </c>
      <c r="S1029" s="214" t="s">
        <v>292</v>
      </c>
      <c r="T1029" s="214" t="s">
        <v>292</v>
      </c>
      <c r="U1029" s="214" t="s">
        <v>292</v>
      </c>
      <c r="V1029" s="214" t="s">
        <v>292</v>
      </c>
      <c r="W1029" s="214" t="s">
        <v>292</v>
      </c>
      <c r="X1029" s="214" t="s">
        <v>292</v>
      </c>
      <c r="Y1029" s="214" t="s">
        <v>292</v>
      </c>
      <c r="Z1029" s="234"/>
      <c r="AA1029" s="214" t="s">
        <v>3106</v>
      </c>
      <c r="AB1029" s="214" t="s">
        <v>292</v>
      </c>
      <c r="AC1029" s="214" t="s">
        <v>292</v>
      </c>
      <c r="AD1029" s="320" t="s">
        <v>944</v>
      </c>
      <c r="AE1029" s="320" t="s">
        <v>3116</v>
      </c>
      <c r="AF1029" s="162">
        <f t="shared" si="79"/>
        <v>152.77777777777777</v>
      </c>
      <c r="AG1029" s="162" t="str">
        <f t="shared" si="78"/>
        <v/>
      </c>
      <c r="AH1029" s="164">
        <f t="shared" si="80"/>
        <v>4.3583333333333334</v>
      </c>
      <c r="AI1029" s="164" t="str">
        <f t="shared" si="81"/>
        <v/>
      </c>
      <c r="AJ1029" s="382"/>
      <c r="AK1029" s="382"/>
      <c r="AL1029" s="382"/>
      <c r="AM1029" s="382"/>
      <c r="AN1029" s="382"/>
      <c r="AO1029" s="382"/>
      <c r="AP1029" s="382"/>
      <c r="AQ1029" s="382"/>
      <c r="AR1029" s="382"/>
      <c r="AS1029" s="235">
        <f>110/0.72</f>
        <v>152.77777777777777</v>
      </c>
      <c r="AT1029" s="202"/>
      <c r="AV1029" s="412"/>
      <c r="AW1029" s="332"/>
      <c r="AX1029" s="332"/>
      <c r="AY1029" s="332"/>
      <c r="AZ1029" s="332"/>
      <c r="BA1029" s="332"/>
      <c r="BB1029" s="332"/>
      <c r="BC1029" s="332"/>
      <c r="BD1029" s="332"/>
      <c r="BE1029" s="332"/>
      <c r="BF1029" s="498">
        <f>3.138/0.72</f>
        <v>4.3583333333333334</v>
      </c>
      <c r="BG1029" s="491"/>
      <c r="BJ1029" s="337"/>
    </row>
    <row r="1030" spans="1:62" ht="15" customHeight="1" thickBot="1" x14ac:dyDescent="0.25">
      <c r="A1030" s="176">
        <v>1031</v>
      </c>
      <c r="B1030" s="175">
        <v>1</v>
      </c>
      <c r="C1030" s="166" t="s">
        <v>975</v>
      </c>
      <c r="D1030" s="168" t="s">
        <v>3056</v>
      </c>
      <c r="E1030" s="166" t="s">
        <v>13</v>
      </c>
      <c r="F1030" s="171" t="s">
        <v>3119</v>
      </c>
      <c r="G1030" s="171" t="s">
        <v>122</v>
      </c>
      <c r="H1030" s="171" t="s">
        <v>3120</v>
      </c>
      <c r="I1030" s="189">
        <v>2016</v>
      </c>
      <c r="J1030" s="189" t="s">
        <v>3121</v>
      </c>
      <c r="K1030" s="189" t="s">
        <v>3122</v>
      </c>
      <c r="L1030" s="189" t="s">
        <v>19</v>
      </c>
      <c r="M1030" s="556" t="s">
        <v>4292</v>
      </c>
      <c r="N1030" s="214" t="s">
        <v>20</v>
      </c>
      <c r="O1030" s="214" t="s">
        <v>292</v>
      </c>
      <c r="P1030" s="214" t="s">
        <v>292</v>
      </c>
      <c r="Q1030" s="214" t="s">
        <v>292</v>
      </c>
      <c r="R1030" s="214" t="s">
        <v>292</v>
      </c>
      <c r="S1030" s="214" t="s">
        <v>292</v>
      </c>
      <c r="T1030" s="214" t="s">
        <v>292</v>
      </c>
      <c r="U1030" s="214" t="s">
        <v>292</v>
      </c>
      <c r="V1030" s="214" t="s">
        <v>292</v>
      </c>
      <c r="W1030" s="214" t="s">
        <v>292</v>
      </c>
      <c r="X1030" s="214" t="s">
        <v>292</v>
      </c>
      <c r="Y1030" s="214" t="s">
        <v>292</v>
      </c>
      <c r="Z1030" s="234"/>
      <c r="AA1030" s="214" t="s">
        <v>3106</v>
      </c>
      <c r="AB1030" s="214" t="s">
        <v>292</v>
      </c>
      <c r="AC1030" s="214" t="s">
        <v>292</v>
      </c>
      <c r="AD1030" s="320" t="s">
        <v>944</v>
      </c>
      <c r="AE1030" s="320" t="s">
        <v>3123</v>
      </c>
      <c r="AF1030" s="162">
        <f t="shared" si="79"/>
        <v>142.70270270270271</v>
      </c>
      <c r="AG1030" s="162" t="str">
        <f t="shared" si="78"/>
        <v/>
      </c>
      <c r="AH1030" s="164">
        <f t="shared" si="80"/>
        <v>2.5964864864864867</v>
      </c>
      <c r="AI1030" s="164" t="str">
        <f t="shared" si="81"/>
        <v/>
      </c>
      <c r="AJ1030" s="382"/>
      <c r="AK1030" s="382"/>
      <c r="AL1030" s="382"/>
      <c r="AM1030" s="382"/>
      <c r="AN1030" s="382"/>
      <c r="AO1030" s="382"/>
      <c r="AP1030" s="382"/>
      <c r="AQ1030" s="382"/>
      <c r="AR1030" s="382"/>
      <c r="AS1030" s="351">
        <f>52.8/0.37</f>
        <v>142.70270270270271</v>
      </c>
      <c r="AT1030" s="202"/>
      <c r="AV1030" s="412"/>
      <c r="AW1030" s="332"/>
      <c r="AX1030" s="332"/>
      <c r="AY1030" s="332"/>
      <c r="AZ1030" s="332"/>
      <c r="BA1030" s="332"/>
      <c r="BB1030" s="332"/>
      <c r="BC1030" s="332"/>
      <c r="BD1030" s="332"/>
      <c r="BE1030" s="332"/>
      <c r="BF1030" s="498">
        <f>0.9607/0.37</f>
        <v>2.5964864864864867</v>
      </c>
      <c r="BG1030" s="491"/>
      <c r="BJ1030" s="337"/>
    </row>
    <row r="1031" spans="1:62" ht="15" customHeight="1" thickBot="1" x14ac:dyDescent="0.25">
      <c r="A1031" s="176">
        <v>1032</v>
      </c>
      <c r="B1031" s="175">
        <v>1</v>
      </c>
      <c r="C1031" s="166" t="s">
        <v>975</v>
      </c>
      <c r="D1031" s="168" t="s">
        <v>3056</v>
      </c>
      <c r="E1031" s="166" t="s">
        <v>13</v>
      </c>
      <c r="F1031" s="171" t="s">
        <v>3118</v>
      </c>
      <c r="G1031" s="171" t="s">
        <v>122</v>
      </c>
      <c r="H1031" s="171" t="s">
        <v>3120</v>
      </c>
      <c r="I1031" s="189">
        <v>2016</v>
      </c>
      <c r="J1031" s="189" t="s">
        <v>3121</v>
      </c>
      <c r="K1031" s="189" t="s">
        <v>3122</v>
      </c>
      <c r="L1031" s="189" t="s">
        <v>19</v>
      </c>
      <c r="M1031" s="556" t="s">
        <v>4292</v>
      </c>
      <c r="N1031" s="214" t="s">
        <v>20</v>
      </c>
      <c r="O1031" s="214" t="s">
        <v>292</v>
      </c>
      <c r="P1031" s="214" t="s">
        <v>292</v>
      </c>
      <c r="Q1031" s="214" t="s">
        <v>292</v>
      </c>
      <c r="R1031" s="214" t="s">
        <v>292</v>
      </c>
      <c r="S1031" s="214" t="s">
        <v>292</v>
      </c>
      <c r="T1031" s="214" t="s">
        <v>292</v>
      </c>
      <c r="U1031" s="214" t="s">
        <v>292</v>
      </c>
      <c r="V1031" s="214" t="s">
        <v>292</v>
      </c>
      <c r="W1031" s="214" t="s">
        <v>292</v>
      </c>
      <c r="X1031" s="214" t="s">
        <v>292</v>
      </c>
      <c r="Y1031" s="214" t="s">
        <v>292</v>
      </c>
      <c r="Z1031" s="234"/>
      <c r="AA1031" s="214" t="s">
        <v>3106</v>
      </c>
      <c r="AB1031" s="214" t="s">
        <v>292</v>
      </c>
      <c r="AC1031" s="214" t="s">
        <v>292</v>
      </c>
      <c r="AD1031" s="320" t="s">
        <v>944</v>
      </c>
      <c r="AE1031" s="320" t="s">
        <v>3123</v>
      </c>
      <c r="AF1031" s="162">
        <f t="shared" si="79"/>
        <v>644.05405405405406</v>
      </c>
      <c r="AG1031" s="162" t="str">
        <f t="shared" si="78"/>
        <v/>
      </c>
      <c r="AH1031" s="164">
        <f t="shared" si="80"/>
        <v>16.557027027027029</v>
      </c>
      <c r="AI1031" s="164" t="str">
        <f t="shared" si="81"/>
        <v/>
      </c>
      <c r="AJ1031" s="382"/>
      <c r="AK1031" s="382"/>
      <c r="AL1031" s="382"/>
      <c r="AM1031" s="382"/>
      <c r="AN1031" s="382"/>
      <c r="AO1031" s="382"/>
      <c r="AP1031" s="382"/>
      <c r="AQ1031" s="382"/>
      <c r="AR1031" s="382"/>
      <c r="AS1031" s="351">
        <f>238.3/0.37</f>
        <v>644.05405405405406</v>
      </c>
      <c r="AT1031" s="202"/>
      <c r="AV1031" s="412"/>
      <c r="AW1031" s="332"/>
      <c r="AX1031" s="332"/>
      <c r="AY1031" s="332"/>
      <c r="AZ1031" s="332"/>
      <c r="BA1031" s="332"/>
      <c r="BB1031" s="332"/>
      <c r="BC1031" s="332"/>
      <c r="BD1031" s="332"/>
      <c r="BE1031" s="332"/>
      <c r="BF1031" s="498">
        <f>6.1261/0.37</f>
        <v>16.557027027027029</v>
      </c>
      <c r="BG1031" s="491"/>
      <c r="BJ1031" s="337"/>
    </row>
    <row r="1032" spans="1:62" ht="15" customHeight="1" thickBot="1" x14ac:dyDescent="0.25">
      <c r="A1032" s="176">
        <v>1033</v>
      </c>
      <c r="B1032" s="175">
        <v>1</v>
      </c>
      <c r="C1032" s="166" t="s">
        <v>975</v>
      </c>
      <c r="D1032" s="168" t="s">
        <v>3056</v>
      </c>
      <c r="E1032" s="166" t="s">
        <v>13</v>
      </c>
      <c r="F1032" s="296" t="s">
        <v>3124</v>
      </c>
      <c r="G1032" s="171" t="s">
        <v>122</v>
      </c>
      <c r="H1032" s="171" t="s">
        <v>165</v>
      </c>
      <c r="I1032" s="189">
        <v>2006</v>
      </c>
      <c r="J1032" s="189" t="s">
        <v>3125</v>
      </c>
      <c r="K1032" s="189" t="s">
        <v>3126</v>
      </c>
      <c r="L1032" s="189" t="s">
        <v>19</v>
      </c>
      <c r="M1032" s="556" t="s">
        <v>4293</v>
      </c>
      <c r="N1032" s="214" t="s">
        <v>20</v>
      </c>
      <c r="O1032" s="214" t="s">
        <v>292</v>
      </c>
      <c r="P1032" s="214" t="s">
        <v>292</v>
      </c>
      <c r="Q1032" s="214" t="s">
        <v>292</v>
      </c>
      <c r="R1032" s="214" t="s">
        <v>292</v>
      </c>
      <c r="S1032" s="214" t="s">
        <v>292</v>
      </c>
      <c r="T1032" s="214" t="s">
        <v>292</v>
      </c>
      <c r="U1032" s="214" t="s">
        <v>292</v>
      </c>
      <c r="V1032" s="214" t="s">
        <v>292</v>
      </c>
      <c r="W1032" s="214" t="s">
        <v>292</v>
      </c>
      <c r="X1032" s="214" t="s">
        <v>292</v>
      </c>
      <c r="Y1032" s="214" t="s">
        <v>292</v>
      </c>
      <c r="Z1032" s="234"/>
      <c r="AA1032" s="214" t="s">
        <v>3106</v>
      </c>
      <c r="AB1032" s="214" t="s">
        <v>292</v>
      </c>
      <c r="AC1032" s="214" t="s">
        <v>292</v>
      </c>
      <c r="AD1032" s="320" t="s">
        <v>944</v>
      </c>
      <c r="AE1032" s="320" t="s">
        <v>3127</v>
      </c>
      <c r="AF1032" s="162">
        <f t="shared" si="79"/>
        <v>606.2208333333333</v>
      </c>
      <c r="AG1032" s="162" t="str">
        <f t="shared" si="78"/>
        <v/>
      </c>
      <c r="AH1032" s="164">
        <f t="shared" si="80"/>
        <v>12.536250000000001</v>
      </c>
      <c r="AI1032" s="164" t="str">
        <f t="shared" si="81"/>
        <v/>
      </c>
      <c r="AJ1032" s="382"/>
      <c r="AK1032" s="382"/>
      <c r="AL1032" s="382"/>
      <c r="AM1032" s="382"/>
      <c r="AN1032" s="382"/>
      <c r="AO1032" s="382"/>
      <c r="AP1032" s="382"/>
      <c r="AQ1032" s="382"/>
      <c r="AR1032" s="382"/>
      <c r="AS1032" s="351">
        <f>290.986/0.48</f>
        <v>606.2208333333333</v>
      </c>
      <c r="AT1032" s="202"/>
      <c r="AV1032" s="412"/>
      <c r="AW1032" s="332"/>
      <c r="AX1032" s="332"/>
      <c r="AY1032" s="332"/>
      <c r="AZ1032" s="332"/>
      <c r="BA1032" s="332"/>
      <c r="BB1032" s="332"/>
      <c r="BC1032" s="332"/>
      <c r="BD1032" s="332"/>
      <c r="BE1032" s="332"/>
      <c r="BF1032" s="498">
        <f>6.0174/0.48</f>
        <v>12.536250000000001</v>
      </c>
      <c r="BG1032" s="491"/>
      <c r="BJ1032" s="337"/>
    </row>
    <row r="1033" spans="1:62" ht="15" customHeight="1" thickBot="1" x14ac:dyDescent="0.25">
      <c r="A1033" s="176">
        <v>1034</v>
      </c>
      <c r="B1033" s="175">
        <v>1</v>
      </c>
      <c r="C1033" s="166" t="s">
        <v>975</v>
      </c>
      <c r="D1033" s="168" t="s">
        <v>3056</v>
      </c>
      <c r="E1033" s="166" t="s">
        <v>13</v>
      </c>
      <c r="F1033" s="296" t="s">
        <v>3124</v>
      </c>
      <c r="G1033" s="171" t="s">
        <v>122</v>
      </c>
      <c r="H1033" s="171" t="s">
        <v>165</v>
      </c>
      <c r="I1033" s="189">
        <v>2006</v>
      </c>
      <c r="J1033" s="189" t="s">
        <v>3125</v>
      </c>
      <c r="K1033" s="189" t="s">
        <v>3126</v>
      </c>
      <c r="L1033" s="189" t="s">
        <v>19</v>
      </c>
      <c r="M1033" s="556" t="s">
        <v>4293</v>
      </c>
      <c r="N1033" s="214" t="s">
        <v>20</v>
      </c>
      <c r="O1033" s="214" t="s">
        <v>292</v>
      </c>
      <c r="P1033" s="214" t="s">
        <v>292</v>
      </c>
      <c r="Q1033" s="214" t="s">
        <v>292</v>
      </c>
      <c r="R1033" s="214" t="s">
        <v>292</v>
      </c>
      <c r="S1033" s="214" t="s">
        <v>292</v>
      </c>
      <c r="T1033" s="214" t="s">
        <v>292</v>
      </c>
      <c r="U1033" s="214" t="s">
        <v>292</v>
      </c>
      <c r="V1033" s="214" t="s">
        <v>292</v>
      </c>
      <c r="W1033" s="214" t="s">
        <v>292</v>
      </c>
      <c r="X1033" s="214" t="s">
        <v>292</v>
      </c>
      <c r="Y1033" s="214" t="s">
        <v>292</v>
      </c>
      <c r="Z1033" s="234"/>
      <c r="AA1033" s="214" t="s">
        <v>3106</v>
      </c>
      <c r="AB1033" s="214" t="s">
        <v>292</v>
      </c>
      <c r="AC1033" s="214" t="s">
        <v>292</v>
      </c>
      <c r="AD1033" s="320" t="s">
        <v>944</v>
      </c>
      <c r="AE1033" s="320" t="s">
        <v>3127</v>
      </c>
      <c r="AF1033" s="162">
        <f t="shared" si="79"/>
        <v>606.2208333333333</v>
      </c>
      <c r="AG1033" s="162" t="str">
        <f t="shared" si="78"/>
        <v/>
      </c>
      <c r="AH1033" s="164">
        <f t="shared" si="80"/>
        <v>22.182083333333331</v>
      </c>
      <c r="AI1033" s="164" t="str">
        <f t="shared" si="81"/>
        <v/>
      </c>
      <c r="AJ1033" s="382"/>
      <c r="AK1033" s="382"/>
      <c r="AL1033" s="382"/>
      <c r="AM1033" s="382"/>
      <c r="AN1033" s="382"/>
      <c r="AO1033" s="382"/>
      <c r="AP1033" s="382"/>
      <c r="AQ1033" s="382"/>
      <c r="AR1033" s="382"/>
      <c r="AS1033" s="351">
        <f>290.986/0.48</f>
        <v>606.2208333333333</v>
      </c>
      <c r="AT1033" s="202"/>
      <c r="AV1033" s="412"/>
      <c r="AW1033" s="332"/>
      <c r="AX1033" s="332"/>
      <c r="AY1033" s="332"/>
      <c r="AZ1033" s="332"/>
      <c r="BA1033" s="332"/>
      <c r="BB1033" s="332"/>
      <c r="BC1033" s="332"/>
      <c r="BD1033" s="332"/>
      <c r="BE1033" s="332"/>
      <c r="BF1033" s="498">
        <f>10.6474/0.48</f>
        <v>22.182083333333331</v>
      </c>
      <c r="BG1033" s="491"/>
      <c r="BJ1033" s="337"/>
    </row>
    <row r="1034" spans="1:62" ht="15" customHeight="1" thickBot="1" x14ac:dyDescent="0.25">
      <c r="A1034" s="176">
        <v>1035</v>
      </c>
      <c r="B1034" s="175">
        <v>1</v>
      </c>
      <c r="C1034" s="166" t="s">
        <v>975</v>
      </c>
      <c r="D1034" s="168" t="s">
        <v>3056</v>
      </c>
      <c r="E1034" s="166" t="s">
        <v>13</v>
      </c>
      <c r="F1034" s="171" t="s">
        <v>3129</v>
      </c>
      <c r="G1034" s="171" t="s">
        <v>122</v>
      </c>
      <c r="H1034" s="171" t="s">
        <v>42</v>
      </c>
      <c r="I1034" s="189">
        <v>2016</v>
      </c>
      <c r="J1034" s="189" t="s">
        <v>3131</v>
      </c>
      <c r="K1034" s="189" t="s">
        <v>3130</v>
      </c>
      <c r="L1034" s="189" t="s">
        <v>19</v>
      </c>
      <c r="M1034" s="556" t="s">
        <v>4294</v>
      </c>
      <c r="N1034" s="214" t="s">
        <v>20</v>
      </c>
      <c r="O1034" s="214" t="s">
        <v>292</v>
      </c>
      <c r="P1034" s="214" t="s">
        <v>292</v>
      </c>
      <c r="Q1034" s="214" t="s">
        <v>292</v>
      </c>
      <c r="R1034" s="214" t="s">
        <v>292</v>
      </c>
      <c r="S1034" s="214" t="s">
        <v>292</v>
      </c>
      <c r="T1034" s="214" t="s">
        <v>292</v>
      </c>
      <c r="U1034" s="214" t="s">
        <v>292</v>
      </c>
      <c r="V1034" s="214" t="s">
        <v>292</v>
      </c>
      <c r="W1034" s="214" t="s">
        <v>292</v>
      </c>
      <c r="X1034" s="214" t="s">
        <v>292</v>
      </c>
      <c r="Y1034" s="214" t="s">
        <v>292</v>
      </c>
      <c r="Z1034" s="234"/>
      <c r="AA1034" s="214" t="s">
        <v>3106</v>
      </c>
      <c r="AB1034" s="214" t="s">
        <v>292</v>
      </c>
      <c r="AC1034" s="214" t="s">
        <v>292</v>
      </c>
      <c r="AD1034" s="320" t="s">
        <v>944</v>
      </c>
      <c r="AE1034" s="320" t="s">
        <v>3132</v>
      </c>
      <c r="AF1034" s="162">
        <f t="shared" si="79"/>
        <v>32.484923076923081</v>
      </c>
      <c r="AG1034" s="162" t="str">
        <f t="shared" si="78"/>
        <v/>
      </c>
      <c r="AH1034" s="164">
        <f t="shared" si="80"/>
        <v>2.247846153846154</v>
      </c>
      <c r="AI1034" s="164" t="str">
        <f t="shared" si="81"/>
        <v/>
      </c>
      <c r="AJ1034" s="382"/>
      <c r="AK1034" s="382"/>
      <c r="AL1034" s="382"/>
      <c r="AM1034" s="382"/>
      <c r="AN1034" s="382"/>
      <c r="AO1034" s="382"/>
      <c r="AP1034" s="382"/>
      <c r="AQ1034" s="382"/>
      <c r="AR1034" s="382"/>
      <c r="AS1034" s="203">
        <f>21.1152/0.65</f>
        <v>32.484923076923081</v>
      </c>
      <c r="AT1034" s="202"/>
      <c r="AV1034" s="412"/>
      <c r="AW1034" s="332"/>
      <c r="AX1034" s="332"/>
      <c r="AY1034" s="332"/>
      <c r="AZ1034" s="332"/>
      <c r="BA1034" s="332"/>
      <c r="BB1034" s="332"/>
      <c r="BC1034" s="332"/>
      <c r="BD1034" s="332"/>
      <c r="BE1034" s="332"/>
      <c r="BF1034" s="484">
        <f>1.4611/0.65</f>
        <v>2.247846153846154</v>
      </c>
      <c r="BG1034" s="491"/>
      <c r="BJ1034" s="337"/>
    </row>
    <row r="1035" spans="1:62" ht="15" customHeight="1" thickBot="1" x14ac:dyDescent="0.25">
      <c r="A1035" s="176">
        <v>1036</v>
      </c>
      <c r="B1035" s="175">
        <v>1</v>
      </c>
      <c r="C1035" s="166" t="s">
        <v>596</v>
      </c>
      <c r="D1035" s="171" t="s">
        <v>2785</v>
      </c>
      <c r="F1035" s="171" t="s">
        <v>3133</v>
      </c>
      <c r="H1035" s="171" t="s">
        <v>633</v>
      </c>
      <c r="I1035" s="189">
        <v>2005</v>
      </c>
      <c r="J1035" s="189" t="s">
        <v>3144</v>
      </c>
      <c r="K1035" s="189" t="s">
        <v>3145</v>
      </c>
      <c r="L1035" s="189" t="s">
        <v>19</v>
      </c>
      <c r="M1035" s="556" t="s">
        <v>4295</v>
      </c>
      <c r="N1035" s="214" t="s">
        <v>20</v>
      </c>
      <c r="Q1035" s="214" t="s">
        <v>20</v>
      </c>
      <c r="R1035" s="214" t="s">
        <v>20</v>
      </c>
      <c r="AC1035" s="214" t="s">
        <v>122</v>
      </c>
      <c r="AE1035" s="320" t="s">
        <v>3143</v>
      </c>
      <c r="AF1035" s="162" t="str">
        <f t="shared" si="79"/>
        <v/>
      </c>
      <c r="AG1035" s="162" t="str">
        <f t="shared" si="78"/>
        <v/>
      </c>
      <c r="AH1035" s="164">
        <f t="shared" si="80"/>
        <v>4.4835491241431782E-2</v>
      </c>
      <c r="AI1035" s="164">
        <f t="shared" si="81"/>
        <v>0.14945163747143969</v>
      </c>
      <c r="AJ1035" s="382"/>
      <c r="AK1035" s="382"/>
      <c r="AL1035" s="382"/>
      <c r="AM1035" s="382"/>
      <c r="AN1035" s="382"/>
      <c r="AO1035" s="382"/>
      <c r="AP1035" s="382"/>
      <c r="AQ1035" s="382"/>
      <c r="AR1035" s="382"/>
      <c r="AS1035" s="350"/>
      <c r="AT1035" s="202"/>
      <c r="AV1035" s="412"/>
      <c r="AW1035" s="338">
        <f>0.0452838461538461/1.01</f>
        <v>4.4835491241431782E-2</v>
      </c>
      <c r="AX1035" s="338"/>
      <c r="AY1035" s="338">
        <f>0.105662307692308/1.01</f>
        <v>0.10461614623000792</v>
      </c>
      <c r="AZ1035" s="338">
        <f>0.603784615384615/1.01</f>
        <v>0.59780654988575743</v>
      </c>
      <c r="BA1035" s="338">
        <v>0</v>
      </c>
      <c r="BB1035" s="332"/>
      <c r="BC1035" s="332"/>
      <c r="BD1035" s="332"/>
      <c r="BE1035" s="332"/>
      <c r="BF1035" s="544">
        <f t="shared" ref="BF1035:BF1066" si="82">AW1035</f>
        <v>4.4835491241431782E-2</v>
      </c>
      <c r="BG1035" s="473">
        <f t="shared" ref="BG1035:BG1059" si="83">SUM(AW1035:BE1035)</f>
        <v>0.74725818735719707</v>
      </c>
      <c r="BJ1035" s="337"/>
    </row>
    <row r="1036" spans="1:62" ht="15" customHeight="1" thickBot="1" x14ac:dyDescent="0.25">
      <c r="A1036" s="176">
        <v>1037</v>
      </c>
      <c r="B1036" s="175">
        <v>1</v>
      </c>
      <c r="C1036" s="166" t="s">
        <v>596</v>
      </c>
      <c r="D1036" s="171" t="s">
        <v>2785</v>
      </c>
      <c r="H1036" s="171" t="s">
        <v>108</v>
      </c>
      <c r="I1036" s="189">
        <v>2014</v>
      </c>
      <c r="J1036" s="189" t="s">
        <v>3146</v>
      </c>
      <c r="K1036" s="189" t="s">
        <v>3147</v>
      </c>
      <c r="L1036" s="189" t="s">
        <v>168</v>
      </c>
      <c r="M1036" s="556" t="s">
        <v>4296</v>
      </c>
      <c r="N1036" s="214" t="s">
        <v>122</v>
      </c>
      <c r="Q1036" s="214" t="s">
        <v>122</v>
      </c>
      <c r="R1036" s="214" t="s">
        <v>122</v>
      </c>
      <c r="S1036" s="214" t="s">
        <v>122</v>
      </c>
      <c r="AC1036" s="214" t="s">
        <v>122</v>
      </c>
      <c r="AE1036" s="320" t="s">
        <v>3143</v>
      </c>
      <c r="AF1036" s="162" t="str">
        <f t="shared" si="79"/>
        <v/>
      </c>
      <c r="AG1036" s="162" t="str">
        <f t="shared" si="78"/>
        <v/>
      </c>
      <c r="AH1036" s="164">
        <f t="shared" si="80"/>
        <v>0.11287128712871287</v>
      </c>
      <c r="AI1036" s="164">
        <f t="shared" si="81"/>
        <v>0.21927128712871288</v>
      </c>
      <c r="AJ1036" s="382"/>
      <c r="AK1036" s="382"/>
      <c r="AL1036" s="382"/>
      <c r="AM1036" s="382"/>
      <c r="AN1036" s="382"/>
      <c r="AO1036" s="382"/>
      <c r="AP1036" s="382"/>
      <c r="AQ1036" s="382"/>
      <c r="AR1036" s="382"/>
      <c r="AS1036" s="350"/>
      <c r="AT1036" s="202"/>
      <c r="AV1036" s="412"/>
      <c r="AW1036" s="338">
        <f>0.114/1.01</f>
        <v>0.11287128712871287</v>
      </c>
      <c r="AX1036" s="338"/>
      <c r="AY1036" s="338">
        <v>0.10640000000000001</v>
      </c>
      <c r="AZ1036" s="338">
        <f>0.0076/1.01</f>
        <v>7.5247524752475245E-3</v>
      </c>
      <c r="BA1036" s="339">
        <f>0.076/1.01</f>
        <v>7.5247524752475245E-2</v>
      </c>
      <c r="BB1036" s="339"/>
      <c r="BC1036" s="339"/>
      <c r="BD1036" s="339">
        <f>0.076/1.01</f>
        <v>7.5247524752475245E-2</v>
      </c>
      <c r="BE1036" s="332"/>
      <c r="BF1036" s="499">
        <f t="shared" si="82"/>
        <v>0.11287128712871287</v>
      </c>
      <c r="BG1036" s="499">
        <f t="shared" si="83"/>
        <v>0.3772910891089109</v>
      </c>
      <c r="BJ1036" s="337"/>
    </row>
    <row r="1037" spans="1:62" ht="15" customHeight="1" thickBot="1" x14ac:dyDescent="0.25">
      <c r="A1037" s="176">
        <v>1038</v>
      </c>
      <c r="B1037" s="175">
        <v>1</v>
      </c>
      <c r="C1037" s="166" t="s">
        <v>596</v>
      </c>
      <c r="D1037" s="171" t="s">
        <v>2785</v>
      </c>
      <c r="F1037" s="292" t="s">
        <v>3134</v>
      </c>
      <c r="H1037" s="171" t="s">
        <v>87</v>
      </c>
      <c r="I1037" s="189">
        <v>2016</v>
      </c>
      <c r="J1037" s="189" t="s">
        <v>3148</v>
      </c>
      <c r="K1037" s="189" t="s">
        <v>3149</v>
      </c>
      <c r="L1037" s="189" t="s">
        <v>19</v>
      </c>
      <c r="M1037" s="556" t="s">
        <v>4297</v>
      </c>
      <c r="N1037" s="214" t="s">
        <v>122</v>
      </c>
      <c r="Q1037" s="214" t="s">
        <v>122</v>
      </c>
      <c r="R1037" s="214" t="s">
        <v>122</v>
      </c>
      <c r="S1037" s="214" t="s">
        <v>122</v>
      </c>
      <c r="AC1037" s="214" t="s">
        <v>122</v>
      </c>
      <c r="AE1037" s="320" t="s">
        <v>3143</v>
      </c>
      <c r="AF1037" s="162" t="str">
        <f t="shared" si="79"/>
        <v/>
      </c>
      <c r="AG1037" s="162" t="str">
        <f t="shared" si="78"/>
        <v/>
      </c>
      <c r="AH1037" s="164">
        <f t="shared" si="80"/>
        <v>0.16712871287128714</v>
      </c>
      <c r="AI1037" s="164">
        <f t="shared" si="81"/>
        <v>0.22910891089108912</v>
      </c>
      <c r="AJ1037" s="382"/>
      <c r="AK1037" s="382"/>
      <c r="AL1037" s="382"/>
      <c r="AM1037" s="382"/>
      <c r="AN1037" s="382"/>
      <c r="AO1037" s="382"/>
      <c r="AP1037" s="382"/>
      <c r="AQ1037" s="382"/>
      <c r="AR1037" s="382"/>
      <c r="AS1037" s="350"/>
      <c r="AT1037" s="202"/>
      <c r="AV1037" s="412"/>
      <c r="AW1037" s="338">
        <f>0.1688/1.01</f>
        <v>0.16712871287128714</v>
      </c>
      <c r="AX1037" s="338"/>
      <c r="AY1037" s="338">
        <f>0.0626/1.01</f>
        <v>6.198019801980198E-2</v>
      </c>
      <c r="AZ1037" s="338">
        <f>0.4962/1.01</f>
        <v>0.49128712871287128</v>
      </c>
      <c r="BA1037" s="338">
        <f>0.0809/1.01</f>
        <v>8.0099009900990101E-2</v>
      </c>
      <c r="BB1037" s="338"/>
      <c r="BC1037" s="338"/>
      <c r="BD1037" s="339">
        <f>0.0057/1.01</f>
        <v>5.6435643564356434E-3</v>
      </c>
      <c r="BE1037" s="338">
        <f>-0.1216/1.01</f>
        <v>-0.12039603960396039</v>
      </c>
      <c r="BF1037" s="499">
        <f t="shared" si="82"/>
        <v>0.16712871287128714</v>
      </c>
      <c r="BG1037" s="499">
        <f t="shared" si="83"/>
        <v>0.68574257425742569</v>
      </c>
      <c r="BJ1037" s="337"/>
    </row>
    <row r="1038" spans="1:62" ht="15" customHeight="1" thickBot="1" x14ac:dyDescent="0.25">
      <c r="A1038" s="176">
        <v>1039</v>
      </c>
      <c r="B1038" s="175">
        <v>1</v>
      </c>
      <c r="C1038" s="166" t="s">
        <v>596</v>
      </c>
      <c r="D1038" s="171" t="s">
        <v>2785</v>
      </c>
      <c r="F1038" s="292" t="s">
        <v>3135</v>
      </c>
      <c r="H1038" s="171" t="s">
        <v>87</v>
      </c>
      <c r="I1038" s="189">
        <v>2016</v>
      </c>
      <c r="J1038" s="189" t="s">
        <v>3148</v>
      </c>
      <c r="K1038" s="189" t="s">
        <v>3149</v>
      </c>
      <c r="L1038" s="189" t="s">
        <v>19</v>
      </c>
      <c r="M1038" s="556" t="s">
        <v>4297</v>
      </c>
      <c r="N1038" s="214" t="s">
        <v>122</v>
      </c>
      <c r="Q1038" s="214" t="s">
        <v>122</v>
      </c>
      <c r="R1038" s="214" t="s">
        <v>122</v>
      </c>
      <c r="S1038" s="214" t="s">
        <v>122</v>
      </c>
      <c r="AC1038" s="214" t="s">
        <v>122</v>
      </c>
      <c r="AE1038" s="320" t="s">
        <v>3143</v>
      </c>
      <c r="AF1038" s="162" t="str">
        <f t="shared" si="79"/>
        <v/>
      </c>
      <c r="AG1038" s="162" t="str">
        <f t="shared" si="78"/>
        <v/>
      </c>
      <c r="AH1038" s="164">
        <f t="shared" si="80"/>
        <v>0.16712871287128714</v>
      </c>
      <c r="AI1038" s="164">
        <f t="shared" si="81"/>
        <v>0.22910891089108912</v>
      </c>
      <c r="AJ1038" s="382"/>
      <c r="AK1038" s="382"/>
      <c r="AL1038" s="382"/>
      <c r="AM1038" s="382"/>
      <c r="AN1038" s="382"/>
      <c r="AO1038" s="382"/>
      <c r="AP1038" s="382"/>
      <c r="AQ1038" s="382"/>
      <c r="AR1038" s="382"/>
      <c r="AS1038" s="350"/>
      <c r="AT1038" s="202"/>
      <c r="AV1038" s="412"/>
      <c r="AW1038" s="338">
        <f>0.1688/1.01</f>
        <v>0.16712871287128714</v>
      </c>
      <c r="AX1038" s="338"/>
      <c r="AY1038" s="338">
        <f>0.0626/1.01</f>
        <v>6.198019801980198E-2</v>
      </c>
      <c r="AZ1038" s="338">
        <f>0.0401/1.01</f>
        <v>3.9702970297029697E-2</v>
      </c>
      <c r="BA1038" s="339">
        <f>0.0926/1.01</f>
        <v>9.1683168316831681E-2</v>
      </c>
      <c r="BB1038" s="339"/>
      <c r="BC1038" s="339"/>
      <c r="BD1038" s="339">
        <f>0.0061/1.01</f>
        <v>6.0396039603960398E-3</v>
      </c>
      <c r="BE1038" s="338">
        <f>-0.1216/1.01</f>
        <v>-0.12039603960396039</v>
      </c>
      <c r="BF1038" s="499">
        <f t="shared" si="82"/>
        <v>0.16712871287128714</v>
      </c>
      <c r="BG1038" s="499">
        <f t="shared" si="83"/>
        <v>0.24613861386138614</v>
      </c>
      <c r="BJ1038" s="337"/>
    </row>
    <row r="1039" spans="1:62" ht="15" customHeight="1" thickBot="1" x14ac:dyDescent="0.25">
      <c r="A1039" s="176">
        <v>1040</v>
      </c>
      <c r="B1039" s="175">
        <v>1</v>
      </c>
      <c r="C1039" s="166" t="s">
        <v>596</v>
      </c>
      <c r="D1039" s="171" t="s">
        <v>2785</v>
      </c>
      <c r="F1039" s="292" t="s">
        <v>3136</v>
      </c>
      <c r="H1039" s="171" t="s">
        <v>87</v>
      </c>
      <c r="I1039" s="189">
        <v>2016</v>
      </c>
      <c r="J1039" s="189" t="s">
        <v>3148</v>
      </c>
      <c r="K1039" s="189" t="s">
        <v>3149</v>
      </c>
      <c r="L1039" s="189" t="s">
        <v>19</v>
      </c>
      <c r="M1039" s="556" t="s">
        <v>4297</v>
      </c>
      <c r="N1039" s="214" t="s">
        <v>122</v>
      </c>
      <c r="Q1039" s="214" t="s">
        <v>122</v>
      </c>
      <c r="R1039" s="214" t="s">
        <v>122</v>
      </c>
      <c r="S1039" s="214" t="s">
        <v>122</v>
      </c>
      <c r="AC1039" s="214" t="s">
        <v>122</v>
      </c>
      <c r="AE1039" s="320" t="s">
        <v>3143</v>
      </c>
      <c r="AF1039" s="162" t="str">
        <f t="shared" si="79"/>
        <v/>
      </c>
      <c r="AG1039" s="162" t="str">
        <f t="shared" si="78"/>
        <v/>
      </c>
      <c r="AH1039" s="164">
        <f t="shared" si="80"/>
        <v>0.16712871287128714</v>
      </c>
      <c r="AI1039" s="164">
        <f t="shared" si="81"/>
        <v>0.22910891089108912</v>
      </c>
      <c r="AJ1039" s="382"/>
      <c r="AK1039" s="382"/>
      <c r="AL1039" s="382"/>
      <c r="AM1039" s="382"/>
      <c r="AN1039" s="382"/>
      <c r="AO1039" s="382"/>
      <c r="AP1039" s="382"/>
      <c r="AQ1039" s="382"/>
      <c r="AR1039" s="382"/>
      <c r="AS1039" s="350"/>
      <c r="AT1039" s="202"/>
      <c r="AV1039" s="412"/>
      <c r="AW1039" s="338">
        <f>0.1688/1.01</f>
        <v>0.16712871287128714</v>
      </c>
      <c r="AX1039" s="338"/>
      <c r="AY1039" s="338">
        <f>0.0626/1.01</f>
        <v>6.198019801980198E-2</v>
      </c>
      <c r="AZ1039" s="338">
        <f>0.3548/1.01</f>
        <v>0.35128712871287127</v>
      </c>
      <c r="BA1039" s="338">
        <f>0.0971/1.01</f>
        <v>9.6138613861386141E-2</v>
      </c>
      <c r="BB1039" s="338"/>
      <c r="BC1039" s="338"/>
      <c r="BD1039" s="339">
        <f>0.0058/1.01</f>
        <v>5.7425742574257425E-3</v>
      </c>
      <c r="BE1039" s="338">
        <f>-0.1216/1.01</f>
        <v>-0.12039603960396039</v>
      </c>
      <c r="BF1039" s="499">
        <f t="shared" si="82"/>
        <v>0.16712871287128714</v>
      </c>
      <c r="BG1039" s="499">
        <f t="shared" si="83"/>
        <v>0.56188118811881183</v>
      </c>
      <c r="BJ1039" s="337"/>
    </row>
    <row r="1040" spans="1:62" ht="15" customHeight="1" thickBot="1" x14ac:dyDescent="0.25">
      <c r="A1040" s="176">
        <v>1041</v>
      </c>
      <c r="B1040" s="175">
        <v>1</v>
      </c>
      <c r="C1040" s="166" t="s">
        <v>596</v>
      </c>
      <c r="D1040" s="171" t="s">
        <v>2785</v>
      </c>
      <c r="F1040" s="292" t="s">
        <v>3136</v>
      </c>
      <c r="H1040" s="171" t="s">
        <v>87</v>
      </c>
      <c r="I1040" s="189">
        <v>2016</v>
      </c>
      <c r="J1040" s="189" t="s">
        <v>3148</v>
      </c>
      <c r="K1040" s="189" t="s">
        <v>3149</v>
      </c>
      <c r="L1040" s="189" t="s">
        <v>19</v>
      </c>
      <c r="M1040" s="556" t="s">
        <v>4297</v>
      </c>
      <c r="N1040" s="214" t="s">
        <v>122</v>
      </c>
      <c r="Q1040" s="214" t="s">
        <v>122</v>
      </c>
      <c r="R1040" s="214" t="s">
        <v>122</v>
      </c>
      <c r="S1040" s="214" t="s">
        <v>122</v>
      </c>
      <c r="AC1040" s="214" t="s">
        <v>122</v>
      </c>
      <c r="AE1040" s="320" t="s">
        <v>3143</v>
      </c>
      <c r="AF1040" s="162" t="str">
        <f t="shared" si="79"/>
        <v/>
      </c>
      <c r="AG1040" s="162" t="str">
        <f t="shared" si="78"/>
        <v/>
      </c>
      <c r="AH1040" s="164">
        <f t="shared" si="80"/>
        <v>0.16712871287128714</v>
      </c>
      <c r="AI1040" s="164">
        <f t="shared" si="81"/>
        <v>0.22910891089108912</v>
      </c>
      <c r="AJ1040" s="382"/>
      <c r="AK1040" s="382"/>
      <c r="AL1040" s="382"/>
      <c r="AM1040" s="382"/>
      <c r="AN1040" s="382"/>
      <c r="AO1040" s="382"/>
      <c r="AP1040" s="382"/>
      <c r="AQ1040" s="382"/>
      <c r="AR1040" s="382"/>
      <c r="AS1040" s="350"/>
      <c r="AT1040" s="202"/>
      <c r="AV1040" s="412"/>
      <c r="AW1040" s="338">
        <f>0.1688/1.01</f>
        <v>0.16712871287128714</v>
      </c>
      <c r="AX1040" s="338"/>
      <c r="AY1040" s="338">
        <f>0.0626/1.01</f>
        <v>6.198019801980198E-2</v>
      </c>
      <c r="AZ1040" s="338">
        <f>0.4433/1.01</f>
        <v>0.43891089108910891</v>
      </c>
      <c r="BA1040" s="338">
        <f>0.1067/1.01</f>
        <v>0.10564356435643564</v>
      </c>
      <c r="BB1040" s="338"/>
      <c r="BC1040" s="338"/>
      <c r="BD1040" s="339">
        <f>0.0058/1.01</f>
        <v>5.7425742574257425E-3</v>
      </c>
      <c r="BE1040" s="338">
        <f>-0.1216/1.01</f>
        <v>-0.12039603960396039</v>
      </c>
      <c r="BF1040" s="499">
        <f t="shared" si="82"/>
        <v>0.16712871287128714</v>
      </c>
      <c r="BG1040" s="499">
        <f t="shared" si="83"/>
        <v>0.65900990099009904</v>
      </c>
      <c r="BJ1040" s="337"/>
    </row>
    <row r="1041" spans="1:62" ht="15" customHeight="1" thickBot="1" x14ac:dyDescent="0.25">
      <c r="A1041" s="176">
        <v>1042</v>
      </c>
      <c r="B1041" s="175">
        <v>1</v>
      </c>
      <c r="C1041" s="166" t="s">
        <v>596</v>
      </c>
      <c r="D1041" s="171" t="s">
        <v>2785</v>
      </c>
      <c r="F1041" s="292" t="s">
        <v>3136</v>
      </c>
      <c r="H1041" s="171" t="s">
        <v>87</v>
      </c>
      <c r="I1041" s="189">
        <v>2016</v>
      </c>
      <c r="J1041" s="189" t="s">
        <v>3148</v>
      </c>
      <c r="K1041" s="189" t="s">
        <v>3149</v>
      </c>
      <c r="L1041" s="189" t="s">
        <v>19</v>
      </c>
      <c r="M1041" s="556" t="s">
        <v>4297</v>
      </c>
      <c r="N1041" s="214" t="s">
        <v>122</v>
      </c>
      <c r="Q1041" s="214" t="s">
        <v>122</v>
      </c>
      <c r="R1041" s="214" t="s">
        <v>122</v>
      </c>
      <c r="S1041" s="214" t="s">
        <v>122</v>
      </c>
      <c r="AC1041" s="214" t="s">
        <v>122</v>
      </c>
      <c r="AE1041" s="320" t="s">
        <v>3143</v>
      </c>
      <c r="AF1041" s="162" t="str">
        <f t="shared" si="79"/>
        <v/>
      </c>
      <c r="AG1041" s="162" t="str">
        <f t="shared" si="78"/>
        <v/>
      </c>
      <c r="AH1041" s="164">
        <f t="shared" si="80"/>
        <v>0.16712871287128714</v>
      </c>
      <c r="AI1041" s="164">
        <f t="shared" si="81"/>
        <v>0.22910891089108912</v>
      </c>
      <c r="AJ1041" s="382"/>
      <c r="AK1041" s="382"/>
      <c r="AL1041" s="382"/>
      <c r="AM1041" s="382"/>
      <c r="AN1041" s="382"/>
      <c r="AO1041" s="382"/>
      <c r="AP1041" s="382"/>
      <c r="AQ1041" s="382"/>
      <c r="AR1041" s="382"/>
      <c r="AS1041" s="350"/>
      <c r="AT1041" s="202"/>
      <c r="AV1041" s="412"/>
      <c r="AW1041" s="338">
        <f>0.1688/1.01</f>
        <v>0.16712871287128714</v>
      </c>
      <c r="AX1041" s="338"/>
      <c r="AY1041" s="338">
        <f>0.0626/1.01</f>
        <v>6.198019801980198E-2</v>
      </c>
      <c r="AZ1041" s="338">
        <f>0.5048/1.01</f>
        <v>0.4998019801980198</v>
      </c>
      <c r="BA1041" s="338">
        <f>0.1237/1.01</f>
        <v>0.12247524752475247</v>
      </c>
      <c r="BB1041" s="338"/>
      <c r="BC1041" s="338"/>
      <c r="BD1041" s="339">
        <f>0.0058/1.01</f>
        <v>5.7425742574257425E-3</v>
      </c>
      <c r="BE1041" s="338">
        <f>-0.1216/1.01</f>
        <v>-0.12039603960396039</v>
      </c>
      <c r="BF1041" s="499">
        <f t="shared" si="82"/>
        <v>0.16712871287128714</v>
      </c>
      <c r="BG1041" s="499">
        <f t="shared" si="83"/>
        <v>0.73673267326732672</v>
      </c>
      <c r="BJ1041" s="337"/>
    </row>
    <row r="1042" spans="1:62" ht="15" customHeight="1" thickBot="1" x14ac:dyDescent="0.25">
      <c r="A1042" s="176">
        <v>1043</v>
      </c>
      <c r="B1042" s="175">
        <v>1</v>
      </c>
      <c r="C1042" s="166" t="s">
        <v>596</v>
      </c>
      <c r="D1042" s="171" t="s">
        <v>2785</v>
      </c>
      <c r="F1042" s="171" t="s">
        <v>3137</v>
      </c>
      <c r="H1042" s="171" t="s">
        <v>1436</v>
      </c>
      <c r="I1042" s="189">
        <v>2014</v>
      </c>
      <c r="J1042" s="189" t="s">
        <v>3150</v>
      </c>
      <c r="K1042" s="189" t="s">
        <v>3151</v>
      </c>
      <c r="L1042" s="305" t="s">
        <v>83</v>
      </c>
      <c r="M1042" s="556" t="s">
        <v>4298</v>
      </c>
      <c r="N1042" s="214" t="s">
        <v>122</v>
      </c>
      <c r="Q1042" s="214" t="s">
        <v>122</v>
      </c>
      <c r="R1042" s="214" t="s">
        <v>122</v>
      </c>
      <c r="S1042" s="214" t="s">
        <v>122</v>
      </c>
      <c r="AC1042" s="214" t="s">
        <v>292</v>
      </c>
      <c r="AE1042" s="320" t="s">
        <v>3143</v>
      </c>
      <c r="AF1042" s="162" t="str">
        <f t="shared" si="79"/>
        <v/>
      </c>
      <c r="AG1042" s="162" t="str">
        <f t="shared" si="78"/>
        <v/>
      </c>
      <c r="AH1042" s="164">
        <f t="shared" si="80"/>
        <v>5.6336633663366338E-2</v>
      </c>
      <c r="AI1042" s="164">
        <f t="shared" si="81"/>
        <v>6.5386138613861389E-2</v>
      </c>
      <c r="AJ1042" s="382"/>
      <c r="AK1042" s="382"/>
      <c r="AL1042" s="382"/>
      <c r="AM1042" s="382"/>
      <c r="AN1042" s="382"/>
      <c r="AO1042" s="382"/>
      <c r="AP1042" s="382"/>
      <c r="AQ1042" s="382"/>
      <c r="AR1042" s="382"/>
      <c r="AS1042" s="350"/>
      <c r="AT1042" s="202"/>
      <c r="AV1042" s="412"/>
      <c r="AW1042" s="338">
        <f>0.0569/1.01</f>
        <v>5.6336633663366338E-2</v>
      </c>
      <c r="AX1042" s="334"/>
      <c r="AY1042" s="338">
        <f t="shared" ref="AY1042:AY1047" si="84">0.00914/1.01</f>
        <v>9.0495049504950506E-3</v>
      </c>
      <c r="AZ1042" s="338">
        <f>0.3704/1.01</f>
        <v>0.36673267326732673</v>
      </c>
      <c r="BA1042" s="339">
        <f t="shared" ref="BA1042:BA1047" si="85">0.0051/1.01</f>
        <v>5.0495049504950497E-3</v>
      </c>
      <c r="BB1042" s="332"/>
      <c r="BC1042" s="332"/>
      <c r="BD1042" s="332"/>
      <c r="BE1042" s="332"/>
      <c r="BF1042" s="499">
        <f t="shared" si="82"/>
        <v>5.6336633663366338E-2</v>
      </c>
      <c r="BG1042" s="499">
        <f t="shared" si="83"/>
        <v>0.43716831683168317</v>
      </c>
      <c r="BJ1042" s="337"/>
    </row>
    <row r="1043" spans="1:62" ht="15" customHeight="1" thickBot="1" x14ac:dyDescent="0.25">
      <c r="A1043" s="176">
        <v>1044</v>
      </c>
      <c r="B1043" s="175">
        <v>1</v>
      </c>
      <c r="C1043" s="166" t="s">
        <v>596</v>
      </c>
      <c r="D1043" s="171" t="s">
        <v>2785</v>
      </c>
      <c r="F1043" s="171" t="s">
        <v>3138</v>
      </c>
      <c r="H1043" s="171" t="s">
        <v>1436</v>
      </c>
      <c r="I1043" s="189">
        <v>2014</v>
      </c>
      <c r="J1043" s="189" t="s">
        <v>3150</v>
      </c>
      <c r="K1043" s="189" t="s">
        <v>3151</v>
      </c>
      <c r="L1043" s="305" t="s">
        <v>83</v>
      </c>
      <c r="M1043" s="556" t="s">
        <v>4298</v>
      </c>
      <c r="N1043" s="214" t="s">
        <v>122</v>
      </c>
      <c r="Q1043" s="214" t="s">
        <v>122</v>
      </c>
      <c r="R1043" s="214" t="s">
        <v>122</v>
      </c>
      <c r="S1043" s="214" t="s">
        <v>122</v>
      </c>
      <c r="AC1043" s="214" t="s">
        <v>292</v>
      </c>
      <c r="AE1043" s="320" t="s">
        <v>3143</v>
      </c>
      <c r="AF1043" s="162" t="str">
        <f t="shared" si="79"/>
        <v/>
      </c>
      <c r="AG1043" s="162" t="str">
        <f t="shared" ref="AG1043:AG1106" si="86">IF(AND(SUM(AJ1043:AL1043)&lt;&gt;0,SUM(AJ1043:AL1043)&lt;&gt;AJ1043),SUM(AJ1043:AL1043),"")</f>
        <v/>
      </c>
      <c r="AH1043" s="164">
        <f t="shared" si="80"/>
        <v>5.6336633663366338E-2</v>
      </c>
      <c r="AI1043" s="164">
        <f t="shared" si="81"/>
        <v>6.5386138613861389E-2</v>
      </c>
      <c r="AJ1043" s="382"/>
      <c r="AK1043" s="382"/>
      <c r="AL1043" s="382"/>
      <c r="AM1043" s="382"/>
      <c r="AN1043" s="382"/>
      <c r="AO1043" s="382"/>
      <c r="AP1043" s="382"/>
      <c r="AQ1043" s="382"/>
      <c r="AR1043" s="382"/>
      <c r="AS1043" s="350"/>
      <c r="AT1043" s="202"/>
      <c r="AV1043" s="412"/>
      <c r="AW1043" s="338">
        <f>0.0569/1.01</f>
        <v>5.6336633663366338E-2</v>
      </c>
      <c r="AX1043" s="334"/>
      <c r="AY1043" s="338">
        <f t="shared" si="84"/>
        <v>9.0495049504950506E-3</v>
      </c>
      <c r="AZ1043" s="338">
        <f>0.021/1.01</f>
        <v>2.0792079207920793E-2</v>
      </c>
      <c r="BA1043" s="339">
        <f t="shared" si="85"/>
        <v>5.0495049504950497E-3</v>
      </c>
      <c r="BB1043" s="332"/>
      <c r="BC1043" s="332"/>
      <c r="BD1043" s="332"/>
      <c r="BE1043" s="332"/>
      <c r="BF1043" s="499">
        <f t="shared" si="82"/>
        <v>5.6336633663366338E-2</v>
      </c>
      <c r="BG1043" s="499">
        <f t="shared" si="83"/>
        <v>9.1227722772277239E-2</v>
      </c>
      <c r="BJ1043" s="337"/>
    </row>
    <row r="1044" spans="1:62" ht="15" customHeight="1" thickBot="1" x14ac:dyDescent="0.25">
      <c r="A1044" s="176">
        <v>1045</v>
      </c>
      <c r="B1044" s="175">
        <v>1</v>
      </c>
      <c r="C1044" s="166" t="s">
        <v>596</v>
      </c>
      <c r="D1044" s="171" t="s">
        <v>2785</v>
      </c>
      <c r="F1044" s="171" t="s">
        <v>3139</v>
      </c>
      <c r="H1044" s="171" t="s">
        <v>1436</v>
      </c>
      <c r="I1044" s="189">
        <v>2014</v>
      </c>
      <c r="J1044" s="189" t="s">
        <v>3150</v>
      </c>
      <c r="K1044" s="189" t="s">
        <v>3151</v>
      </c>
      <c r="L1044" s="305" t="s">
        <v>83</v>
      </c>
      <c r="M1044" s="556" t="s">
        <v>4298</v>
      </c>
      <c r="N1044" s="214" t="s">
        <v>122</v>
      </c>
      <c r="Q1044" s="214" t="s">
        <v>122</v>
      </c>
      <c r="R1044" s="214" t="s">
        <v>122</v>
      </c>
      <c r="S1044" s="214" t="s">
        <v>122</v>
      </c>
      <c r="AC1044" s="214" t="s">
        <v>292</v>
      </c>
      <c r="AE1044" s="320" t="s">
        <v>3143</v>
      </c>
      <c r="AF1044" s="162" t="str">
        <f t="shared" si="79"/>
        <v/>
      </c>
      <c r="AG1044" s="162" t="str">
        <f t="shared" si="86"/>
        <v/>
      </c>
      <c r="AH1044" s="164">
        <f t="shared" si="80"/>
        <v>5.6336633663366338E-2</v>
      </c>
      <c r="AI1044" s="164">
        <f t="shared" si="81"/>
        <v>6.5386138613861389E-2</v>
      </c>
      <c r="AJ1044" s="382"/>
      <c r="AK1044" s="382"/>
      <c r="AL1044" s="382"/>
      <c r="AM1044" s="382"/>
      <c r="AN1044" s="382"/>
      <c r="AO1044" s="382"/>
      <c r="AP1044" s="382"/>
      <c r="AQ1044" s="382"/>
      <c r="AR1044" s="382"/>
      <c r="AS1044" s="350"/>
      <c r="AT1044" s="202"/>
      <c r="AV1044" s="412"/>
      <c r="AW1044" s="338">
        <f>0.0569/1.01</f>
        <v>5.6336633663366338E-2</v>
      </c>
      <c r="AX1044" s="334"/>
      <c r="AY1044" s="338">
        <f t="shared" si="84"/>
        <v>9.0495049504950506E-3</v>
      </c>
      <c r="AZ1044" s="338">
        <f>0.0808/1.01</f>
        <v>0.08</v>
      </c>
      <c r="BA1044" s="339">
        <f t="shared" si="85"/>
        <v>5.0495049504950497E-3</v>
      </c>
      <c r="BB1044" s="332"/>
      <c r="BC1044" s="332"/>
      <c r="BD1044" s="332"/>
      <c r="BE1044" s="332"/>
      <c r="BF1044" s="499">
        <f t="shared" si="82"/>
        <v>5.6336633663366338E-2</v>
      </c>
      <c r="BG1044" s="499">
        <f t="shared" si="83"/>
        <v>0.15043564356435646</v>
      </c>
      <c r="BJ1044" s="337"/>
    </row>
    <row r="1045" spans="1:62" ht="15" customHeight="1" thickBot="1" x14ac:dyDescent="0.25">
      <c r="A1045" s="176">
        <v>1046</v>
      </c>
      <c r="B1045" s="175">
        <v>1</v>
      </c>
      <c r="C1045" s="166" t="s">
        <v>596</v>
      </c>
      <c r="D1045" s="171" t="s">
        <v>2785</v>
      </c>
      <c r="F1045" s="171" t="s">
        <v>3140</v>
      </c>
      <c r="H1045" s="171" t="s">
        <v>1436</v>
      </c>
      <c r="I1045" s="189">
        <v>2014</v>
      </c>
      <c r="J1045" s="189" t="s">
        <v>3150</v>
      </c>
      <c r="K1045" s="189" t="s">
        <v>3151</v>
      </c>
      <c r="L1045" s="305" t="s">
        <v>83</v>
      </c>
      <c r="M1045" s="556" t="s">
        <v>4298</v>
      </c>
      <c r="N1045" s="214" t="s">
        <v>122</v>
      </c>
      <c r="Q1045" s="214" t="s">
        <v>122</v>
      </c>
      <c r="R1045" s="214" t="s">
        <v>122</v>
      </c>
      <c r="S1045" s="214" t="s">
        <v>122</v>
      </c>
      <c r="AC1045" s="214" t="s">
        <v>292</v>
      </c>
      <c r="AE1045" s="320" t="s">
        <v>3143</v>
      </c>
      <c r="AF1045" s="162" t="str">
        <f t="shared" si="79"/>
        <v/>
      </c>
      <c r="AG1045" s="162" t="str">
        <f t="shared" si="86"/>
        <v/>
      </c>
      <c r="AH1045" s="164">
        <f t="shared" si="80"/>
        <v>7.0594059405940601E-2</v>
      </c>
      <c r="AI1045" s="164">
        <f t="shared" si="81"/>
        <v>7.9643564356435659E-2</v>
      </c>
      <c r="AJ1045" s="382"/>
      <c r="AK1045" s="382"/>
      <c r="AL1045" s="382"/>
      <c r="AM1045" s="382"/>
      <c r="AN1045" s="382"/>
      <c r="AO1045" s="382"/>
      <c r="AP1045" s="382"/>
      <c r="AQ1045" s="382"/>
      <c r="AR1045" s="382"/>
      <c r="AS1045" s="350"/>
      <c r="AT1045" s="202"/>
      <c r="AV1045" s="412"/>
      <c r="AW1045" s="340">
        <f>0.0713/1.01</f>
        <v>7.0594059405940601E-2</v>
      </c>
      <c r="AX1045" s="334"/>
      <c r="AY1045" s="338">
        <f t="shared" si="84"/>
        <v>9.0495049504950506E-3</v>
      </c>
      <c r="AZ1045" s="340">
        <f>0.3704/1.01</f>
        <v>0.36673267326732673</v>
      </c>
      <c r="BA1045" s="339">
        <f t="shared" si="85"/>
        <v>5.0495049504950497E-3</v>
      </c>
      <c r="BB1045" s="332"/>
      <c r="BC1045" s="332"/>
      <c r="BD1045" s="332"/>
      <c r="BE1045" s="332"/>
      <c r="BF1045" s="499">
        <f t="shared" si="82"/>
        <v>7.0594059405940601E-2</v>
      </c>
      <c r="BG1045" s="499">
        <f t="shared" si="83"/>
        <v>0.45142574257425744</v>
      </c>
      <c r="BJ1045" s="337"/>
    </row>
    <row r="1046" spans="1:62" ht="15" customHeight="1" thickBot="1" x14ac:dyDescent="0.25">
      <c r="A1046" s="176">
        <v>1047</v>
      </c>
      <c r="B1046" s="175">
        <v>1</v>
      </c>
      <c r="C1046" s="166" t="s">
        <v>596</v>
      </c>
      <c r="D1046" s="171" t="s">
        <v>2785</v>
      </c>
      <c r="F1046" s="171" t="s">
        <v>3141</v>
      </c>
      <c r="H1046" s="171" t="s">
        <v>1436</v>
      </c>
      <c r="I1046" s="189">
        <v>2014</v>
      </c>
      <c r="J1046" s="189" t="s">
        <v>3150</v>
      </c>
      <c r="K1046" s="189" t="s">
        <v>3151</v>
      </c>
      <c r="L1046" s="305" t="s">
        <v>83</v>
      </c>
      <c r="M1046" s="556" t="s">
        <v>4298</v>
      </c>
      <c r="N1046" s="214" t="s">
        <v>122</v>
      </c>
      <c r="Q1046" s="214" t="s">
        <v>122</v>
      </c>
      <c r="R1046" s="214" t="s">
        <v>122</v>
      </c>
      <c r="S1046" s="214" t="s">
        <v>122</v>
      </c>
      <c r="AC1046" s="214" t="s">
        <v>292</v>
      </c>
      <c r="AE1046" s="320" t="s">
        <v>3143</v>
      </c>
      <c r="AF1046" s="162" t="str">
        <f t="shared" si="79"/>
        <v/>
      </c>
      <c r="AG1046" s="162" t="str">
        <f t="shared" si="86"/>
        <v/>
      </c>
      <c r="AH1046" s="164">
        <f t="shared" si="80"/>
        <v>7.0594059405940601E-2</v>
      </c>
      <c r="AI1046" s="164">
        <f t="shared" si="81"/>
        <v>7.9643564356435659E-2</v>
      </c>
      <c r="AJ1046" s="382"/>
      <c r="AK1046" s="382"/>
      <c r="AL1046" s="382"/>
      <c r="AM1046" s="382"/>
      <c r="AN1046" s="382"/>
      <c r="AO1046" s="382"/>
      <c r="AP1046" s="382"/>
      <c r="AQ1046" s="382"/>
      <c r="AR1046" s="382"/>
      <c r="AS1046" s="350"/>
      <c r="AT1046" s="202"/>
      <c r="AV1046" s="412"/>
      <c r="AW1046" s="340">
        <f>0.0713/1.01</f>
        <v>7.0594059405940601E-2</v>
      </c>
      <c r="AX1046" s="334"/>
      <c r="AY1046" s="338">
        <f t="shared" si="84"/>
        <v>9.0495049504950506E-3</v>
      </c>
      <c r="AZ1046" s="340">
        <f>0.021/1.01</f>
        <v>2.0792079207920793E-2</v>
      </c>
      <c r="BA1046" s="339">
        <f t="shared" si="85"/>
        <v>5.0495049504950497E-3</v>
      </c>
      <c r="BB1046" s="332"/>
      <c r="BC1046" s="332"/>
      <c r="BD1046" s="332"/>
      <c r="BE1046" s="332"/>
      <c r="BF1046" s="499">
        <f t="shared" si="82"/>
        <v>7.0594059405940601E-2</v>
      </c>
      <c r="BG1046" s="499">
        <f t="shared" si="83"/>
        <v>0.10548514851485151</v>
      </c>
      <c r="BJ1046" s="337"/>
    </row>
    <row r="1047" spans="1:62" ht="15" customHeight="1" thickBot="1" x14ac:dyDescent="0.25">
      <c r="A1047" s="176">
        <v>1048</v>
      </c>
      <c r="B1047" s="175">
        <v>1</v>
      </c>
      <c r="C1047" s="166" t="s">
        <v>596</v>
      </c>
      <c r="D1047" s="171" t="s">
        <v>2785</v>
      </c>
      <c r="F1047" s="171" t="s">
        <v>3142</v>
      </c>
      <c r="H1047" s="171" t="s">
        <v>1436</v>
      </c>
      <c r="I1047" s="189">
        <v>2014</v>
      </c>
      <c r="J1047" s="189" t="s">
        <v>3150</v>
      </c>
      <c r="K1047" s="189" t="s">
        <v>3151</v>
      </c>
      <c r="L1047" s="305" t="s">
        <v>83</v>
      </c>
      <c r="M1047" s="556" t="s">
        <v>4298</v>
      </c>
      <c r="N1047" s="214" t="s">
        <v>122</v>
      </c>
      <c r="Q1047" s="214" t="s">
        <v>122</v>
      </c>
      <c r="R1047" s="214" t="s">
        <v>122</v>
      </c>
      <c r="S1047" s="214" t="s">
        <v>122</v>
      </c>
      <c r="AC1047" s="214" t="s">
        <v>292</v>
      </c>
      <c r="AE1047" s="320" t="s">
        <v>3143</v>
      </c>
      <c r="AF1047" s="162" t="str">
        <f t="shared" si="79"/>
        <v/>
      </c>
      <c r="AG1047" s="162" t="str">
        <f t="shared" si="86"/>
        <v/>
      </c>
      <c r="AH1047" s="164">
        <f t="shared" si="80"/>
        <v>7.0594059405940601E-2</v>
      </c>
      <c r="AI1047" s="164">
        <f t="shared" si="81"/>
        <v>7.9643564356435659E-2</v>
      </c>
      <c r="AJ1047" s="382"/>
      <c r="AK1047" s="382"/>
      <c r="AL1047" s="382"/>
      <c r="AM1047" s="382"/>
      <c r="AN1047" s="382"/>
      <c r="AO1047" s="382"/>
      <c r="AP1047" s="382"/>
      <c r="AQ1047" s="382"/>
      <c r="AR1047" s="382"/>
      <c r="AS1047" s="350"/>
      <c r="AT1047" s="202"/>
      <c r="AV1047" s="412"/>
      <c r="AW1047" s="340">
        <f>0.0713/1.01</f>
        <v>7.0594059405940601E-2</v>
      </c>
      <c r="AX1047" s="334"/>
      <c r="AY1047" s="338">
        <f t="shared" si="84"/>
        <v>9.0495049504950506E-3</v>
      </c>
      <c r="AZ1047" s="338">
        <f>0.0808/1.01</f>
        <v>0.08</v>
      </c>
      <c r="BA1047" s="339">
        <f t="shared" si="85"/>
        <v>5.0495049504950497E-3</v>
      </c>
      <c r="BB1047" s="332"/>
      <c r="BC1047" s="332"/>
      <c r="BD1047" s="332"/>
      <c r="BE1047" s="332"/>
      <c r="BF1047" s="499">
        <f t="shared" si="82"/>
        <v>7.0594059405940601E-2</v>
      </c>
      <c r="BG1047" s="499">
        <f t="shared" si="83"/>
        <v>0.16469306930693073</v>
      </c>
      <c r="BJ1047" s="337"/>
    </row>
    <row r="1048" spans="1:62" ht="15" customHeight="1" thickBot="1" x14ac:dyDescent="0.25">
      <c r="A1048" s="176">
        <v>1049</v>
      </c>
      <c r="B1048" s="175">
        <v>1</v>
      </c>
      <c r="C1048" s="166" t="s">
        <v>24</v>
      </c>
      <c r="D1048" s="171" t="s">
        <v>2931</v>
      </c>
      <c r="H1048" s="171" t="s">
        <v>108</v>
      </c>
      <c r="I1048" s="189">
        <v>2009</v>
      </c>
      <c r="J1048" s="189" t="s">
        <v>3152</v>
      </c>
      <c r="K1048" s="189" t="s">
        <v>3153</v>
      </c>
      <c r="L1048" s="305" t="s">
        <v>83</v>
      </c>
      <c r="M1048" s="556" t="s">
        <v>4299</v>
      </c>
      <c r="N1048" s="214" t="s">
        <v>122</v>
      </c>
      <c r="O1048" s="283" t="s">
        <v>292</v>
      </c>
      <c r="P1048" s="283" t="s">
        <v>292</v>
      </c>
      <c r="Q1048" s="214" t="s">
        <v>122</v>
      </c>
      <c r="R1048" s="214" t="s">
        <v>122</v>
      </c>
      <c r="S1048" s="214" t="s">
        <v>122</v>
      </c>
      <c r="T1048" s="214" t="s">
        <v>122</v>
      </c>
      <c r="U1048" s="214" t="s">
        <v>292</v>
      </c>
      <c r="V1048" s="214" t="s">
        <v>122</v>
      </c>
      <c r="W1048" s="214" t="s">
        <v>292</v>
      </c>
      <c r="X1048" s="214" t="s">
        <v>292</v>
      </c>
      <c r="Y1048" s="214" t="s">
        <v>292</v>
      </c>
      <c r="AA1048" s="214" t="s">
        <v>3154</v>
      </c>
      <c r="AD1048" s="328" t="s">
        <v>275</v>
      </c>
      <c r="AE1048" s="320" t="s">
        <v>3155</v>
      </c>
      <c r="AF1048" s="162" t="str">
        <f t="shared" si="79"/>
        <v/>
      </c>
      <c r="AG1048" s="162" t="str">
        <f t="shared" si="86"/>
        <v/>
      </c>
      <c r="AH1048" s="164">
        <f t="shared" si="80"/>
        <v>6.22</v>
      </c>
      <c r="AI1048" s="164">
        <f t="shared" si="81"/>
        <v>6.5811999999999999</v>
      </c>
      <c r="AJ1048" s="382"/>
      <c r="AK1048" s="382"/>
      <c r="AL1048" s="382"/>
      <c r="AM1048" s="382"/>
      <c r="AN1048" s="382"/>
      <c r="AO1048" s="382"/>
      <c r="AP1048" s="382"/>
      <c r="AQ1048" s="382"/>
      <c r="AR1048" s="382"/>
      <c r="AS1048" s="350"/>
      <c r="AT1048" s="202"/>
      <c r="AV1048" s="412"/>
      <c r="AW1048" s="332">
        <v>6.22</v>
      </c>
      <c r="AX1048" s="332"/>
      <c r="AY1048" s="332">
        <v>0.36120000000000002</v>
      </c>
      <c r="AZ1048" s="332">
        <v>0.17199999999999999</v>
      </c>
      <c r="BA1048" s="332">
        <v>8.5999999999999993E-2</v>
      </c>
      <c r="BB1048" s="332">
        <v>1.72E-2</v>
      </c>
      <c r="BC1048" s="332">
        <v>1.8059999999999998</v>
      </c>
      <c r="BD1048" s="332">
        <v>2.58E-2</v>
      </c>
      <c r="BE1048" s="332"/>
      <c r="BF1048" s="500">
        <f t="shared" si="82"/>
        <v>6.22</v>
      </c>
      <c r="BG1048" s="499">
        <f t="shared" si="83"/>
        <v>8.6882000000000001</v>
      </c>
      <c r="BJ1048" s="337"/>
    </row>
    <row r="1049" spans="1:62" ht="15" customHeight="1" thickBot="1" x14ac:dyDescent="0.25">
      <c r="A1049" s="176">
        <v>1050</v>
      </c>
      <c r="B1049" s="175">
        <v>1</v>
      </c>
      <c r="C1049" s="166" t="s">
        <v>24</v>
      </c>
      <c r="D1049" s="171" t="s">
        <v>2931</v>
      </c>
      <c r="H1049" s="296" t="s">
        <v>3165</v>
      </c>
      <c r="I1049" s="189">
        <v>2012</v>
      </c>
      <c r="J1049" s="189" t="s">
        <v>3167</v>
      </c>
      <c r="K1049" s="189" t="s">
        <v>3168</v>
      </c>
      <c r="L1049" s="189" t="s">
        <v>19</v>
      </c>
      <c r="M1049" s="556" t="s">
        <v>4300</v>
      </c>
      <c r="N1049" s="214" t="s">
        <v>122</v>
      </c>
      <c r="P1049" s="283" t="s">
        <v>292</v>
      </c>
      <c r="Q1049" s="214" t="s">
        <v>122</v>
      </c>
      <c r="AF1049" s="162" t="str">
        <f t="shared" si="79"/>
        <v/>
      </c>
      <c r="AG1049" s="162" t="str">
        <f t="shared" si="86"/>
        <v/>
      </c>
      <c r="AH1049" s="164">
        <f t="shared" si="80"/>
        <v>3.3489333333333331</v>
      </c>
      <c r="AI1049" s="164">
        <f t="shared" si="81"/>
        <v>3.3956</v>
      </c>
      <c r="AJ1049" s="382"/>
      <c r="AK1049" s="382"/>
      <c r="AL1049" s="382"/>
      <c r="AM1049" s="382"/>
      <c r="AN1049" s="382"/>
      <c r="AO1049" s="382"/>
      <c r="AP1049" s="382"/>
      <c r="AQ1049" s="382"/>
      <c r="AR1049" s="382"/>
      <c r="AS1049" s="350"/>
      <c r="AT1049" s="202"/>
      <c r="AV1049" s="412"/>
      <c r="AW1049" s="343">
        <v>3.3489333333333331</v>
      </c>
      <c r="AX1049" s="343"/>
      <c r="AY1049" s="340">
        <v>4.6666666666666669E-2</v>
      </c>
      <c r="AZ1049" s="340"/>
      <c r="BA1049" s="340"/>
      <c r="BB1049" s="340"/>
      <c r="BC1049" s="340"/>
      <c r="BD1049" s="334"/>
      <c r="BE1049" s="334"/>
      <c r="BF1049" s="500">
        <f t="shared" si="82"/>
        <v>3.3489333333333331</v>
      </c>
      <c r="BG1049" s="499">
        <f t="shared" si="83"/>
        <v>3.3956</v>
      </c>
      <c r="BJ1049" s="337"/>
    </row>
    <row r="1050" spans="1:62" ht="15" customHeight="1" thickBot="1" x14ac:dyDescent="0.25">
      <c r="A1050" s="176">
        <v>1051</v>
      </c>
      <c r="B1050" s="175">
        <v>1</v>
      </c>
      <c r="C1050" s="166" t="s">
        <v>24</v>
      </c>
      <c r="D1050" s="171" t="s">
        <v>2931</v>
      </c>
      <c r="H1050" s="296" t="s">
        <v>3166</v>
      </c>
      <c r="I1050" s="189">
        <v>2012</v>
      </c>
      <c r="J1050" s="189" t="s">
        <v>3167</v>
      </c>
      <c r="K1050" s="189" t="s">
        <v>3168</v>
      </c>
      <c r="L1050" s="189" t="s">
        <v>19</v>
      </c>
      <c r="M1050" s="556" t="s">
        <v>4300</v>
      </c>
      <c r="N1050" s="214" t="s">
        <v>122</v>
      </c>
      <c r="P1050" s="283" t="s">
        <v>292</v>
      </c>
      <c r="Q1050" s="214" t="s">
        <v>122</v>
      </c>
      <c r="S1050" s="214" t="s">
        <v>122</v>
      </c>
      <c r="AF1050" s="162" t="str">
        <f t="shared" si="79"/>
        <v/>
      </c>
      <c r="AG1050" s="162" t="str">
        <f t="shared" si="86"/>
        <v/>
      </c>
      <c r="AH1050" s="164">
        <f t="shared" si="80"/>
        <v>5.0305333333333335</v>
      </c>
      <c r="AI1050" s="164">
        <f t="shared" si="81"/>
        <v>5.7812000000000001</v>
      </c>
      <c r="AJ1050" s="382"/>
      <c r="AK1050" s="382"/>
      <c r="AL1050" s="382"/>
      <c r="AM1050" s="382"/>
      <c r="AN1050" s="382"/>
      <c r="AO1050" s="382"/>
      <c r="AP1050" s="382"/>
      <c r="AQ1050" s="382"/>
      <c r="AR1050" s="382"/>
      <c r="AS1050" s="350"/>
      <c r="AT1050" s="202"/>
      <c r="AV1050" s="412"/>
      <c r="AW1050" s="343">
        <v>5.0305333333333335</v>
      </c>
      <c r="AX1050" s="343"/>
      <c r="AY1050" s="340">
        <v>0.75066666666666659</v>
      </c>
      <c r="AZ1050" s="340"/>
      <c r="BA1050" s="340">
        <v>0.22439999999999999</v>
      </c>
      <c r="BB1050" s="340"/>
      <c r="BC1050" s="340"/>
      <c r="BD1050" s="334"/>
      <c r="BE1050" s="334"/>
      <c r="BF1050" s="500">
        <f t="shared" si="82"/>
        <v>5.0305333333333335</v>
      </c>
      <c r="BG1050" s="499">
        <f t="shared" si="83"/>
        <v>6.0056000000000003</v>
      </c>
      <c r="BJ1050" s="337"/>
    </row>
    <row r="1051" spans="1:62" ht="15" customHeight="1" thickBot="1" x14ac:dyDescent="0.25">
      <c r="A1051" s="176">
        <v>1052</v>
      </c>
      <c r="B1051" s="175">
        <v>1</v>
      </c>
      <c r="C1051" s="166" t="s">
        <v>24</v>
      </c>
      <c r="D1051" s="171" t="s">
        <v>2931</v>
      </c>
      <c r="H1051" s="171" t="s">
        <v>225</v>
      </c>
      <c r="I1051" s="189">
        <v>2016</v>
      </c>
      <c r="J1051" s="189" t="s">
        <v>3169</v>
      </c>
      <c r="K1051" s="189" t="s">
        <v>3170</v>
      </c>
      <c r="L1051" s="189" t="s">
        <v>19</v>
      </c>
      <c r="M1051" s="556" t="s">
        <v>4301</v>
      </c>
      <c r="N1051" s="214" t="s">
        <v>122</v>
      </c>
      <c r="Q1051" s="214" t="s">
        <v>122</v>
      </c>
      <c r="S1051" s="214" t="s">
        <v>122</v>
      </c>
      <c r="T1051" s="283" t="s">
        <v>122</v>
      </c>
      <c r="V1051" s="283" t="s">
        <v>122</v>
      </c>
      <c r="AF1051" s="162" t="str">
        <f t="shared" si="79"/>
        <v/>
      </c>
      <c r="AG1051" s="162" t="str">
        <f t="shared" si="86"/>
        <v/>
      </c>
      <c r="AH1051" s="164">
        <f t="shared" si="80"/>
        <v>5.8533333333333335</v>
      </c>
      <c r="AI1051" s="164">
        <f t="shared" si="81"/>
        <v>6.0426666666666664</v>
      </c>
      <c r="AJ1051" s="382"/>
      <c r="AK1051" s="382"/>
      <c r="AL1051" s="382"/>
      <c r="AM1051" s="382"/>
      <c r="AN1051" s="382"/>
      <c r="AO1051" s="382"/>
      <c r="AP1051" s="382"/>
      <c r="AQ1051" s="382"/>
      <c r="AR1051" s="382"/>
      <c r="AS1051" s="350"/>
      <c r="AT1051" s="202"/>
      <c r="AV1051" s="412"/>
      <c r="AW1051" s="343">
        <v>5.8533333333333335</v>
      </c>
      <c r="AX1051" s="343"/>
      <c r="AY1051" s="340">
        <v>0.1893333333333333</v>
      </c>
      <c r="AZ1051" s="340"/>
      <c r="BA1051" s="340">
        <v>0.224</v>
      </c>
      <c r="BB1051" s="340">
        <v>1.0666666666666666E-2</v>
      </c>
      <c r="BC1051" s="340">
        <v>6.6666666666666666E-2</v>
      </c>
      <c r="BD1051" s="334"/>
      <c r="BE1051" s="334"/>
      <c r="BF1051" s="500">
        <f t="shared" si="82"/>
        <v>5.8533333333333335</v>
      </c>
      <c r="BG1051" s="499">
        <f t="shared" si="83"/>
        <v>6.3439999999999994</v>
      </c>
      <c r="BJ1051" s="337"/>
    </row>
    <row r="1052" spans="1:62" ht="15" customHeight="1" thickBot="1" x14ac:dyDescent="0.25">
      <c r="A1052" s="176">
        <v>1053</v>
      </c>
      <c r="B1052" s="175">
        <v>1</v>
      </c>
      <c r="C1052" s="166" t="s">
        <v>24</v>
      </c>
      <c r="D1052" s="171" t="s">
        <v>2931</v>
      </c>
      <c r="F1052" s="296" t="s">
        <v>3157</v>
      </c>
      <c r="H1052" s="171" t="s">
        <v>2901</v>
      </c>
      <c r="I1052" s="189">
        <v>2010</v>
      </c>
      <c r="J1052" s="189" t="s">
        <v>3171</v>
      </c>
      <c r="K1052" s="189" t="s">
        <v>3172</v>
      </c>
      <c r="L1052" s="305" t="s">
        <v>104</v>
      </c>
      <c r="M1052" s="556" t="s">
        <v>4302</v>
      </c>
      <c r="N1052" s="214" t="s">
        <v>122</v>
      </c>
      <c r="Q1052" s="214" t="s">
        <v>122</v>
      </c>
      <c r="AF1052" s="162" t="str">
        <f t="shared" si="79"/>
        <v/>
      </c>
      <c r="AG1052" s="162" t="str">
        <f t="shared" si="86"/>
        <v/>
      </c>
      <c r="AH1052" s="164">
        <f t="shared" si="80"/>
        <v>3.4978318104382846</v>
      </c>
      <c r="AI1052" s="164">
        <f t="shared" si="81"/>
        <v>3.5322131020597807</v>
      </c>
      <c r="AJ1052" s="382"/>
      <c r="AK1052" s="382"/>
      <c r="AL1052" s="382"/>
      <c r="AM1052" s="382"/>
      <c r="AN1052" s="382"/>
      <c r="AO1052" s="382"/>
      <c r="AP1052" s="382"/>
      <c r="AQ1052" s="382"/>
      <c r="AR1052" s="382"/>
      <c r="AS1052" s="350"/>
      <c r="AT1052" s="202"/>
      <c r="AV1052" s="412"/>
      <c r="AW1052" s="343">
        <v>3.4978318104382846</v>
      </c>
      <c r="AX1052" s="343"/>
      <c r="AY1052" s="340">
        <v>3.4381291621496057E-2</v>
      </c>
      <c r="AZ1052" s="332"/>
      <c r="BA1052" s="332"/>
      <c r="BB1052" s="332"/>
      <c r="BC1052" s="332"/>
      <c r="BD1052" s="334"/>
      <c r="BE1052" s="334"/>
      <c r="BF1052" s="500">
        <f t="shared" si="82"/>
        <v>3.4978318104382846</v>
      </c>
      <c r="BG1052" s="499">
        <f t="shared" si="83"/>
        <v>3.5322131020597807</v>
      </c>
      <c r="BJ1052" s="337"/>
    </row>
    <row r="1053" spans="1:62" ht="15" customHeight="1" thickBot="1" x14ac:dyDescent="0.25">
      <c r="A1053" s="176">
        <v>1054</v>
      </c>
      <c r="B1053" s="175">
        <v>1</v>
      </c>
      <c r="C1053" s="166" t="s">
        <v>24</v>
      </c>
      <c r="D1053" s="171" t="s">
        <v>2931</v>
      </c>
      <c r="F1053" s="296" t="s">
        <v>3158</v>
      </c>
      <c r="H1053" s="171" t="s">
        <v>2901</v>
      </c>
      <c r="I1053" s="189">
        <v>2011</v>
      </c>
      <c r="J1053" s="189" t="s">
        <v>3171</v>
      </c>
      <c r="K1053" s="189" t="s">
        <v>3172</v>
      </c>
      <c r="L1053" s="305" t="s">
        <v>104</v>
      </c>
      <c r="M1053" s="556" t="s">
        <v>4302</v>
      </c>
      <c r="N1053" s="214" t="s">
        <v>122</v>
      </c>
      <c r="Q1053" s="214" t="s">
        <v>122</v>
      </c>
      <c r="AF1053" s="162" t="str">
        <f t="shared" si="79"/>
        <v/>
      </c>
      <c r="AG1053" s="162" t="str">
        <f t="shared" si="86"/>
        <v/>
      </c>
      <c r="AH1053" s="164">
        <f t="shared" si="80"/>
        <v>4.2667647514325546</v>
      </c>
      <c r="AI1053" s="164">
        <f t="shared" si="81"/>
        <v>4.3011460430540502</v>
      </c>
      <c r="AJ1053" s="382"/>
      <c r="AK1053" s="382"/>
      <c r="AL1053" s="382"/>
      <c r="AM1053" s="382"/>
      <c r="AN1053" s="382"/>
      <c r="AO1053" s="382"/>
      <c r="AP1053" s="382"/>
      <c r="AQ1053" s="382"/>
      <c r="AR1053" s="382"/>
      <c r="AS1053" s="350"/>
      <c r="AT1053" s="202"/>
      <c r="AV1053" s="412"/>
      <c r="AW1053" s="343">
        <v>4.2667647514325546</v>
      </c>
      <c r="AX1053" s="343"/>
      <c r="AY1053" s="340">
        <v>3.4381291621496057E-2</v>
      </c>
      <c r="AZ1053" s="332"/>
      <c r="BA1053" s="332"/>
      <c r="BB1053" s="332"/>
      <c r="BC1053" s="332"/>
      <c r="BD1053" s="334"/>
      <c r="BE1053" s="334"/>
      <c r="BF1053" s="500">
        <f t="shared" si="82"/>
        <v>4.2667647514325546</v>
      </c>
      <c r="BG1053" s="499">
        <f t="shared" si="83"/>
        <v>4.3011460430540502</v>
      </c>
      <c r="BJ1053" s="337"/>
    </row>
    <row r="1054" spans="1:62" ht="15" customHeight="1" thickBot="1" x14ac:dyDescent="0.25">
      <c r="A1054" s="176">
        <v>1055</v>
      </c>
      <c r="B1054" s="175">
        <v>1</v>
      </c>
      <c r="C1054" s="166" t="s">
        <v>24</v>
      </c>
      <c r="D1054" s="171" t="s">
        <v>2931</v>
      </c>
      <c r="F1054" s="296" t="s">
        <v>3159</v>
      </c>
      <c r="H1054" s="171" t="s">
        <v>108</v>
      </c>
      <c r="I1054" s="189">
        <v>2012</v>
      </c>
      <c r="J1054" s="189" t="s">
        <v>3171</v>
      </c>
      <c r="K1054" s="189" t="s">
        <v>3172</v>
      </c>
      <c r="L1054" s="305" t="s">
        <v>104</v>
      </c>
      <c r="M1054" s="556" t="s">
        <v>4302</v>
      </c>
      <c r="N1054" s="214" t="s">
        <v>122</v>
      </c>
      <c r="Q1054" s="214" t="s">
        <v>122</v>
      </c>
      <c r="AF1054" s="162" t="str">
        <f t="shared" si="79"/>
        <v/>
      </c>
      <c r="AG1054" s="162" t="str">
        <f t="shared" si="86"/>
        <v/>
      </c>
      <c r="AH1054" s="164">
        <f t="shared" si="80"/>
        <v>3.4708843115998147</v>
      </c>
      <c r="AI1054" s="164">
        <f t="shared" si="81"/>
        <v>3.5052656032213108</v>
      </c>
      <c r="AJ1054" s="382"/>
      <c r="AK1054" s="382"/>
      <c r="AL1054" s="382"/>
      <c r="AM1054" s="382"/>
      <c r="AN1054" s="382"/>
      <c r="AO1054" s="382"/>
      <c r="AP1054" s="382"/>
      <c r="AQ1054" s="382"/>
      <c r="AR1054" s="382"/>
      <c r="AS1054" s="350"/>
      <c r="AT1054" s="202"/>
      <c r="AV1054" s="412"/>
      <c r="AW1054" s="343">
        <v>3.4708843115998147</v>
      </c>
      <c r="AX1054" s="343"/>
      <c r="AY1054" s="340">
        <v>3.4381291621496057E-2</v>
      </c>
      <c r="AZ1054" s="332"/>
      <c r="BA1054" s="332"/>
      <c r="BB1054" s="332"/>
      <c r="BC1054" s="332"/>
      <c r="BD1054" s="334"/>
      <c r="BE1054" s="334"/>
      <c r="BF1054" s="500">
        <f t="shared" si="82"/>
        <v>3.4708843115998147</v>
      </c>
      <c r="BG1054" s="499">
        <f t="shared" si="83"/>
        <v>3.5052656032213108</v>
      </c>
      <c r="BJ1054" s="337"/>
    </row>
    <row r="1055" spans="1:62" ht="15" customHeight="1" thickBot="1" x14ac:dyDescent="0.25">
      <c r="A1055" s="176">
        <v>1056</v>
      </c>
      <c r="B1055" s="175">
        <v>1</v>
      </c>
      <c r="C1055" s="166" t="s">
        <v>24</v>
      </c>
      <c r="D1055" s="171" t="s">
        <v>2931</v>
      </c>
      <c r="F1055" s="296" t="s">
        <v>3160</v>
      </c>
      <c r="H1055" s="171" t="s">
        <v>108</v>
      </c>
      <c r="I1055" s="189">
        <v>2013</v>
      </c>
      <c r="J1055" s="189" t="s">
        <v>3171</v>
      </c>
      <c r="K1055" s="189" t="s">
        <v>3172</v>
      </c>
      <c r="L1055" s="305" t="s">
        <v>104</v>
      </c>
      <c r="M1055" s="556" t="s">
        <v>4302</v>
      </c>
      <c r="N1055" s="214" t="s">
        <v>122</v>
      </c>
      <c r="Q1055" s="214" t="s">
        <v>122</v>
      </c>
      <c r="AF1055" s="162" t="str">
        <f t="shared" si="79"/>
        <v/>
      </c>
      <c r="AG1055" s="162" t="str">
        <f t="shared" si="86"/>
        <v/>
      </c>
      <c r="AH1055" s="164">
        <f t="shared" si="80"/>
        <v>4.3380827009447112</v>
      </c>
      <c r="AI1055" s="164">
        <f t="shared" si="81"/>
        <v>4.3724639925662068</v>
      </c>
      <c r="AJ1055" s="382"/>
      <c r="AK1055" s="382"/>
      <c r="AL1055" s="382"/>
      <c r="AM1055" s="382"/>
      <c r="AN1055" s="382"/>
      <c r="AO1055" s="382"/>
      <c r="AP1055" s="382"/>
      <c r="AQ1055" s="382"/>
      <c r="AR1055" s="382"/>
      <c r="AS1055" s="350"/>
      <c r="AT1055" s="202"/>
      <c r="AV1055" s="412"/>
      <c r="AW1055" s="343">
        <v>4.3380827009447112</v>
      </c>
      <c r="AX1055" s="343"/>
      <c r="AY1055" s="340">
        <v>3.4381291621496057E-2</v>
      </c>
      <c r="AZ1055" s="332"/>
      <c r="BA1055" s="332"/>
      <c r="BB1055" s="332"/>
      <c r="BC1055" s="332"/>
      <c r="BD1055" s="334"/>
      <c r="BE1055" s="334"/>
      <c r="BF1055" s="500">
        <f t="shared" si="82"/>
        <v>4.3380827009447112</v>
      </c>
      <c r="BG1055" s="499">
        <f t="shared" si="83"/>
        <v>4.3724639925662068</v>
      </c>
      <c r="BJ1055" s="337"/>
    </row>
    <row r="1056" spans="1:62" ht="15" customHeight="1" thickBot="1" x14ac:dyDescent="0.25">
      <c r="A1056" s="176">
        <v>1057</v>
      </c>
      <c r="B1056" s="175">
        <v>1</v>
      </c>
      <c r="C1056" s="166" t="s">
        <v>24</v>
      </c>
      <c r="D1056" s="171" t="s">
        <v>2931</v>
      </c>
      <c r="F1056" s="296" t="s">
        <v>3161</v>
      </c>
      <c r="H1056" s="171" t="s">
        <v>2876</v>
      </c>
      <c r="I1056" s="189">
        <v>2014</v>
      </c>
      <c r="J1056" s="189" t="s">
        <v>3171</v>
      </c>
      <c r="K1056" s="189" t="s">
        <v>3172</v>
      </c>
      <c r="L1056" s="305" t="s">
        <v>104</v>
      </c>
      <c r="M1056" s="556" t="s">
        <v>4302</v>
      </c>
      <c r="N1056" s="214" t="s">
        <v>122</v>
      </c>
      <c r="Q1056" s="214" t="s">
        <v>122</v>
      </c>
      <c r="AF1056" s="162" t="str">
        <f t="shared" si="79"/>
        <v/>
      </c>
      <c r="AG1056" s="162" t="str">
        <f t="shared" si="86"/>
        <v/>
      </c>
      <c r="AH1056" s="164">
        <f t="shared" si="80"/>
        <v>3.6697382685457649</v>
      </c>
      <c r="AI1056" s="164">
        <f t="shared" si="81"/>
        <v>3.704119560167261</v>
      </c>
      <c r="AJ1056" s="382"/>
      <c r="AK1056" s="382"/>
      <c r="AL1056" s="382"/>
      <c r="AM1056" s="382"/>
      <c r="AN1056" s="382"/>
      <c r="AO1056" s="382"/>
      <c r="AP1056" s="382"/>
      <c r="AQ1056" s="382"/>
      <c r="AR1056" s="382"/>
      <c r="AS1056" s="350"/>
      <c r="AT1056" s="202"/>
      <c r="AV1056" s="412"/>
      <c r="AW1056" s="343">
        <v>3.6697382685457649</v>
      </c>
      <c r="AX1056" s="343"/>
      <c r="AY1056" s="340">
        <v>3.4381291621496057E-2</v>
      </c>
      <c r="AZ1056" s="332"/>
      <c r="BA1056" s="332"/>
      <c r="BB1056" s="332"/>
      <c r="BC1056" s="332"/>
      <c r="BD1056" s="334"/>
      <c r="BE1056" s="334"/>
      <c r="BF1056" s="500">
        <f t="shared" si="82"/>
        <v>3.6697382685457649</v>
      </c>
      <c r="BG1056" s="499">
        <f t="shared" si="83"/>
        <v>3.704119560167261</v>
      </c>
      <c r="BJ1056" s="337"/>
    </row>
    <row r="1057" spans="1:62" ht="15" customHeight="1" thickBot="1" x14ac:dyDescent="0.25">
      <c r="A1057" s="176">
        <v>1058</v>
      </c>
      <c r="B1057" s="175">
        <v>1</v>
      </c>
      <c r="C1057" s="166" t="s">
        <v>24</v>
      </c>
      <c r="D1057" s="171" t="s">
        <v>2931</v>
      </c>
      <c r="F1057" s="296" t="s">
        <v>3162</v>
      </c>
      <c r="H1057" s="171" t="s">
        <v>2876</v>
      </c>
      <c r="I1057" s="189">
        <v>2015</v>
      </c>
      <c r="J1057" s="189" t="s">
        <v>3171</v>
      </c>
      <c r="K1057" s="189" t="s">
        <v>3172</v>
      </c>
      <c r="L1057" s="305" t="s">
        <v>104</v>
      </c>
      <c r="M1057" s="556" t="s">
        <v>4302</v>
      </c>
      <c r="N1057" s="214" t="s">
        <v>122</v>
      </c>
      <c r="Q1057" s="214" t="s">
        <v>122</v>
      </c>
      <c r="AF1057" s="162" t="str">
        <f t="shared" si="79"/>
        <v/>
      </c>
      <c r="AG1057" s="162" t="str">
        <f t="shared" si="86"/>
        <v/>
      </c>
      <c r="AH1057" s="164">
        <f t="shared" si="80"/>
        <v>5.019436270713955</v>
      </c>
      <c r="AI1057" s="164">
        <f t="shared" si="81"/>
        <v>5.0538175623354515</v>
      </c>
      <c r="AJ1057" s="382"/>
      <c r="AK1057" s="382"/>
      <c r="AL1057" s="382"/>
      <c r="AM1057" s="382"/>
      <c r="AN1057" s="382"/>
      <c r="AO1057" s="382"/>
      <c r="AP1057" s="382"/>
      <c r="AQ1057" s="382"/>
      <c r="AR1057" s="382"/>
      <c r="AS1057" s="350"/>
      <c r="AT1057" s="202"/>
      <c r="AV1057" s="412"/>
      <c r="AW1057" s="343">
        <v>5.019436270713955</v>
      </c>
      <c r="AX1057" s="343"/>
      <c r="AY1057" s="340">
        <v>3.4381291621496057E-2</v>
      </c>
      <c r="AZ1057" s="332"/>
      <c r="BA1057" s="332"/>
      <c r="BB1057" s="332"/>
      <c r="BC1057" s="332"/>
      <c r="BD1057" s="334"/>
      <c r="BE1057" s="334"/>
      <c r="BF1057" s="500">
        <f t="shared" si="82"/>
        <v>5.019436270713955</v>
      </c>
      <c r="BG1057" s="499">
        <f t="shared" si="83"/>
        <v>5.0538175623354515</v>
      </c>
      <c r="BJ1057" s="337"/>
    </row>
    <row r="1058" spans="1:62" ht="15" customHeight="1" thickBot="1" x14ac:dyDescent="0.25">
      <c r="A1058" s="176">
        <v>1059</v>
      </c>
      <c r="B1058" s="175">
        <v>1</v>
      </c>
      <c r="C1058" s="166" t="s">
        <v>24</v>
      </c>
      <c r="D1058" s="171" t="s">
        <v>2931</v>
      </c>
      <c r="F1058" s="296" t="s">
        <v>3163</v>
      </c>
      <c r="H1058" s="171" t="s">
        <v>2906</v>
      </c>
      <c r="I1058" s="189">
        <v>2016</v>
      </c>
      <c r="J1058" s="189" t="s">
        <v>3171</v>
      </c>
      <c r="K1058" s="189" t="s">
        <v>3172</v>
      </c>
      <c r="L1058" s="305" t="s">
        <v>104</v>
      </c>
      <c r="M1058" s="556" t="s">
        <v>4302</v>
      </c>
      <c r="N1058" s="214" t="s">
        <v>122</v>
      </c>
      <c r="Q1058" s="214" t="s">
        <v>122</v>
      </c>
      <c r="AF1058" s="162" t="str">
        <f t="shared" si="79"/>
        <v/>
      </c>
      <c r="AG1058" s="162" t="str">
        <f t="shared" si="86"/>
        <v/>
      </c>
      <c r="AH1058" s="164">
        <f t="shared" si="80"/>
        <v>3.4574105621805797</v>
      </c>
      <c r="AI1058" s="164">
        <f t="shared" si="81"/>
        <v>3.4917918538020758</v>
      </c>
      <c r="AJ1058" s="382"/>
      <c r="AK1058" s="382"/>
      <c r="AL1058" s="382"/>
      <c r="AM1058" s="382"/>
      <c r="AN1058" s="382"/>
      <c r="AO1058" s="382"/>
      <c r="AP1058" s="382"/>
      <c r="AQ1058" s="382"/>
      <c r="AR1058" s="382"/>
      <c r="AS1058" s="350"/>
      <c r="AT1058" s="202"/>
      <c r="AV1058" s="412"/>
      <c r="AW1058" s="343">
        <v>3.4574105621805797</v>
      </c>
      <c r="AX1058" s="343"/>
      <c r="AY1058" s="340">
        <v>3.4381291621496057E-2</v>
      </c>
      <c r="AZ1058" s="332"/>
      <c r="BA1058" s="332"/>
      <c r="BB1058" s="332"/>
      <c r="BC1058" s="332"/>
      <c r="BD1058" s="334"/>
      <c r="BE1058" s="334"/>
      <c r="BF1058" s="500">
        <f t="shared" si="82"/>
        <v>3.4574105621805797</v>
      </c>
      <c r="BG1058" s="499">
        <f t="shared" si="83"/>
        <v>3.4917918538020758</v>
      </c>
      <c r="BJ1058" s="337"/>
    </row>
    <row r="1059" spans="1:62" ht="15" customHeight="1" thickBot="1" x14ac:dyDescent="0.25">
      <c r="A1059" s="176">
        <v>1060</v>
      </c>
      <c r="B1059" s="175">
        <v>1</v>
      </c>
      <c r="C1059" s="166" t="s">
        <v>24</v>
      </c>
      <c r="D1059" s="171" t="s">
        <v>2931</v>
      </c>
      <c r="F1059" s="296" t="s">
        <v>3164</v>
      </c>
      <c r="H1059" s="171" t="s">
        <v>2906</v>
      </c>
      <c r="I1059" s="189">
        <v>2017</v>
      </c>
      <c r="J1059" s="189" t="s">
        <v>3171</v>
      </c>
      <c r="K1059" s="189" t="s">
        <v>3172</v>
      </c>
      <c r="L1059" s="305" t="s">
        <v>104</v>
      </c>
      <c r="M1059" s="556" t="s">
        <v>4302</v>
      </c>
      <c r="N1059" s="214" t="s">
        <v>122</v>
      </c>
      <c r="Q1059" s="214" t="s">
        <v>122</v>
      </c>
      <c r="AF1059" s="162" t="str">
        <f t="shared" si="79"/>
        <v/>
      </c>
      <c r="AG1059" s="162" t="str">
        <f t="shared" si="86"/>
        <v/>
      </c>
      <c r="AH1059" s="164">
        <f t="shared" si="80"/>
        <v>4.0116927365649691</v>
      </c>
      <c r="AI1059" s="164">
        <f t="shared" si="81"/>
        <v>4.0460740281864656</v>
      </c>
      <c r="AJ1059" s="382"/>
      <c r="AK1059" s="382"/>
      <c r="AL1059" s="382"/>
      <c r="AM1059" s="382"/>
      <c r="AN1059" s="382"/>
      <c r="AO1059" s="382"/>
      <c r="AP1059" s="382"/>
      <c r="AQ1059" s="382"/>
      <c r="AR1059" s="382"/>
      <c r="AS1059" s="350"/>
      <c r="AT1059" s="202"/>
      <c r="AV1059" s="412"/>
      <c r="AW1059" s="343">
        <v>4.0116927365649691</v>
      </c>
      <c r="AX1059" s="343"/>
      <c r="AY1059" s="340">
        <v>3.4381291621496057E-2</v>
      </c>
      <c r="AZ1059" s="332"/>
      <c r="BA1059" s="332"/>
      <c r="BB1059" s="332"/>
      <c r="BC1059" s="332"/>
      <c r="BD1059" s="334"/>
      <c r="BE1059" s="334"/>
      <c r="BF1059" s="500">
        <f t="shared" si="82"/>
        <v>4.0116927365649691</v>
      </c>
      <c r="BG1059" s="499">
        <f t="shared" si="83"/>
        <v>4.0460740281864656</v>
      </c>
      <c r="BJ1059" s="337"/>
    </row>
    <row r="1060" spans="1:62" ht="15" customHeight="1" thickBot="1" x14ac:dyDescent="0.25">
      <c r="A1060" s="176">
        <v>1061</v>
      </c>
      <c r="B1060" s="175">
        <v>1</v>
      </c>
      <c r="C1060" s="166" t="s">
        <v>24</v>
      </c>
      <c r="D1060" s="171" t="s">
        <v>2931</v>
      </c>
      <c r="H1060" s="171" t="s">
        <v>3156</v>
      </c>
      <c r="I1060" s="189">
        <v>2011</v>
      </c>
      <c r="J1060" s="189" t="s">
        <v>3173</v>
      </c>
      <c r="K1060" s="189" t="s">
        <v>3174</v>
      </c>
      <c r="L1060" s="189" t="s">
        <v>19</v>
      </c>
      <c r="M1060" s="556" t="s">
        <v>4303</v>
      </c>
      <c r="N1060" s="214" t="s">
        <v>122</v>
      </c>
      <c r="AF1060" s="162" t="str">
        <f t="shared" si="79"/>
        <v/>
      </c>
      <c r="AG1060" s="162" t="str">
        <f t="shared" si="86"/>
        <v/>
      </c>
      <c r="AH1060" s="164">
        <f t="shared" si="80"/>
        <v>4.6899999999999995</v>
      </c>
      <c r="AI1060" s="164" t="str">
        <f t="shared" si="81"/>
        <v/>
      </c>
      <c r="AJ1060" s="382"/>
      <c r="AK1060" s="382"/>
      <c r="AL1060" s="382"/>
      <c r="AM1060" s="382"/>
      <c r="AN1060" s="382"/>
      <c r="AO1060" s="382"/>
      <c r="AP1060" s="382"/>
      <c r="AQ1060" s="382"/>
      <c r="AR1060" s="382"/>
      <c r="AS1060" s="350"/>
      <c r="AT1060" s="202"/>
      <c r="AV1060" s="412"/>
      <c r="AW1060" s="340">
        <v>4.6899999999999995</v>
      </c>
      <c r="AX1060" s="332"/>
      <c r="AY1060" s="332"/>
      <c r="AZ1060" s="332"/>
      <c r="BA1060" s="332"/>
      <c r="BB1060" s="332"/>
      <c r="BC1060" s="332"/>
      <c r="BD1060" s="334"/>
      <c r="BE1060" s="334"/>
      <c r="BF1060" s="500">
        <f t="shared" si="82"/>
        <v>4.6899999999999995</v>
      </c>
      <c r="BG1060" s="499"/>
      <c r="BJ1060" s="337"/>
    </row>
    <row r="1061" spans="1:62" ht="15" customHeight="1" thickBot="1" x14ac:dyDescent="0.25">
      <c r="A1061" s="176">
        <v>1062</v>
      </c>
      <c r="B1061" s="175">
        <v>1</v>
      </c>
      <c r="C1061" s="171" t="s">
        <v>162</v>
      </c>
      <c r="D1061" s="171" t="s">
        <v>839</v>
      </c>
      <c r="F1061" s="171" t="s">
        <v>3178</v>
      </c>
      <c r="H1061" s="171" t="s">
        <v>351</v>
      </c>
      <c r="I1061" s="189">
        <v>2012</v>
      </c>
      <c r="J1061" s="189" t="s">
        <v>3180</v>
      </c>
      <c r="K1061" s="189" t="s">
        <v>3181</v>
      </c>
      <c r="L1061" s="189" t="s">
        <v>19</v>
      </c>
      <c r="M1061" s="556" t="s">
        <v>4304</v>
      </c>
      <c r="N1061" s="214" t="s">
        <v>122</v>
      </c>
      <c r="AF1061" s="162" t="str">
        <f t="shared" si="79"/>
        <v/>
      </c>
      <c r="AG1061" s="162" t="str">
        <f t="shared" si="86"/>
        <v/>
      </c>
      <c r="AH1061" s="164">
        <f t="shared" si="80"/>
        <v>0.2076904761904762</v>
      </c>
      <c r="AI1061" s="164" t="str">
        <f t="shared" si="81"/>
        <v/>
      </c>
      <c r="AJ1061" s="382"/>
      <c r="AK1061" s="382"/>
      <c r="AL1061" s="382"/>
      <c r="AM1061" s="382"/>
      <c r="AN1061" s="382"/>
      <c r="AO1061" s="382"/>
      <c r="AP1061" s="382"/>
      <c r="AQ1061" s="382"/>
      <c r="AR1061" s="382"/>
      <c r="AS1061" s="350"/>
      <c r="AT1061" s="202"/>
      <c r="AV1061" s="412"/>
      <c r="AW1061" s="536">
        <v>0.2076904761904762</v>
      </c>
      <c r="AX1061" s="332"/>
      <c r="AY1061" s="332"/>
      <c r="AZ1061" s="332"/>
      <c r="BA1061" s="332"/>
      <c r="BB1061" s="332"/>
      <c r="BC1061" s="332"/>
      <c r="BD1061" s="332"/>
      <c r="BE1061" s="332"/>
      <c r="BF1061" s="499">
        <f t="shared" si="82"/>
        <v>0.2076904761904762</v>
      </c>
      <c r="BG1061" s="499"/>
      <c r="BJ1061" s="337"/>
    </row>
    <row r="1062" spans="1:62" ht="15" customHeight="1" thickBot="1" x14ac:dyDescent="0.25">
      <c r="A1062" s="176">
        <v>1063</v>
      </c>
      <c r="B1062" s="175">
        <v>1</v>
      </c>
      <c r="C1062" s="171" t="s">
        <v>162</v>
      </c>
      <c r="D1062" s="171" t="s">
        <v>839</v>
      </c>
      <c r="F1062" s="171" t="s">
        <v>3178</v>
      </c>
      <c r="H1062" s="171" t="s">
        <v>351</v>
      </c>
      <c r="I1062" s="189">
        <v>2012</v>
      </c>
      <c r="J1062" s="189" t="s">
        <v>3180</v>
      </c>
      <c r="K1062" s="189" t="s">
        <v>3181</v>
      </c>
      <c r="L1062" s="189" t="s">
        <v>19</v>
      </c>
      <c r="M1062" s="556" t="s">
        <v>4304</v>
      </c>
      <c r="N1062" s="214" t="s">
        <v>122</v>
      </c>
      <c r="AF1062" s="162" t="str">
        <f t="shared" si="79"/>
        <v/>
      </c>
      <c r="AG1062" s="162" t="str">
        <f t="shared" si="86"/>
        <v/>
      </c>
      <c r="AH1062" s="164">
        <f t="shared" si="80"/>
        <v>0.26697619047619048</v>
      </c>
      <c r="AI1062" s="164" t="str">
        <f t="shared" si="81"/>
        <v/>
      </c>
      <c r="AJ1062" s="382"/>
      <c r="AK1062" s="382"/>
      <c r="AL1062" s="382"/>
      <c r="AM1062" s="382"/>
      <c r="AN1062" s="382"/>
      <c r="AO1062" s="382"/>
      <c r="AP1062" s="382"/>
      <c r="AQ1062" s="382"/>
      <c r="AR1062" s="382"/>
      <c r="AS1062" s="350"/>
      <c r="AT1062" s="202"/>
      <c r="AV1062" s="412"/>
      <c r="AW1062" s="536">
        <v>0.26697619047619048</v>
      </c>
      <c r="AX1062" s="332"/>
      <c r="AY1062" s="332"/>
      <c r="AZ1062" s="332"/>
      <c r="BA1062" s="332"/>
      <c r="BB1062" s="332"/>
      <c r="BC1062" s="332"/>
      <c r="BD1062" s="332"/>
      <c r="BE1062" s="332"/>
      <c r="BF1062" s="499">
        <f t="shared" si="82"/>
        <v>0.26697619047619048</v>
      </c>
      <c r="BG1062" s="499"/>
      <c r="BJ1062" s="337"/>
    </row>
    <row r="1063" spans="1:62" ht="15" customHeight="1" thickBot="1" x14ac:dyDescent="0.25">
      <c r="A1063" s="176">
        <v>1064</v>
      </c>
      <c r="B1063" s="175">
        <v>1</v>
      </c>
      <c r="C1063" s="171" t="s">
        <v>162</v>
      </c>
      <c r="D1063" s="171" t="s">
        <v>839</v>
      </c>
      <c r="F1063" s="171" t="s">
        <v>3178</v>
      </c>
      <c r="H1063" s="171" t="s">
        <v>351</v>
      </c>
      <c r="I1063" s="189">
        <v>2012</v>
      </c>
      <c r="J1063" s="189" t="s">
        <v>3180</v>
      </c>
      <c r="K1063" s="189" t="s">
        <v>3181</v>
      </c>
      <c r="L1063" s="189" t="s">
        <v>19</v>
      </c>
      <c r="M1063" s="556" t="s">
        <v>4304</v>
      </c>
      <c r="N1063" s="214" t="s">
        <v>122</v>
      </c>
      <c r="AF1063" s="162" t="str">
        <f t="shared" si="79"/>
        <v/>
      </c>
      <c r="AG1063" s="162" t="str">
        <f t="shared" si="86"/>
        <v/>
      </c>
      <c r="AH1063" s="164">
        <f t="shared" si="80"/>
        <v>0.19265476190476191</v>
      </c>
      <c r="AI1063" s="164" t="str">
        <f t="shared" si="81"/>
        <v/>
      </c>
      <c r="AJ1063" s="382"/>
      <c r="AK1063" s="382"/>
      <c r="AL1063" s="382"/>
      <c r="AM1063" s="382"/>
      <c r="AN1063" s="382"/>
      <c r="AO1063" s="382"/>
      <c r="AP1063" s="382"/>
      <c r="AQ1063" s="382"/>
      <c r="AR1063" s="382"/>
      <c r="AS1063" s="350"/>
      <c r="AT1063" s="202"/>
      <c r="AV1063" s="412"/>
      <c r="AW1063" s="536">
        <v>0.19265476190476191</v>
      </c>
      <c r="AX1063" s="332"/>
      <c r="AY1063" s="332"/>
      <c r="AZ1063" s="332"/>
      <c r="BA1063" s="332"/>
      <c r="BB1063" s="332"/>
      <c r="BC1063" s="332"/>
      <c r="BD1063" s="332"/>
      <c r="BE1063" s="332"/>
      <c r="BF1063" s="499">
        <f t="shared" si="82"/>
        <v>0.19265476190476191</v>
      </c>
      <c r="BG1063" s="499"/>
      <c r="BJ1063" s="337"/>
    </row>
    <row r="1064" spans="1:62" ht="15" customHeight="1" thickBot="1" x14ac:dyDescent="0.25">
      <c r="A1064" s="176">
        <v>1065</v>
      </c>
      <c r="B1064" s="175">
        <v>1</v>
      </c>
      <c r="C1064" s="171" t="s">
        <v>162</v>
      </c>
      <c r="D1064" s="171" t="s">
        <v>839</v>
      </c>
      <c r="F1064" s="171" t="s">
        <v>3178</v>
      </c>
      <c r="H1064" s="171" t="s">
        <v>351</v>
      </c>
      <c r="I1064" s="189">
        <v>2012</v>
      </c>
      <c r="J1064" s="189" t="s">
        <v>3180</v>
      </c>
      <c r="K1064" s="189" t="s">
        <v>3181</v>
      </c>
      <c r="L1064" s="189" t="s">
        <v>19</v>
      </c>
      <c r="M1064" s="556" t="s">
        <v>4304</v>
      </c>
      <c r="N1064" s="214" t="s">
        <v>122</v>
      </c>
      <c r="AF1064" s="162" t="str">
        <f t="shared" si="79"/>
        <v/>
      </c>
      <c r="AG1064" s="162" t="str">
        <f t="shared" si="86"/>
        <v/>
      </c>
      <c r="AH1064" s="164">
        <f t="shared" si="80"/>
        <v>0.21939285714285714</v>
      </c>
      <c r="AI1064" s="164" t="str">
        <f t="shared" si="81"/>
        <v/>
      </c>
      <c r="AJ1064" s="382"/>
      <c r="AK1064" s="382"/>
      <c r="AL1064" s="382"/>
      <c r="AM1064" s="382"/>
      <c r="AN1064" s="382"/>
      <c r="AO1064" s="382"/>
      <c r="AP1064" s="382"/>
      <c r="AQ1064" s="382"/>
      <c r="AR1064" s="382"/>
      <c r="AS1064" s="350"/>
      <c r="AT1064" s="202"/>
      <c r="AV1064" s="412"/>
      <c r="AW1064" s="536">
        <v>0.21939285714285714</v>
      </c>
      <c r="AX1064" s="332"/>
      <c r="AY1064" s="332"/>
      <c r="AZ1064" s="332"/>
      <c r="BA1064" s="332"/>
      <c r="BB1064" s="332"/>
      <c r="BC1064" s="332"/>
      <c r="BD1064" s="332"/>
      <c r="BE1064" s="332"/>
      <c r="BF1064" s="499">
        <f t="shared" si="82"/>
        <v>0.21939285714285714</v>
      </c>
      <c r="BG1064" s="499"/>
      <c r="BJ1064" s="337"/>
    </row>
    <row r="1065" spans="1:62" ht="15" customHeight="1" thickBot="1" x14ac:dyDescent="0.25">
      <c r="A1065" s="176">
        <v>1066</v>
      </c>
      <c r="B1065" s="175">
        <v>1</v>
      </c>
      <c r="C1065" s="171" t="s">
        <v>162</v>
      </c>
      <c r="D1065" s="353" t="s">
        <v>4055</v>
      </c>
      <c r="H1065" s="171" t="s">
        <v>55</v>
      </c>
      <c r="I1065" s="189">
        <v>2012</v>
      </c>
      <c r="J1065" s="189" t="s">
        <v>3182</v>
      </c>
      <c r="K1065" s="189" t="s">
        <v>3183</v>
      </c>
      <c r="L1065" s="189" t="s">
        <v>19</v>
      </c>
      <c r="M1065" s="556" t="s">
        <v>4305</v>
      </c>
      <c r="AF1065" s="162" t="str">
        <f t="shared" si="79"/>
        <v/>
      </c>
      <c r="AG1065" s="162" t="str">
        <f t="shared" si="86"/>
        <v/>
      </c>
      <c r="AH1065" s="164">
        <f t="shared" si="80"/>
        <v>0.43</v>
      </c>
      <c r="AI1065" s="164" t="str">
        <f t="shared" si="81"/>
        <v/>
      </c>
      <c r="AJ1065" s="382"/>
      <c r="AK1065" s="382"/>
      <c r="AL1065" s="382"/>
      <c r="AM1065" s="382"/>
      <c r="AN1065" s="382"/>
      <c r="AO1065" s="382"/>
      <c r="AP1065" s="382"/>
      <c r="AQ1065" s="382"/>
      <c r="AR1065" s="382"/>
      <c r="AS1065" s="350"/>
      <c r="AT1065" s="202"/>
      <c r="AV1065" s="412"/>
      <c r="AW1065" s="536">
        <v>0.43</v>
      </c>
      <c r="AX1065" s="332"/>
      <c r="AY1065" s="332"/>
      <c r="AZ1065" s="332"/>
      <c r="BA1065" s="536">
        <f>0.44-AY1065</f>
        <v>0.44</v>
      </c>
      <c r="BB1065" s="332"/>
      <c r="BC1065" s="536">
        <v>0.3</v>
      </c>
      <c r="BD1065" s="332"/>
      <c r="BE1065" s="332"/>
      <c r="BF1065" s="499">
        <f t="shared" si="82"/>
        <v>0.43</v>
      </c>
      <c r="BG1065" s="499">
        <f>SUM(AW1065:BE1065)</f>
        <v>1.17</v>
      </c>
      <c r="BJ1065" s="337"/>
    </row>
    <row r="1066" spans="1:62" ht="15" customHeight="1" thickBot="1" x14ac:dyDescent="0.25">
      <c r="A1066" s="176">
        <v>1067</v>
      </c>
      <c r="B1066" s="175">
        <v>1</v>
      </c>
      <c r="C1066" s="171" t="s">
        <v>162</v>
      </c>
      <c r="D1066" s="353" t="s">
        <v>4055</v>
      </c>
      <c r="H1066" s="171" t="s">
        <v>55</v>
      </c>
      <c r="I1066" s="189">
        <v>2012</v>
      </c>
      <c r="J1066" s="189" t="s">
        <v>3182</v>
      </c>
      <c r="K1066" s="189" t="s">
        <v>3183</v>
      </c>
      <c r="L1066" s="189" t="s">
        <v>19</v>
      </c>
      <c r="M1066" s="556" t="s">
        <v>4305</v>
      </c>
      <c r="AF1066" s="162" t="str">
        <f t="shared" si="79"/>
        <v/>
      </c>
      <c r="AG1066" s="162" t="str">
        <f t="shared" si="86"/>
        <v/>
      </c>
      <c r="AH1066" s="164">
        <f t="shared" si="80"/>
        <v>1.71</v>
      </c>
      <c r="AI1066" s="164" t="str">
        <f t="shared" si="81"/>
        <v/>
      </c>
      <c r="AJ1066" s="382"/>
      <c r="AK1066" s="382"/>
      <c r="AL1066" s="382"/>
      <c r="AM1066" s="382"/>
      <c r="AN1066" s="382"/>
      <c r="AO1066" s="382"/>
      <c r="AP1066" s="382"/>
      <c r="AQ1066" s="382"/>
      <c r="AR1066" s="382"/>
      <c r="AS1066" s="350"/>
      <c r="AT1066" s="202"/>
      <c r="AV1066" s="412"/>
      <c r="AW1066" s="536">
        <v>1.71</v>
      </c>
      <c r="AX1066" s="332"/>
      <c r="AY1066" s="332"/>
      <c r="AZ1066" s="332"/>
      <c r="BA1066" s="536">
        <v>0.01</v>
      </c>
      <c r="BB1066" s="332"/>
      <c r="BC1066" s="536">
        <v>0.30999999999999983</v>
      </c>
      <c r="BD1066" s="332"/>
      <c r="BE1066" s="332"/>
      <c r="BF1066" s="499">
        <f t="shared" si="82"/>
        <v>1.71</v>
      </c>
      <c r="BG1066" s="499">
        <f>SUM(AW1066:BE1066)</f>
        <v>2.0299999999999998</v>
      </c>
      <c r="BJ1066" s="337"/>
    </row>
    <row r="1067" spans="1:62" ht="15" customHeight="1" thickBot="1" x14ac:dyDescent="0.25">
      <c r="A1067" s="176">
        <v>1068</v>
      </c>
      <c r="B1067" s="175">
        <v>1</v>
      </c>
      <c r="C1067" s="171" t="s">
        <v>162</v>
      </c>
      <c r="D1067" s="353" t="s">
        <v>4055</v>
      </c>
      <c r="H1067" s="171" t="s">
        <v>55</v>
      </c>
      <c r="I1067" s="189">
        <v>2012</v>
      </c>
      <c r="J1067" s="189" t="s">
        <v>3182</v>
      </c>
      <c r="K1067" s="189" t="s">
        <v>3183</v>
      </c>
      <c r="L1067" s="189" t="s">
        <v>19</v>
      </c>
      <c r="M1067" s="556" t="s">
        <v>4305</v>
      </c>
      <c r="AF1067" s="162" t="str">
        <f t="shared" si="79"/>
        <v/>
      </c>
      <c r="AG1067" s="162" t="str">
        <f t="shared" si="86"/>
        <v/>
      </c>
      <c r="AH1067" s="164">
        <f t="shared" si="80"/>
        <v>1.86</v>
      </c>
      <c r="AI1067" s="164" t="str">
        <f t="shared" si="81"/>
        <v/>
      </c>
      <c r="AJ1067" s="382"/>
      <c r="AK1067" s="382"/>
      <c r="AL1067" s="382"/>
      <c r="AM1067" s="382"/>
      <c r="AN1067" s="382"/>
      <c r="AO1067" s="382"/>
      <c r="AP1067" s="382"/>
      <c r="AQ1067" s="382"/>
      <c r="AR1067" s="382"/>
      <c r="AS1067" s="350"/>
      <c r="AT1067" s="202"/>
      <c r="AV1067" s="412"/>
      <c r="AW1067" s="536">
        <v>1.86</v>
      </c>
      <c r="AX1067" s="332"/>
      <c r="AY1067" s="332"/>
      <c r="AZ1067" s="332"/>
      <c r="BA1067" s="536">
        <f>1.97-AY1067</f>
        <v>1.97</v>
      </c>
      <c r="BB1067" s="332"/>
      <c r="BC1067" s="536">
        <v>0.30999999999999983</v>
      </c>
      <c r="BD1067" s="332"/>
      <c r="BE1067" s="332"/>
      <c r="BF1067" s="499">
        <f t="shared" ref="BF1067:BF1098" si="87">AW1067</f>
        <v>1.86</v>
      </c>
      <c r="BG1067" s="499">
        <f>SUM(AW1067:BE1067)</f>
        <v>4.1399999999999997</v>
      </c>
      <c r="BJ1067" s="337"/>
    </row>
    <row r="1068" spans="1:62" ht="15" customHeight="1" thickBot="1" x14ac:dyDescent="0.25">
      <c r="A1068" s="176">
        <v>1069</v>
      </c>
      <c r="B1068" s="175">
        <v>1</v>
      </c>
      <c r="C1068" s="171" t="s">
        <v>162</v>
      </c>
      <c r="D1068" s="171" t="s">
        <v>839</v>
      </c>
      <c r="F1068" s="171" t="s">
        <v>3178</v>
      </c>
      <c r="H1068" s="171" t="s">
        <v>55</v>
      </c>
      <c r="I1068" s="189">
        <v>2012</v>
      </c>
      <c r="J1068" s="189" t="s">
        <v>3182</v>
      </c>
      <c r="K1068" s="189" t="s">
        <v>3183</v>
      </c>
      <c r="L1068" s="189" t="s">
        <v>19</v>
      </c>
      <c r="M1068" s="556" t="s">
        <v>4305</v>
      </c>
      <c r="AF1068" s="162" t="str">
        <f t="shared" si="79"/>
        <v/>
      </c>
      <c r="AG1068" s="162" t="str">
        <f t="shared" si="86"/>
        <v/>
      </c>
      <c r="AH1068" s="164">
        <f t="shared" si="80"/>
        <v>0.3</v>
      </c>
      <c r="AI1068" s="164" t="str">
        <f t="shared" si="81"/>
        <v/>
      </c>
      <c r="AJ1068" s="382"/>
      <c r="AK1068" s="382"/>
      <c r="AL1068" s="382"/>
      <c r="AM1068" s="382"/>
      <c r="AN1068" s="382"/>
      <c r="AO1068" s="382"/>
      <c r="AP1068" s="382"/>
      <c r="AQ1068" s="382"/>
      <c r="AR1068" s="382"/>
      <c r="AS1068" s="350"/>
      <c r="AT1068" s="202"/>
      <c r="AV1068" s="412"/>
      <c r="AW1068" s="536">
        <v>0.3</v>
      </c>
      <c r="AX1068" s="332"/>
      <c r="AY1068" s="332"/>
      <c r="AZ1068" s="332"/>
      <c r="BA1068" s="536">
        <v>0.36000000000000004</v>
      </c>
      <c r="BB1068" s="332"/>
      <c r="BC1068" s="536">
        <f>0.97-0.66</f>
        <v>0.30999999999999994</v>
      </c>
      <c r="BD1068" s="332"/>
      <c r="BE1068" s="332"/>
      <c r="BF1068" s="499">
        <f t="shared" si="87"/>
        <v>0.3</v>
      </c>
      <c r="BG1068" s="499">
        <f>SUM(AW1068:BE1068)</f>
        <v>0.97</v>
      </c>
      <c r="BJ1068" s="337"/>
    </row>
    <row r="1069" spans="1:62" ht="15" customHeight="1" thickBot="1" x14ac:dyDescent="0.25">
      <c r="A1069" s="176">
        <v>1070</v>
      </c>
      <c r="B1069" s="175">
        <v>1</v>
      </c>
      <c r="C1069" s="171" t="s">
        <v>162</v>
      </c>
      <c r="D1069" s="353" t="s">
        <v>4055</v>
      </c>
      <c r="H1069" s="171" t="s">
        <v>108</v>
      </c>
      <c r="I1069" s="189">
        <v>2013</v>
      </c>
      <c r="J1069" s="189" t="s">
        <v>3184</v>
      </c>
      <c r="L1069" s="189" t="s">
        <v>19</v>
      </c>
      <c r="M1069" s="556" t="s">
        <v>4306</v>
      </c>
      <c r="AF1069" s="162" t="str">
        <f t="shared" ref="AF1069:AF1132" si="88">IF(AS1069&lt;&gt;0,AS1069,"")</f>
        <v/>
      </c>
      <c r="AG1069" s="162" t="str">
        <f t="shared" si="86"/>
        <v/>
      </c>
      <c r="AH1069" s="164">
        <f t="shared" si="80"/>
        <v>2.1</v>
      </c>
      <c r="AI1069" s="164" t="str">
        <f t="shared" si="81"/>
        <v/>
      </c>
      <c r="AJ1069" s="382"/>
      <c r="AK1069" s="382"/>
      <c r="AL1069" s="382"/>
      <c r="AM1069" s="382"/>
      <c r="AN1069" s="382"/>
      <c r="AO1069" s="382"/>
      <c r="AP1069" s="382"/>
      <c r="AQ1069" s="382"/>
      <c r="AR1069" s="382"/>
      <c r="AS1069" s="350"/>
      <c r="AT1069" s="202"/>
      <c r="AV1069" s="412"/>
      <c r="AW1069" s="536">
        <v>2.1</v>
      </c>
      <c r="AX1069" s="332"/>
      <c r="AY1069" s="332"/>
      <c r="AZ1069" s="332"/>
      <c r="BA1069" s="536">
        <v>0.1</v>
      </c>
      <c r="BB1069" s="332"/>
      <c r="BC1069" s="332"/>
      <c r="BD1069" s="332"/>
      <c r="BE1069" s="332"/>
      <c r="BF1069" s="499">
        <f t="shared" si="87"/>
        <v>2.1</v>
      </c>
      <c r="BG1069" s="499"/>
      <c r="BJ1069" s="337"/>
    </row>
    <row r="1070" spans="1:62" ht="15" customHeight="1" thickBot="1" x14ac:dyDescent="0.25">
      <c r="A1070" s="176">
        <v>1071</v>
      </c>
      <c r="B1070" s="175">
        <v>1</v>
      </c>
      <c r="C1070" s="171" t="s">
        <v>162</v>
      </c>
      <c r="D1070" s="171" t="s">
        <v>839</v>
      </c>
      <c r="F1070" s="171" t="s">
        <v>3179</v>
      </c>
      <c r="H1070" s="171" t="s">
        <v>73</v>
      </c>
      <c r="I1070" s="189">
        <v>2013</v>
      </c>
      <c r="J1070" s="189" t="s">
        <v>3184</v>
      </c>
      <c r="L1070" s="189" t="s">
        <v>19</v>
      </c>
      <c r="M1070" s="556" t="s">
        <v>4306</v>
      </c>
      <c r="AF1070" s="162" t="str">
        <f t="shared" si="88"/>
        <v/>
      </c>
      <c r="AG1070" s="162" t="str">
        <f t="shared" si="86"/>
        <v/>
      </c>
      <c r="AH1070" s="164">
        <f t="shared" si="80"/>
        <v>0.3</v>
      </c>
      <c r="AI1070" s="164" t="str">
        <f t="shared" si="81"/>
        <v/>
      </c>
      <c r="AJ1070" s="382"/>
      <c r="AK1070" s="382"/>
      <c r="AL1070" s="382"/>
      <c r="AM1070" s="382"/>
      <c r="AN1070" s="382"/>
      <c r="AO1070" s="382"/>
      <c r="AP1070" s="382"/>
      <c r="AQ1070" s="382"/>
      <c r="AR1070" s="382"/>
      <c r="AS1070" s="350"/>
      <c r="AT1070" s="202"/>
      <c r="AV1070" s="412"/>
      <c r="AW1070" s="536">
        <v>0.3</v>
      </c>
      <c r="AX1070" s="332"/>
      <c r="AY1070" s="332"/>
      <c r="AZ1070" s="332"/>
      <c r="BA1070" s="536">
        <v>0.3</v>
      </c>
      <c r="BB1070" s="332"/>
      <c r="BC1070" s="332"/>
      <c r="BD1070" s="332"/>
      <c r="BE1070" s="332"/>
      <c r="BF1070" s="499">
        <f t="shared" si="87"/>
        <v>0.3</v>
      </c>
      <c r="BG1070" s="499">
        <f>SUM(AW1070:BE1070)</f>
        <v>0.6</v>
      </c>
      <c r="BJ1070" s="337"/>
    </row>
    <row r="1071" spans="1:62" ht="15" customHeight="1" thickBot="1" x14ac:dyDescent="0.25">
      <c r="A1071" s="176">
        <v>1072</v>
      </c>
      <c r="B1071" s="175">
        <v>1</v>
      </c>
      <c r="C1071" s="171" t="s">
        <v>162</v>
      </c>
      <c r="D1071" s="171" t="s">
        <v>839</v>
      </c>
      <c r="F1071" s="171" t="s">
        <v>3179</v>
      </c>
      <c r="H1071" s="171" t="s">
        <v>73</v>
      </c>
      <c r="I1071" s="189">
        <v>2012</v>
      </c>
      <c r="J1071" s="189" t="s">
        <v>3185</v>
      </c>
      <c r="K1071" s="189" t="s">
        <v>3186</v>
      </c>
      <c r="L1071" s="189" t="s">
        <v>19</v>
      </c>
      <c r="M1071" s="556" t="s">
        <v>4307</v>
      </c>
      <c r="AF1071" s="162" t="str">
        <f t="shared" si="88"/>
        <v/>
      </c>
      <c r="AG1071" s="162" t="str">
        <f t="shared" si="86"/>
        <v/>
      </c>
      <c r="AH1071" s="164">
        <f t="shared" si="80"/>
        <v>0.25</v>
      </c>
      <c r="AI1071" s="164" t="str">
        <f t="shared" si="81"/>
        <v/>
      </c>
      <c r="AJ1071" s="382"/>
      <c r="AK1071" s="382"/>
      <c r="AL1071" s="382"/>
      <c r="AM1071" s="382"/>
      <c r="AN1071" s="382"/>
      <c r="AO1071" s="382"/>
      <c r="AP1071" s="382"/>
      <c r="AQ1071" s="382"/>
      <c r="AR1071" s="382"/>
      <c r="AS1071" s="350"/>
      <c r="AT1071" s="202"/>
      <c r="AV1071" s="412"/>
      <c r="AW1071" s="536">
        <v>0.25</v>
      </c>
      <c r="AX1071" s="332"/>
      <c r="AY1071" s="332"/>
      <c r="AZ1071" s="332"/>
      <c r="BA1071" s="332"/>
      <c r="BB1071" s="332"/>
      <c r="BC1071" s="332"/>
      <c r="BD1071" s="332"/>
      <c r="BE1071" s="332"/>
      <c r="BF1071" s="499">
        <f t="shared" si="87"/>
        <v>0.25</v>
      </c>
      <c r="BG1071" s="499"/>
      <c r="BJ1071" s="337"/>
    </row>
    <row r="1072" spans="1:62" ht="15" customHeight="1" thickBot="1" x14ac:dyDescent="0.25">
      <c r="A1072" s="176">
        <v>1073</v>
      </c>
      <c r="B1072" s="175">
        <v>1</v>
      </c>
      <c r="C1072" s="171" t="s">
        <v>162</v>
      </c>
      <c r="D1072" s="171" t="s">
        <v>839</v>
      </c>
      <c r="F1072" s="171" t="s">
        <v>3179</v>
      </c>
      <c r="H1072" s="171" t="s">
        <v>3189</v>
      </c>
      <c r="I1072" s="189">
        <v>2015</v>
      </c>
      <c r="J1072" s="189" t="s">
        <v>3187</v>
      </c>
      <c r="K1072" s="189" t="s">
        <v>3188</v>
      </c>
      <c r="L1072" s="189" t="s">
        <v>19</v>
      </c>
      <c r="M1072" s="556" t="s">
        <v>4308</v>
      </c>
      <c r="AF1072" s="162" t="str">
        <f t="shared" si="88"/>
        <v/>
      </c>
      <c r="AG1072" s="162" t="str">
        <f t="shared" si="86"/>
        <v/>
      </c>
      <c r="AH1072" s="164">
        <f t="shared" si="80"/>
        <v>0.21500000000000002</v>
      </c>
      <c r="AI1072" s="164" t="str">
        <f t="shared" si="81"/>
        <v/>
      </c>
      <c r="AJ1072" s="382"/>
      <c r="AK1072" s="382"/>
      <c r="AL1072" s="382"/>
      <c r="AM1072" s="382"/>
      <c r="AN1072" s="382"/>
      <c r="AO1072" s="382"/>
      <c r="AP1072" s="382"/>
      <c r="AQ1072" s="382"/>
      <c r="AR1072" s="382"/>
      <c r="AS1072" s="350"/>
      <c r="AT1072" s="202"/>
      <c r="AV1072" s="412"/>
      <c r="AW1072" s="536">
        <f>0.012+0.203</f>
        <v>0.21500000000000002</v>
      </c>
      <c r="AX1072" s="332"/>
      <c r="AY1072" s="332"/>
      <c r="AZ1072" s="536">
        <v>9.0999999999999998E-2</v>
      </c>
      <c r="BA1072" s="536">
        <v>0.24</v>
      </c>
      <c r="BB1072" s="332"/>
      <c r="BC1072" s="332"/>
      <c r="BD1072" s="332"/>
      <c r="BE1072" s="332"/>
      <c r="BF1072" s="499">
        <f t="shared" si="87"/>
        <v>0.21500000000000002</v>
      </c>
      <c r="BG1072" s="499">
        <f>SUM(AW1072:BE1072)</f>
        <v>0.54600000000000004</v>
      </c>
      <c r="BJ1072" s="337"/>
    </row>
    <row r="1073" spans="1:62" ht="15" customHeight="1" thickBot="1" x14ac:dyDescent="0.25">
      <c r="A1073" s="176">
        <v>1074</v>
      </c>
      <c r="B1073" s="175">
        <v>1</v>
      </c>
      <c r="C1073" s="171" t="s">
        <v>162</v>
      </c>
      <c r="D1073" s="353" t="s">
        <v>4055</v>
      </c>
      <c r="F1073" s="296" t="s">
        <v>3175</v>
      </c>
      <c r="G1073" s="296"/>
      <c r="H1073" s="171" t="s">
        <v>165</v>
      </c>
      <c r="I1073" s="189">
        <v>2011</v>
      </c>
      <c r="J1073" s="189" t="s">
        <v>3190</v>
      </c>
      <c r="K1073" s="189" t="s">
        <v>3191</v>
      </c>
      <c r="L1073" s="189" t="s">
        <v>19</v>
      </c>
      <c r="M1073" s="556" t="s">
        <v>4309</v>
      </c>
      <c r="AF1073" s="162" t="str">
        <f t="shared" si="88"/>
        <v/>
      </c>
      <c r="AG1073" s="162" t="str">
        <f t="shared" si="86"/>
        <v/>
      </c>
      <c r="AH1073" s="164">
        <f t="shared" si="80"/>
        <v>2.0699999999999998</v>
      </c>
      <c r="AI1073" s="164" t="str">
        <f t="shared" si="81"/>
        <v/>
      </c>
      <c r="AJ1073" s="382"/>
      <c r="AK1073" s="382"/>
      <c r="AL1073" s="382"/>
      <c r="AM1073" s="382"/>
      <c r="AN1073" s="382"/>
      <c r="AO1073" s="382"/>
      <c r="AP1073" s="382"/>
      <c r="AQ1073" s="382"/>
      <c r="AR1073" s="382"/>
      <c r="AS1073" s="350"/>
      <c r="AT1073" s="202"/>
      <c r="AV1073" s="412"/>
      <c r="AW1073" s="536">
        <v>2.0699999999999998</v>
      </c>
      <c r="AX1073" s="332"/>
      <c r="AY1073" s="332"/>
      <c r="AZ1073" s="332"/>
      <c r="BA1073" s="332"/>
      <c r="BB1073" s="332"/>
      <c r="BC1073" s="332"/>
      <c r="BD1073" s="332"/>
      <c r="BE1073" s="332"/>
      <c r="BF1073" s="499">
        <f t="shared" si="87"/>
        <v>2.0699999999999998</v>
      </c>
      <c r="BG1073" s="499"/>
      <c r="BJ1073" s="337"/>
    </row>
    <row r="1074" spans="1:62" ht="15" customHeight="1" thickBot="1" x14ac:dyDescent="0.25">
      <c r="A1074" s="176">
        <v>1075</v>
      </c>
      <c r="B1074" s="175">
        <v>1</v>
      </c>
      <c r="C1074" s="171" t="s">
        <v>162</v>
      </c>
      <c r="D1074" s="353" t="s">
        <v>4055</v>
      </c>
      <c r="F1074" s="296" t="s">
        <v>3176</v>
      </c>
      <c r="G1074" s="296"/>
      <c r="H1074" s="171" t="s">
        <v>165</v>
      </c>
      <c r="I1074" s="189">
        <v>2011</v>
      </c>
      <c r="J1074" s="189" t="s">
        <v>3190</v>
      </c>
      <c r="K1074" s="189" t="s">
        <v>3191</v>
      </c>
      <c r="L1074" s="189" t="s">
        <v>19</v>
      </c>
      <c r="M1074" s="556" t="s">
        <v>4309</v>
      </c>
      <c r="AF1074" s="162" t="str">
        <f t="shared" si="88"/>
        <v/>
      </c>
      <c r="AG1074" s="162" t="str">
        <f t="shared" si="86"/>
        <v/>
      </c>
      <c r="AH1074" s="164">
        <f t="shared" si="80"/>
        <v>1.81</v>
      </c>
      <c r="AI1074" s="164" t="str">
        <f t="shared" si="81"/>
        <v/>
      </c>
      <c r="AJ1074" s="382"/>
      <c r="AK1074" s="382"/>
      <c r="AL1074" s="382"/>
      <c r="AM1074" s="382"/>
      <c r="AN1074" s="382"/>
      <c r="AO1074" s="382"/>
      <c r="AP1074" s="382"/>
      <c r="AQ1074" s="382"/>
      <c r="AR1074" s="382"/>
      <c r="AS1074" s="350"/>
      <c r="AT1074" s="202"/>
      <c r="AV1074" s="412"/>
      <c r="AW1074" s="536">
        <v>1.81</v>
      </c>
      <c r="AX1074" s="332"/>
      <c r="AY1074" s="332"/>
      <c r="AZ1074" s="332"/>
      <c r="BA1074" s="332"/>
      <c r="BB1074" s="332"/>
      <c r="BC1074" s="332"/>
      <c r="BD1074" s="332"/>
      <c r="BE1074" s="332"/>
      <c r="BF1074" s="499">
        <f t="shared" si="87"/>
        <v>1.81</v>
      </c>
      <c r="BG1074" s="499"/>
      <c r="BJ1074" s="337"/>
    </row>
    <row r="1075" spans="1:62" ht="15" customHeight="1" thickBot="1" x14ac:dyDescent="0.25">
      <c r="A1075" s="176">
        <v>1076</v>
      </c>
      <c r="B1075" s="175">
        <v>1</v>
      </c>
      <c r="C1075" s="171" t="s">
        <v>162</v>
      </c>
      <c r="D1075" s="353" t="s">
        <v>4055</v>
      </c>
      <c r="F1075" s="296" t="s">
        <v>3175</v>
      </c>
      <c r="G1075" s="296"/>
      <c r="H1075" s="171" t="s">
        <v>165</v>
      </c>
      <c r="I1075" s="189">
        <v>2011</v>
      </c>
      <c r="J1075" s="189" t="s">
        <v>3190</v>
      </c>
      <c r="K1075" s="189" t="s">
        <v>3191</v>
      </c>
      <c r="L1075" s="189" t="s">
        <v>19</v>
      </c>
      <c r="M1075" s="556" t="s">
        <v>4309</v>
      </c>
      <c r="AF1075" s="162" t="str">
        <f t="shared" si="88"/>
        <v/>
      </c>
      <c r="AG1075" s="162" t="str">
        <f t="shared" si="86"/>
        <v/>
      </c>
      <c r="AH1075" s="164">
        <f t="shared" si="80"/>
        <v>2.1</v>
      </c>
      <c r="AI1075" s="164" t="str">
        <f t="shared" si="81"/>
        <v/>
      </c>
      <c r="AJ1075" s="382"/>
      <c r="AK1075" s="382"/>
      <c r="AL1075" s="382"/>
      <c r="AM1075" s="382"/>
      <c r="AN1075" s="382"/>
      <c r="AO1075" s="382"/>
      <c r="AP1075" s="382"/>
      <c r="AQ1075" s="382"/>
      <c r="AR1075" s="382"/>
      <c r="AS1075" s="350"/>
      <c r="AT1075" s="202"/>
      <c r="AV1075" s="412"/>
      <c r="AW1075" s="536">
        <v>2.1</v>
      </c>
      <c r="AX1075" s="332"/>
      <c r="AY1075" s="332"/>
      <c r="AZ1075" s="332"/>
      <c r="BA1075" s="332"/>
      <c r="BB1075" s="332"/>
      <c r="BC1075" s="332"/>
      <c r="BD1075" s="332"/>
      <c r="BE1075" s="332"/>
      <c r="BF1075" s="499">
        <f t="shared" si="87"/>
        <v>2.1</v>
      </c>
      <c r="BG1075" s="499"/>
      <c r="BJ1075" s="337"/>
    </row>
    <row r="1076" spans="1:62" ht="15" customHeight="1" thickBot="1" x14ac:dyDescent="0.25">
      <c r="A1076" s="176">
        <v>1077</v>
      </c>
      <c r="B1076" s="175">
        <v>1</v>
      </c>
      <c r="C1076" s="171" t="s">
        <v>162</v>
      </c>
      <c r="D1076" s="353" t="s">
        <v>4055</v>
      </c>
      <c r="F1076" s="296" t="s">
        <v>3176</v>
      </c>
      <c r="G1076" s="296"/>
      <c r="H1076" s="171" t="s">
        <v>165</v>
      </c>
      <c r="I1076" s="189">
        <v>2011</v>
      </c>
      <c r="J1076" s="189" t="s">
        <v>3190</v>
      </c>
      <c r="K1076" s="189" t="s">
        <v>3191</v>
      </c>
      <c r="L1076" s="189" t="s">
        <v>19</v>
      </c>
      <c r="M1076" s="556" t="s">
        <v>4309</v>
      </c>
      <c r="AF1076" s="162" t="str">
        <f t="shared" si="88"/>
        <v/>
      </c>
      <c r="AG1076" s="162" t="str">
        <f t="shared" si="86"/>
        <v/>
      </c>
      <c r="AH1076" s="164">
        <f t="shared" si="80"/>
        <v>2.06</v>
      </c>
      <c r="AI1076" s="164" t="str">
        <f t="shared" si="81"/>
        <v/>
      </c>
      <c r="AJ1076" s="382"/>
      <c r="AK1076" s="382"/>
      <c r="AL1076" s="382"/>
      <c r="AM1076" s="382"/>
      <c r="AN1076" s="382"/>
      <c r="AO1076" s="382"/>
      <c r="AP1076" s="382"/>
      <c r="AQ1076" s="382"/>
      <c r="AR1076" s="382"/>
      <c r="AS1076" s="350"/>
      <c r="AT1076" s="202"/>
      <c r="AV1076" s="412"/>
      <c r="AW1076" s="536">
        <v>2.06</v>
      </c>
      <c r="AX1076" s="332"/>
      <c r="AY1076" s="332"/>
      <c r="AZ1076" s="332"/>
      <c r="BA1076" s="332"/>
      <c r="BB1076" s="332"/>
      <c r="BC1076" s="332"/>
      <c r="BD1076" s="332"/>
      <c r="BE1076" s="332"/>
      <c r="BF1076" s="499">
        <f t="shared" si="87"/>
        <v>2.06</v>
      </c>
      <c r="BG1076" s="499"/>
      <c r="BJ1076" s="337"/>
    </row>
    <row r="1077" spans="1:62" ht="15" customHeight="1" thickBot="1" x14ac:dyDescent="0.25">
      <c r="A1077" s="176">
        <v>1078</v>
      </c>
      <c r="B1077" s="175">
        <v>1</v>
      </c>
      <c r="C1077" s="171" t="s">
        <v>162</v>
      </c>
      <c r="D1077" s="353" t="s">
        <v>4055</v>
      </c>
      <c r="F1077" s="296" t="s">
        <v>3175</v>
      </c>
      <c r="G1077" s="296"/>
      <c r="H1077" s="171" t="s">
        <v>165</v>
      </c>
      <c r="I1077" s="189">
        <v>2011</v>
      </c>
      <c r="J1077" s="189" t="s">
        <v>3190</v>
      </c>
      <c r="K1077" s="189" t="s">
        <v>3191</v>
      </c>
      <c r="L1077" s="189" t="s">
        <v>19</v>
      </c>
      <c r="M1077" s="556" t="s">
        <v>4309</v>
      </c>
      <c r="AF1077" s="162" t="str">
        <f t="shared" si="88"/>
        <v/>
      </c>
      <c r="AG1077" s="162" t="str">
        <f t="shared" si="86"/>
        <v/>
      </c>
      <c r="AH1077" s="164">
        <f t="shared" si="80"/>
        <v>1.86</v>
      </c>
      <c r="AI1077" s="164" t="str">
        <f t="shared" si="81"/>
        <v/>
      </c>
      <c r="AJ1077" s="382"/>
      <c r="AK1077" s="382"/>
      <c r="AL1077" s="382"/>
      <c r="AM1077" s="382"/>
      <c r="AN1077" s="382"/>
      <c r="AO1077" s="382"/>
      <c r="AP1077" s="382"/>
      <c r="AQ1077" s="382"/>
      <c r="AR1077" s="382"/>
      <c r="AS1077" s="350"/>
      <c r="AT1077" s="202"/>
      <c r="AV1077" s="412"/>
      <c r="AW1077" s="536">
        <v>1.86</v>
      </c>
      <c r="AX1077" s="332"/>
      <c r="AY1077" s="332"/>
      <c r="AZ1077" s="332"/>
      <c r="BA1077" s="332"/>
      <c r="BB1077" s="332"/>
      <c r="BC1077" s="332"/>
      <c r="BD1077" s="332"/>
      <c r="BE1077" s="332"/>
      <c r="BF1077" s="499">
        <f t="shared" si="87"/>
        <v>1.86</v>
      </c>
      <c r="BG1077" s="499"/>
      <c r="BJ1077" s="337"/>
    </row>
    <row r="1078" spans="1:62" ht="15" customHeight="1" thickBot="1" x14ac:dyDescent="0.25">
      <c r="A1078" s="176">
        <v>1079</v>
      </c>
      <c r="B1078" s="175">
        <v>1</v>
      </c>
      <c r="C1078" s="171" t="s">
        <v>162</v>
      </c>
      <c r="D1078" s="353" t="s">
        <v>4055</v>
      </c>
      <c r="F1078" s="296" t="s">
        <v>3176</v>
      </c>
      <c r="G1078" s="296"/>
      <c r="H1078" s="171" t="s">
        <v>165</v>
      </c>
      <c r="I1078" s="189">
        <v>2011</v>
      </c>
      <c r="J1078" s="189" t="s">
        <v>3190</v>
      </c>
      <c r="K1078" s="189" t="s">
        <v>3191</v>
      </c>
      <c r="L1078" s="189" t="s">
        <v>19</v>
      </c>
      <c r="M1078" s="556" t="s">
        <v>4309</v>
      </c>
      <c r="AF1078" s="162" t="str">
        <f t="shared" si="88"/>
        <v/>
      </c>
      <c r="AG1078" s="162" t="str">
        <f t="shared" si="86"/>
        <v/>
      </c>
      <c r="AH1078" s="164">
        <f t="shared" si="80"/>
        <v>1.62</v>
      </c>
      <c r="AI1078" s="164" t="str">
        <f t="shared" si="81"/>
        <v/>
      </c>
      <c r="AJ1078" s="382"/>
      <c r="AK1078" s="382"/>
      <c r="AL1078" s="382"/>
      <c r="AM1078" s="382"/>
      <c r="AN1078" s="382"/>
      <c r="AO1078" s="382"/>
      <c r="AP1078" s="382"/>
      <c r="AQ1078" s="382"/>
      <c r="AR1078" s="382"/>
      <c r="AS1078" s="350"/>
      <c r="AT1078" s="202"/>
      <c r="AV1078" s="412"/>
      <c r="AW1078" s="536">
        <v>1.62</v>
      </c>
      <c r="AX1078" s="332"/>
      <c r="AY1078" s="332"/>
      <c r="AZ1078" s="332"/>
      <c r="BA1078" s="332"/>
      <c r="BB1078" s="332"/>
      <c r="BC1078" s="332"/>
      <c r="BD1078" s="332"/>
      <c r="BE1078" s="332"/>
      <c r="BF1078" s="499">
        <f t="shared" si="87"/>
        <v>1.62</v>
      </c>
      <c r="BG1078" s="499"/>
      <c r="BJ1078" s="337"/>
    </row>
    <row r="1079" spans="1:62" ht="15" customHeight="1" thickBot="1" x14ac:dyDescent="0.25">
      <c r="A1079" s="176">
        <v>1080</v>
      </c>
      <c r="B1079" s="175">
        <v>1</v>
      </c>
      <c r="C1079" s="171" t="s">
        <v>162</v>
      </c>
      <c r="D1079" s="353" t="s">
        <v>4055</v>
      </c>
      <c r="F1079" s="296" t="s">
        <v>3175</v>
      </c>
      <c r="G1079" s="296"/>
      <c r="H1079" s="171" t="s">
        <v>165</v>
      </c>
      <c r="I1079" s="189">
        <v>2011</v>
      </c>
      <c r="J1079" s="189" t="s">
        <v>3190</v>
      </c>
      <c r="K1079" s="189" t="s">
        <v>3191</v>
      </c>
      <c r="L1079" s="189" t="s">
        <v>19</v>
      </c>
      <c r="M1079" s="556" t="s">
        <v>4309</v>
      </c>
      <c r="AF1079" s="162" t="str">
        <f t="shared" si="88"/>
        <v/>
      </c>
      <c r="AG1079" s="162" t="str">
        <f t="shared" si="86"/>
        <v/>
      </c>
      <c r="AH1079" s="164">
        <f t="shared" si="80"/>
        <v>2.36</v>
      </c>
      <c r="AI1079" s="164" t="str">
        <f t="shared" si="81"/>
        <v/>
      </c>
      <c r="AJ1079" s="382"/>
      <c r="AK1079" s="382"/>
      <c r="AL1079" s="382"/>
      <c r="AM1079" s="382"/>
      <c r="AN1079" s="382"/>
      <c r="AO1079" s="382"/>
      <c r="AP1079" s="382"/>
      <c r="AQ1079" s="382"/>
      <c r="AR1079" s="382"/>
      <c r="AS1079" s="350"/>
      <c r="AT1079" s="202"/>
      <c r="AV1079" s="412"/>
      <c r="AW1079" s="536">
        <v>2.36</v>
      </c>
      <c r="AX1079" s="332"/>
      <c r="AY1079" s="332"/>
      <c r="AZ1079" s="332"/>
      <c r="BA1079" s="332"/>
      <c r="BB1079" s="332"/>
      <c r="BC1079" s="332"/>
      <c r="BD1079" s="332"/>
      <c r="BE1079" s="332"/>
      <c r="BF1079" s="499">
        <f t="shared" si="87"/>
        <v>2.36</v>
      </c>
      <c r="BG1079" s="499"/>
      <c r="BJ1079" s="337"/>
    </row>
    <row r="1080" spans="1:62" ht="15" customHeight="1" thickBot="1" x14ac:dyDescent="0.25">
      <c r="A1080" s="176">
        <v>1081</v>
      </c>
      <c r="B1080" s="175">
        <v>1</v>
      </c>
      <c r="C1080" s="171" t="s">
        <v>162</v>
      </c>
      <c r="D1080" s="353" t="s">
        <v>4055</v>
      </c>
      <c r="F1080" s="296" t="s">
        <v>3176</v>
      </c>
      <c r="G1080" s="296"/>
      <c r="H1080" s="171" t="s">
        <v>165</v>
      </c>
      <c r="I1080" s="189">
        <v>2011</v>
      </c>
      <c r="J1080" s="189" t="s">
        <v>3190</v>
      </c>
      <c r="K1080" s="189" t="s">
        <v>3191</v>
      </c>
      <c r="L1080" s="189" t="s">
        <v>19</v>
      </c>
      <c r="M1080" s="556" t="s">
        <v>4309</v>
      </c>
      <c r="AF1080" s="162" t="str">
        <f t="shared" si="88"/>
        <v/>
      </c>
      <c r="AG1080" s="162" t="str">
        <f t="shared" si="86"/>
        <v/>
      </c>
      <c r="AH1080" s="164">
        <f t="shared" si="80"/>
        <v>2.31</v>
      </c>
      <c r="AI1080" s="164" t="str">
        <f t="shared" si="81"/>
        <v/>
      </c>
      <c r="AJ1080" s="382"/>
      <c r="AK1080" s="382"/>
      <c r="AL1080" s="382"/>
      <c r="AM1080" s="382"/>
      <c r="AN1080" s="382"/>
      <c r="AO1080" s="382"/>
      <c r="AP1080" s="382"/>
      <c r="AQ1080" s="382"/>
      <c r="AR1080" s="382"/>
      <c r="AS1080" s="350"/>
      <c r="AT1080" s="202"/>
      <c r="AV1080" s="412"/>
      <c r="AW1080" s="536">
        <v>2.31</v>
      </c>
      <c r="AX1080" s="332"/>
      <c r="AY1080" s="332"/>
      <c r="AZ1080" s="332"/>
      <c r="BA1080" s="332"/>
      <c r="BB1080" s="332"/>
      <c r="BC1080" s="332"/>
      <c r="BD1080" s="332"/>
      <c r="BE1080" s="332"/>
      <c r="BF1080" s="499">
        <f t="shared" si="87"/>
        <v>2.31</v>
      </c>
      <c r="BG1080" s="499"/>
      <c r="BJ1080" s="337"/>
    </row>
    <row r="1081" spans="1:62" ht="15" customHeight="1" thickBot="1" x14ac:dyDescent="0.25">
      <c r="A1081" s="176">
        <v>1082</v>
      </c>
      <c r="B1081" s="175">
        <v>1</v>
      </c>
      <c r="C1081" s="171" t="s">
        <v>162</v>
      </c>
      <c r="D1081" s="171" t="s">
        <v>839</v>
      </c>
      <c r="F1081" s="296" t="s">
        <v>3177</v>
      </c>
      <c r="G1081" s="296"/>
      <c r="H1081" s="171" t="s">
        <v>165</v>
      </c>
      <c r="I1081" s="189">
        <v>2011</v>
      </c>
      <c r="J1081" s="189" t="s">
        <v>3190</v>
      </c>
      <c r="K1081" s="189" t="s">
        <v>3191</v>
      </c>
      <c r="L1081" s="189" t="s">
        <v>19</v>
      </c>
      <c r="M1081" s="556" t="s">
        <v>4309</v>
      </c>
      <c r="AF1081" s="162" t="str">
        <f t="shared" si="88"/>
        <v/>
      </c>
      <c r="AG1081" s="162" t="str">
        <f t="shared" si="86"/>
        <v/>
      </c>
      <c r="AH1081" s="164">
        <f t="shared" si="80"/>
        <v>0.50800000000000001</v>
      </c>
      <c r="AI1081" s="164" t="str">
        <f t="shared" si="81"/>
        <v/>
      </c>
      <c r="AJ1081" s="382"/>
      <c r="AK1081" s="382"/>
      <c r="AL1081" s="382"/>
      <c r="AM1081" s="382"/>
      <c r="AN1081" s="382"/>
      <c r="AO1081" s="382"/>
      <c r="AP1081" s="382"/>
      <c r="AQ1081" s="382"/>
      <c r="AR1081" s="382"/>
      <c r="AS1081" s="350"/>
      <c r="AT1081" s="202"/>
      <c r="AV1081" s="412"/>
      <c r="AW1081" s="536">
        <v>0.50800000000000001</v>
      </c>
      <c r="AX1081" s="332"/>
      <c r="AY1081" s="332"/>
      <c r="AZ1081" s="332"/>
      <c r="BA1081" s="332"/>
      <c r="BB1081" s="332"/>
      <c r="BC1081" s="332"/>
      <c r="BD1081" s="332"/>
      <c r="BE1081" s="332"/>
      <c r="BF1081" s="501">
        <f t="shared" si="87"/>
        <v>0.50800000000000001</v>
      </c>
      <c r="BG1081" s="499"/>
      <c r="BJ1081" s="337"/>
    </row>
    <row r="1082" spans="1:62" ht="15" customHeight="1" thickBot="1" x14ac:dyDescent="0.25">
      <c r="A1082" s="176">
        <v>1083</v>
      </c>
      <c r="B1082" s="175">
        <v>1</v>
      </c>
      <c r="C1082" s="171" t="s">
        <v>596</v>
      </c>
      <c r="D1082" s="159" t="s">
        <v>2020</v>
      </c>
      <c r="I1082" s="189">
        <v>2005</v>
      </c>
      <c r="J1082" s="189" t="s">
        <v>3193</v>
      </c>
      <c r="L1082" s="189" t="s">
        <v>3219</v>
      </c>
      <c r="M1082" s="556" t="s">
        <v>4310</v>
      </c>
      <c r="AF1082" s="162" t="str">
        <f t="shared" si="88"/>
        <v/>
      </c>
      <c r="AG1082" s="162" t="str">
        <f t="shared" si="86"/>
        <v/>
      </c>
      <c r="AH1082" s="164">
        <f t="shared" si="80"/>
        <v>0.33333333333333331</v>
      </c>
      <c r="AI1082" s="164">
        <f t="shared" si="81"/>
        <v>0.71972789115646263</v>
      </c>
      <c r="AJ1082" s="382"/>
      <c r="AK1082" s="382"/>
      <c r="AL1082" s="382"/>
      <c r="AM1082" s="382"/>
      <c r="AN1082" s="382"/>
      <c r="AO1082" s="382"/>
      <c r="AP1082" s="382"/>
      <c r="AQ1082" s="382"/>
      <c r="AR1082" s="382"/>
      <c r="AS1082" s="350"/>
      <c r="AT1082" s="203"/>
      <c r="AV1082" s="412"/>
      <c r="AW1082" s="344">
        <v>0.33333333333333331</v>
      </c>
      <c r="AX1082" s="344"/>
      <c r="AY1082" s="344">
        <v>0.38639455782312926</v>
      </c>
      <c r="AZ1082" s="344" t="s">
        <v>3192</v>
      </c>
      <c r="BA1082" s="344">
        <v>0.35374149659863946</v>
      </c>
      <c r="BB1082" s="344" t="s">
        <v>3192</v>
      </c>
      <c r="BC1082" s="344"/>
      <c r="BD1082" s="345" t="s">
        <v>3192</v>
      </c>
      <c r="BE1082" s="334"/>
      <c r="BF1082" s="501">
        <f t="shared" si="87"/>
        <v>0.33333333333333331</v>
      </c>
      <c r="BG1082" s="501">
        <v>1.073469387755102</v>
      </c>
      <c r="BJ1082" s="337"/>
    </row>
    <row r="1083" spans="1:62" ht="15" customHeight="1" thickBot="1" x14ac:dyDescent="0.25">
      <c r="A1083" s="176">
        <v>1084</v>
      </c>
      <c r="B1083" s="175">
        <v>1</v>
      </c>
      <c r="C1083" s="171" t="s">
        <v>596</v>
      </c>
      <c r="D1083" s="159" t="s">
        <v>2020</v>
      </c>
      <c r="I1083" s="189">
        <v>2006</v>
      </c>
      <c r="J1083" s="189" t="s">
        <v>3194</v>
      </c>
      <c r="L1083" s="189" t="s">
        <v>3219</v>
      </c>
      <c r="M1083" s="556" t="s">
        <v>4310</v>
      </c>
      <c r="AF1083" s="162" t="str">
        <f t="shared" si="88"/>
        <v/>
      </c>
      <c r="AG1083" s="162" t="str">
        <f t="shared" si="86"/>
        <v/>
      </c>
      <c r="AH1083" s="164">
        <f t="shared" si="80"/>
        <v>0.21088435374149658</v>
      </c>
      <c r="AI1083" s="164">
        <f t="shared" si="81"/>
        <v>0.69523809523809521</v>
      </c>
      <c r="AJ1083" s="382"/>
      <c r="AK1083" s="382"/>
      <c r="AL1083" s="382"/>
      <c r="AM1083" s="382"/>
      <c r="AN1083" s="382"/>
      <c r="AO1083" s="382"/>
      <c r="AP1083" s="382"/>
      <c r="AQ1083" s="382"/>
      <c r="AR1083" s="382"/>
      <c r="AS1083" s="350"/>
      <c r="AT1083" s="202"/>
      <c r="AV1083" s="412"/>
      <c r="AW1083" s="344">
        <v>0.21088435374149658</v>
      </c>
      <c r="AX1083" s="344"/>
      <c r="AY1083" s="344">
        <v>0.48435374149659866</v>
      </c>
      <c r="AZ1083" s="344">
        <v>1.361904761904762</v>
      </c>
      <c r="BA1083" s="344">
        <v>0.18367346938775511</v>
      </c>
      <c r="BB1083" s="344" t="s">
        <v>3192</v>
      </c>
      <c r="BC1083" s="344"/>
      <c r="BD1083" s="345" t="s">
        <v>3192</v>
      </c>
      <c r="BE1083" s="334"/>
      <c r="BF1083" s="501">
        <f t="shared" si="87"/>
        <v>0.21088435374149658</v>
      </c>
      <c r="BG1083" s="501">
        <v>2.2408163265306125</v>
      </c>
      <c r="BJ1083" s="337"/>
    </row>
    <row r="1084" spans="1:62" ht="15" customHeight="1" thickBot="1" x14ac:dyDescent="0.25">
      <c r="A1084" s="176">
        <v>1085</v>
      </c>
      <c r="B1084" s="175">
        <v>1</v>
      </c>
      <c r="C1084" s="171" t="s">
        <v>596</v>
      </c>
      <c r="D1084" s="159" t="s">
        <v>2020</v>
      </c>
      <c r="I1084" s="189">
        <v>2011</v>
      </c>
      <c r="J1084" s="189" t="s">
        <v>3195</v>
      </c>
      <c r="L1084" s="189" t="s">
        <v>3219</v>
      </c>
      <c r="M1084" s="556" t="s">
        <v>4310</v>
      </c>
      <c r="AF1084" s="162" t="str">
        <f t="shared" si="88"/>
        <v/>
      </c>
      <c r="AG1084" s="162" t="str">
        <f t="shared" si="86"/>
        <v/>
      </c>
      <c r="AH1084" s="164">
        <f t="shared" si="80"/>
        <v>9.6598639455782315E-2</v>
      </c>
      <c r="AI1084" s="164">
        <f t="shared" si="81"/>
        <v>0.23129251700680273</v>
      </c>
      <c r="AJ1084" s="382"/>
      <c r="AK1084" s="382"/>
      <c r="AL1084" s="382"/>
      <c r="AM1084" s="382"/>
      <c r="AN1084" s="382"/>
      <c r="AO1084" s="382"/>
      <c r="AP1084" s="382"/>
      <c r="AQ1084" s="382"/>
      <c r="AR1084" s="382"/>
      <c r="AS1084" s="350"/>
      <c r="AT1084" s="202"/>
      <c r="AV1084" s="412"/>
      <c r="AW1084" s="344">
        <v>9.6598639455782315E-2</v>
      </c>
      <c r="AX1084" s="344"/>
      <c r="AY1084" s="344">
        <v>0.13469387755102041</v>
      </c>
      <c r="AZ1084" s="344">
        <v>0.92108843537414975</v>
      </c>
      <c r="BA1084" s="344">
        <v>0.67210884353741496</v>
      </c>
      <c r="BB1084" s="344" t="s">
        <v>3192</v>
      </c>
      <c r="BC1084" s="344"/>
      <c r="BD1084" s="345">
        <v>9.6598639455782315E-2</v>
      </c>
      <c r="BE1084" s="334"/>
      <c r="BF1084" s="501">
        <f t="shared" si="87"/>
        <v>9.6598639455782315E-2</v>
      </c>
      <c r="BG1084" s="501">
        <v>1.9183673469387754</v>
      </c>
      <c r="BJ1084" s="337"/>
    </row>
    <row r="1085" spans="1:62" ht="15" customHeight="1" thickBot="1" x14ac:dyDescent="0.25">
      <c r="A1085" s="176">
        <v>1086</v>
      </c>
      <c r="B1085" s="175">
        <v>1</v>
      </c>
      <c r="C1085" s="171" t="s">
        <v>596</v>
      </c>
      <c r="D1085" s="159" t="s">
        <v>2020</v>
      </c>
      <c r="I1085" s="189">
        <v>2011</v>
      </c>
      <c r="J1085" s="189" t="s">
        <v>3195</v>
      </c>
      <c r="L1085" s="189" t="s">
        <v>3219</v>
      </c>
      <c r="M1085" s="556" t="s">
        <v>4310</v>
      </c>
      <c r="AF1085" s="162" t="str">
        <f t="shared" si="88"/>
        <v/>
      </c>
      <c r="AG1085" s="162" t="str">
        <f t="shared" si="86"/>
        <v/>
      </c>
      <c r="AH1085" s="164">
        <f t="shared" si="80"/>
        <v>0.11700680272108842</v>
      </c>
      <c r="AI1085" s="164">
        <f t="shared" si="81"/>
        <v>0.17551020408163262</v>
      </c>
      <c r="AJ1085" s="382"/>
      <c r="AK1085" s="382"/>
      <c r="AL1085" s="382"/>
      <c r="AM1085" s="382"/>
      <c r="AN1085" s="382"/>
      <c r="AO1085" s="382"/>
      <c r="AP1085" s="382"/>
      <c r="AQ1085" s="382"/>
      <c r="AR1085" s="382"/>
      <c r="AS1085" s="350"/>
      <c r="AT1085" s="202"/>
      <c r="AV1085" s="412"/>
      <c r="AW1085" s="344">
        <v>0.11700680272108842</v>
      </c>
      <c r="AX1085" s="344"/>
      <c r="AY1085" s="344">
        <v>5.8503401360544209E-2</v>
      </c>
      <c r="AZ1085" s="344">
        <v>1.0122448979591838</v>
      </c>
      <c r="BA1085" s="344">
        <v>0.64217687074829921</v>
      </c>
      <c r="BB1085" s="344" t="s">
        <v>3192</v>
      </c>
      <c r="BC1085" s="344"/>
      <c r="BD1085" s="345">
        <v>0.11700680272108842</v>
      </c>
      <c r="BE1085" s="334"/>
      <c r="BF1085" s="501">
        <f t="shared" si="87"/>
        <v>0.11700680272108842</v>
      </c>
      <c r="BG1085" s="501">
        <v>1.9455782312925169</v>
      </c>
      <c r="BJ1085" s="337"/>
    </row>
    <row r="1086" spans="1:62" ht="15" customHeight="1" thickBot="1" x14ac:dyDescent="0.25">
      <c r="A1086" s="176">
        <v>1087</v>
      </c>
      <c r="B1086" s="175">
        <v>1</v>
      </c>
      <c r="C1086" s="171" t="s">
        <v>596</v>
      </c>
      <c r="D1086" s="159" t="s">
        <v>2020</v>
      </c>
      <c r="I1086" s="189">
        <v>2010</v>
      </c>
      <c r="J1086" s="189" t="s">
        <v>3196</v>
      </c>
      <c r="L1086" s="189" t="s">
        <v>3219</v>
      </c>
      <c r="M1086" s="556" t="s">
        <v>4310</v>
      </c>
      <c r="AF1086" s="162" t="str">
        <f t="shared" si="88"/>
        <v/>
      </c>
      <c r="AG1086" s="162" t="str">
        <f t="shared" si="86"/>
        <v/>
      </c>
      <c r="AH1086" s="164">
        <f t="shared" si="80"/>
        <v>0.96326530612244898</v>
      </c>
      <c r="AI1086" s="164">
        <f t="shared" si="81"/>
        <v>0.96734693877551026</v>
      </c>
      <c r="AJ1086" s="382"/>
      <c r="AK1086" s="382"/>
      <c r="AL1086" s="382"/>
      <c r="AM1086" s="382"/>
      <c r="AN1086" s="382"/>
      <c r="AO1086" s="382"/>
      <c r="AP1086" s="382"/>
      <c r="AQ1086" s="382"/>
      <c r="AR1086" s="382"/>
      <c r="AS1086" s="350"/>
      <c r="AT1086" s="202"/>
      <c r="AV1086" s="412"/>
      <c r="AW1086" s="344">
        <v>0.96326530612244898</v>
      </c>
      <c r="AX1086" s="344"/>
      <c r="AY1086" s="344">
        <v>4.081632653061224E-3</v>
      </c>
      <c r="AZ1086" s="344">
        <v>1.2666666666666668</v>
      </c>
      <c r="BA1086" s="344" t="s">
        <v>3192</v>
      </c>
      <c r="BB1086" s="344" t="s">
        <v>3192</v>
      </c>
      <c r="BC1086" s="344"/>
      <c r="BD1086" s="345" t="s">
        <v>3192</v>
      </c>
      <c r="BE1086" s="334"/>
      <c r="BF1086" s="501">
        <f t="shared" si="87"/>
        <v>0.96326530612244898</v>
      </c>
      <c r="BG1086" s="501">
        <v>2.2340136054421769</v>
      </c>
      <c r="BJ1086" s="337"/>
    </row>
    <row r="1087" spans="1:62" ht="15" customHeight="1" thickBot="1" x14ac:dyDescent="0.25">
      <c r="A1087" s="176">
        <v>1088</v>
      </c>
      <c r="B1087" s="175">
        <v>1</v>
      </c>
      <c r="C1087" s="171" t="s">
        <v>596</v>
      </c>
      <c r="D1087" s="159" t="s">
        <v>2020</v>
      </c>
      <c r="I1087" s="189">
        <v>2011</v>
      </c>
      <c r="J1087" s="189" t="s">
        <v>3197</v>
      </c>
      <c r="L1087" s="189" t="s">
        <v>3219</v>
      </c>
      <c r="M1087" s="556" t="s">
        <v>4310</v>
      </c>
      <c r="AF1087" s="162" t="str">
        <f t="shared" si="88"/>
        <v/>
      </c>
      <c r="AG1087" s="162" t="str">
        <f t="shared" si="86"/>
        <v/>
      </c>
      <c r="AH1087" s="164">
        <f t="shared" si="80"/>
        <v>0.44897959183673469</v>
      </c>
      <c r="AI1087" s="164">
        <f t="shared" si="81"/>
        <v>0.7482993197278911</v>
      </c>
      <c r="AJ1087" s="382"/>
      <c r="AK1087" s="382"/>
      <c r="AL1087" s="382"/>
      <c r="AM1087" s="382"/>
      <c r="AN1087" s="382"/>
      <c r="AO1087" s="382"/>
      <c r="AP1087" s="382"/>
      <c r="AQ1087" s="382"/>
      <c r="AR1087" s="382"/>
      <c r="AS1087" s="350"/>
      <c r="AT1087" s="202"/>
      <c r="AV1087" s="412"/>
      <c r="AW1087" s="344">
        <v>0.44897959183673469</v>
      </c>
      <c r="AX1087" s="344"/>
      <c r="AY1087" s="344">
        <v>0.29931972789115646</v>
      </c>
      <c r="AZ1087" s="344">
        <v>0.62585034013605445</v>
      </c>
      <c r="BA1087" s="344">
        <v>5.4421768707482998E-2</v>
      </c>
      <c r="BB1087" s="344" t="s">
        <v>3192</v>
      </c>
      <c r="BC1087" s="344"/>
      <c r="BD1087" s="345">
        <v>4.0816326530612242E-2</v>
      </c>
      <c r="BE1087" s="334"/>
      <c r="BF1087" s="501">
        <f t="shared" si="87"/>
        <v>0.44897959183673469</v>
      </c>
      <c r="BG1087" s="501">
        <v>1.4693877551020409</v>
      </c>
      <c r="BJ1087" s="337"/>
    </row>
    <row r="1088" spans="1:62" ht="15" customHeight="1" thickBot="1" x14ac:dyDescent="0.25">
      <c r="A1088" s="176">
        <v>1089</v>
      </c>
      <c r="B1088" s="175">
        <v>1</v>
      </c>
      <c r="C1088" s="171" t="s">
        <v>596</v>
      </c>
      <c r="D1088" s="159" t="s">
        <v>2020</v>
      </c>
      <c r="I1088" s="189">
        <v>2011</v>
      </c>
      <c r="J1088" s="189" t="s">
        <v>3197</v>
      </c>
      <c r="L1088" s="189" t="s">
        <v>3219</v>
      </c>
      <c r="M1088" s="556" t="s">
        <v>4310</v>
      </c>
      <c r="AF1088" s="162" t="str">
        <f t="shared" si="88"/>
        <v/>
      </c>
      <c r="AG1088" s="162" t="str">
        <f t="shared" si="86"/>
        <v/>
      </c>
      <c r="AH1088" s="164">
        <f t="shared" si="80"/>
        <v>0.29931972789115646</v>
      </c>
      <c r="AI1088" s="164">
        <f t="shared" si="81"/>
        <v>0.35374149659863946</v>
      </c>
      <c r="AJ1088" s="382"/>
      <c r="AK1088" s="382"/>
      <c r="AL1088" s="382"/>
      <c r="AM1088" s="382"/>
      <c r="AN1088" s="382"/>
      <c r="AO1088" s="382"/>
      <c r="AP1088" s="382"/>
      <c r="AQ1088" s="382"/>
      <c r="AR1088" s="382"/>
      <c r="AS1088" s="350"/>
      <c r="AT1088" s="202"/>
      <c r="AV1088" s="412"/>
      <c r="AW1088" s="344">
        <v>0.29931972789115646</v>
      </c>
      <c r="AX1088" s="344"/>
      <c r="AY1088" s="344">
        <v>5.4421768707482998E-2</v>
      </c>
      <c r="AZ1088" s="344">
        <v>0.73469387755102045</v>
      </c>
      <c r="BA1088" s="344">
        <v>0.59863945578231292</v>
      </c>
      <c r="BB1088" s="344" t="s">
        <v>3192</v>
      </c>
      <c r="BC1088" s="344"/>
      <c r="BD1088" s="345">
        <v>4.0816326530612242E-2</v>
      </c>
      <c r="BE1088" s="334"/>
      <c r="BF1088" s="501">
        <f t="shared" si="87"/>
        <v>0.29931972789115646</v>
      </c>
      <c r="BG1088" s="501">
        <v>1.7278911564625852</v>
      </c>
      <c r="BJ1088" s="337"/>
    </row>
    <row r="1089" spans="1:62" ht="15" customHeight="1" thickBot="1" x14ac:dyDescent="0.25">
      <c r="A1089" s="176">
        <v>1090</v>
      </c>
      <c r="B1089" s="175">
        <v>1</v>
      </c>
      <c r="C1089" s="171" t="s">
        <v>596</v>
      </c>
      <c r="D1089" s="159" t="s">
        <v>2020</v>
      </c>
      <c r="I1089" s="189">
        <v>2011</v>
      </c>
      <c r="J1089" s="189" t="s">
        <v>3197</v>
      </c>
      <c r="L1089" s="189" t="s">
        <v>3219</v>
      </c>
      <c r="M1089" s="556" t="s">
        <v>4310</v>
      </c>
      <c r="AF1089" s="162" t="str">
        <f t="shared" si="88"/>
        <v/>
      </c>
      <c r="AG1089" s="162" t="str">
        <f t="shared" si="86"/>
        <v/>
      </c>
      <c r="AH1089" s="164">
        <f t="shared" si="80"/>
        <v>0.16326530612244899</v>
      </c>
      <c r="AI1089" s="164">
        <f t="shared" si="81"/>
        <v>0.2857142857142857</v>
      </c>
      <c r="AJ1089" s="382"/>
      <c r="AK1089" s="382"/>
      <c r="AL1089" s="382"/>
      <c r="AM1089" s="382"/>
      <c r="AN1089" s="382"/>
      <c r="AO1089" s="382"/>
      <c r="AP1089" s="382"/>
      <c r="AQ1089" s="382"/>
      <c r="AR1089" s="382"/>
      <c r="AS1089" s="350"/>
      <c r="AT1089" s="202"/>
      <c r="AV1089" s="412"/>
      <c r="AW1089" s="344">
        <v>0.16326530612244899</v>
      </c>
      <c r="AX1089" s="344"/>
      <c r="AY1089" s="344">
        <v>0.12244897959183673</v>
      </c>
      <c r="AZ1089" s="344">
        <v>0.43537414965986398</v>
      </c>
      <c r="BA1089" s="344">
        <v>0.12244897959183673</v>
      </c>
      <c r="BB1089" s="344" t="s">
        <v>3192</v>
      </c>
      <c r="BC1089" s="344"/>
      <c r="BD1089" s="345">
        <v>2.7210884353741499E-2</v>
      </c>
      <c r="BE1089" s="334"/>
      <c r="BF1089" s="501">
        <f t="shared" si="87"/>
        <v>0.16326530612244899</v>
      </c>
      <c r="BG1089" s="501">
        <v>0.87074829931972797</v>
      </c>
      <c r="BJ1089" s="337"/>
    </row>
    <row r="1090" spans="1:62" ht="15" customHeight="1" thickBot="1" x14ac:dyDescent="0.25">
      <c r="A1090" s="176">
        <v>1091</v>
      </c>
      <c r="B1090" s="175">
        <v>1</v>
      </c>
      <c r="C1090" s="171" t="s">
        <v>596</v>
      </c>
      <c r="D1090" s="159" t="s">
        <v>2020</v>
      </c>
      <c r="I1090" s="189">
        <v>2011</v>
      </c>
      <c r="J1090" s="189" t="s">
        <v>3197</v>
      </c>
      <c r="L1090" s="189" t="s">
        <v>3219</v>
      </c>
      <c r="M1090" s="556" t="s">
        <v>4310</v>
      </c>
      <c r="AF1090" s="162" t="str">
        <f t="shared" si="88"/>
        <v/>
      </c>
      <c r="AG1090" s="162" t="str">
        <f t="shared" si="86"/>
        <v/>
      </c>
      <c r="AH1090" s="164">
        <f t="shared" ref="AH1090:AH1153" si="89">IF(BF1090&lt;&gt;0,BF1090,"")</f>
        <v>0.25850340136054417</v>
      </c>
      <c r="AI1090" s="164">
        <f t="shared" ref="AI1090:AI1153" si="90">IF(AND(SUM(AW1090:AY1090)&lt;&gt;0,SUM(AW1090:AY1090)&lt;&gt;AW1090),SUM(AW1090:AY1090),"")</f>
        <v>0.32653061224489788</v>
      </c>
      <c r="AJ1090" s="382"/>
      <c r="AK1090" s="382"/>
      <c r="AL1090" s="382"/>
      <c r="AM1090" s="382"/>
      <c r="AN1090" s="382"/>
      <c r="AO1090" s="382"/>
      <c r="AP1090" s="382"/>
      <c r="AQ1090" s="382"/>
      <c r="AR1090" s="382"/>
      <c r="AS1090" s="350"/>
      <c r="AT1090" s="202"/>
      <c r="AV1090" s="412"/>
      <c r="AW1090" s="344">
        <v>0.25850340136054417</v>
      </c>
      <c r="AX1090" s="344"/>
      <c r="AY1090" s="344">
        <v>6.8027210884353734E-2</v>
      </c>
      <c r="AZ1090" s="344">
        <v>0.82993197278911568</v>
      </c>
      <c r="BA1090" s="344">
        <v>2.7210884353741499E-2</v>
      </c>
      <c r="BB1090" s="344" t="s">
        <v>3192</v>
      </c>
      <c r="BC1090" s="344"/>
      <c r="BD1090" s="345">
        <v>4.0816326530612242E-2</v>
      </c>
      <c r="BE1090" s="334"/>
      <c r="BF1090" s="501">
        <f t="shared" si="87"/>
        <v>0.25850340136054417</v>
      </c>
      <c r="BG1090" s="501">
        <v>1.2244897959183676</v>
      </c>
      <c r="BJ1090" s="337"/>
    </row>
    <row r="1091" spans="1:62" ht="15" customHeight="1" thickBot="1" x14ac:dyDescent="0.25">
      <c r="A1091" s="176">
        <v>1092</v>
      </c>
      <c r="B1091" s="175">
        <v>1</v>
      </c>
      <c r="C1091" s="171" t="s">
        <v>596</v>
      </c>
      <c r="D1091" s="159" t="s">
        <v>2020</v>
      </c>
      <c r="I1091" s="189">
        <v>2009</v>
      </c>
      <c r="J1091" s="189" t="s">
        <v>3198</v>
      </c>
      <c r="L1091" s="189" t="s">
        <v>3219</v>
      </c>
      <c r="M1091" s="556" t="s">
        <v>4310</v>
      </c>
      <c r="AF1091" s="162" t="str">
        <f t="shared" si="88"/>
        <v/>
      </c>
      <c r="AG1091" s="162" t="str">
        <f t="shared" si="86"/>
        <v/>
      </c>
      <c r="AH1091" s="164">
        <f t="shared" si="89"/>
        <v>0.47755102040816327</v>
      </c>
      <c r="AI1091" s="164">
        <f t="shared" si="90"/>
        <v>0.66802721088435379</v>
      </c>
      <c r="AJ1091" s="382"/>
      <c r="AK1091" s="382"/>
      <c r="AL1091" s="382"/>
      <c r="AM1091" s="382"/>
      <c r="AN1091" s="382"/>
      <c r="AO1091" s="382"/>
      <c r="AP1091" s="382"/>
      <c r="AQ1091" s="382"/>
      <c r="AR1091" s="382"/>
      <c r="AS1091" s="350"/>
      <c r="AT1091" s="203"/>
      <c r="AV1091" s="412"/>
      <c r="AW1091" s="344">
        <v>0.47755102040816327</v>
      </c>
      <c r="AX1091" s="344"/>
      <c r="AY1091" s="344">
        <v>0.19047619047619052</v>
      </c>
      <c r="AZ1091" s="344">
        <v>0.38095238095238104</v>
      </c>
      <c r="BA1091" s="344" t="s">
        <v>3192</v>
      </c>
      <c r="BB1091" s="344" t="s">
        <v>3192</v>
      </c>
      <c r="BC1091" s="344"/>
      <c r="BD1091" s="345" t="s">
        <v>3192</v>
      </c>
      <c r="BE1091" s="334"/>
      <c r="BF1091" s="501">
        <f t="shared" si="87"/>
        <v>0.47755102040816327</v>
      </c>
      <c r="BG1091" s="501">
        <v>1.0489795918367348</v>
      </c>
      <c r="BJ1091" s="337"/>
    </row>
    <row r="1092" spans="1:62" ht="15" customHeight="1" thickBot="1" x14ac:dyDescent="0.25">
      <c r="A1092" s="176">
        <v>1093</v>
      </c>
      <c r="B1092" s="175">
        <v>1</v>
      </c>
      <c r="C1092" s="171" t="s">
        <v>596</v>
      </c>
      <c r="D1092" s="159" t="s">
        <v>2020</v>
      </c>
      <c r="I1092" s="189">
        <v>2009</v>
      </c>
      <c r="J1092" s="189" t="s">
        <v>3199</v>
      </c>
      <c r="L1092" s="189" t="s">
        <v>3219</v>
      </c>
      <c r="M1092" s="556" t="s">
        <v>4310</v>
      </c>
      <c r="AF1092" s="162" t="str">
        <f t="shared" si="88"/>
        <v/>
      </c>
      <c r="AG1092" s="162" t="str">
        <f t="shared" si="86"/>
        <v/>
      </c>
      <c r="AH1092" s="164">
        <f t="shared" si="89"/>
        <v>0.28979591836734697</v>
      </c>
      <c r="AI1092" s="164">
        <f t="shared" si="90"/>
        <v>0.69115646258503394</v>
      </c>
      <c r="AJ1092" s="382"/>
      <c r="AK1092" s="382"/>
      <c r="AL1092" s="382"/>
      <c r="AM1092" s="382"/>
      <c r="AN1092" s="382"/>
      <c r="AO1092" s="382"/>
      <c r="AP1092" s="382"/>
      <c r="AQ1092" s="382"/>
      <c r="AR1092" s="382"/>
      <c r="AS1092" s="350"/>
      <c r="AT1092" s="203"/>
      <c r="AV1092" s="412"/>
      <c r="AW1092" s="344">
        <v>0.28979591836734697</v>
      </c>
      <c r="AX1092" s="344"/>
      <c r="AY1092" s="344">
        <v>0.40136054421768702</v>
      </c>
      <c r="AZ1092" s="344">
        <v>0.45442176870748302</v>
      </c>
      <c r="BA1092" s="344" t="s">
        <v>3192</v>
      </c>
      <c r="BB1092" s="344" t="s">
        <v>3192</v>
      </c>
      <c r="BC1092" s="344"/>
      <c r="BD1092" s="345" t="s">
        <v>3192</v>
      </c>
      <c r="BE1092" s="334"/>
      <c r="BF1092" s="501">
        <f t="shared" si="87"/>
        <v>0.28979591836734697</v>
      </c>
      <c r="BG1092" s="501">
        <v>1.1455782312925169</v>
      </c>
      <c r="BJ1092" s="337"/>
    </row>
    <row r="1093" spans="1:62" ht="15" customHeight="1" thickBot="1" x14ac:dyDescent="0.25">
      <c r="A1093" s="176">
        <v>1094</v>
      </c>
      <c r="B1093" s="175">
        <v>1</v>
      </c>
      <c r="C1093" s="171" t="s">
        <v>596</v>
      </c>
      <c r="D1093" s="159" t="s">
        <v>2020</v>
      </c>
      <c r="I1093" s="189">
        <v>2008</v>
      </c>
      <c r="J1093" s="189" t="s">
        <v>3200</v>
      </c>
      <c r="L1093" s="189" t="s">
        <v>3219</v>
      </c>
      <c r="M1093" s="556" t="s">
        <v>4310</v>
      </c>
      <c r="AF1093" s="162" t="str">
        <f t="shared" si="88"/>
        <v/>
      </c>
      <c r="AG1093" s="162" t="str">
        <f t="shared" si="86"/>
        <v/>
      </c>
      <c r="AH1093" s="164">
        <f t="shared" si="89"/>
        <v>0.417687074829932</v>
      </c>
      <c r="AI1093" s="164">
        <f t="shared" si="90"/>
        <v>0.57551020408163267</v>
      </c>
      <c r="AJ1093" s="382"/>
      <c r="AK1093" s="382"/>
      <c r="AL1093" s="382"/>
      <c r="AM1093" s="382"/>
      <c r="AN1093" s="382"/>
      <c r="AO1093" s="382"/>
      <c r="AP1093" s="382"/>
      <c r="AQ1093" s="382"/>
      <c r="AR1093" s="382"/>
      <c r="AS1093" s="350"/>
      <c r="AT1093" s="203"/>
      <c r="AV1093" s="412"/>
      <c r="AW1093" s="344">
        <v>0.417687074829932</v>
      </c>
      <c r="AX1093" s="344"/>
      <c r="AY1093" s="344">
        <v>0.15782312925170067</v>
      </c>
      <c r="AZ1093" s="344">
        <v>0.8013605442176871</v>
      </c>
      <c r="BA1093" s="344">
        <v>0.91292517006802731</v>
      </c>
      <c r="BB1093" s="344" t="s">
        <v>3192</v>
      </c>
      <c r="BC1093" s="344"/>
      <c r="BD1093" s="345" t="s">
        <v>3192</v>
      </c>
      <c r="BE1093" s="334"/>
      <c r="BF1093" s="501">
        <f t="shared" si="87"/>
        <v>0.417687074829932</v>
      </c>
      <c r="BG1093" s="501">
        <v>2.2884353741496599</v>
      </c>
      <c r="BJ1093" s="337"/>
    </row>
    <row r="1094" spans="1:62" ht="15" customHeight="1" thickBot="1" x14ac:dyDescent="0.25">
      <c r="A1094" s="176">
        <v>1095</v>
      </c>
      <c r="B1094" s="175">
        <v>1</v>
      </c>
      <c r="C1094" s="171" t="s">
        <v>596</v>
      </c>
      <c r="D1094" s="159" t="s">
        <v>2020</v>
      </c>
      <c r="I1094" s="189">
        <v>2009</v>
      </c>
      <c r="J1094" s="189" t="s">
        <v>3201</v>
      </c>
      <c r="L1094" s="189" t="s">
        <v>3219</v>
      </c>
      <c r="M1094" s="556" t="s">
        <v>4310</v>
      </c>
      <c r="AF1094" s="162" t="str">
        <f t="shared" si="88"/>
        <v/>
      </c>
      <c r="AG1094" s="162" t="str">
        <f t="shared" si="86"/>
        <v/>
      </c>
      <c r="AH1094" s="164" t="str">
        <f t="shared" si="89"/>
        <v/>
      </c>
      <c r="AI1094" s="164" t="str">
        <f t="shared" si="90"/>
        <v/>
      </c>
      <c r="AJ1094" s="382"/>
      <c r="AK1094" s="382"/>
      <c r="AL1094" s="382"/>
      <c r="AM1094" s="382"/>
      <c r="AN1094" s="382"/>
      <c r="AO1094" s="382"/>
      <c r="AP1094" s="382"/>
      <c r="AQ1094" s="382"/>
      <c r="AR1094" s="382"/>
      <c r="AS1094" s="350"/>
      <c r="AT1094" s="203"/>
      <c r="AV1094" s="412"/>
      <c r="AW1094" s="344" t="s">
        <v>3192</v>
      </c>
      <c r="AX1094" s="344"/>
      <c r="AY1094" s="344" t="s">
        <v>3192</v>
      </c>
      <c r="AZ1094" s="344" t="s">
        <v>3192</v>
      </c>
      <c r="BA1094" s="344" t="s">
        <v>3192</v>
      </c>
      <c r="BB1094" s="344" t="s">
        <v>3192</v>
      </c>
      <c r="BC1094" s="344"/>
      <c r="BD1094" s="345" t="s">
        <v>3192</v>
      </c>
      <c r="BE1094" s="334"/>
      <c r="BF1094" s="501" t="str">
        <f t="shared" si="87"/>
        <v/>
      </c>
      <c r="BG1094" s="501">
        <v>3.1292517006802716</v>
      </c>
      <c r="BJ1094" s="337"/>
    </row>
    <row r="1095" spans="1:62" ht="15" customHeight="1" thickBot="1" x14ac:dyDescent="0.25">
      <c r="A1095" s="176">
        <v>1096</v>
      </c>
      <c r="B1095" s="175">
        <v>1</v>
      </c>
      <c r="C1095" s="171" t="s">
        <v>596</v>
      </c>
      <c r="D1095" s="159" t="s">
        <v>2020</v>
      </c>
      <c r="I1095" s="189">
        <v>2009</v>
      </c>
      <c r="J1095" s="189" t="s">
        <v>3201</v>
      </c>
      <c r="L1095" s="189" t="s">
        <v>3219</v>
      </c>
      <c r="M1095" s="556" t="s">
        <v>4310</v>
      </c>
      <c r="AF1095" s="162" t="str">
        <f t="shared" si="88"/>
        <v/>
      </c>
      <c r="AG1095" s="162" t="str">
        <f t="shared" si="86"/>
        <v/>
      </c>
      <c r="AH1095" s="164" t="str">
        <f t="shared" si="89"/>
        <v/>
      </c>
      <c r="AI1095" s="164" t="str">
        <f t="shared" si="90"/>
        <v/>
      </c>
      <c r="AJ1095" s="382"/>
      <c r="AK1095" s="382"/>
      <c r="AL1095" s="382"/>
      <c r="AM1095" s="382"/>
      <c r="AN1095" s="382"/>
      <c r="AO1095" s="382"/>
      <c r="AP1095" s="382"/>
      <c r="AQ1095" s="382"/>
      <c r="AR1095" s="382"/>
      <c r="AS1095" s="350"/>
      <c r="AT1095" s="203"/>
      <c r="AV1095" s="412"/>
      <c r="AW1095" s="344" t="s">
        <v>3192</v>
      </c>
      <c r="AX1095" s="344"/>
      <c r="AY1095" s="344" t="s">
        <v>3192</v>
      </c>
      <c r="AZ1095" s="344" t="s">
        <v>3192</v>
      </c>
      <c r="BA1095" s="344" t="s">
        <v>3192</v>
      </c>
      <c r="BB1095" s="344" t="s">
        <v>3192</v>
      </c>
      <c r="BC1095" s="344"/>
      <c r="BD1095" s="345" t="s">
        <v>3192</v>
      </c>
      <c r="BE1095" s="334"/>
      <c r="BF1095" s="501" t="str">
        <f t="shared" si="87"/>
        <v/>
      </c>
      <c r="BG1095" s="501">
        <v>3.1292517006802716</v>
      </c>
      <c r="BJ1095" s="337"/>
    </row>
    <row r="1096" spans="1:62" ht="15" customHeight="1" thickBot="1" x14ac:dyDescent="0.25">
      <c r="A1096" s="176">
        <v>1097</v>
      </c>
      <c r="B1096" s="175">
        <v>1</v>
      </c>
      <c r="C1096" s="171" t="s">
        <v>596</v>
      </c>
      <c r="D1096" s="159" t="s">
        <v>2020</v>
      </c>
      <c r="I1096" s="189">
        <v>2009</v>
      </c>
      <c r="J1096" s="189" t="s">
        <v>3201</v>
      </c>
      <c r="L1096" s="189" t="s">
        <v>3219</v>
      </c>
      <c r="M1096" s="556" t="s">
        <v>4310</v>
      </c>
      <c r="AF1096" s="162" t="str">
        <f t="shared" si="88"/>
        <v/>
      </c>
      <c r="AG1096" s="162" t="str">
        <f t="shared" si="86"/>
        <v/>
      </c>
      <c r="AH1096" s="164" t="str">
        <f t="shared" si="89"/>
        <v/>
      </c>
      <c r="AI1096" s="164" t="str">
        <f t="shared" si="90"/>
        <v/>
      </c>
      <c r="AJ1096" s="382"/>
      <c r="AK1096" s="382"/>
      <c r="AL1096" s="382"/>
      <c r="AM1096" s="382"/>
      <c r="AN1096" s="382"/>
      <c r="AO1096" s="382"/>
      <c r="AP1096" s="382"/>
      <c r="AQ1096" s="382"/>
      <c r="AR1096" s="382"/>
      <c r="AS1096" s="350"/>
      <c r="AT1096" s="203"/>
      <c r="AV1096" s="412"/>
      <c r="AW1096" s="344" t="s">
        <v>3192</v>
      </c>
      <c r="AX1096" s="344"/>
      <c r="AY1096" s="344" t="s">
        <v>3192</v>
      </c>
      <c r="AZ1096" s="344" t="s">
        <v>3192</v>
      </c>
      <c r="BA1096" s="344" t="s">
        <v>3192</v>
      </c>
      <c r="BB1096" s="344" t="s">
        <v>3192</v>
      </c>
      <c r="BC1096" s="344"/>
      <c r="BD1096" s="345" t="s">
        <v>3192</v>
      </c>
      <c r="BE1096" s="334"/>
      <c r="BF1096" s="501" t="str">
        <f t="shared" si="87"/>
        <v/>
      </c>
      <c r="BG1096" s="501">
        <v>2.8843537414965992</v>
      </c>
      <c r="BJ1096" s="337"/>
    </row>
    <row r="1097" spans="1:62" ht="15" customHeight="1" thickBot="1" x14ac:dyDescent="0.25">
      <c r="A1097" s="176">
        <v>1098</v>
      </c>
      <c r="B1097" s="175">
        <v>1</v>
      </c>
      <c r="C1097" s="171" t="s">
        <v>596</v>
      </c>
      <c r="D1097" s="159" t="s">
        <v>2020</v>
      </c>
      <c r="I1097" s="189">
        <v>2009</v>
      </c>
      <c r="J1097" s="189" t="s">
        <v>3201</v>
      </c>
      <c r="L1097" s="189" t="s">
        <v>3219</v>
      </c>
      <c r="M1097" s="556" t="s">
        <v>4310</v>
      </c>
      <c r="AF1097" s="162" t="str">
        <f t="shared" si="88"/>
        <v/>
      </c>
      <c r="AG1097" s="162" t="str">
        <f t="shared" si="86"/>
        <v/>
      </c>
      <c r="AH1097" s="164" t="str">
        <f t="shared" si="89"/>
        <v/>
      </c>
      <c r="AI1097" s="164" t="str">
        <f t="shared" si="90"/>
        <v/>
      </c>
      <c r="AJ1097" s="382"/>
      <c r="AK1097" s="382"/>
      <c r="AL1097" s="382"/>
      <c r="AM1097" s="382"/>
      <c r="AN1097" s="382"/>
      <c r="AO1097" s="382"/>
      <c r="AP1097" s="382"/>
      <c r="AQ1097" s="382"/>
      <c r="AR1097" s="382"/>
      <c r="AS1097" s="350"/>
      <c r="AT1097" s="203"/>
      <c r="AV1097" s="412"/>
      <c r="AW1097" s="344" t="s">
        <v>3192</v>
      </c>
      <c r="AX1097" s="344"/>
      <c r="AY1097" s="344" t="s">
        <v>3192</v>
      </c>
      <c r="AZ1097" s="344" t="s">
        <v>3192</v>
      </c>
      <c r="BA1097" s="344" t="s">
        <v>3192</v>
      </c>
      <c r="BB1097" s="344" t="s">
        <v>3192</v>
      </c>
      <c r="BC1097" s="344"/>
      <c r="BD1097" s="345" t="s">
        <v>3192</v>
      </c>
      <c r="BE1097" s="334"/>
      <c r="BF1097" s="501" t="str">
        <f t="shared" si="87"/>
        <v/>
      </c>
      <c r="BG1097" s="501">
        <v>3.0340136054421771</v>
      </c>
      <c r="BJ1097" s="337"/>
    </row>
    <row r="1098" spans="1:62" ht="15" customHeight="1" thickBot="1" x14ac:dyDescent="0.25">
      <c r="A1098" s="176">
        <v>1099</v>
      </c>
      <c r="B1098" s="175">
        <v>1</v>
      </c>
      <c r="C1098" s="171" t="s">
        <v>596</v>
      </c>
      <c r="D1098" s="159" t="s">
        <v>2020</v>
      </c>
      <c r="I1098" s="189">
        <v>2010</v>
      </c>
      <c r="J1098" s="189" t="s">
        <v>3202</v>
      </c>
      <c r="L1098" s="189" t="s">
        <v>3219</v>
      </c>
      <c r="M1098" s="556" t="s">
        <v>4310</v>
      </c>
      <c r="AF1098" s="162" t="str">
        <f t="shared" si="88"/>
        <v/>
      </c>
      <c r="AG1098" s="162" t="str">
        <f t="shared" si="86"/>
        <v/>
      </c>
      <c r="AH1098" s="164">
        <f t="shared" si="89"/>
        <v>0.68435374149659867</v>
      </c>
      <c r="AI1098" s="164">
        <f t="shared" si="90"/>
        <v>0.83673469387755106</v>
      </c>
      <c r="AJ1098" s="382"/>
      <c r="AK1098" s="382"/>
      <c r="AL1098" s="382"/>
      <c r="AM1098" s="382"/>
      <c r="AN1098" s="382"/>
      <c r="AO1098" s="382"/>
      <c r="AP1098" s="382"/>
      <c r="AQ1098" s="382"/>
      <c r="AR1098" s="382"/>
      <c r="AS1098" s="350"/>
      <c r="AT1098" s="203"/>
      <c r="AV1098" s="412"/>
      <c r="AW1098" s="344">
        <v>0.68435374149659867</v>
      </c>
      <c r="AX1098" s="344"/>
      <c r="AY1098" s="344">
        <v>0.15238095238095239</v>
      </c>
      <c r="AZ1098" s="344">
        <v>0.43401360544217688</v>
      </c>
      <c r="BA1098" s="344">
        <v>0.10340136054421768</v>
      </c>
      <c r="BB1098" s="344" t="s">
        <v>3192</v>
      </c>
      <c r="BC1098" s="344"/>
      <c r="BD1098" s="345" t="s">
        <v>3192</v>
      </c>
      <c r="BE1098" s="334"/>
      <c r="BF1098" s="501">
        <f t="shared" si="87"/>
        <v>0.68435374149659867</v>
      </c>
      <c r="BG1098" s="501">
        <v>1.3741496598639455</v>
      </c>
      <c r="BJ1098" s="337"/>
    </row>
    <row r="1099" spans="1:62" ht="15" customHeight="1" thickBot="1" x14ac:dyDescent="0.25">
      <c r="A1099" s="176">
        <v>1100</v>
      </c>
      <c r="B1099" s="175">
        <v>1</v>
      </c>
      <c r="C1099" s="171" t="s">
        <v>596</v>
      </c>
      <c r="D1099" s="159" t="s">
        <v>2020</v>
      </c>
      <c r="I1099" s="189">
        <v>2010</v>
      </c>
      <c r="J1099" s="189" t="s">
        <v>3202</v>
      </c>
      <c r="L1099" s="189" t="s">
        <v>3219</v>
      </c>
      <c r="M1099" s="556" t="s">
        <v>4310</v>
      </c>
      <c r="AF1099" s="162" t="str">
        <f t="shared" si="88"/>
        <v/>
      </c>
      <c r="AG1099" s="162" t="str">
        <f t="shared" si="86"/>
        <v/>
      </c>
      <c r="AH1099" s="164">
        <f t="shared" si="89"/>
        <v>0.68435374149659867</v>
      </c>
      <c r="AI1099" s="164">
        <f t="shared" si="90"/>
        <v>0.83673469387755106</v>
      </c>
      <c r="AJ1099" s="382"/>
      <c r="AK1099" s="382"/>
      <c r="AL1099" s="382"/>
      <c r="AM1099" s="382"/>
      <c r="AN1099" s="382"/>
      <c r="AO1099" s="382"/>
      <c r="AP1099" s="382"/>
      <c r="AQ1099" s="382"/>
      <c r="AR1099" s="382"/>
      <c r="AS1099" s="350"/>
      <c r="AT1099" s="203"/>
      <c r="AV1099" s="412"/>
      <c r="AW1099" s="344">
        <v>0.68435374149659867</v>
      </c>
      <c r="AX1099" s="344"/>
      <c r="AY1099" s="344">
        <v>0.15238095238095239</v>
      </c>
      <c r="AZ1099" s="344">
        <v>0.43401360544217688</v>
      </c>
      <c r="BA1099" s="344">
        <v>0.21904761904761905</v>
      </c>
      <c r="BB1099" s="344" t="s">
        <v>3192</v>
      </c>
      <c r="BC1099" s="344"/>
      <c r="BD1099" s="345" t="s">
        <v>3192</v>
      </c>
      <c r="BE1099" s="334"/>
      <c r="BF1099" s="501">
        <f t="shared" ref="BF1099:BF1130" si="91">AW1099</f>
        <v>0.68435374149659867</v>
      </c>
      <c r="BG1099" s="501">
        <v>1.489795918367347</v>
      </c>
      <c r="BJ1099" s="337"/>
    </row>
    <row r="1100" spans="1:62" ht="15" customHeight="1" thickBot="1" x14ac:dyDescent="0.25">
      <c r="A1100" s="176">
        <v>1101</v>
      </c>
      <c r="B1100" s="175">
        <v>1</v>
      </c>
      <c r="C1100" s="171" t="s">
        <v>596</v>
      </c>
      <c r="D1100" s="159" t="s">
        <v>2020</v>
      </c>
      <c r="I1100" s="189">
        <v>2006</v>
      </c>
      <c r="J1100" s="189" t="s">
        <v>3203</v>
      </c>
      <c r="L1100" s="189" t="s">
        <v>3219</v>
      </c>
      <c r="M1100" s="556" t="s">
        <v>4310</v>
      </c>
      <c r="AF1100" s="162" t="str">
        <f t="shared" si="88"/>
        <v/>
      </c>
      <c r="AG1100" s="162" t="str">
        <f t="shared" si="86"/>
        <v/>
      </c>
      <c r="AH1100" s="164">
        <f t="shared" si="89"/>
        <v>1.9782312925170067</v>
      </c>
      <c r="AI1100" s="164">
        <f t="shared" si="90"/>
        <v>4.5605442176870747</v>
      </c>
      <c r="AJ1100" s="382"/>
      <c r="AK1100" s="382"/>
      <c r="AL1100" s="382"/>
      <c r="AM1100" s="382"/>
      <c r="AN1100" s="382"/>
      <c r="AO1100" s="382"/>
      <c r="AP1100" s="382"/>
      <c r="AQ1100" s="382"/>
      <c r="AR1100" s="382"/>
      <c r="AS1100" s="350"/>
      <c r="AT1100" s="203"/>
      <c r="AV1100" s="412"/>
      <c r="AW1100" s="344">
        <v>1.9782312925170067</v>
      </c>
      <c r="AX1100" s="344"/>
      <c r="AY1100" s="344">
        <v>2.5823129251700681</v>
      </c>
      <c r="AZ1100" s="344">
        <v>0.77551020408163263</v>
      </c>
      <c r="BA1100" s="344">
        <v>0.80544217687074826</v>
      </c>
      <c r="BB1100" s="344" t="s">
        <v>3192</v>
      </c>
      <c r="BC1100" s="344"/>
      <c r="BD1100" s="345" t="s">
        <v>3192</v>
      </c>
      <c r="BE1100" s="334"/>
      <c r="BF1100" s="501">
        <f t="shared" si="91"/>
        <v>1.9782312925170067</v>
      </c>
      <c r="BG1100" s="501">
        <v>6.1414965986394563</v>
      </c>
      <c r="BJ1100" s="337"/>
    </row>
    <row r="1101" spans="1:62" ht="15" customHeight="1" thickBot="1" x14ac:dyDescent="0.25">
      <c r="A1101" s="176">
        <v>1102</v>
      </c>
      <c r="B1101" s="175">
        <v>1</v>
      </c>
      <c r="C1101" s="171" t="s">
        <v>596</v>
      </c>
      <c r="D1101" s="159" t="s">
        <v>2020</v>
      </c>
      <c r="I1101" s="189">
        <v>2011</v>
      </c>
      <c r="J1101" s="189" t="s">
        <v>3204</v>
      </c>
      <c r="L1101" s="189" t="s">
        <v>3219</v>
      </c>
      <c r="M1101" s="556" t="s">
        <v>4310</v>
      </c>
      <c r="AF1101" s="162" t="str">
        <f t="shared" si="88"/>
        <v/>
      </c>
      <c r="AG1101" s="162" t="str">
        <f t="shared" si="86"/>
        <v/>
      </c>
      <c r="AH1101" s="164">
        <f t="shared" si="89"/>
        <v>0.34421768707482991</v>
      </c>
      <c r="AI1101" s="164">
        <f t="shared" si="90"/>
        <v>0.66394557823129252</v>
      </c>
      <c r="AJ1101" s="382"/>
      <c r="AK1101" s="382"/>
      <c r="AL1101" s="382"/>
      <c r="AM1101" s="382"/>
      <c r="AN1101" s="382"/>
      <c r="AO1101" s="382"/>
      <c r="AP1101" s="382"/>
      <c r="AQ1101" s="382"/>
      <c r="AR1101" s="382"/>
      <c r="AS1101" s="350"/>
      <c r="AT1101" s="203"/>
      <c r="AV1101" s="412"/>
      <c r="AW1101" s="344">
        <v>0.34421768707482991</v>
      </c>
      <c r="AX1101" s="344"/>
      <c r="AY1101" s="344">
        <v>0.31972789115646261</v>
      </c>
      <c r="AZ1101" s="344">
        <v>0.62312925170068034</v>
      </c>
      <c r="BA1101" s="344">
        <v>0.36734693877551022</v>
      </c>
      <c r="BB1101" s="344">
        <v>3.6734693877551024E-2</v>
      </c>
      <c r="BC1101" s="344"/>
      <c r="BD1101" s="345" t="s">
        <v>3192</v>
      </c>
      <c r="BE1101" s="334"/>
      <c r="BF1101" s="501">
        <f t="shared" si="91"/>
        <v>0.34421768707482991</v>
      </c>
      <c r="BG1101" s="501">
        <v>1.6911564625850344</v>
      </c>
      <c r="BJ1101" s="337"/>
    </row>
    <row r="1102" spans="1:62" ht="15" customHeight="1" thickBot="1" x14ac:dyDescent="0.25">
      <c r="A1102" s="176">
        <v>1103</v>
      </c>
      <c r="B1102" s="175">
        <v>1</v>
      </c>
      <c r="C1102" s="171" t="s">
        <v>596</v>
      </c>
      <c r="D1102" s="159" t="s">
        <v>2020</v>
      </c>
      <c r="I1102" s="189">
        <v>2009</v>
      </c>
      <c r="J1102" s="189" t="s">
        <v>3205</v>
      </c>
      <c r="L1102" s="189" t="s">
        <v>3219</v>
      </c>
      <c r="M1102" s="556" t="s">
        <v>4310</v>
      </c>
      <c r="AF1102" s="162" t="str">
        <f t="shared" si="88"/>
        <v/>
      </c>
      <c r="AG1102" s="162" t="str">
        <f t="shared" si="86"/>
        <v/>
      </c>
      <c r="AH1102" s="164">
        <f t="shared" si="89"/>
        <v>0.28163265306122448</v>
      </c>
      <c r="AI1102" s="164" t="str">
        <f t="shared" si="90"/>
        <v/>
      </c>
      <c r="AJ1102" s="382"/>
      <c r="AK1102" s="382"/>
      <c r="AL1102" s="382"/>
      <c r="AM1102" s="382"/>
      <c r="AN1102" s="382"/>
      <c r="AO1102" s="382"/>
      <c r="AP1102" s="382"/>
      <c r="AQ1102" s="382"/>
      <c r="AR1102" s="382"/>
      <c r="AS1102" s="350"/>
      <c r="AT1102" s="203"/>
      <c r="AV1102" s="412"/>
      <c r="AW1102" s="344">
        <v>0.28163265306122448</v>
      </c>
      <c r="AX1102" s="344"/>
      <c r="AY1102" s="344" t="s">
        <v>3192</v>
      </c>
      <c r="AZ1102" s="344" t="s">
        <v>3192</v>
      </c>
      <c r="BA1102" s="344" t="s">
        <v>3192</v>
      </c>
      <c r="BB1102" s="344" t="s">
        <v>3192</v>
      </c>
      <c r="BC1102" s="344"/>
      <c r="BD1102" s="345" t="s">
        <v>3192</v>
      </c>
      <c r="BE1102" s="334"/>
      <c r="BF1102" s="501">
        <f t="shared" si="91"/>
        <v>0.28163265306122448</v>
      </c>
      <c r="BG1102" s="501" t="s">
        <v>3192</v>
      </c>
      <c r="BJ1102" s="337"/>
    </row>
    <row r="1103" spans="1:62" ht="15" customHeight="1" thickBot="1" x14ac:dyDescent="0.25">
      <c r="A1103" s="176">
        <v>1104</v>
      </c>
      <c r="B1103" s="175">
        <v>1</v>
      </c>
      <c r="C1103" s="171" t="s">
        <v>596</v>
      </c>
      <c r="D1103" s="159" t="s">
        <v>2020</v>
      </c>
      <c r="I1103" s="189">
        <v>2009</v>
      </c>
      <c r="J1103" s="189" t="s">
        <v>3205</v>
      </c>
      <c r="L1103" s="189" t="s">
        <v>3219</v>
      </c>
      <c r="M1103" s="556" t="s">
        <v>4310</v>
      </c>
      <c r="AF1103" s="162" t="str">
        <f t="shared" si="88"/>
        <v/>
      </c>
      <c r="AG1103" s="162" t="str">
        <f t="shared" si="86"/>
        <v/>
      </c>
      <c r="AH1103" s="164">
        <f t="shared" si="89"/>
        <v>0.2</v>
      </c>
      <c r="AI1103" s="164" t="str">
        <f t="shared" si="90"/>
        <v/>
      </c>
      <c r="AJ1103" s="382"/>
      <c r="AK1103" s="382"/>
      <c r="AL1103" s="382"/>
      <c r="AM1103" s="382"/>
      <c r="AN1103" s="382"/>
      <c r="AO1103" s="382"/>
      <c r="AP1103" s="382"/>
      <c r="AQ1103" s="382"/>
      <c r="AR1103" s="382"/>
      <c r="AS1103" s="350"/>
      <c r="AT1103" s="202"/>
      <c r="AV1103" s="412"/>
      <c r="AW1103" s="344">
        <v>0.2</v>
      </c>
      <c r="AX1103" s="344"/>
      <c r="AY1103" s="344" t="s">
        <v>3192</v>
      </c>
      <c r="AZ1103" s="344" t="s">
        <v>3192</v>
      </c>
      <c r="BA1103" s="344" t="s">
        <v>3192</v>
      </c>
      <c r="BB1103" s="344" t="s">
        <v>3192</v>
      </c>
      <c r="BC1103" s="344"/>
      <c r="BD1103" s="345" t="s">
        <v>3192</v>
      </c>
      <c r="BE1103" s="334"/>
      <c r="BF1103" s="501">
        <f t="shared" si="91"/>
        <v>0.2</v>
      </c>
      <c r="BG1103" s="501" t="s">
        <v>3192</v>
      </c>
      <c r="BJ1103" s="337"/>
    </row>
    <row r="1104" spans="1:62" ht="15" customHeight="1" thickBot="1" x14ac:dyDescent="0.25">
      <c r="A1104" s="176">
        <v>1105</v>
      </c>
      <c r="B1104" s="175">
        <v>1</v>
      </c>
      <c r="C1104" s="171" t="s">
        <v>596</v>
      </c>
      <c r="D1104" s="159" t="s">
        <v>2020</v>
      </c>
      <c r="I1104" s="189">
        <v>2013</v>
      </c>
      <c r="J1104" s="189" t="s">
        <v>3206</v>
      </c>
      <c r="L1104" s="189" t="s">
        <v>3219</v>
      </c>
      <c r="M1104" s="556" t="s">
        <v>4310</v>
      </c>
      <c r="AF1104" s="162" t="str">
        <f t="shared" si="88"/>
        <v/>
      </c>
      <c r="AG1104" s="162" t="str">
        <f t="shared" si="86"/>
        <v/>
      </c>
      <c r="AH1104" s="164">
        <f t="shared" si="89"/>
        <v>2.7210884353741496</v>
      </c>
      <c r="AI1104" s="164">
        <f t="shared" si="90"/>
        <v>3.3197278911564627</v>
      </c>
      <c r="AJ1104" s="382"/>
      <c r="AK1104" s="382"/>
      <c r="AL1104" s="382"/>
      <c r="AM1104" s="382"/>
      <c r="AN1104" s="382"/>
      <c r="AO1104" s="382"/>
      <c r="AP1104" s="382"/>
      <c r="AQ1104" s="382"/>
      <c r="AR1104" s="382"/>
      <c r="AS1104" s="350"/>
      <c r="AT1104" s="202"/>
      <c r="AV1104" s="412"/>
      <c r="AW1104" s="344">
        <v>2.7210884353741496</v>
      </c>
      <c r="AX1104" s="344"/>
      <c r="AY1104" s="344">
        <v>0.59863945578231292</v>
      </c>
      <c r="AZ1104" s="344">
        <v>0.32653061224489793</v>
      </c>
      <c r="BA1104" s="344">
        <v>0.31564625850340133</v>
      </c>
      <c r="BB1104" s="344" t="s">
        <v>3192</v>
      </c>
      <c r="BC1104" s="344"/>
      <c r="BD1104" s="345" t="s">
        <v>3192</v>
      </c>
      <c r="BE1104" s="334"/>
      <c r="BF1104" s="501">
        <f t="shared" si="91"/>
        <v>2.7210884353741496</v>
      </c>
      <c r="BG1104" s="501">
        <v>3.961904761904762</v>
      </c>
      <c r="BJ1104" s="337"/>
    </row>
    <row r="1105" spans="1:62" ht="15" customHeight="1" thickBot="1" x14ac:dyDescent="0.25">
      <c r="A1105" s="176">
        <v>1106</v>
      </c>
      <c r="B1105" s="175">
        <v>1</v>
      </c>
      <c r="C1105" s="171" t="s">
        <v>596</v>
      </c>
      <c r="D1105" s="159" t="s">
        <v>2020</v>
      </c>
      <c r="I1105" s="189">
        <v>2012</v>
      </c>
      <c r="J1105" s="189" t="s">
        <v>3207</v>
      </c>
      <c r="L1105" s="189" t="s">
        <v>3219</v>
      </c>
      <c r="M1105" s="556" t="s">
        <v>4310</v>
      </c>
      <c r="AF1105" s="162" t="str">
        <f t="shared" si="88"/>
        <v/>
      </c>
      <c r="AG1105" s="162" t="str">
        <f t="shared" si="86"/>
        <v/>
      </c>
      <c r="AH1105" s="164">
        <f t="shared" si="89"/>
        <v>6.1224489795918366E-2</v>
      </c>
      <c r="AI1105" s="164">
        <f t="shared" si="90"/>
        <v>8.8435374149659865E-2</v>
      </c>
      <c r="AJ1105" s="382"/>
      <c r="AK1105" s="382"/>
      <c r="AL1105" s="382"/>
      <c r="AM1105" s="382"/>
      <c r="AN1105" s="382"/>
      <c r="AO1105" s="382"/>
      <c r="AP1105" s="382"/>
      <c r="AQ1105" s="382"/>
      <c r="AR1105" s="382"/>
      <c r="AS1105" s="350"/>
      <c r="AT1105" s="202"/>
      <c r="AV1105" s="412"/>
      <c r="AW1105" s="344">
        <v>6.1224489795918366E-2</v>
      </c>
      <c r="AX1105" s="344"/>
      <c r="AY1105" s="344">
        <v>2.7210884353741499E-2</v>
      </c>
      <c r="AZ1105" s="344">
        <v>1.5482993197278909</v>
      </c>
      <c r="BA1105" s="344">
        <v>0.11700680272108842</v>
      </c>
      <c r="BB1105" s="344" t="s">
        <v>3192</v>
      </c>
      <c r="BC1105" s="344"/>
      <c r="BD1105" s="345" t="s">
        <v>3192</v>
      </c>
      <c r="BE1105" s="334"/>
      <c r="BF1105" s="501">
        <f t="shared" si="91"/>
        <v>6.1224489795918366E-2</v>
      </c>
      <c r="BG1105" s="501">
        <v>1.7537414965986393</v>
      </c>
      <c r="BJ1105" s="337"/>
    </row>
    <row r="1106" spans="1:62" ht="15" customHeight="1" thickBot="1" x14ac:dyDescent="0.25">
      <c r="A1106" s="176">
        <v>1107</v>
      </c>
      <c r="B1106" s="175">
        <v>1</v>
      </c>
      <c r="C1106" s="171" t="s">
        <v>596</v>
      </c>
      <c r="D1106" s="159" t="s">
        <v>2020</v>
      </c>
      <c r="I1106" s="189">
        <v>2006</v>
      </c>
      <c r="J1106" s="189" t="s">
        <v>3208</v>
      </c>
      <c r="L1106" s="189" t="s">
        <v>3219</v>
      </c>
      <c r="M1106" s="556" t="s">
        <v>4310</v>
      </c>
      <c r="AF1106" s="162" t="str">
        <f t="shared" si="88"/>
        <v/>
      </c>
      <c r="AG1106" s="162" t="str">
        <f t="shared" si="86"/>
        <v/>
      </c>
      <c r="AH1106" s="164">
        <f t="shared" si="89"/>
        <v>8.0272108843537401E-2</v>
      </c>
      <c r="AI1106" s="164" t="str">
        <f t="shared" si="90"/>
        <v/>
      </c>
      <c r="AJ1106" s="382"/>
      <c r="AK1106" s="382"/>
      <c r="AL1106" s="382"/>
      <c r="AM1106" s="382"/>
      <c r="AN1106" s="382"/>
      <c r="AO1106" s="382"/>
      <c r="AP1106" s="382"/>
      <c r="AQ1106" s="382"/>
      <c r="AR1106" s="382"/>
      <c r="AS1106" s="350"/>
      <c r="AT1106" s="202"/>
      <c r="AV1106" s="412"/>
      <c r="AW1106" s="344">
        <v>8.0272108843537401E-2</v>
      </c>
      <c r="AX1106" s="344"/>
      <c r="AY1106" s="344" t="s">
        <v>3192</v>
      </c>
      <c r="AZ1106" s="344">
        <v>1.0721088435374151</v>
      </c>
      <c r="BA1106" s="344">
        <v>0.4285714285714286</v>
      </c>
      <c r="BB1106" s="344" t="s">
        <v>3192</v>
      </c>
      <c r="BC1106" s="344"/>
      <c r="BD1106" s="345" t="s">
        <v>3192</v>
      </c>
      <c r="BE1106" s="334"/>
      <c r="BF1106" s="501">
        <f t="shared" si="91"/>
        <v>8.0272108843537401E-2</v>
      </c>
      <c r="BG1106" s="501">
        <v>1.5809523809523811</v>
      </c>
      <c r="BJ1106" s="337"/>
    </row>
    <row r="1107" spans="1:62" ht="15" customHeight="1" thickBot="1" x14ac:dyDescent="0.25">
      <c r="A1107" s="176">
        <v>1108</v>
      </c>
      <c r="B1107" s="175">
        <v>1</v>
      </c>
      <c r="C1107" s="171" t="s">
        <v>596</v>
      </c>
      <c r="D1107" s="159" t="s">
        <v>2020</v>
      </c>
      <c r="I1107" s="189">
        <v>2008</v>
      </c>
      <c r="J1107" s="189" t="s">
        <v>3209</v>
      </c>
      <c r="L1107" s="189" t="s">
        <v>3219</v>
      </c>
      <c r="M1107" s="556" t="s">
        <v>4310</v>
      </c>
      <c r="AF1107" s="162" t="str">
        <f t="shared" si="88"/>
        <v/>
      </c>
      <c r="AG1107" s="162" t="str">
        <f t="shared" ref="AG1107:AG1170" si="92">IF(AND(SUM(AJ1107:AL1107)&lt;&gt;0,SUM(AJ1107:AL1107)&lt;&gt;AJ1107),SUM(AJ1107:AL1107),"")</f>
        <v/>
      </c>
      <c r="AH1107" s="164">
        <f t="shared" si="89"/>
        <v>9.6598639455782315E-2</v>
      </c>
      <c r="AI1107" s="164">
        <f t="shared" si="90"/>
        <v>0.13605442176870747</v>
      </c>
      <c r="AJ1107" s="382"/>
      <c r="AK1107" s="382"/>
      <c r="AL1107" s="382"/>
      <c r="AM1107" s="382"/>
      <c r="AN1107" s="382"/>
      <c r="AO1107" s="382"/>
      <c r="AP1107" s="382"/>
      <c r="AQ1107" s="382"/>
      <c r="AR1107" s="382"/>
      <c r="AS1107" s="350"/>
      <c r="AT1107" s="202"/>
      <c r="AV1107" s="412"/>
      <c r="AW1107" s="344">
        <v>9.6598639455782315E-2</v>
      </c>
      <c r="AX1107" s="344"/>
      <c r="AY1107" s="344">
        <v>3.9455782312925167E-2</v>
      </c>
      <c r="AZ1107" s="344">
        <v>0.33877551020408164</v>
      </c>
      <c r="BA1107" s="344" t="s">
        <v>3192</v>
      </c>
      <c r="BB1107" s="344" t="s">
        <v>3192</v>
      </c>
      <c r="BC1107" s="344"/>
      <c r="BD1107" s="345">
        <v>1.6326530612244896E-2</v>
      </c>
      <c r="BE1107" s="334"/>
      <c r="BF1107" s="501">
        <f t="shared" si="91"/>
        <v>9.6598639455782315E-2</v>
      </c>
      <c r="BG1107" s="501">
        <v>0.48979591836734693</v>
      </c>
      <c r="BJ1107" s="337"/>
    </row>
    <row r="1108" spans="1:62" ht="15" customHeight="1" thickBot="1" x14ac:dyDescent="0.25">
      <c r="A1108" s="176">
        <v>1109</v>
      </c>
      <c r="B1108" s="175">
        <v>1</v>
      </c>
      <c r="C1108" s="171" t="s">
        <v>596</v>
      </c>
      <c r="D1108" s="159" t="s">
        <v>2020</v>
      </c>
      <c r="I1108" s="189">
        <v>2008</v>
      </c>
      <c r="J1108" s="189" t="s">
        <v>3209</v>
      </c>
      <c r="L1108" s="189" t="s">
        <v>3219</v>
      </c>
      <c r="M1108" s="556" t="s">
        <v>4310</v>
      </c>
      <c r="AF1108" s="162" t="str">
        <f t="shared" si="88"/>
        <v/>
      </c>
      <c r="AG1108" s="162" t="str">
        <f t="shared" si="92"/>
        <v/>
      </c>
      <c r="AH1108" s="164">
        <f t="shared" si="89"/>
        <v>0.42176870748299311</v>
      </c>
      <c r="AI1108" s="164">
        <f t="shared" si="90"/>
        <v>0.45986394557823118</v>
      </c>
      <c r="AJ1108" s="382"/>
      <c r="AK1108" s="382"/>
      <c r="AL1108" s="382"/>
      <c r="AM1108" s="382"/>
      <c r="AN1108" s="382"/>
      <c r="AO1108" s="382"/>
      <c r="AP1108" s="382"/>
      <c r="AQ1108" s="382"/>
      <c r="AR1108" s="382"/>
      <c r="AS1108" s="350"/>
      <c r="AT1108" s="202"/>
      <c r="AV1108" s="412"/>
      <c r="AW1108" s="344">
        <v>0.42176870748299311</v>
      </c>
      <c r="AX1108" s="344"/>
      <c r="AY1108" s="344">
        <v>3.8095238095238099E-2</v>
      </c>
      <c r="AZ1108" s="344">
        <v>0.50340136054421769</v>
      </c>
      <c r="BA1108" s="344" t="s">
        <v>3192</v>
      </c>
      <c r="BB1108" s="344" t="s">
        <v>3192</v>
      </c>
      <c r="BC1108" s="344"/>
      <c r="BD1108" s="345">
        <v>2.4489795918367346E-2</v>
      </c>
      <c r="BE1108" s="334"/>
      <c r="BF1108" s="501">
        <f t="shared" si="91"/>
        <v>0.42176870748299311</v>
      </c>
      <c r="BG1108" s="501">
        <v>0.9877551020408164</v>
      </c>
      <c r="BJ1108" s="337"/>
    </row>
    <row r="1109" spans="1:62" ht="15" customHeight="1" thickBot="1" x14ac:dyDescent="0.25">
      <c r="A1109" s="176">
        <v>1110</v>
      </c>
      <c r="B1109" s="175">
        <v>1</v>
      </c>
      <c r="C1109" s="171" t="s">
        <v>596</v>
      </c>
      <c r="D1109" s="159" t="s">
        <v>2020</v>
      </c>
      <c r="I1109" s="189">
        <v>2012</v>
      </c>
      <c r="J1109" s="189" t="s">
        <v>3210</v>
      </c>
      <c r="L1109" s="189" t="s">
        <v>3219</v>
      </c>
      <c r="M1109" s="556" t="s">
        <v>4310</v>
      </c>
      <c r="AF1109" s="162" t="str">
        <f t="shared" si="88"/>
        <v/>
      </c>
      <c r="AG1109" s="162" t="str">
        <f t="shared" si="92"/>
        <v/>
      </c>
      <c r="AH1109" s="164">
        <f t="shared" si="89"/>
        <v>1.1170068027210884</v>
      </c>
      <c r="AI1109" s="164">
        <f t="shared" si="90"/>
        <v>1.5755102040816327</v>
      </c>
      <c r="AJ1109" s="382"/>
      <c r="AK1109" s="382"/>
      <c r="AL1109" s="382"/>
      <c r="AM1109" s="382"/>
      <c r="AN1109" s="382"/>
      <c r="AO1109" s="382"/>
      <c r="AP1109" s="382"/>
      <c r="AQ1109" s="382"/>
      <c r="AR1109" s="382"/>
      <c r="AS1109" s="350"/>
      <c r="AT1109" s="202"/>
      <c r="AV1109" s="412"/>
      <c r="AW1109" s="344">
        <v>1.1170068027210884</v>
      </c>
      <c r="AX1109" s="344"/>
      <c r="AY1109" s="344">
        <v>0.45850340136054429</v>
      </c>
      <c r="AZ1109" s="344">
        <v>0.59047619047619049</v>
      </c>
      <c r="BA1109" s="344">
        <v>0.53605442176870755</v>
      </c>
      <c r="BB1109" s="344">
        <v>1.6367346938775513</v>
      </c>
      <c r="BC1109" s="344"/>
      <c r="BD1109" s="345">
        <v>5.1700680272108841E-2</v>
      </c>
      <c r="BE1109" s="334"/>
      <c r="BF1109" s="501">
        <f t="shared" si="91"/>
        <v>1.1170068027210884</v>
      </c>
      <c r="BG1109" s="501">
        <v>4.389115646258503</v>
      </c>
      <c r="BJ1109" s="337"/>
    </row>
    <row r="1110" spans="1:62" ht="15" customHeight="1" thickBot="1" x14ac:dyDescent="0.25">
      <c r="A1110" s="176">
        <v>1111</v>
      </c>
      <c r="B1110" s="175">
        <v>1</v>
      </c>
      <c r="C1110" s="171" t="s">
        <v>596</v>
      </c>
      <c r="D1110" s="159" t="s">
        <v>2020</v>
      </c>
      <c r="I1110" s="189">
        <v>2009</v>
      </c>
      <c r="J1110" s="189" t="s">
        <v>3211</v>
      </c>
      <c r="L1110" s="189" t="s">
        <v>3219</v>
      </c>
      <c r="M1110" s="556" t="s">
        <v>4310</v>
      </c>
      <c r="AF1110" s="162" t="str">
        <f t="shared" si="88"/>
        <v/>
      </c>
      <c r="AG1110" s="162" t="str">
        <f t="shared" si="92"/>
        <v/>
      </c>
      <c r="AH1110" s="164">
        <f t="shared" si="89"/>
        <v>0.62585034013605434</v>
      </c>
      <c r="AI1110" s="164">
        <f t="shared" si="90"/>
        <v>0.68979591836734688</v>
      </c>
      <c r="AJ1110" s="382"/>
      <c r="AK1110" s="382"/>
      <c r="AL1110" s="382"/>
      <c r="AM1110" s="382"/>
      <c r="AN1110" s="382"/>
      <c r="AO1110" s="382"/>
      <c r="AP1110" s="382"/>
      <c r="AQ1110" s="382"/>
      <c r="AR1110" s="382"/>
      <c r="AS1110" s="350"/>
      <c r="AT1110" s="202"/>
      <c r="AV1110" s="412"/>
      <c r="AW1110" s="344">
        <v>0.62585034013605434</v>
      </c>
      <c r="AX1110" s="344"/>
      <c r="AY1110" s="344">
        <v>6.3945578231292516E-2</v>
      </c>
      <c r="AZ1110" s="344">
        <v>0.36870748299319733</v>
      </c>
      <c r="BA1110" s="344" t="s">
        <v>3192</v>
      </c>
      <c r="BB1110" s="344" t="s">
        <v>3192</v>
      </c>
      <c r="BC1110" s="344"/>
      <c r="BD1110" s="345" t="s">
        <v>3192</v>
      </c>
      <c r="BE1110" s="334"/>
      <c r="BF1110" s="501">
        <f t="shared" si="91"/>
        <v>0.62585034013605434</v>
      </c>
      <c r="BG1110" s="501">
        <v>1.0598639455782313</v>
      </c>
      <c r="BJ1110" s="337"/>
    </row>
    <row r="1111" spans="1:62" ht="15" customHeight="1" thickBot="1" x14ac:dyDescent="0.25">
      <c r="A1111" s="176">
        <v>1112</v>
      </c>
      <c r="B1111" s="175">
        <v>1</v>
      </c>
      <c r="C1111" s="171" t="s">
        <v>596</v>
      </c>
      <c r="D1111" s="159" t="s">
        <v>2020</v>
      </c>
      <c r="I1111" s="189">
        <v>2004</v>
      </c>
      <c r="J1111" s="189" t="s">
        <v>3212</v>
      </c>
      <c r="L1111" s="189" t="s">
        <v>3219</v>
      </c>
      <c r="M1111" s="556" t="s">
        <v>4310</v>
      </c>
      <c r="AF1111" s="162" t="str">
        <f t="shared" si="88"/>
        <v/>
      </c>
      <c r="AG1111" s="162" t="str">
        <f t="shared" si="92"/>
        <v/>
      </c>
      <c r="AH1111" s="164">
        <f t="shared" si="89"/>
        <v>0.21904761904761905</v>
      </c>
      <c r="AI1111" s="164">
        <f t="shared" si="90"/>
        <v>0.472108843537415</v>
      </c>
      <c r="AJ1111" s="382"/>
      <c r="AK1111" s="382"/>
      <c r="AL1111" s="382"/>
      <c r="AM1111" s="382"/>
      <c r="AN1111" s="382"/>
      <c r="AO1111" s="382"/>
      <c r="AP1111" s="382"/>
      <c r="AQ1111" s="382"/>
      <c r="AR1111" s="382"/>
      <c r="AS1111" s="350"/>
      <c r="AT1111" s="203"/>
      <c r="AV1111" s="412"/>
      <c r="AW1111" s="344">
        <v>0.21904761904761905</v>
      </c>
      <c r="AX1111" s="344"/>
      <c r="AY1111" s="344">
        <v>0.25306122448979596</v>
      </c>
      <c r="AZ1111" s="344">
        <v>7.6190476190476197E-2</v>
      </c>
      <c r="BA1111" s="344" t="s">
        <v>3192</v>
      </c>
      <c r="BB1111" s="344" t="s">
        <v>3192</v>
      </c>
      <c r="BC1111" s="344"/>
      <c r="BD1111" s="345" t="s">
        <v>3192</v>
      </c>
      <c r="BE1111" s="334"/>
      <c r="BF1111" s="501">
        <f t="shared" si="91"/>
        <v>0.21904761904761905</v>
      </c>
      <c r="BG1111" s="501">
        <v>0.5496598639455782</v>
      </c>
      <c r="BJ1111" s="337"/>
    </row>
    <row r="1112" spans="1:62" ht="15" customHeight="1" thickBot="1" x14ac:dyDescent="0.25">
      <c r="A1112" s="176">
        <v>1113</v>
      </c>
      <c r="B1112" s="175">
        <v>1</v>
      </c>
      <c r="C1112" s="171" t="s">
        <v>596</v>
      </c>
      <c r="D1112" s="159" t="s">
        <v>2020</v>
      </c>
      <c r="I1112" s="189">
        <v>2010</v>
      </c>
      <c r="J1112" s="189" t="s">
        <v>3213</v>
      </c>
      <c r="L1112" s="189" t="s">
        <v>3219</v>
      </c>
      <c r="M1112" s="556" t="s">
        <v>4310</v>
      </c>
      <c r="AF1112" s="162" t="str">
        <f t="shared" si="88"/>
        <v/>
      </c>
      <c r="AG1112" s="162" t="str">
        <f t="shared" si="92"/>
        <v/>
      </c>
      <c r="AH1112" s="164">
        <f t="shared" si="89"/>
        <v>0.72789115646258506</v>
      </c>
      <c r="AI1112" s="164">
        <f t="shared" si="90"/>
        <v>1.1265306122448979</v>
      </c>
      <c r="AJ1112" s="382"/>
      <c r="AK1112" s="382"/>
      <c r="AL1112" s="382"/>
      <c r="AM1112" s="382"/>
      <c r="AN1112" s="382"/>
      <c r="AO1112" s="382"/>
      <c r="AP1112" s="382"/>
      <c r="AQ1112" s="382"/>
      <c r="AR1112" s="382"/>
      <c r="AS1112" s="350"/>
      <c r="AT1112" s="203"/>
      <c r="AV1112" s="412"/>
      <c r="AW1112" s="344">
        <v>0.72789115646258506</v>
      </c>
      <c r="AX1112" s="344"/>
      <c r="AY1112" s="344">
        <v>0.39863945578231291</v>
      </c>
      <c r="AZ1112" s="344">
        <v>0.91564625850340153</v>
      </c>
      <c r="BA1112" s="344">
        <v>0.28163265306122448</v>
      </c>
      <c r="BB1112" s="344" t="s">
        <v>3192</v>
      </c>
      <c r="BC1112" s="344"/>
      <c r="BD1112" s="345">
        <v>2.3129251700680271E-2</v>
      </c>
      <c r="BE1112" s="334"/>
      <c r="BF1112" s="501">
        <f t="shared" si="91"/>
        <v>0.72789115646258506</v>
      </c>
      <c r="BG1112" s="501">
        <v>2.3469387755102042</v>
      </c>
      <c r="BJ1112" s="337"/>
    </row>
    <row r="1113" spans="1:62" ht="15" customHeight="1" thickBot="1" x14ac:dyDescent="0.25">
      <c r="A1113" s="176">
        <v>1114</v>
      </c>
      <c r="B1113" s="175">
        <v>1</v>
      </c>
      <c r="C1113" s="171" t="s">
        <v>596</v>
      </c>
      <c r="D1113" s="159" t="s">
        <v>2020</v>
      </c>
      <c r="I1113" s="189">
        <v>2012</v>
      </c>
      <c r="J1113" s="189" t="s">
        <v>3214</v>
      </c>
      <c r="L1113" s="189" t="s">
        <v>3219</v>
      </c>
      <c r="M1113" s="556" t="s">
        <v>4310</v>
      </c>
      <c r="AF1113" s="162" t="str">
        <f t="shared" si="88"/>
        <v/>
      </c>
      <c r="AG1113" s="162" t="str">
        <f t="shared" si="92"/>
        <v/>
      </c>
      <c r="AH1113" s="164">
        <f t="shared" si="89"/>
        <v>0.61768707482993201</v>
      </c>
      <c r="AI1113" s="164" t="str">
        <f t="shared" si="90"/>
        <v/>
      </c>
      <c r="AJ1113" s="382"/>
      <c r="AK1113" s="382"/>
      <c r="AL1113" s="382"/>
      <c r="AM1113" s="382"/>
      <c r="AN1113" s="382"/>
      <c r="AO1113" s="382"/>
      <c r="AP1113" s="382"/>
      <c r="AQ1113" s="382"/>
      <c r="AR1113" s="382"/>
      <c r="AS1113" s="350"/>
      <c r="AT1113" s="203"/>
      <c r="AV1113" s="412"/>
      <c r="AW1113" s="344">
        <v>0.61768707482993201</v>
      </c>
      <c r="AX1113" s="344"/>
      <c r="AY1113" s="344" t="s">
        <v>3192</v>
      </c>
      <c r="AZ1113" s="344" t="s">
        <v>3192</v>
      </c>
      <c r="BA1113" s="344" t="s">
        <v>3192</v>
      </c>
      <c r="BB1113" s="344" t="s">
        <v>3192</v>
      </c>
      <c r="BC1113" s="344"/>
      <c r="BD1113" s="345" t="s">
        <v>3192</v>
      </c>
      <c r="BE1113" s="334"/>
      <c r="BF1113" s="501">
        <f t="shared" si="91"/>
        <v>0.61768707482993201</v>
      </c>
      <c r="BG1113" s="501" t="s">
        <v>3192</v>
      </c>
      <c r="BJ1113" s="337"/>
    </row>
    <row r="1114" spans="1:62" ht="15" customHeight="1" thickBot="1" x14ac:dyDescent="0.25">
      <c r="A1114" s="176">
        <v>1115</v>
      </c>
      <c r="B1114" s="175">
        <v>1</v>
      </c>
      <c r="C1114" s="171" t="s">
        <v>596</v>
      </c>
      <c r="D1114" s="159" t="s">
        <v>2020</v>
      </c>
      <c r="I1114" s="189">
        <v>2012</v>
      </c>
      <c r="J1114" s="189" t="s">
        <v>3214</v>
      </c>
      <c r="L1114" s="189" t="s">
        <v>3219</v>
      </c>
      <c r="M1114" s="556" t="s">
        <v>4310</v>
      </c>
      <c r="AF1114" s="162" t="str">
        <f t="shared" si="88"/>
        <v/>
      </c>
      <c r="AG1114" s="162" t="str">
        <f t="shared" si="92"/>
        <v/>
      </c>
      <c r="AH1114" s="164">
        <f t="shared" si="89"/>
        <v>1.0666666666666667</v>
      </c>
      <c r="AI1114" s="164" t="str">
        <f t="shared" si="90"/>
        <v/>
      </c>
      <c r="AJ1114" s="382"/>
      <c r="AK1114" s="382"/>
      <c r="AL1114" s="382"/>
      <c r="AM1114" s="382"/>
      <c r="AN1114" s="382"/>
      <c r="AO1114" s="382"/>
      <c r="AP1114" s="382"/>
      <c r="AQ1114" s="382"/>
      <c r="AR1114" s="382"/>
      <c r="AS1114" s="350"/>
      <c r="AT1114" s="203"/>
      <c r="AV1114" s="412"/>
      <c r="AW1114" s="344">
        <v>1.0666666666666667</v>
      </c>
      <c r="AX1114" s="344"/>
      <c r="AY1114" s="344" t="s">
        <v>3192</v>
      </c>
      <c r="AZ1114" s="344" t="s">
        <v>3192</v>
      </c>
      <c r="BA1114" s="344" t="s">
        <v>3192</v>
      </c>
      <c r="BB1114" s="344" t="s">
        <v>3192</v>
      </c>
      <c r="BC1114" s="344"/>
      <c r="BD1114" s="345" t="s">
        <v>3192</v>
      </c>
      <c r="BE1114" s="334"/>
      <c r="BF1114" s="501">
        <f t="shared" si="91"/>
        <v>1.0666666666666667</v>
      </c>
      <c r="BG1114" s="501" t="s">
        <v>3192</v>
      </c>
      <c r="BJ1114" s="337"/>
    </row>
    <row r="1115" spans="1:62" ht="15" customHeight="1" thickBot="1" x14ac:dyDescent="0.25">
      <c r="A1115" s="176">
        <v>1116</v>
      </c>
      <c r="B1115" s="175">
        <v>1</v>
      </c>
      <c r="C1115" s="171" t="s">
        <v>596</v>
      </c>
      <c r="D1115" s="159" t="s">
        <v>2020</v>
      </c>
      <c r="I1115" s="189">
        <v>2012</v>
      </c>
      <c r="J1115" s="189" t="s">
        <v>3214</v>
      </c>
      <c r="L1115" s="189" t="s">
        <v>3219</v>
      </c>
      <c r="M1115" s="556" t="s">
        <v>4310</v>
      </c>
      <c r="AF1115" s="162" t="str">
        <f t="shared" si="88"/>
        <v/>
      </c>
      <c r="AG1115" s="162" t="str">
        <f t="shared" si="92"/>
        <v/>
      </c>
      <c r="AH1115" s="164">
        <f t="shared" si="89"/>
        <v>1.0993197278911564</v>
      </c>
      <c r="AI1115" s="164" t="str">
        <f t="shared" si="90"/>
        <v/>
      </c>
      <c r="AJ1115" s="382"/>
      <c r="AK1115" s="382"/>
      <c r="AL1115" s="382"/>
      <c r="AM1115" s="382"/>
      <c r="AN1115" s="382"/>
      <c r="AO1115" s="382"/>
      <c r="AP1115" s="382"/>
      <c r="AQ1115" s="382"/>
      <c r="AR1115" s="382"/>
      <c r="AS1115" s="350"/>
      <c r="AT1115" s="203"/>
      <c r="AV1115" s="412"/>
      <c r="AW1115" s="344">
        <v>1.0993197278911564</v>
      </c>
      <c r="AX1115" s="344"/>
      <c r="AY1115" s="344" t="s">
        <v>3192</v>
      </c>
      <c r="AZ1115" s="344" t="s">
        <v>3192</v>
      </c>
      <c r="BA1115" s="344" t="s">
        <v>3192</v>
      </c>
      <c r="BB1115" s="344" t="s">
        <v>3192</v>
      </c>
      <c r="BC1115" s="344"/>
      <c r="BD1115" s="345" t="s">
        <v>3192</v>
      </c>
      <c r="BE1115" s="334"/>
      <c r="BF1115" s="501">
        <f t="shared" si="91"/>
        <v>1.0993197278911564</v>
      </c>
      <c r="BG1115" s="501" t="s">
        <v>3192</v>
      </c>
      <c r="BJ1115" s="337"/>
    </row>
    <row r="1116" spans="1:62" ht="15" customHeight="1" thickBot="1" x14ac:dyDescent="0.25">
      <c r="A1116" s="176">
        <v>1117</v>
      </c>
      <c r="B1116" s="175">
        <v>1</v>
      </c>
      <c r="C1116" s="171" t="s">
        <v>596</v>
      </c>
      <c r="D1116" s="159" t="s">
        <v>2020</v>
      </c>
      <c r="I1116" s="189">
        <v>2012</v>
      </c>
      <c r="J1116" s="189" t="s">
        <v>3214</v>
      </c>
      <c r="L1116" s="189" t="s">
        <v>3219</v>
      </c>
      <c r="M1116" s="556" t="s">
        <v>4310</v>
      </c>
      <c r="AF1116" s="162" t="str">
        <f t="shared" si="88"/>
        <v/>
      </c>
      <c r="AG1116" s="162" t="str">
        <f t="shared" si="92"/>
        <v/>
      </c>
      <c r="AH1116" s="164">
        <f t="shared" si="89"/>
        <v>0.43265306122448982</v>
      </c>
      <c r="AI1116" s="164" t="str">
        <f t="shared" si="90"/>
        <v/>
      </c>
      <c r="AJ1116" s="382"/>
      <c r="AK1116" s="382"/>
      <c r="AL1116" s="382"/>
      <c r="AM1116" s="382"/>
      <c r="AN1116" s="382"/>
      <c r="AO1116" s="382"/>
      <c r="AP1116" s="382"/>
      <c r="AQ1116" s="382"/>
      <c r="AR1116" s="382"/>
      <c r="AS1116" s="350"/>
      <c r="AT1116" s="203"/>
      <c r="AV1116" s="412"/>
      <c r="AW1116" s="344">
        <v>0.43265306122448982</v>
      </c>
      <c r="AX1116" s="344"/>
      <c r="AY1116" s="344" t="s">
        <v>3192</v>
      </c>
      <c r="AZ1116" s="344" t="s">
        <v>3192</v>
      </c>
      <c r="BA1116" s="344" t="s">
        <v>3192</v>
      </c>
      <c r="BB1116" s="344" t="s">
        <v>3192</v>
      </c>
      <c r="BC1116" s="344"/>
      <c r="BD1116" s="345" t="s">
        <v>3192</v>
      </c>
      <c r="BE1116" s="334"/>
      <c r="BF1116" s="501">
        <f t="shared" si="91"/>
        <v>0.43265306122448982</v>
      </c>
      <c r="BG1116" s="501" t="s">
        <v>3192</v>
      </c>
      <c r="BJ1116" s="337"/>
    </row>
    <row r="1117" spans="1:62" ht="15" customHeight="1" thickBot="1" x14ac:dyDescent="0.25">
      <c r="A1117" s="176">
        <v>1118</v>
      </c>
      <c r="B1117" s="175">
        <v>1</v>
      </c>
      <c r="C1117" s="171" t="s">
        <v>596</v>
      </c>
      <c r="D1117" s="159" t="s">
        <v>2020</v>
      </c>
      <c r="I1117" s="189">
        <v>2012</v>
      </c>
      <c r="J1117" s="189" t="s">
        <v>3214</v>
      </c>
      <c r="L1117" s="189" t="s">
        <v>3219</v>
      </c>
      <c r="M1117" s="556" t="s">
        <v>4310</v>
      </c>
      <c r="AF1117" s="162" t="str">
        <f t="shared" si="88"/>
        <v/>
      </c>
      <c r="AG1117" s="162" t="str">
        <f t="shared" si="92"/>
        <v/>
      </c>
      <c r="AH1117" s="164">
        <f t="shared" si="89"/>
        <v>0.72108843537414979</v>
      </c>
      <c r="AI1117" s="164" t="str">
        <f t="shared" si="90"/>
        <v/>
      </c>
      <c r="AJ1117" s="382"/>
      <c r="AK1117" s="382"/>
      <c r="AL1117" s="382"/>
      <c r="AM1117" s="382"/>
      <c r="AN1117" s="382"/>
      <c r="AO1117" s="382"/>
      <c r="AP1117" s="382"/>
      <c r="AQ1117" s="382"/>
      <c r="AR1117" s="382"/>
      <c r="AS1117" s="350"/>
      <c r="AT1117" s="203"/>
      <c r="AV1117" s="412"/>
      <c r="AW1117" s="344">
        <v>0.72108843537414979</v>
      </c>
      <c r="AX1117" s="344"/>
      <c r="AY1117" s="344" t="s">
        <v>3192</v>
      </c>
      <c r="AZ1117" s="344" t="s">
        <v>3192</v>
      </c>
      <c r="BA1117" s="344" t="s">
        <v>3192</v>
      </c>
      <c r="BB1117" s="344" t="s">
        <v>3192</v>
      </c>
      <c r="BC1117" s="344"/>
      <c r="BD1117" s="345" t="s">
        <v>3192</v>
      </c>
      <c r="BE1117" s="334"/>
      <c r="BF1117" s="501">
        <f t="shared" si="91"/>
        <v>0.72108843537414979</v>
      </c>
      <c r="BG1117" s="501" t="s">
        <v>3192</v>
      </c>
      <c r="BJ1117" s="337"/>
    </row>
    <row r="1118" spans="1:62" ht="15" customHeight="1" thickBot="1" x14ac:dyDescent="0.25">
      <c r="A1118" s="176">
        <v>1119</v>
      </c>
      <c r="B1118" s="175">
        <v>1</v>
      </c>
      <c r="C1118" s="171" t="s">
        <v>596</v>
      </c>
      <c r="D1118" s="159" t="s">
        <v>2020</v>
      </c>
      <c r="I1118" s="189">
        <v>2012</v>
      </c>
      <c r="J1118" s="189" t="s">
        <v>3214</v>
      </c>
      <c r="L1118" s="189" t="s">
        <v>3219</v>
      </c>
      <c r="M1118" s="556" t="s">
        <v>4310</v>
      </c>
      <c r="AF1118" s="162" t="str">
        <f t="shared" si="88"/>
        <v/>
      </c>
      <c r="AG1118" s="162" t="str">
        <f t="shared" si="92"/>
        <v/>
      </c>
      <c r="AH1118" s="164">
        <f t="shared" si="89"/>
        <v>0.76870748299319724</v>
      </c>
      <c r="AI1118" s="164" t="str">
        <f t="shared" si="90"/>
        <v/>
      </c>
      <c r="AJ1118" s="382"/>
      <c r="AK1118" s="382"/>
      <c r="AL1118" s="382"/>
      <c r="AM1118" s="382"/>
      <c r="AN1118" s="382"/>
      <c r="AO1118" s="382"/>
      <c r="AP1118" s="382"/>
      <c r="AQ1118" s="382"/>
      <c r="AR1118" s="382"/>
      <c r="AS1118" s="350"/>
      <c r="AT1118" s="203"/>
      <c r="AV1118" s="412"/>
      <c r="AW1118" s="344">
        <v>0.76870748299319724</v>
      </c>
      <c r="AX1118" s="344"/>
      <c r="AY1118" s="344" t="s">
        <v>3192</v>
      </c>
      <c r="AZ1118" s="344" t="s">
        <v>3192</v>
      </c>
      <c r="BA1118" s="344" t="s">
        <v>3192</v>
      </c>
      <c r="BB1118" s="344" t="s">
        <v>3192</v>
      </c>
      <c r="BC1118" s="344"/>
      <c r="BD1118" s="345" t="s">
        <v>3192</v>
      </c>
      <c r="BE1118" s="334"/>
      <c r="BF1118" s="501">
        <f t="shared" si="91"/>
        <v>0.76870748299319724</v>
      </c>
      <c r="BG1118" s="501" t="s">
        <v>3192</v>
      </c>
      <c r="BJ1118" s="337"/>
    </row>
    <row r="1119" spans="1:62" ht="15" customHeight="1" thickBot="1" x14ac:dyDescent="0.25">
      <c r="A1119" s="176">
        <v>1120</v>
      </c>
      <c r="B1119" s="175">
        <v>1</v>
      </c>
      <c r="C1119" s="171" t="s">
        <v>596</v>
      </c>
      <c r="D1119" s="159" t="s">
        <v>2020</v>
      </c>
      <c r="I1119" s="189">
        <v>2012</v>
      </c>
      <c r="J1119" s="189" t="s">
        <v>3214</v>
      </c>
      <c r="L1119" s="189" t="s">
        <v>3219</v>
      </c>
      <c r="M1119" s="556" t="s">
        <v>4310</v>
      </c>
      <c r="AF1119" s="162" t="str">
        <f t="shared" si="88"/>
        <v/>
      </c>
      <c r="AG1119" s="162" t="str">
        <f t="shared" si="92"/>
        <v/>
      </c>
      <c r="AH1119" s="164">
        <f t="shared" si="89"/>
        <v>0.76598639455782314</v>
      </c>
      <c r="AI1119" s="164" t="str">
        <f t="shared" si="90"/>
        <v/>
      </c>
      <c r="AJ1119" s="382"/>
      <c r="AK1119" s="382"/>
      <c r="AL1119" s="382"/>
      <c r="AM1119" s="382"/>
      <c r="AN1119" s="382"/>
      <c r="AO1119" s="382"/>
      <c r="AP1119" s="382"/>
      <c r="AQ1119" s="382"/>
      <c r="AR1119" s="382"/>
      <c r="AS1119" s="350"/>
      <c r="AT1119" s="203"/>
      <c r="AV1119" s="412"/>
      <c r="AW1119" s="344">
        <v>0.76598639455782314</v>
      </c>
      <c r="AX1119" s="344"/>
      <c r="AY1119" s="344" t="s">
        <v>3192</v>
      </c>
      <c r="AZ1119" s="344" t="s">
        <v>3192</v>
      </c>
      <c r="BA1119" s="344" t="s">
        <v>3192</v>
      </c>
      <c r="BB1119" s="344" t="s">
        <v>3192</v>
      </c>
      <c r="BC1119" s="344"/>
      <c r="BD1119" s="345" t="s">
        <v>3192</v>
      </c>
      <c r="BE1119" s="334"/>
      <c r="BF1119" s="501">
        <f t="shared" si="91"/>
        <v>0.76598639455782314</v>
      </c>
      <c r="BG1119" s="501" t="s">
        <v>3192</v>
      </c>
      <c r="BJ1119" s="337"/>
    </row>
    <row r="1120" spans="1:62" ht="15" customHeight="1" thickBot="1" x14ac:dyDescent="0.25">
      <c r="A1120" s="176">
        <v>1121</v>
      </c>
      <c r="B1120" s="175">
        <v>1</v>
      </c>
      <c r="C1120" s="171" t="s">
        <v>596</v>
      </c>
      <c r="D1120" s="159" t="s">
        <v>2020</v>
      </c>
      <c r="I1120" s="189">
        <v>2012</v>
      </c>
      <c r="J1120" s="189" t="s">
        <v>3214</v>
      </c>
      <c r="L1120" s="189" t="s">
        <v>3219</v>
      </c>
      <c r="M1120" s="556" t="s">
        <v>4310</v>
      </c>
      <c r="AF1120" s="162" t="str">
        <f t="shared" si="88"/>
        <v/>
      </c>
      <c r="AG1120" s="162" t="str">
        <f t="shared" si="92"/>
        <v/>
      </c>
      <c r="AH1120" s="164">
        <f t="shared" si="89"/>
        <v>0.69251700680272121</v>
      </c>
      <c r="AI1120" s="164" t="str">
        <f t="shared" si="90"/>
        <v/>
      </c>
      <c r="AJ1120" s="382"/>
      <c r="AK1120" s="382"/>
      <c r="AL1120" s="382"/>
      <c r="AM1120" s="382"/>
      <c r="AN1120" s="382"/>
      <c r="AO1120" s="382"/>
      <c r="AP1120" s="382"/>
      <c r="AQ1120" s="382"/>
      <c r="AR1120" s="382"/>
      <c r="AS1120" s="350"/>
      <c r="AT1120" s="203"/>
      <c r="AV1120" s="412"/>
      <c r="AW1120" s="344">
        <v>0.69251700680272121</v>
      </c>
      <c r="AX1120" s="344"/>
      <c r="AY1120" s="344" t="s">
        <v>3192</v>
      </c>
      <c r="AZ1120" s="344" t="s">
        <v>3192</v>
      </c>
      <c r="BA1120" s="344" t="s">
        <v>3192</v>
      </c>
      <c r="BB1120" s="344" t="s">
        <v>3192</v>
      </c>
      <c r="BC1120" s="344"/>
      <c r="BD1120" s="345" t="s">
        <v>3192</v>
      </c>
      <c r="BE1120" s="334"/>
      <c r="BF1120" s="501">
        <f t="shared" si="91"/>
        <v>0.69251700680272121</v>
      </c>
      <c r="BG1120" s="501" t="s">
        <v>3192</v>
      </c>
      <c r="BJ1120" s="337"/>
    </row>
    <row r="1121" spans="1:62" ht="15" customHeight="1" thickBot="1" x14ac:dyDescent="0.25">
      <c r="A1121" s="176">
        <v>1122</v>
      </c>
      <c r="B1121" s="175">
        <v>1</v>
      </c>
      <c r="C1121" s="171" t="s">
        <v>596</v>
      </c>
      <c r="D1121" s="159" t="s">
        <v>2020</v>
      </c>
      <c r="I1121" s="189">
        <v>2012</v>
      </c>
      <c r="J1121" s="189" t="s">
        <v>3214</v>
      </c>
      <c r="L1121" s="189" t="s">
        <v>3219</v>
      </c>
      <c r="M1121" s="556" t="s">
        <v>4310</v>
      </c>
      <c r="AF1121" s="162" t="str">
        <f t="shared" si="88"/>
        <v/>
      </c>
      <c r="AG1121" s="162" t="str">
        <f t="shared" si="92"/>
        <v/>
      </c>
      <c r="AH1121" s="164">
        <f t="shared" si="89"/>
        <v>0.70612244897959187</v>
      </c>
      <c r="AI1121" s="164" t="str">
        <f t="shared" si="90"/>
        <v/>
      </c>
      <c r="AJ1121" s="382"/>
      <c r="AK1121" s="382"/>
      <c r="AL1121" s="382"/>
      <c r="AM1121" s="382"/>
      <c r="AN1121" s="382"/>
      <c r="AO1121" s="382"/>
      <c r="AP1121" s="382"/>
      <c r="AQ1121" s="382"/>
      <c r="AR1121" s="382"/>
      <c r="AS1121" s="350"/>
      <c r="AT1121" s="203"/>
      <c r="AV1121" s="412"/>
      <c r="AW1121" s="344">
        <v>0.70612244897959187</v>
      </c>
      <c r="AX1121" s="344"/>
      <c r="AY1121" s="344" t="s">
        <v>3192</v>
      </c>
      <c r="AZ1121" s="344" t="s">
        <v>3192</v>
      </c>
      <c r="BA1121" s="344" t="s">
        <v>3192</v>
      </c>
      <c r="BB1121" s="344" t="s">
        <v>3192</v>
      </c>
      <c r="BC1121" s="344"/>
      <c r="BD1121" s="345" t="s">
        <v>3192</v>
      </c>
      <c r="BE1121" s="334"/>
      <c r="BF1121" s="501">
        <f t="shared" si="91"/>
        <v>0.70612244897959187</v>
      </c>
      <c r="BG1121" s="501" t="s">
        <v>3192</v>
      </c>
      <c r="BJ1121" s="337"/>
    </row>
    <row r="1122" spans="1:62" ht="15" customHeight="1" thickBot="1" x14ac:dyDescent="0.25">
      <c r="A1122" s="176">
        <v>1123</v>
      </c>
      <c r="B1122" s="175">
        <v>1</v>
      </c>
      <c r="C1122" s="171" t="s">
        <v>596</v>
      </c>
      <c r="D1122" s="159" t="s">
        <v>2020</v>
      </c>
      <c r="I1122" s="189">
        <v>2012</v>
      </c>
      <c r="J1122" s="189" t="s">
        <v>3214</v>
      </c>
      <c r="L1122" s="189" t="s">
        <v>3219</v>
      </c>
      <c r="M1122" s="556" t="s">
        <v>4310</v>
      </c>
      <c r="AF1122" s="162" t="str">
        <f t="shared" si="88"/>
        <v/>
      </c>
      <c r="AG1122" s="162" t="str">
        <f t="shared" si="92"/>
        <v/>
      </c>
      <c r="AH1122" s="164">
        <f t="shared" si="89"/>
        <v>0.62040816326530612</v>
      </c>
      <c r="AI1122" s="164" t="str">
        <f t="shared" si="90"/>
        <v/>
      </c>
      <c r="AJ1122" s="382"/>
      <c r="AK1122" s="382"/>
      <c r="AL1122" s="382"/>
      <c r="AM1122" s="382"/>
      <c r="AN1122" s="382"/>
      <c r="AO1122" s="382"/>
      <c r="AP1122" s="382"/>
      <c r="AQ1122" s="382"/>
      <c r="AR1122" s="382"/>
      <c r="AS1122" s="350"/>
      <c r="AT1122" s="203"/>
      <c r="AV1122" s="412"/>
      <c r="AW1122" s="344">
        <v>0.62040816326530612</v>
      </c>
      <c r="AX1122" s="344"/>
      <c r="AY1122" s="344" t="s">
        <v>3192</v>
      </c>
      <c r="AZ1122" s="344" t="s">
        <v>3192</v>
      </c>
      <c r="BA1122" s="344" t="s">
        <v>3192</v>
      </c>
      <c r="BB1122" s="344" t="s">
        <v>3192</v>
      </c>
      <c r="BC1122" s="344"/>
      <c r="BD1122" s="345" t="s">
        <v>3192</v>
      </c>
      <c r="BE1122" s="334"/>
      <c r="BF1122" s="501">
        <f t="shared" si="91"/>
        <v>0.62040816326530612</v>
      </c>
      <c r="BG1122" s="501" t="s">
        <v>3192</v>
      </c>
      <c r="BJ1122" s="337"/>
    </row>
    <row r="1123" spans="1:62" ht="15" customHeight="1" thickBot="1" x14ac:dyDescent="0.25">
      <c r="A1123" s="176">
        <v>1124</v>
      </c>
      <c r="B1123" s="175">
        <v>1</v>
      </c>
      <c r="C1123" s="171" t="s">
        <v>596</v>
      </c>
      <c r="D1123" s="159" t="s">
        <v>2020</v>
      </c>
      <c r="I1123" s="189">
        <v>2012</v>
      </c>
      <c r="J1123" s="189" t="s">
        <v>3214</v>
      </c>
      <c r="L1123" s="189" t="s">
        <v>3219</v>
      </c>
      <c r="M1123" s="556" t="s">
        <v>4310</v>
      </c>
      <c r="AF1123" s="162" t="str">
        <f t="shared" si="88"/>
        <v/>
      </c>
      <c r="AG1123" s="162" t="str">
        <f t="shared" si="92"/>
        <v/>
      </c>
      <c r="AH1123" s="164">
        <f t="shared" si="89"/>
        <v>0.42176870748299317</v>
      </c>
      <c r="AI1123" s="164" t="str">
        <f t="shared" si="90"/>
        <v/>
      </c>
      <c r="AJ1123" s="382"/>
      <c r="AK1123" s="382"/>
      <c r="AL1123" s="382"/>
      <c r="AM1123" s="382"/>
      <c r="AN1123" s="382"/>
      <c r="AO1123" s="382"/>
      <c r="AP1123" s="382"/>
      <c r="AQ1123" s="382"/>
      <c r="AR1123" s="382"/>
      <c r="AS1123" s="350"/>
      <c r="AT1123" s="203"/>
      <c r="AV1123" s="412"/>
      <c r="AW1123" s="344">
        <v>0.42176870748299317</v>
      </c>
      <c r="AX1123" s="344"/>
      <c r="AY1123" s="344" t="s">
        <v>3192</v>
      </c>
      <c r="AZ1123" s="344" t="s">
        <v>3192</v>
      </c>
      <c r="BA1123" s="344" t="s">
        <v>3192</v>
      </c>
      <c r="BB1123" s="344" t="s">
        <v>3192</v>
      </c>
      <c r="BC1123" s="344"/>
      <c r="BD1123" s="345" t="s">
        <v>3192</v>
      </c>
      <c r="BE1123" s="334"/>
      <c r="BF1123" s="501">
        <f t="shared" si="91"/>
        <v>0.42176870748299317</v>
      </c>
      <c r="BG1123" s="501" t="s">
        <v>3192</v>
      </c>
      <c r="BJ1123" s="337"/>
    </row>
    <row r="1124" spans="1:62" ht="15" customHeight="1" thickBot="1" x14ac:dyDescent="0.25">
      <c r="A1124" s="176">
        <v>1125</v>
      </c>
      <c r="B1124" s="175">
        <v>1</v>
      </c>
      <c r="C1124" s="171" t="s">
        <v>596</v>
      </c>
      <c r="D1124" s="159" t="s">
        <v>2020</v>
      </c>
      <c r="I1124" s="189">
        <v>2012</v>
      </c>
      <c r="J1124" s="189" t="s">
        <v>3214</v>
      </c>
      <c r="L1124" s="189" t="s">
        <v>3219</v>
      </c>
      <c r="M1124" s="556" t="s">
        <v>4310</v>
      </c>
      <c r="AF1124" s="162" t="str">
        <f t="shared" si="88"/>
        <v/>
      </c>
      <c r="AG1124" s="162" t="str">
        <f t="shared" si="92"/>
        <v/>
      </c>
      <c r="AH1124" s="164">
        <f t="shared" si="89"/>
        <v>0.45578231292517013</v>
      </c>
      <c r="AI1124" s="164" t="str">
        <f t="shared" si="90"/>
        <v/>
      </c>
      <c r="AJ1124" s="382"/>
      <c r="AK1124" s="382"/>
      <c r="AL1124" s="382"/>
      <c r="AM1124" s="382"/>
      <c r="AN1124" s="382"/>
      <c r="AO1124" s="382"/>
      <c r="AP1124" s="382"/>
      <c r="AQ1124" s="382"/>
      <c r="AR1124" s="382"/>
      <c r="AS1124" s="350"/>
      <c r="AT1124" s="203"/>
      <c r="AV1124" s="412"/>
      <c r="AW1124" s="344">
        <v>0.45578231292517013</v>
      </c>
      <c r="AX1124" s="344"/>
      <c r="AY1124" s="344" t="s">
        <v>3192</v>
      </c>
      <c r="AZ1124" s="344" t="s">
        <v>3192</v>
      </c>
      <c r="BA1124" s="344" t="s">
        <v>3192</v>
      </c>
      <c r="BB1124" s="344" t="s">
        <v>3192</v>
      </c>
      <c r="BC1124" s="344"/>
      <c r="BD1124" s="345" t="s">
        <v>3192</v>
      </c>
      <c r="BE1124" s="334"/>
      <c r="BF1124" s="501">
        <f t="shared" si="91"/>
        <v>0.45578231292517013</v>
      </c>
      <c r="BG1124" s="501" t="s">
        <v>3192</v>
      </c>
      <c r="BJ1124" s="337"/>
    </row>
    <row r="1125" spans="1:62" ht="15" customHeight="1" thickBot="1" x14ac:dyDescent="0.25">
      <c r="A1125" s="176">
        <v>1126</v>
      </c>
      <c r="B1125" s="175">
        <v>1</v>
      </c>
      <c r="C1125" s="171" t="s">
        <v>596</v>
      </c>
      <c r="D1125" s="159" t="s">
        <v>2020</v>
      </c>
      <c r="I1125" s="189">
        <v>2012</v>
      </c>
      <c r="J1125" s="189" t="s">
        <v>3214</v>
      </c>
      <c r="L1125" s="189" t="s">
        <v>3219</v>
      </c>
      <c r="M1125" s="556" t="s">
        <v>4310</v>
      </c>
      <c r="AF1125" s="162" t="str">
        <f t="shared" si="88"/>
        <v/>
      </c>
      <c r="AG1125" s="162" t="str">
        <f t="shared" si="92"/>
        <v/>
      </c>
      <c r="AH1125" s="164">
        <f t="shared" si="89"/>
        <v>0.63265306122448983</v>
      </c>
      <c r="AI1125" s="164" t="str">
        <f t="shared" si="90"/>
        <v/>
      </c>
      <c r="AJ1125" s="382"/>
      <c r="AK1125" s="382"/>
      <c r="AL1125" s="382"/>
      <c r="AM1125" s="382"/>
      <c r="AN1125" s="382"/>
      <c r="AO1125" s="382"/>
      <c r="AP1125" s="382"/>
      <c r="AQ1125" s="382"/>
      <c r="AR1125" s="382"/>
      <c r="AS1125" s="350"/>
      <c r="AT1125" s="203"/>
      <c r="AV1125" s="412"/>
      <c r="AW1125" s="344">
        <v>0.63265306122448983</v>
      </c>
      <c r="AX1125" s="344"/>
      <c r="AY1125" s="344" t="s">
        <v>3192</v>
      </c>
      <c r="AZ1125" s="344" t="s">
        <v>3192</v>
      </c>
      <c r="BA1125" s="344" t="s">
        <v>3192</v>
      </c>
      <c r="BB1125" s="344" t="s">
        <v>3192</v>
      </c>
      <c r="BC1125" s="344"/>
      <c r="BD1125" s="345" t="s">
        <v>3192</v>
      </c>
      <c r="BE1125" s="334"/>
      <c r="BF1125" s="501">
        <f t="shared" si="91"/>
        <v>0.63265306122448983</v>
      </c>
      <c r="BG1125" s="501" t="s">
        <v>3192</v>
      </c>
      <c r="BJ1125" s="337"/>
    </row>
    <row r="1126" spans="1:62" ht="15" customHeight="1" thickBot="1" x14ac:dyDescent="0.25">
      <c r="A1126" s="176">
        <v>1127</v>
      </c>
      <c r="B1126" s="175">
        <v>1</v>
      </c>
      <c r="C1126" s="171" t="s">
        <v>596</v>
      </c>
      <c r="D1126" s="159" t="s">
        <v>2020</v>
      </c>
      <c r="I1126" s="189">
        <v>2012</v>
      </c>
      <c r="J1126" s="189" t="s">
        <v>3214</v>
      </c>
      <c r="L1126" s="189" t="s">
        <v>3219</v>
      </c>
      <c r="M1126" s="556" t="s">
        <v>4310</v>
      </c>
      <c r="AF1126" s="162" t="str">
        <f t="shared" si="88"/>
        <v/>
      </c>
      <c r="AG1126" s="162" t="str">
        <f t="shared" si="92"/>
        <v/>
      </c>
      <c r="AH1126" s="164">
        <f t="shared" si="89"/>
        <v>0.42040816326530611</v>
      </c>
      <c r="AI1126" s="164" t="str">
        <f t="shared" si="90"/>
        <v/>
      </c>
      <c r="AJ1126" s="382"/>
      <c r="AK1126" s="382"/>
      <c r="AL1126" s="382"/>
      <c r="AM1126" s="382"/>
      <c r="AN1126" s="382"/>
      <c r="AO1126" s="382"/>
      <c r="AP1126" s="382"/>
      <c r="AQ1126" s="382"/>
      <c r="AR1126" s="382"/>
      <c r="AS1126" s="350"/>
      <c r="AT1126" s="202"/>
      <c r="AV1126" s="412"/>
      <c r="AW1126" s="344">
        <v>0.42040816326530611</v>
      </c>
      <c r="AX1126" s="344"/>
      <c r="AY1126" s="344" t="s">
        <v>3192</v>
      </c>
      <c r="AZ1126" s="344" t="s">
        <v>3192</v>
      </c>
      <c r="BA1126" s="344" t="s">
        <v>3192</v>
      </c>
      <c r="BB1126" s="344" t="s">
        <v>3192</v>
      </c>
      <c r="BC1126" s="344"/>
      <c r="BD1126" s="345" t="s">
        <v>3192</v>
      </c>
      <c r="BE1126" s="334"/>
      <c r="BF1126" s="501">
        <f t="shared" si="91"/>
        <v>0.42040816326530611</v>
      </c>
      <c r="BG1126" s="501" t="s">
        <v>3192</v>
      </c>
      <c r="BJ1126" s="337"/>
    </row>
    <row r="1127" spans="1:62" ht="15" customHeight="1" thickBot="1" x14ac:dyDescent="0.25">
      <c r="A1127" s="176">
        <v>1128</v>
      </c>
      <c r="B1127" s="175">
        <v>1</v>
      </c>
      <c r="C1127" s="171" t="s">
        <v>596</v>
      </c>
      <c r="D1127" s="159" t="s">
        <v>2020</v>
      </c>
      <c r="I1127" s="189">
        <v>2012</v>
      </c>
      <c r="J1127" s="189" t="s">
        <v>3214</v>
      </c>
      <c r="L1127" s="189" t="s">
        <v>3219</v>
      </c>
      <c r="M1127" s="556" t="s">
        <v>4310</v>
      </c>
      <c r="AF1127" s="162" t="str">
        <f t="shared" si="88"/>
        <v/>
      </c>
      <c r="AG1127" s="162" t="str">
        <f t="shared" si="92"/>
        <v/>
      </c>
      <c r="AH1127" s="164">
        <f t="shared" si="89"/>
        <v>0.36462585034013606</v>
      </c>
      <c r="AI1127" s="164" t="str">
        <f t="shared" si="90"/>
        <v/>
      </c>
      <c r="AJ1127" s="382"/>
      <c r="AK1127" s="382"/>
      <c r="AL1127" s="382"/>
      <c r="AM1127" s="382"/>
      <c r="AN1127" s="382"/>
      <c r="AO1127" s="382"/>
      <c r="AP1127" s="382"/>
      <c r="AQ1127" s="382"/>
      <c r="AR1127" s="382"/>
      <c r="AS1127" s="350"/>
      <c r="AT1127" s="202"/>
      <c r="AV1127" s="412"/>
      <c r="AW1127" s="344">
        <v>0.36462585034013606</v>
      </c>
      <c r="AX1127" s="344"/>
      <c r="AY1127" s="344" t="s">
        <v>3192</v>
      </c>
      <c r="AZ1127" s="344" t="s">
        <v>3192</v>
      </c>
      <c r="BA1127" s="344" t="s">
        <v>3192</v>
      </c>
      <c r="BB1127" s="344" t="s">
        <v>3192</v>
      </c>
      <c r="BC1127" s="344"/>
      <c r="BD1127" s="345" t="s">
        <v>3192</v>
      </c>
      <c r="BE1127" s="334"/>
      <c r="BF1127" s="501">
        <f t="shared" si="91"/>
        <v>0.36462585034013606</v>
      </c>
      <c r="BG1127" s="501" t="s">
        <v>3192</v>
      </c>
      <c r="BJ1127" s="337"/>
    </row>
    <row r="1128" spans="1:62" ht="15" customHeight="1" thickBot="1" x14ac:dyDescent="0.25">
      <c r="A1128" s="176">
        <v>1129</v>
      </c>
      <c r="B1128" s="175">
        <v>1</v>
      </c>
      <c r="C1128" s="171" t="s">
        <v>596</v>
      </c>
      <c r="D1128" s="159" t="s">
        <v>2020</v>
      </c>
      <c r="I1128" s="189">
        <v>2012</v>
      </c>
      <c r="J1128" s="189" t="s">
        <v>3214</v>
      </c>
      <c r="L1128" s="189" t="s">
        <v>3219</v>
      </c>
      <c r="M1128" s="556" t="s">
        <v>4310</v>
      </c>
      <c r="AF1128" s="162" t="str">
        <f t="shared" si="88"/>
        <v/>
      </c>
      <c r="AG1128" s="162" t="str">
        <f t="shared" si="92"/>
        <v/>
      </c>
      <c r="AH1128" s="164">
        <f t="shared" si="89"/>
        <v>0.28843537414965986</v>
      </c>
      <c r="AI1128" s="164" t="str">
        <f t="shared" si="90"/>
        <v/>
      </c>
      <c r="AJ1128" s="382"/>
      <c r="AK1128" s="382"/>
      <c r="AL1128" s="382"/>
      <c r="AM1128" s="382"/>
      <c r="AN1128" s="382"/>
      <c r="AO1128" s="382"/>
      <c r="AP1128" s="382"/>
      <c r="AQ1128" s="382"/>
      <c r="AR1128" s="382"/>
      <c r="AS1128" s="350"/>
      <c r="AT1128" s="202"/>
      <c r="AV1128" s="412"/>
      <c r="AW1128" s="344">
        <v>0.28843537414965986</v>
      </c>
      <c r="AX1128" s="344"/>
      <c r="AY1128" s="344" t="s">
        <v>3192</v>
      </c>
      <c r="AZ1128" s="344" t="s">
        <v>3192</v>
      </c>
      <c r="BA1128" s="344" t="s">
        <v>3192</v>
      </c>
      <c r="BB1128" s="344" t="s">
        <v>3192</v>
      </c>
      <c r="BC1128" s="344"/>
      <c r="BD1128" s="345" t="s">
        <v>3192</v>
      </c>
      <c r="BE1128" s="334"/>
      <c r="BF1128" s="501">
        <f t="shared" si="91"/>
        <v>0.28843537414965986</v>
      </c>
      <c r="BG1128" s="501" t="s">
        <v>3192</v>
      </c>
      <c r="BJ1128" s="337"/>
    </row>
    <row r="1129" spans="1:62" ht="15" customHeight="1" thickBot="1" x14ac:dyDescent="0.25">
      <c r="A1129" s="176">
        <v>1130</v>
      </c>
      <c r="B1129" s="175">
        <v>1</v>
      </c>
      <c r="C1129" s="171" t="s">
        <v>596</v>
      </c>
      <c r="D1129" s="159" t="s">
        <v>2020</v>
      </c>
      <c r="I1129" s="189">
        <v>2012</v>
      </c>
      <c r="J1129" s="189" t="s">
        <v>3214</v>
      </c>
      <c r="L1129" s="189" t="s">
        <v>3219</v>
      </c>
      <c r="M1129" s="556" t="s">
        <v>4310</v>
      </c>
      <c r="AF1129" s="162" t="str">
        <f t="shared" si="88"/>
        <v/>
      </c>
      <c r="AG1129" s="162" t="str">
        <f t="shared" si="92"/>
        <v/>
      </c>
      <c r="AH1129" s="164">
        <f t="shared" si="89"/>
        <v>1.2380952380952381</v>
      </c>
      <c r="AI1129" s="164" t="str">
        <f t="shared" si="90"/>
        <v/>
      </c>
      <c r="AJ1129" s="382"/>
      <c r="AK1129" s="382"/>
      <c r="AL1129" s="382"/>
      <c r="AM1129" s="382"/>
      <c r="AN1129" s="382"/>
      <c r="AO1129" s="382"/>
      <c r="AP1129" s="382"/>
      <c r="AQ1129" s="382"/>
      <c r="AR1129" s="382"/>
      <c r="AS1129" s="350"/>
      <c r="AT1129" s="202"/>
      <c r="AV1129" s="412"/>
      <c r="AW1129" s="344">
        <v>1.2380952380952381</v>
      </c>
      <c r="AX1129" s="344"/>
      <c r="AY1129" s="344" t="s">
        <v>3192</v>
      </c>
      <c r="AZ1129" s="344" t="s">
        <v>3192</v>
      </c>
      <c r="BA1129" s="344" t="s">
        <v>3192</v>
      </c>
      <c r="BB1129" s="344" t="s">
        <v>3192</v>
      </c>
      <c r="BC1129" s="344"/>
      <c r="BD1129" s="345" t="s">
        <v>3192</v>
      </c>
      <c r="BE1129" s="334"/>
      <c r="BF1129" s="501">
        <f t="shared" si="91"/>
        <v>1.2380952380952381</v>
      </c>
      <c r="BG1129" s="501" t="s">
        <v>3192</v>
      </c>
      <c r="BJ1129" s="337"/>
    </row>
    <row r="1130" spans="1:62" ht="15" customHeight="1" thickBot="1" x14ac:dyDescent="0.25">
      <c r="A1130" s="176">
        <v>1131</v>
      </c>
      <c r="B1130" s="175">
        <v>1</v>
      </c>
      <c r="C1130" s="171" t="s">
        <v>596</v>
      </c>
      <c r="D1130" s="159" t="s">
        <v>2020</v>
      </c>
      <c r="I1130" s="189">
        <v>2012</v>
      </c>
      <c r="J1130" s="189" t="s">
        <v>3214</v>
      </c>
      <c r="L1130" s="189" t="s">
        <v>3219</v>
      </c>
      <c r="M1130" s="556" t="s">
        <v>4310</v>
      </c>
      <c r="AF1130" s="162" t="str">
        <f t="shared" si="88"/>
        <v/>
      </c>
      <c r="AG1130" s="162" t="str">
        <f t="shared" si="92"/>
        <v/>
      </c>
      <c r="AH1130" s="164">
        <f t="shared" si="89"/>
        <v>0.73877551020408172</v>
      </c>
      <c r="AI1130" s="164" t="str">
        <f t="shared" si="90"/>
        <v/>
      </c>
      <c r="AJ1130" s="382"/>
      <c r="AK1130" s="382"/>
      <c r="AL1130" s="382"/>
      <c r="AM1130" s="382"/>
      <c r="AN1130" s="382"/>
      <c r="AO1130" s="382"/>
      <c r="AP1130" s="382"/>
      <c r="AQ1130" s="382"/>
      <c r="AR1130" s="382"/>
      <c r="AS1130" s="350"/>
      <c r="AT1130" s="202"/>
      <c r="AV1130" s="412"/>
      <c r="AW1130" s="344">
        <v>0.73877551020408172</v>
      </c>
      <c r="AX1130" s="344"/>
      <c r="AY1130" s="344" t="s">
        <v>3192</v>
      </c>
      <c r="AZ1130" s="344" t="s">
        <v>3192</v>
      </c>
      <c r="BA1130" s="344" t="s">
        <v>3192</v>
      </c>
      <c r="BB1130" s="344" t="s">
        <v>3192</v>
      </c>
      <c r="BC1130" s="344"/>
      <c r="BD1130" s="345" t="s">
        <v>3192</v>
      </c>
      <c r="BE1130" s="334"/>
      <c r="BF1130" s="501">
        <f t="shared" si="91"/>
        <v>0.73877551020408172</v>
      </c>
      <c r="BG1130" s="501" t="s">
        <v>3192</v>
      </c>
      <c r="BJ1130" s="337"/>
    </row>
    <row r="1131" spans="1:62" ht="15" customHeight="1" thickBot="1" x14ac:dyDescent="0.25">
      <c r="A1131" s="176">
        <v>1132</v>
      </c>
      <c r="B1131" s="175">
        <v>1</v>
      </c>
      <c r="C1131" s="171" t="s">
        <v>596</v>
      </c>
      <c r="D1131" s="159" t="s">
        <v>2020</v>
      </c>
      <c r="I1131" s="189">
        <v>2012</v>
      </c>
      <c r="J1131" s="189" t="s">
        <v>3214</v>
      </c>
      <c r="L1131" s="189" t="s">
        <v>3219</v>
      </c>
      <c r="M1131" s="556" t="s">
        <v>4310</v>
      </c>
      <c r="AF1131" s="162" t="str">
        <f t="shared" si="88"/>
        <v/>
      </c>
      <c r="AG1131" s="162" t="str">
        <f t="shared" si="92"/>
        <v/>
      </c>
      <c r="AH1131" s="164">
        <f t="shared" si="89"/>
        <v>1.0857142857142859</v>
      </c>
      <c r="AI1131" s="164" t="str">
        <f t="shared" si="90"/>
        <v/>
      </c>
      <c r="AJ1131" s="382"/>
      <c r="AK1131" s="382"/>
      <c r="AL1131" s="382"/>
      <c r="AM1131" s="382"/>
      <c r="AN1131" s="382"/>
      <c r="AO1131" s="382"/>
      <c r="AP1131" s="382"/>
      <c r="AQ1131" s="382"/>
      <c r="AR1131" s="382"/>
      <c r="AS1131" s="350"/>
      <c r="AT1131" s="202"/>
      <c r="AV1131" s="412"/>
      <c r="AW1131" s="344">
        <v>1.0857142857142859</v>
      </c>
      <c r="AX1131" s="344"/>
      <c r="AY1131" s="344" t="s">
        <v>3192</v>
      </c>
      <c r="AZ1131" s="344" t="s">
        <v>3192</v>
      </c>
      <c r="BA1131" s="344" t="s">
        <v>3192</v>
      </c>
      <c r="BB1131" s="344" t="s">
        <v>3192</v>
      </c>
      <c r="BC1131" s="344"/>
      <c r="BD1131" s="345" t="s">
        <v>3192</v>
      </c>
      <c r="BE1131" s="334"/>
      <c r="BF1131" s="501">
        <f t="shared" ref="BF1131:BF1162" si="93">AW1131</f>
        <v>1.0857142857142859</v>
      </c>
      <c r="BG1131" s="501" t="s">
        <v>3192</v>
      </c>
      <c r="BJ1131" s="337"/>
    </row>
    <row r="1132" spans="1:62" ht="15" customHeight="1" thickBot="1" x14ac:dyDescent="0.25">
      <c r="A1132" s="176">
        <v>1133</v>
      </c>
      <c r="B1132" s="175">
        <v>1</v>
      </c>
      <c r="C1132" s="171" t="s">
        <v>596</v>
      </c>
      <c r="D1132" s="159" t="s">
        <v>2020</v>
      </c>
      <c r="I1132" s="189">
        <v>2012</v>
      </c>
      <c r="J1132" s="189" t="s">
        <v>3214</v>
      </c>
      <c r="L1132" s="189" t="s">
        <v>3219</v>
      </c>
      <c r="M1132" s="556" t="s">
        <v>4310</v>
      </c>
      <c r="AF1132" s="162" t="str">
        <f t="shared" si="88"/>
        <v/>
      </c>
      <c r="AG1132" s="162" t="str">
        <f t="shared" si="92"/>
        <v/>
      </c>
      <c r="AH1132" s="164">
        <f t="shared" si="89"/>
        <v>0.92925170068027207</v>
      </c>
      <c r="AI1132" s="164" t="str">
        <f t="shared" si="90"/>
        <v/>
      </c>
      <c r="AJ1132" s="382"/>
      <c r="AK1132" s="382"/>
      <c r="AL1132" s="382"/>
      <c r="AM1132" s="382"/>
      <c r="AN1132" s="382"/>
      <c r="AO1132" s="382"/>
      <c r="AP1132" s="382"/>
      <c r="AQ1132" s="382"/>
      <c r="AR1132" s="382"/>
      <c r="AS1132" s="350"/>
      <c r="AT1132" s="202"/>
      <c r="AV1132" s="412"/>
      <c r="AW1132" s="344">
        <v>0.92925170068027207</v>
      </c>
      <c r="AX1132" s="344"/>
      <c r="AY1132" s="344" t="s">
        <v>3192</v>
      </c>
      <c r="AZ1132" s="344" t="s">
        <v>3192</v>
      </c>
      <c r="BA1132" s="344" t="s">
        <v>3192</v>
      </c>
      <c r="BB1132" s="344" t="s">
        <v>3192</v>
      </c>
      <c r="BC1132" s="344"/>
      <c r="BD1132" s="345" t="s">
        <v>3192</v>
      </c>
      <c r="BE1132" s="334"/>
      <c r="BF1132" s="501">
        <f t="shared" si="93"/>
        <v>0.92925170068027207</v>
      </c>
      <c r="BG1132" s="501" t="s">
        <v>3192</v>
      </c>
      <c r="BJ1132" s="337"/>
    </row>
    <row r="1133" spans="1:62" ht="15" customHeight="1" thickBot="1" x14ac:dyDescent="0.25">
      <c r="A1133" s="176">
        <v>1134</v>
      </c>
      <c r="B1133" s="175">
        <v>1</v>
      </c>
      <c r="C1133" s="171" t="s">
        <v>596</v>
      </c>
      <c r="D1133" s="159" t="s">
        <v>2020</v>
      </c>
      <c r="I1133" s="189">
        <v>2012</v>
      </c>
      <c r="J1133" s="189" t="s">
        <v>3214</v>
      </c>
      <c r="L1133" s="189" t="s">
        <v>3219</v>
      </c>
      <c r="M1133" s="556" t="s">
        <v>4310</v>
      </c>
      <c r="AF1133" s="162" t="str">
        <f t="shared" ref="AF1133:AF1196" si="94">IF(AS1133&lt;&gt;0,AS1133,"")</f>
        <v/>
      </c>
      <c r="AG1133" s="162" t="str">
        <f t="shared" si="92"/>
        <v/>
      </c>
      <c r="AH1133" s="164">
        <f t="shared" si="89"/>
        <v>0.35918367346938773</v>
      </c>
      <c r="AI1133" s="164" t="str">
        <f t="shared" si="90"/>
        <v/>
      </c>
      <c r="AJ1133" s="382"/>
      <c r="AK1133" s="382"/>
      <c r="AL1133" s="382"/>
      <c r="AM1133" s="382"/>
      <c r="AN1133" s="382"/>
      <c r="AO1133" s="382"/>
      <c r="AP1133" s="382"/>
      <c r="AQ1133" s="382"/>
      <c r="AR1133" s="382"/>
      <c r="AS1133" s="350"/>
      <c r="AT1133" s="202"/>
      <c r="AV1133" s="412"/>
      <c r="AW1133" s="344">
        <v>0.35918367346938773</v>
      </c>
      <c r="AX1133" s="344"/>
      <c r="AY1133" s="344" t="s">
        <v>3192</v>
      </c>
      <c r="AZ1133" s="344" t="s">
        <v>3192</v>
      </c>
      <c r="BA1133" s="344" t="s">
        <v>3192</v>
      </c>
      <c r="BB1133" s="344" t="s">
        <v>3192</v>
      </c>
      <c r="BC1133" s="344"/>
      <c r="BD1133" s="345" t="s">
        <v>3192</v>
      </c>
      <c r="BE1133" s="334"/>
      <c r="BF1133" s="501">
        <f t="shared" si="93"/>
        <v>0.35918367346938773</v>
      </c>
      <c r="BG1133" s="501" t="s">
        <v>3192</v>
      </c>
      <c r="BJ1133" s="337"/>
    </row>
    <row r="1134" spans="1:62" ht="15" customHeight="1" thickBot="1" x14ac:dyDescent="0.25">
      <c r="A1134" s="176">
        <v>1135</v>
      </c>
      <c r="B1134" s="175">
        <v>1</v>
      </c>
      <c r="C1134" s="171" t="s">
        <v>596</v>
      </c>
      <c r="D1134" s="159" t="s">
        <v>2020</v>
      </c>
      <c r="I1134" s="189">
        <v>2012</v>
      </c>
      <c r="J1134" s="189" t="s">
        <v>3214</v>
      </c>
      <c r="L1134" s="189" t="s">
        <v>3219</v>
      </c>
      <c r="M1134" s="556" t="s">
        <v>4310</v>
      </c>
      <c r="AF1134" s="162" t="str">
        <f t="shared" si="94"/>
        <v/>
      </c>
      <c r="AG1134" s="162" t="str">
        <f t="shared" si="92"/>
        <v/>
      </c>
      <c r="AH1134" s="164">
        <f t="shared" si="89"/>
        <v>0.50884353741496602</v>
      </c>
      <c r="AI1134" s="164" t="str">
        <f t="shared" si="90"/>
        <v/>
      </c>
      <c r="AJ1134" s="382"/>
      <c r="AK1134" s="382"/>
      <c r="AL1134" s="382"/>
      <c r="AM1134" s="382"/>
      <c r="AN1134" s="382"/>
      <c r="AO1134" s="382"/>
      <c r="AP1134" s="382"/>
      <c r="AQ1134" s="382"/>
      <c r="AR1134" s="382"/>
      <c r="AS1134" s="350"/>
      <c r="AT1134" s="202"/>
      <c r="AV1134" s="412"/>
      <c r="AW1134" s="344">
        <v>0.50884353741496602</v>
      </c>
      <c r="AX1134" s="344"/>
      <c r="AY1134" s="344" t="s">
        <v>3192</v>
      </c>
      <c r="AZ1134" s="344" t="s">
        <v>3192</v>
      </c>
      <c r="BA1134" s="344" t="s">
        <v>3192</v>
      </c>
      <c r="BB1134" s="344" t="s">
        <v>3192</v>
      </c>
      <c r="BC1134" s="344"/>
      <c r="BD1134" s="345" t="s">
        <v>3192</v>
      </c>
      <c r="BE1134" s="334"/>
      <c r="BF1134" s="501">
        <f t="shared" si="93"/>
        <v>0.50884353741496602</v>
      </c>
      <c r="BG1134" s="501" t="s">
        <v>3192</v>
      </c>
      <c r="BJ1134" s="337"/>
    </row>
    <row r="1135" spans="1:62" ht="15" customHeight="1" thickBot="1" x14ac:dyDescent="0.25">
      <c r="A1135" s="176">
        <v>1136</v>
      </c>
      <c r="B1135" s="175">
        <v>1</v>
      </c>
      <c r="C1135" s="171" t="s">
        <v>596</v>
      </c>
      <c r="D1135" s="159" t="s">
        <v>2020</v>
      </c>
      <c r="I1135" s="189">
        <v>2012</v>
      </c>
      <c r="J1135" s="189" t="s">
        <v>3214</v>
      </c>
      <c r="L1135" s="189" t="s">
        <v>3219</v>
      </c>
      <c r="M1135" s="556" t="s">
        <v>4310</v>
      </c>
      <c r="AF1135" s="162" t="str">
        <f t="shared" si="94"/>
        <v/>
      </c>
      <c r="AG1135" s="162" t="str">
        <f t="shared" si="92"/>
        <v/>
      </c>
      <c r="AH1135" s="164">
        <f t="shared" si="89"/>
        <v>0.84761904761904761</v>
      </c>
      <c r="AI1135" s="164" t="str">
        <f t="shared" si="90"/>
        <v/>
      </c>
      <c r="AJ1135" s="382"/>
      <c r="AK1135" s="382"/>
      <c r="AL1135" s="382"/>
      <c r="AM1135" s="382"/>
      <c r="AN1135" s="382"/>
      <c r="AO1135" s="382"/>
      <c r="AP1135" s="382"/>
      <c r="AQ1135" s="382"/>
      <c r="AR1135" s="382"/>
      <c r="AS1135" s="350"/>
      <c r="AT1135" s="202"/>
      <c r="AV1135" s="412"/>
      <c r="AW1135" s="344">
        <v>0.84761904761904761</v>
      </c>
      <c r="AX1135" s="344"/>
      <c r="AY1135" s="344" t="s">
        <v>3192</v>
      </c>
      <c r="AZ1135" s="344" t="s">
        <v>3192</v>
      </c>
      <c r="BA1135" s="344" t="s">
        <v>3192</v>
      </c>
      <c r="BB1135" s="344" t="s">
        <v>3192</v>
      </c>
      <c r="BC1135" s="344"/>
      <c r="BD1135" s="345" t="s">
        <v>3192</v>
      </c>
      <c r="BE1135" s="334"/>
      <c r="BF1135" s="501">
        <f t="shared" si="93"/>
        <v>0.84761904761904761</v>
      </c>
      <c r="BG1135" s="501" t="s">
        <v>3192</v>
      </c>
      <c r="BJ1135" s="337"/>
    </row>
    <row r="1136" spans="1:62" ht="15" customHeight="1" thickBot="1" x14ac:dyDescent="0.25">
      <c r="A1136" s="176">
        <v>1137</v>
      </c>
      <c r="B1136" s="175">
        <v>1</v>
      </c>
      <c r="C1136" s="171" t="s">
        <v>596</v>
      </c>
      <c r="D1136" s="159" t="s">
        <v>2020</v>
      </c>
      <c r="I1136" s="189">
        <v>2012</v>
      </c>
      <c r="J1136" s="189" t="s">
        <v>3214</v>
      </c>
      <c r="L1136" s="189" t="s">
        <v>3219</v>
      </c>
      <c r="M1136" s="556" t="s">
        <v>4310</v>
      </c>
      <c r="AF1136" s="162" t="str">
        <f t="shared" si="94"/>
        <v/>
      </c>
      <c r="AG1136" s="162" t="str">
        <f t="shared" si="92"/>
        <v/>
      </c>
      <c r="AH1136" s="164">
        <f t="shared" si="89"/>
        <v>0.70612244897959187</v>
      </c>
      <c r="AI1136" s="164" t="str">
        <f t="shared" si="90"/>
        <v/>
      </c>
      <c r="AJ1136" s="382"/>
      <c r="AK1136" s="382"/>
      <c r="AL1136" s="382"/>
      <c r="AM1136" s="382"/>
      <c r="AN1136" s="382"/>
      <c r="AO1136" s="382"/>
      <c r="AP1136" s="382"/>
      <c r="AQ1136" s="382"/>
      <c r="AR1136" s="382"/>
      <c r="AS1136" s="350"/>
      <c r="AT1136" s="202"/>
      <c r="AV1136" s="412"/>
      <c r="AW1136" s="344">
        <v>0.70612244897959187</v>
      </c>
      <c r="AX1136" s="344"/>
      <c r="AY1136" s="344" t="s">
        <v>3192</v>
      </c>
      <c r="AZ1136" s="344" t="s">
        <v>3192</v>
      </c>
      <c r="BA1136" s="344" t="s">
        <v>3192</v>
      </c>
      <c r="BB1136" s="344" t="s">
        <v>3192</v>
      </c>
      <c r="BC1136" s="344"/>
      <c r="BD1136" s="345" t="s">
        <v>3192</v>
      </c>
      <c r="BE1136" s="334"/>
      <c r="BF1136" s="501">
        <f t="shared" si="93"/>
        <v>0.70612244897959187</v>
      </c>
      <c r="BG1136" s="501" t="s">
        <v>3192</v>
      </c>
      <c r="BJ1136" s="337"/>
    </row>
    <row r="1137" spans="1:62" ht="15" customHeight="1" thickBot="1" x14ac:dyDescent="0.25">
      <c r="A1137" s="176">
        <v>1138</v>
      </c>
      <c r="B1137" s="175">
        <v>1</v>
      </c>
      <c r="C1137" s="171" t="s">
        <v>596</v>
      </c>
      <c r="D1137" s="159" t="s">
        <v>2020</v>
      </c>
      <c r="I1137" s="189">
        <v>2012</v>
      </c>
      <c r="J1137" s="189" t="s">
        <v>3214</v>
      </c>
      <c r="L1137" s="189" t="s">
        <v>3219</v>
      </c>
      <c r="M1137" s="556" t="s">
        <v>4310</v>
      </c>
      <c r="AF1137" s="162" t="str">
        <f t="shared" si="94"/>
        <v/>
      </c>
      <c r="AG1137" s="162" t="str">
        <f t="shared" si="92"/>
        <v/>
      </c>
      <c r="AH1137" s="164">
        <f t="shared" si="89"/>
        <v>0.21632653061224491</v>
      </c>
      <c r="AI1137" s="164" t="str">
        <f t="shared" si="90"/>
        <v/>
      </c>
      <c r="AJ1137" s="382"/>
      <c r="AK1137" s="382"/>
      <c r="AL1137" s="382"/>
      <c r="AM1137" s="382"/>
      <c r="AN1137" s="382"/>
      <c r="AO1137" s="382"/>
      <c r="AP1137" s="382"/>
      <c r="AQ1137" s="382"/>
      <c r="AR1137" s="382"/>
      <c r="AS1137" s="350"/>
      <c r="AT1137" s="202"/>
      <c r="AV1137" s="412"/>
      <c r="AW1137" s="344">
        <v>0.21632653061224491</v>
      </c>
      <c r="AX1137" s="344"/>
      <c r="AY1137" s="344" t="s">
        <v>3192</v>
      </c>
      <c r="AZ1137" s="344" t="s">
        <v>3192</v>
      </c>
      <c r="BA1137" s="344" t="s">
        <v>3192</v>
      </c>
      <c r="BB1137" s="344" t="s">
        <v>3192</v>
      </c>
      <c r="BC1137" s="344"/>
      <c r="BD1137" s="345" t="s">
        <v>3192</v>
      </c>
      <c r="BE1137" s="334"/>
      <c r="BF1137" s="501">
        <f t="shared" si="93"/>
        <v>0.21632653061224491</v>
      </c>
      <c r="BG1137" s="501" t="s">
        <v>3192</v>
      </c>
      <c r="BJ1137" s="337"/>
    </row>
    <row r="1138" spans="1:62" ht="15" customHeight="1" thickBot="1" x14ac:dyDescent="0.25">
      <c r="A1138" s="176">
        <v>1139</v>
      </c>
      <c r="B1138" s="175">
        <v>1</v>
      </c>
      <c r="C1138" s="171" t="s">
        <v>596</v>
      </c>
      <c r="D1138" s="159" t="s">
        <v>2020</v>
      </c>
      <c r="I1138" s="189">
        <v>2012</v>
      </c>
      <c r="J1138" s="189" t="s">
        <v>3214</v>
      </c>
      <c r="L1138" s="189" t="s">
        <v>3219</v>
      </c>
      <c r="M1138" s="556" t="s">
        <v>4310</v>
      </c>
      <c r="AF1138" s="162" t="str">
        <f t="shared" si="94"/>
        <v/>
      </c>
      <c r="AG1138" s="162" t="str">
        <f t="shared" si="92"/>
        <v/>
      </c>
      <c r="AH1138" s="164">
        <f t="shared" si="89"/>
        <v>0.8666666666666667</v>
      </c>
      <c r="AI1138" s="164" t="str">
        <f t="shared" si="90"/>
        <v/>
      </c>
      <c r="AJ1138" s="382"/>
      <c r="AK1138" s="382"/>
      <c r="AL1138" s="382"/>
      <c r="AM1138" s="382"/>
      <c r="AN1138" s="382"/>
      <c r="AO1138" s="382"/>
      <c r="AP1138" s="382"/>
      <c r="AQ1138" s="382"/>
      <c r="AR1138" s="382"/>
      <c r="AS1138" s="350"/>
      <c r="AT1138" s="202"/>
      <c r="AV1138" s="412"/>
      <c r="AW1138" s="344">
        <v>0.8666666666666667</v>
      </c>
      <c r="AX1138" s="344"/>
      <c r="AY1138" s="344" t="s">
        <v>3192</v>
      </c>
      <c r="AZ1138" s="344" t="s">
        <v>3192</v>
      </c>
      <c r="BA1138" s="344" t="s">
        <v>3192</v>
      </c>
      <c r="BB1138" s="344" t="s">
        <v>3192</v>
      </c>
      <c r="BC1138" s="344"/>
      <c r="BD1138" s="345" t="s">
        <v>3192</v>
      </c>
      <c r="BE1138" s="334"/>
      <c r="BF1138" s="501">
        <f t="shared" si="93"/>
        <v>0.8666666666666667</v>
      </c>
      <c r="BG1138" s="501" t="s">
        <v>3192</v>
      </c>
      <c r="BJ1138" s="337"/>
    </row>
    <row r="1139" spans="1:62" ht="15" customHeight="1" thickBot="1" x14ac:dyDescent="0.25">
      <c r="A1139" s="176">
        <v>1140</v>
      </c>
      <c r="B1139" s="175">
        <v>1</v>
      </c>
      <c r="C1139" s="171" t="s">
        <v>596</v>
      </c>
      <c r="D1139" s="159" t="s">
        <v>2020</v>
      </c>
      <c r="I1139" s="189">
        <v>2012</v>
      </c>
      <c r="J1139" s="189" t="s">
        <v>3214</v>
      </c>
      <c r="L1139" s="189" t="s">
        <v>3219</v>
      </c>
      <c r="M1139" s="556" t="s">
        <v>4310</v>
      </c>
      <c r="AF1139" s="162" t="str">
        <f t="shared" si="94"/>
        <v/>
      </c>
      <c r="AG1139" s="162" t="str">
        <f t="shared" si="92"/>
        <v/>
      </c>
      <c r="AH1139" s="164">
        <f t="shared" si="89"/>
        <v>0.88163265306122462</v>
      </c>
      <c r="AI1139" s="164" t="str">
        <f t="shared" si="90"/>
        <v/>
      </c>
      <c r="AJ1139" s="382"/>
      <c r="AK1139" s="382"/>
      <c r="AL1139" s="382"/>
      <c r="AM1139" s="382"/>
      <c r="AN1139" s="382"/>
      <c r="AO1139" s="382"/>
      <c r="AP1139" s="382"/>
      <c r="AQ1139" s="382"/>
      <c r="AR1139" s="382"/>
      <c r="AS1139" s="350"/>
      <c r="AT1139" s="202"/>
      <c r="AV1139" s="412"/>
      <c r="AW1139" s="344">
        <v>0.88163265306122462</v>
      </c>
      <c r="AX1139" s="344"/>
      <c r="AY1139" s="344" t="s">
        <v>3192</v>
      </c>
      <c r="AZ1139" s="344" t="s">
        <v>3192</v>
      </c>
      <c r="BA1139" s="344" t="s">
        <v>3192</v>
      </c>
      <c r="BB1139" s="344" t="s">
        <v>3192</v>
      </c>
      <c r="BC1139" s="344"/>
      <c r="BD1139" s="345" t="s">
        <v>3192</v>
      </c>
      <c r="BE1139" s="334"/>
      <c r="BF1139" s="501">
        <f t="shared" si="93"/>
        <v>0.88163265306122462</v>
      </c>
      <c r="BG1139" s="501" t="s">
        <v>3192</v>
      </c>
      <c r="BJ1139" s="337"/>
    </row>
    <row r="1140" spans="1:62" ht="15" customHeight="1" thickBot="1" x14ac:dyDescent="0.25">
      <c r="A1140" s="176">
        <v>1141</v>
      </c>
      <c r="B1140" s="175">
        <v>1</v>
      </c>
      <c r="C1140" s="171" t="s">
        <v>596</v>
      </c>
      <c r="D1140" s="159" t="s">
        <v>2020</v>
      </c>
      <c r="I1140" s="189">
        <v>2012</v>
      </c>
      <c r="J1140" s="189" t="s">
        <v>3214</v>
      </c>
      <c r="L1140" s="189" t="s">
        <v>3219</v>
      </c>
      <c r="M1140" s="556" t="s">
        <v>4310</v>
      </c>
      <c r="AF1140" s="162" t="str">
        <f t="shared" si="94"/>
        <v/>
      </c>
      <c r="AG1140" s="162" t="str">
        <f t="shared" si="92"/>
        <v/>
      </c>
      <c r="AH1140" s="164">
        <f t="shared" si="89"/>
        <v>1.2435374149659866</v>
      </c>
      <c r="AI1140" s="164" t="str">
        <f t="shared" si="90"/>
        <v/>
      </c>
      <c r="AJ1140" s="382"/>
      <c r="AK1140" s="382"/>
      <c r="AL1140" s="382"/>
      <c r="AM1140" s="382"/>
      <c r="AN1140" s="382"/>
      <c r="AO1140" s="382"/>
      <c r="AP1140" s="382"/>
      <c r="AQ1140" s="382"/>
      <c r="AR1140" s="382"/>
      <c r="AS1140" s="350"/>
      <c r="AT1140" s="202"/>
      <c r="AV1140" s="412"/>
      <c r="AW1140" s="344">
        <v>1.2435374149659866</v>
      </c>
      <c r="AX1140" s="344"/>
      <c r="AY1140" s="344" t="s">
        <v>3192</v>
      </c>
      <c r="AZ1140" s="344" t="s">
        <v>3192</v>
      </c>
      <c r="BA1140" s="344" t="s">
        <v>3192</v>
      </c>
      <c r="BB1140" s="344" t="s">
        <v>3192</v>
      </c>
      <c r="BC1140" s="344"/>
      <c r="BD1140" s="345" t="s">
        <v>3192</v>
      </c>
      <c r="BE1140" s="334"/>
      <c r="BF1140" s="501">
        <f t="shared" si="93"/>
        <v>1.2435374149659866</v>
      </c>
      <c r="BG1140" s="501" t="s">
        <v>3192</v>
      </c>
      <c r="BJ1140" s="337"/>
    </row>
    <row r="1141" spans="1:62" ht="15" customHeight="1" thickBot="1" x14ac:dyDescent="0.25">
      <c r="A1141" s="176">
        <v>1142</v>
      </c>
      <c r="B1141" s="175">
        <v>1</v>
      </c>
      <c r="C1141" s="171" t="s">
        <v>596</v>
      </c>
      <c r="D1141" s="159" t="s">
        <v>2020</v>
      </c>
      <c r="I1141" s="189">
        <v>2012</v>
      </c>
      <c r="J1141" s="189" t="s">
        <v>3214</v>
      </c>
      <c r="L1141" s="189" t="s">
        <v>3219</v>
      </c>
      <c r="M1141" s="556" t="s">
        <v>4310</v>
      </c>
      <c r="AF1141" s="162" t="str">
        <f t="shared" si="94"/>
        <v/>
      </c>
      <c r="AG1141" s="162" t="str">
        <f t="shared" si="92"/>
        <v/>
      </c>
      <c r="AH1141" s="164">
        <f t="shared" si="89"/>
        <v>0.71292517006802725</v>
      </c>
      <c r="AI1141" s="164" t="str">
        <f t="shared" si="90"/>
        <v/>
      </c>
      <c r="AJ1141" s="382"/>
      <c r="AK1141" s="382"/>
      <c r="AL1141" s="382"/>
      <c r="AM1141" s="382"/>
      <c r="AN1141" s="382"/>
      <c r="AO1141" s="382"/>
      <c r="AP1141" s="382"/>
      <c r="AQ1141" s="382"/>
      <c r="AR1141" s="382"/>
      <c r="AS1141" s="350"/>
      <c r="AT1141" s="202"/>
      <c r="AV1141" s="412"/>
      <c r="AW1141" s="344">
        <v>0.71292517006802725</v>
      </c>
      <c r="AX1141" s="344"/>
      <c r="AY1141" s="344" t="s">
        <v>3192</v>
      </c>
      <c r="AZ1141" s="344" t="s">
        <v>3192</v>
      </c>
      <c r="BA1141" s="344" t="s">
        <v>3192</v>
      </c>
      <c r="BB1141" s="344" t="s">
        <v>3192</v>
      </c>
      <c r="BC1141" s="344"/>
      <c r="BD1141" s="345" t="s">
        <v>3192</v>
      </c>
      <c r="BE1141" s="334"/>
      <c r="BF1141" s="501">
        <f t="shared" si="93"/>
        <v>0.71292517006802725</v>
      </c>
      <c r="BG1141" s="501" t="s">
        <v>3192</v>
      </c>
      <c r="BJ1141" s="337"/>
    </row>
    <row r="1142" spans="1:62" ht="15" customHeight="1" thickBot="1" x14ac:dyDescent="0.25">
      <c r="A1142" s="176">
        <v>1143</v>
      </c>
      <c r="B1142" s="175">
        <v>1</v>
      </c>
      <c r="C1142" s="171" t="s">
        <v>596</v>
      </c>
      <c r="D1142" s="159" t="s">
        <v>2020</v>
      </c>
      <c r="I1142" s="189">
        <v>2012</v>
      </c>
      <c r="J1142" s="189" t="s">
        <v>3214</v>
      </c>
      <c r="L1142" s="189" t="s">
        <v>3219</v>
      </c>
      <c r="M1142" s="556" t="s">
        <v>4310</v>
      </c>
      <c r="AF1142" s="162" t="str">
        <f t="shared" si="94"/>
        <v/>
      </c>
      <c r="AG1142" s="162" t="str">
        <f t="shared" si="92"/>
        <v/>
      </c>
      <c r="AH1142" s="164">
        <f t="shared" si="89"/>
        <v>0.31972789115646261</v>
      </c>
      <c r="AI1142" s="164" t="str">
        <f t="shared" si="90"/>
        <v/>
      </c>
      <c r="AJ1142" s="382"/>
      <c r="AK1142" s="382"/>
      <c r="AL1142" s="382"/>
      <c r="AM1142" s="382"/>
      <c r="AN1142" s="382"/>
      <c r="AO1142" s="382"/>
      <c r="AP1142" s="382"/>
      <c r="AQ1142" s="382"/>
      <c r="AR1142" s="382"/>
      <c r="AS1142" s="350"/>
      <c r="AT1142" s="202"/>
      <c r="AV1142" s="412"/>
      <c r="AW1142" s="344">
        <v>0.31972789115646261</v>
      </c>
      <c r="AX1142" s="344"/>
      <c r="AY1142" s="344" t="s">
        <v>3192</v>
      </c>
      <c r="AZ1142" s="344" t="s">
        <v>3192</v>
      </c>
      <c r="BA1142" s="344" t="s">
        <v>3192</v>
      </c>
      <c r="BB1142" s="344" t="s">
        <v>3192</v>
      </c>
      <c r="BC1142" s="344"/>
      <c r="BD1142" s="345" t="s">
        <v>3192</v>
      </c>
      <c r="BE1142" s="334"/>
      <c r="BF1142" s="501">
        <f t="shared" si="93"/>
        <v>0.31972789115646261</v>
      </c>
      <c r="BG1142" s="501" t="s">
        <v>3192</v>
      </c>
      <c r="BJ1142" s="337"/>
    </row>
    <row r="1143" spans="1:62" ht="15" customHeight="1" thickBot="1" x14ac:dyDescent="0.25">
      <c r="A1143" s="176">
        <v>1144</v>
      </c>
      <c r="B1143" s="175">
        <v>1</v>
      </c>
      <c r="C1143" s="171" t="s">
        <v>596</v>
      </c>
      <c r="D1143" s="159" t="s">
        <v>2020</v>
      </c>
      <c r="I1143" s="189">
        <v>2012</v>
      </c>
      <c r="J1143" s="189" t="s">
        <v>3214</v>
      </c>
      <c r="L1143" s="189" t="s">
        <v>3219</v>
      </c>
      <c r="M1143" s="556" t="s">
        <v>4310</v>
      </c>
      <c r="AF1143" s="162" t="str">
        <f t="shared" si="94"/>
        <v/>
      </c>
      <c r="AG1143" s="162" t="str">
        <f t="shared" si="92"/>
        <v/>
      </c>
      <c r="AH1143" s="164">
        <f t="shared" si="89"/>
        <v>0.34829931972789119</v>
      </c>
      <c r="AI1143" s="164" t="str">
        <f t="shared" si="90"/>
        <v/>
      </c>
      <c r="AJ1143" s="382"/>
      <c r="AK1143" s="382"/>
      <c r="AL1143" s="382"/>
      <c r="AM1143" s="382"/>
      <c r="AN1143" s="382"/>
      <c r="AO1143" s="382"/>
      <c r="AP1143" s="382"/>
      <c r="AQ1143" s="382"/>
      <c r="AR1143" s="382"/>
      <c r="AS1143" s="350"/>
      <c r="AT1143" s="202"/>
      <c r="AV1143" s="412"/>
      <c r="AW1143" s="344">
        <v>0.34829931972789119</v>
      </c>
      <c r="AX1143" s="344"/>
      <c r="AY1143" s="344" t="s">
        <v>3192</v>
      </c>
      <c r="AZ1143" s="344" t="s">
        <v>3192</v>
      </c>
      <c r="BA1143" s="344" t="s">
        <v>3192</v>
      </c>
      <c r="BB1143" s="344" t="s">
        <v>3192</v>
      </c>
      <c r="BC1143" s="344"/>
      <c r="BD1143" s="345" t="s">
        <v>3192</v>
      </c>
      <c r="BE1143" s="334"/>
      <c r="BF1143" s="501">
        <f t="shared" si="93"/>
        <v>0.34829931972789119</v>
      </c>
      <c r="BG1143" s="501" t="s">
        <v>3192</v>
      </c>
      <c r="BJ1143" s="337"/>
    </row>
    <row r="1144" spans="1:62" ht="15" customHeight="1" thickBot="1" x14ac:dyDescent="0.25">
      <c r="A1144" s="176">
        <v>1145</v>
      </c>
      <c r="B1144" s="175">
        <v>1</v>
      </c>
      <c r="C1144" s="171" t="s">
        <v>596</v>
      </c>
      <c r="D1144" s="159" t="s">
        <v>2020</v>
      </c>
      <c r="I1144" s="189">
        <v>2012</v>
      </c>
      <c r="J1144" s="189" t="s">
        <v>3214</v>
      </c>
      <c r="L1144" s="189" t="s">
        <v>3219</v>
      </c>
      <c r="M1144" s="556" t="s">
        <v>4310</v>
      </c>
      <c r="AF1144" s="162" t="str">
        <f t="shared" si="94"/>
        <v/>
      </c>
      <c r="AG1144" s="162" t="str">
        <f t="shared" si="92"/>
        <v/>
      </c>
      <c r="AH1144" s="164">
        <f t="shared" si="89"/>
        <v>0.46258503401360546</v>
      </c>
      <c r="AI1144" s="164" t="str">
        <f t="shared" si="90"/>
        <v/>
      </c>
      <c r="AJ1144" s="382"/>
      <c r="AK1144" s="382"/>
      <c r="AL1144" s="382"/>
      <c r="AM1144" s="382"/>
      <c r="AN1144" s="382"/>
      <c r="AO1144" s="382"/>
      <c r="AP1144" s="382"/>
      <c r="AQ1144" s="382"/>
      <c r="AR1144" s="382"/>
      <c r="AS1144" s="350"/>
      <c r="AT1144" s="202"/>
      <c r="AV1144" s="412"/>
      <c r="AW1144" s="344">
        <v>0.46258503401360546</v>
      </c>
      <c r="AX1144" s="344"/>
      <c r="AY1144" s="344" t="s">
        <v>3192</v>
      </c>
      <c r="AZ1144" s="344" t="s">
        <v>3192</v>
      </c>
      <c r="BA1144" s="344" t="s">
        <v>3192</v>
      </c>
      <c r="BB1144" s="344" t="s">
        <v>3192</v>
      </c>
      <c r="BC1144" s="344"/>
      <c r="BD1144" s="345" t="s">
        <v>3192</v>
      </c>
      <c r="BE1144" s="334"/>
      <c r="BF1144" s="501">
        <f t="shared" si="93"/>
        <v>0.46258503401360546</v>
      </c>
      <c r="BG1144" s="501" t="s">
        <v>3192</v>
      </c>
      <c r="BJ1144" s="337"/>
    </row>
    <row r="1145" spans="1:62" ht="15" customHeight="1" thickBot="1" x14ac:dyDescent="0.25">
      <c r="A1145" s="176">
        <v>1146</v>
      </c>
      <c r="B1145" s="175">
        <v>1</v>
      </c>
      <c r="C1145" s="171" t="s">
        <v>596</v>
      </c>
      <c r="D1145" s="159" t="s">
        <v>2020</v>
      </c>
      <c r="I1145" s="189">
        <v>2012</v>
      </c>
      <c r="J1145" s="189" t="s">
        <v>3214</v>
      </c>
      <c r="L1145" s="189" t="s">
        <v>3219</v>
      </c>
      <c r="M1145" s="556" t="s">
        <v>4310</v>
      </c>
      <c r="AF1145" s="162" t="str">
        <f t="shared" si="94"/>
        <v/>
      </c>
      <c r="AG1145" s="162" t="str">
        <f t="shared" si="92"/>
        <v/>
      </c>
      <c r="AH1145" s="164">
        <f t="shared" si="89"/>
        <v>0.70884353741496609</v>
      </c>
      <c r="AI1145" s="164" t="str">
        <f t="shared" si="90"/>
        <v/>
      </c>
      <c r="AJ1145" s="382"/>
      <c r="AK1145" s="382"/>
      <c r="AL1145" s="382"/>
      <c r="AM1145" s="382"/>
      <c r="AN1145" s="382"/>
      <c r="AO1145" s="382"/>
      <c r="AP1145" s="382"/>
      <c r="AQ1145" s="382"/>
      <c r="AR1145" s="382"/>
      <c r="AS1145" s="350"/>
      <c r="AT1145" s="202"/>
      <c r="AV1145" s="412"/>
      <c r="AW1145" s="344">
        <v>0.70884353741496609</v>
      </c>
      <c r="AX1145" s="344"/>
      <c r="AY1145" s="344" t="s">
        <v>3192</v>
      </c>
      <c r="AZ1145" s="344" t="s">
        <v>3192</v>
      </c>
      <c r="BA1145" s="344" t="s">
        <v>3192</v>
      </c>
      <c r="BB1145" s="344" t="s">
        <v>3192</v>
      </c>
      <c r="BC1145" s="344"/>
      <c r="BD1145" s="345" t="s">
        <v>3192</v>
      </c>
      <c r="BE1145" s="334"/>
      <c r="BF1145" s="501">
        <f t="shared" si="93"/>
        <v>0.70884353741496609</v>
      </c>
      <c r="BG1145" s="501" t="s">
        <v>3192</v>
      </c>
      <c r="BJ1145" s="337"/>
    </row>
    <row r="1146" spans="1:62" ht="15" customHeight="1" thickBot="1" x14ac:dyDescent="0.25">
      <c r="A1146" s="176">
        <v>1147</v>
      </c>
      <c r="B1146" s="175">
        <v>1</v>
      </c>
      <c r="C1146" s="171" t="s">
        <v>596</v>
      </c>
      <c r="D1146" s="159" t="s">
        <v>2020</v>
      </c>
      <c r="I1146" s="189">
        <v>2012</v>
      </c>
      <c r="J1146" s="189" t="s">
        <v>3214</v>
      </c>
      <c r="L1146" s="189" t="s">
        <v>3219</v>
      </c>
      <c r="M1146" s="556" t="s">
        <v>4310</v>
      </c>
      <c r="AF1146" s="162" t="str">
        <f t="shared" si="94"/>
        <v/>
      </c>
      <c r="AG1146" s="162" t="str">
        <f t="shared" si="92"/>
        <v/>
      </c>
      <c r="AH1146" s="164">
        <f t="shared" si="89"/>
        <v>0.3836734693877551</v>
      </c>
      <c r="AI1146" s="164" t="str">
        <f t="shared" si="90"/>
        <v/>
      </c>
      <c r="AJ1146" s="382"/>
      <c r="AK1146" s="382"/>
      <c r="AL1146" s="382"/>
      <c r="AM1146" s="382"/>
      <c r="AN1146" s="382"/>
      <c r="AO1146" s="382"/>
      <c r="AP1146" s="382"/>
      <c r="AQ1146" s="382"/>
      <c r="AR1146" s="382"/>
      <c r="AS1146" s="350"/>
      <c r="AT1146" s="202"/>
      <c r="AV1146" s="412"/>
      <c r="AW1146" s="344">
        <v>0.3836734693877551</v>
      </c>
      <c r="AX1146" s="344"/>
      <c r="AY1146" s="344" t="s">
        <v>3192</v>
      </c>
      <c r="AZ1146" s="344" t="s">
        <v>3192</v>
      </c>
      <c r="BA1146" s="344" t="s">
        <v>3192</v>
      </c>
      <c r="BB1146" s="344" t="s">
        <v>3192</v>
      </c>
      <c r="BC1146" s="344"/>
      <c r="BD1146" s="345" t="s">
        <v>3192</v>
      </c>
      <c r="BE1146" s="334"/>
      <c r="BF1146" s="501">
        <f t="shared" si="93"/>
        <v>0.3836734693877551</v>
      </c>
      <c r="BG1146" s="501" t="s">
        <v>3192</v>
      </c>
      <c r="BJ1146" s="337"/>
    </row>
    <row r="1147" spans="1:62" ht="15" customHeight="1" thickBot="1" x14ac:dyDescent="0.25">
      <c r="A1147" s="176">
        <v>1148</v>
      </c>
      <c r="B1147" s="175">
        <v>1</v>
      </c>
      <c r="C1147" s="171" t="s">
        <v>596</v>
      </c>
      <c r="D1147" s="159" t="s">
        <v>2020</v>
      </c>
      <c r="I1147" s="189">
        <v>2012</v>
      </c>
      <c r="J1147" s="189" t="s">
        <v>3214</v>
      </c>
      <c r="L1147" s="189" t="s">
        <v>3219</v>
      </c>
      <c r="M1147" s="556" t="s">
        <v>4310</v>
      </c>
      <c r="AF1147" s="162" t="str">
        <f t="shared" si="94"/>
        <v/>
      </c>
      <c r="AG1147" s="162" t="str">
        <f t="shared" si="92"/>
        <v/>
      </c>
      <c r="AH1147" s="164">
        <f t="shared" si="89"/>
        <v>0.48163265306122449</v>
      </c>
      <c r="AI1147" s="164" t="str">
        <f t="shared" si="90"/>
        <v/>
      </c>
      <c r="AJ1147" s="382"/>
      <c r="AK1147" s="382"/>
      <c r="AL1147" s="382"/>
      <c r="AM1147" s="382"/>
      <c r="AN1147" s="382"/>
      <c r="AO1147" s="382"/>
      <c r="AP1147" s="382"/>
      <c r="AQ1147" s="382"/>
      <c r="AR1147" s="382"/>
      <c r="AS1147" s="350"/>
      <c r="AT1147" s="202"/>
      <c r="AV1147" s="412"/>
      <c r="AW1147" s="344">
        <v>0.48163265306122449</v>
      </c>
      <c r="AX1147" s="344"/>
      <c r="AY1147" s="344" t="s">
        <v>3192</v>
      </c>
      <c r="AZ1147" s="344" t="s">
        <v>3192</v>
      </c>
      <c r="BA1147" s="344" t="s">
        <v>3192</v>
      </c>
      <c r="BB1147" s="344" t="s">
        <v>3192</v>
      </c>
      <c r="BC1147" s="344"/>
      <c r="BD1147" s="345" t="s">
        <v>3192</v>
      </c>
      <c r="BE1147" s="334"/>
      <c r="BF1147" s="501">
        <f t="shared" si="93"/>
        <v>0.48163265306122449</v>
      </c>
      <c r="BG1147" s="501" t="s">
        <v>3192</v>
      </c>
      <c r="BJ1147" s="337"/>
    </row>
    <row r="1148" spans="1:62" ht="15" customHeight="1" thickBot="1" x14ac:dyDescent="0.25">
      <c r="A1148" s="176">
        <v>1149</v>
      </c>
      <c r="B1148" s="175">
        <v>1</v>
      </c>
      <c r="C1148" s="171" t="s">
        <v>596</v>
      </c>
      <c r="D1148" s="159" t="s">
        <v>2020</v>
      </c>
      <c r="I1148" s="189">
        <v>2012</v>
      </c>
      <c r="J1148" s="189" t="s">
        <v>3214</v>
      </c>
      <c r="L1148" s="189" t="s">
        <v>3219</v>
      </c>
      <c r="M1148" s="556" t="s">
        <v>4310</v>
      </c>
      <c r="AF1148" s="162" t="str">
        <f t="shared" si="94"/>
        <v/>
      </c>
      <c r="AG1148" s="162" t="str">
        <f t="shared" si="92"/>
        <v/>
      </c>
      <c r="AH1148" s="164">
        <f t="shared" si="89"/>
        <v>0.44761904761904764</v>
      </c>
      <c r="AI1148" s="164" t="str">
        <f t="shared" si="90"/>
        <v/>
      </c>
      <c r="AJ1148" s="382"/>
      <c r="AK1148" s="382"/>
      <c r="AL1148" s="382"/>
      <c r="AM1148" s="382"/>
      <c r="AN1148" s="382"/>
      <c r="AO1148" s="382"/>
      <c r="AP1148" s="382"/>
      <c r="AQ1148" s="382"/>
      <c r="AR1148" s="382"/>
      <c r="AS1148" s="350"/>
      <c r="AT1148" s="202"/>
      <c r="AV1148" s="412"/>
      <c r="AW1148" s="344">
        <v>0.44761904761904764</v>
      </c>
      <c r="AX1148" s="344"/>
      <c r="AY1148" s="344" t="s">
        <v>3192</v>
      </c>
      <c r="AZ1148" s="344" t="s">
        <v>3192</v>
      </c>
      <c r="BA1148" s="344" t="s">
        <v>3192</v>
      </c>
      <c r="BB1148" s="344" t="s">
        <v>3192</v>
      </c>
      <c r="BC1148" s="344"/>
      <c r="BD1148" s="345" t="s">
        <v>3192</v>
      </c>
      <c r="BE1148" s="334"/>
      <c r="BF1148" s="501">
        <f t="shared" si="93"/>
        <v>0.44761904761904764</v>
      </c>
      <c r="BG1148" s="501" t="s">
        <v>3192</v>
      </c>
      <c r="BJ1148" s="337"/>
    </row>
    <row r="1149" spans="1:62" ht="15" customHeight="1" thickBot="1" x14ac:dyDescent="0.25">
      <c r="A1149" s="176">
        <v>1150</v>
      </c>
      <c r="B1149" s="175">
        <v>1</v>
      </c>
      <c r="C1149" s="171" t="s">
        <v>596</v>
      </c>
      <c r="D1149" s="159" t="s">
        <v>2020</v>
      </c>
      <c r="I1149" s="189">
        <v>2012</v>
      </c>
      <c r="J1149" s="189" t="s">
        <v>3214</v>
      </c>
      <c r="L1149" s="189" t="s">
        <v>3219</v>
      </c>
      <c r="M1149" s="556" t="s">
        <v>4310</v>
      </c>
      <c r="AF1149" s="162" t="str">
        <f t="shared" si="94"/>
        <v/>
      </c>
      <c r="AG1149" s="162" t="str">
        <f t="shared" si="92"/>
        <v/>
      </c>
      <c r="AH1149" s="164">
        <f t="shared" si="89"/>
        <v>0.26122448979591834</v>
      </c>
      <c r="AI1149" s="164" t="str">
        <f t="shared" si="90"/>
        <v/>
      </c>
      <c r="AJ1149" s="382"/>
      <c r="AK1149" s="382"/>
      <c r="AL1149" s="382"/>
      <c r="AM1149" s="382"/>
      <c r="AN1149" s="382"/>
      <c r="AO1149" s="382"/>
      <c r="AP1149" s="382"/>
      <c r="AQ1149" s="382"/>
      <c r="AR1149" s="382"/>
      <c r="AS1149" s="350"/>
      <c r="AT1149" s="202"/>
      <c r="AV1149" s="412"/>
      <c r="AW1149" s="344">
        <v>0.26122448979591834</v>
      </c>
      <c r="AX1149" s="344"/>
      <c r="AY1149" s="344" t="s">
        <v>3192</v>
      </c>
      <c r="AZ1149" s="344" t="s">
        <v>3192</v>
      </c>
      <c r="BA1149" s="344" t="s">
        <v>3192</v>
      </c>
      <c r="BB1149" s="344" t="s">
        <v>3192</v>
      </c>
      <c r="BC1149" s="344"/>
      <c r="BD1149" s="345" t="s">
        <v>3192</v>
      </c>
      <c r="BE1149" s="334"/>
      <c r="BF1149" s="501">
        <f t="shared" si="93"/>
        <v>0.26122448979591834</v>
      </c>
      <c r="BG1149" s="501" t="s">
        <v>3192</v>
      </c>
      <c r="BJ1149" s="337"/>
    </row>
    <row r="1150" spans="1:62" ht="15" customHeight="1" thickBot="1" x14ac:dyDescent="0.25">
      <c r="A1150" s="176">
        <v>1151</v>
      </c>
      <c r="B1150" s="175">
        <v>1</v>
      </c>
      <c r="C1150" s="171" t="s">
        <v>596</v>
      </c>
      <c r="D1150" s="159" t="s">
        <v>2020</v>
      </c>
      <c r="I1150" s="189">
        <v>2012</v>
      </c>
      <c r="J1150" s="189" t="s">
        <v>3214</v>
      </c>
      <c r="L1150" s="189" t="s">
        <v>3219</v>
      </c>
      <c r="M1150" s="556" t="s">
        <v>4310</v>
      </c>
      <c r="AF1150" s="162" t="str">
        <f t="shared" si="94"/>
        <v/>
      </c>
      <c r="AG1150" s="162" t="str">
        <f t="shared" si="92"/>
        <v/>
      </c>
      <c r="AH1150" s="164">
        <f t="shared" si="89"/>
        <v>0.417687074829932</v>
      </c>
      <c r="AI1150" s="164" t="str">
        <f t="shared" si="90"/>
        <v/>
      </c>
      <c r="AJ1150" s="382"/>
      <c r="AK1150" s="382"/>
      <c r="AL1150" s="382"/>
      <c r="AM1150" s="382"/>
      <c r="AN1150" s="382"/>
      <c r="AO1150" s="382"/>
      <c r="AP1150" s="382"/>
      <c r="AQ1150" s="382"/>
      <c r="AR1150" s="382"/>
      <c r="AS1150" s="350"/>
      <c r="AT1150" s="202"/>
      <c r="AV1150" s="412"/>
      <c r="AW1150" s="344">
        <v>0.417687074829932</v>
      </c>
      <c r="AX1150" s="344"/>
      <c r="AY1150" s="344" t="s">
        <v>3192</v>
      </c>
      <c r="AZ1150" s="344" t="s">
        <v>3192</v>
      </c>
      <c r="BA1150" s="344" t="s">
        <v>3192</v>
      </c>
      <c r="BB1150" s="344" t="s">
        <v>3192</v>
      </c>
      <c r="BC1150" s="344"/>
      <c r="BD1150" s="345" t="s">
        <v>3192</v>
      </c>
      <c r="BE1150" s="334"/>
      <c r="BF1150" s="501">
        <f t="shared" si="93"/>
        <v>0.417687074829932</v>
      </c>
      <c r="BG1150" s="501" t="s">
        <v>3192</v>
      </c>
      <c r="BJ1150" s="337"/>
    </row>
    <row r="1151" spans="1:62" ht="15" customHeight="1" thickBot="1" x14ac:dyDescent="0.25">
      <c r="A1151" s="176">
        <v>1152</v>
      </c>
      <c r="B1151" s="175">
        <v>1</v>
      </c>
      <c r="C1151" s="171" t="s">
        <v>596</v>
      </c>
      <c r="D1151" s="159" t="s">
        <v>2020</v>
      </c>
      <c r="I1151" s="189">
        <v>2012</v>
      </c>
      <c r="J1151" s="189" t="s">
        <v>3214</v>
      </c>
      <c r="L1151" s="189" t="s">
        <v>3219</v>
      </c>
      <c r="M1151" s="556" t="s">
        <v>4310</v>
      </c>
      <c r="AF1151" s="162" t="str">
        <f t="shared" si="94"/>
        <v/>
      </c>
      <c r="AG1151" s="162" t="str">
        <f t="shared" si="92"/>
        <v/>
      </c>
      <c r="AH1151" s="164">
        <f t="shared" si="89"/>
        <v>0.53469387755102049</v>
      </c>
      <c r="AI1151" s="164" t="str">
        <f t="shared" si="90"/>
        <v/>
      </c>
      <c r="AJ1151" s="382"/>
      <c r="AK1151" s="382"/>
      <c r="AL1151" s="382"/>
      <c r="AM1151" s="382"/>
      <c r="AN1151" s="382"/>
      <c r="AO1151" s="382"/>
      <c r="AP1151" s="382"/>
      <c r="AQ1151" s="382"/>
      <c r="AR1151" s="382"/>
      <c r="AS1151" s="350"/>
      <c r="AT1151" s="202"/>
      <c r="AV1151" s="412"/>
      <c r="AW1151" s="344">
        <v>0.53469387755102049</v>
      </c>
      <c r="AX1151" s="344"/>
      <c r="AY1151" s="344" t="s">
        <v>3192</v>
      </c>
      <c r="AZ1151" s="344" t="s">
        <v>3192</v>
      </c>
      <c r="BA1151" s="344" t="s">
        <v>3192</v>
      </c>
      <c r="BB1151" s="344" t="s">
        <v>3192</v>
      </c>
      <c r="BC1151" s="344"/>
      <c r="BD1151" s="345" t="s">
        <v>3192</v>
      </c>
      <c r="BE1151" s="334"/>
      <c r="BF1151" s="501">
        <f t="shared" si="93"/>
        <v>0.53469387755102049</v>
      </c>
      <c r="BG1151" s="501" t="s">
        <v>3192</v>
      </c>
      <c r="BJ1151" s="337"/>
    </row>
    <row r="1152" spans="1:62" ht="15" customHeight="1" thickBot="1" x14ac:dyDescent="0.25">
      <c r="A1152" s="176">
        <v>1153</v>
      </c>
      <c r="B1152" s="175">
        <v>1</v>
      </c>
      <c r="C1152" s="171" t="s">
        <v>596</v>
      </c>
      <c r="D1152" s="159" t="s">
        <v>2020</v>
      </c>
      <c r="I1152" s="189">
        <v>2012</v>
      </c>
      <c r="J1152" s="189" t="s">
        <v>3214</v>
      </c>
      <c r="L1152" s="189" t="s">
        <v>3219</v>
      </c>
      <c r="M1152" s="556" t="s">
        <v>4310</v>
      </c>
      <c r="AF1152" s="162" t="str">
        <f t="shared" si="94"/>
        <v/>
      </c>
      <c r="AG1152" s="162" t="str">
        <f t="shared" si="92"/>
        <v/>
      </c>
      <c r="AH1152" s="164">
        <f t="shared" si="89"/>
        <v>0.40272108843537413</v>
      </c>
      <c r="AI1152" s="164" t="str">
        <f t="shared" si="90"/>
        <v/>
      </c>
      <c r="AJ1152" s="382"/>
      <c r="AK1152" s="382"/>
      <c r="AL1152" s="382"/>
      <c r="AM1152" s="382"/>
      <c r="AN1152" s="382"/>
      <c r="AO1152" s="382"/>
      <c r="AP1152" s="382"/>
      <c r="AQ1152" s="382"/>
      <c r="AR1152" s="382"/>
      <c r="AS1152" s="350"/>
      <c r="AT1152" s="202"/>
      <c r="AV1152" s="412"/>
      <c r="AW1152" s="344">
        <v>0.40272108843537413</v>
      </c>
      <c r="AX1152" s="344"/>
      <c r="AY1152" s="344" t="s">
        <v>3192</v>
      </c>
      <c r="AZ1152" s="344" t="s">
        <v>3192</v>
      </c>
      <c r="BA1152" s="344" t="s">
        <v>3192</v>
      </c>
      <c r="BB1152" s="344" t="s">
        <v>3192</v>
      </c>
      <c r="BC1152" s="344"/>
      <c r="BD1152" s="345" t="s">
        <v>3192</v>
      </c>
      <c r="BE1152" s="334"/>
      <c r="BF1152" s="501">
        <f t="shared" si="93"/>
        <v>0.40272108843537413</v>
      </c>
      <c r="BG1152" s="501" t="s">
        <v>3192</v>
      </c>
      <c r="BJ1152" s="337"/>
    </row>
    <row r="1153" spans="1:62" ht="15" customHeight="1" thickBot="1" x14ac:dyDescent="0.25">
      <c r="A1153" s="176">
        <v>1154</v>
      </c>
      <c r="B1153" s="175">
        <v>1</v>
      </c>
      <c r="C1153" s="171" t="s">
        <v>596</v>
      </c>
      <c r="D1153" s="159" t="s">
        <v>2020</v>
      </c>
      <c r="I1153" s="189">
        <v>2013</v>
      </c>
      <c r="J1153" s="189" t="s">
        <v>3215</v>
      </c>
      <c r="L1153" s="189" t="s">
        <v>3219</v>
      </c>
      <c r="M1153" s="556" t="s">
        <v>4310</v>
      </c>
      <c r="AF1153" s="162" t="str">
        <f t="shared" si="94"/>
        <v/>
      </c>
      <c r="AG1153" s="162" t="str">
        <f t="shared" si="92"/>
        <v/>
      </c>
      <c r="AH1153" s="164" t="str">
        <f t="shared" si="89"/>
        <v/>
      </c>
      <c r="AI1153" s="164">
        <f t="shared" si="90"/>
        <v>0.44217687074829937</v>
      </c>
      <c r="AJ1153" s="382"/>
      <c r="AK1153" s="382"/>
      <c r="AL1153" s="382"/>
      <c r="AM1153" s="382"/>
      <c r="AN1153" s="382"/>
      <c r="AO1153" s="382"/>
      <c r="AP1153" s="382"/>
      <c r="AQ1153" s="382"/>
      <c r="AR1153" s="382"/>
      <c r="AS1153" s="350"/>
      <c r="AT1153" s="202"/>
      <c r="AV1153" s="412"/>
      <c r="AW1153" s="344" t="s">
        <v>3192</v>
      </c>
      <c r="AX1153" s="344"/>
      <c r="AY1153" s="344">
        <v>0.44217687074829937</v>
      </c>
      <c r="AZ1153" s="344">
        <v>0.23401360544217684</v>
      </c>
      <c r="BA1153" s="344" t="s">
        <v>3192</v>
      </c>
      <c r="BB1153" s="344" t="s">
        <v>3192</v>
      </c>
      <c r="BC1153" s="344"/>
      <c r="BD1153" s="345" t="s">
        <v>3192</v>
      </c>
      <c r="BE1153" s="334"/>
      <c r="BF1153" s="501" t="str">
        <f t="shared" si="93"/>
        <v/>
      </c>
      <c r="BG1153" s="501">
        <v>0.67619047619047612</v>
      </c>
      <c r="BJ1153" s="337"/>
    </row>
    <row r="1154" spans="1:62" ht="15" customHeight="1" thickBot="1" x14ac:dyDescent="0.25">
      <c r="A1154" s="176">
        <v>1155</v>
      </c>
      <c r="B1154" s="175">
        <v>1</v>
      </c>
      <c r="C1154" s="171" t="s">
        <v>596</v>
      </c>
      <c r="D1154" s="159" t="s">
        <v>2020</v>
      </c>
      <c r="I1154" s="189">
        <v>2013</v>
      </c>
      <c r="J1154" s="189" t="s">
        <v>3215</v>
      </c>
      <c r="L1154" s="189" t="s">
        <v>3219</v>
      </c>
      <c r="M1154" s="556" t="s">
        <v>4310</v>
      </c>
      <c r="AF1154" s="162" t="str">
        <f t="shared" si="94"/>
        <v/>
      </c>
      <c r="AG1154" s="162" t="str">
        <f t="shared" si="92"/>
        <v/>
      </c>
      <c r="AH1154" s="164" t="str">
        <f t="shared" ref="AH1154:AH1217" si="95">IF(BF1154&lt;&gt;0,BF1154,"")</f>
        <v/>
      </c>
      <c r="AI1154" s="164">
        <f t="shared" ref="AI1154:AI1217" si="96">IF(AND(SUM(AW1154:AY1154)&lt;&gt;0,SUM(AW1154:AY1154)&lt;&gt;AW1154),SUM(AW1154:AY1154),"")</f>
        <v>1.5782312925170066</v>
      </c>
      <c r="AJ1154" s="382"/>
      <c r="AK1154" s="382"/>
      <c r="AL1154" s="382"/>
      <c r="AM1154" s="382"/>
      <c r="AN1154" s="382"/>
      <c r="AO1154" s="382"/>
      <c r="AP1154" s="382"/>
      <c r="AQ1154" s="382"/>
      <c r="AR1154" s="382"/>
      <c r="AS1154" s="350"/>
      <c r="AT1154" s="202"/>
      <c r="AV1154" s="412"/>
      <c r="AW1154" s="344" t="s">
        <v>3192</v>
      </c>
      <c r="AX1154" s="344"/>
      <c r="AY1154" s="344">
        <v>1.5782312925170066</v>
      </c>
      <c r="AZ1154" s="344">
        <v>0.23401360544217684</v>
      </c>
      <c r="BA1154" s="344" t="s">
        <v>3192</v>
      </c>
      <c r="BB1154" s="344" t="s">
        <v>3192</v>
      </c>
      <c r="BC1154" s="344"/>
      <c r="BD1154" s="345" t="s">
        <v>3192</v>
      </c>
      <c r="BE1154" s="334"/>
      <c r="BF1154" s="501" t="str">
        <f t="shared" si="93"/>
        <v/>
      </c>
      <c r="BG1154" s="501">
        <v>1.8122448979591836</v>
      </c>
      <c r="BJ1154" s="337"/>
    </row>
    <row r="1155" spans="1:62" ht="15" customHeight="1" thickBot="1" x14ac:dyDescent="0.25">
      <c r="A1155" s="176">
        <v>1156</v>
      </c>
      <c r="B1155" s="175">
        <v>1</v>
      </c>
      <c r="C1155" s="171" t="s">
        <v>596</v>
      </c>
      <c r="D1155" s="159" t="s">
        <v>2020</v>
      </c>
      <c r="I1155" s="189">
        <v>2013</v>
      </c>
      <c r="J1155" s="189" t="s">
        <v>3215</v>
      </c>
      <c r="L1155" s="189" t="s">
        <v>3219</v>
      </c>
      <c r="M1155" s="556" t="s">
        <v>4310</v>
      </c>
      <c r="AF1155" s="162" t="str">
        <f t="shared" si="94"/>
        <v/>
      </c>
      <c r="AG1155" s="162" t="str">
        <f t="shared" si="92"/>
        <v/>
      </c>
      <c r="AH1155" s="164" t="str">
        <f t="shared" si="95"/>
        <v/>
      </c>
      <c r="AI1155" s="164">
        <f t="shared" si="96"/>
        <v>0.16462585034013605</v>
      </c>
      <c r="AJ1155" s="382"/>
      <c r="AK1155" s="382"/>
      <c r="AL1155" s="382"/>
      <c r="AM1155" s="382"/>
      <c r="AN1155" s="382"/>
      <c r="AO1155" s="382"/>
      <c r="AP1155" s="382"/>
      <c r="AQ1155" s="382"/>
      <c r="AR1155" s="382"/>
      <c r="AS1155" s="350"/>
      <c r="AT1155" s="202"/>
      <c r="AV1155" s="412"/>
      <c r="AW1155" s="344" t="s">
        <v>3192</v>
      </c>
      <c r="AX1155" s="344"/>
      <c r="AY1155" s="344">
        <v>0.16462585034013605</v>
      </c>
      <c r="AZ1155" s="344">
        <v>0.23401360544217684</v>
      </c>
      <c r="BA1155" s="344" t="s">
        <v>3192</v>
      </c>
      <c r="BB1155" s="344" t="s">
        <v>3192</v>
      </c>
      <c r="BC1155" s="344"/>
      <c r="BD1155" s="345" t="s">
        <v>3192</v>
      </c>
      <c r="BE1155" s="334"/>
      <c r="BF1155" s="501" t="str">
        <f t="shared" si="93"/>
        <v/>
      </c>
      <c r="BG1155" s="501">
        <v>0.39863945578231291</v>
      </c>
      <c r="BJ1155" s="337"/>
    </row>
    <row r="1156" spans="1:62" ht="15" customHeight="1" thickBot="1" x14ac:dyDescent="0.25">
      <c r="A1156" s="176">
        <v>1157</v>
      </c>
      <c r="B1156" s="175">
        <v>1</v>
      </c>
      <c r="C1156" s="171" t="s">
        <v>596</v>
      </c>
      <c r="D1156" s="159" t="s">
        <v>2020</v>
      </c>
      <c r="I1156" s="189">
        <v>2012</v>
      </c>
      <c r="J1156" s="189" t="s">
        <v>3216</v>
      </c>
      <c r="L1156" s="189" t="s">
        <v>3219</v>
      </c>
      <c r="M1156" s="556" t="s">
        <v>4310</v>
      </c>
      <c r="AF1156" s="162" t="str">
        <f t="shared" si="94"/>
        <v/>
      </c>
      <c r="AG1156" s="162" t="str">
        <f t="shared" si="92"/>
        <v/>
      </c>
      <c r="AH1156" s="164">
        <f t="shared" si="95"/>
        <v>0.39863945578231291</v>
      </c>
      <c r="AI1156" s="164" t="str">
        <f t="shared" si="96"/>
        <v/>
      </c>
      <c r="AJ1156" s="382"/>
      <c r="AK1156" s="382"/>
      <c r="AL1156" s="382"/>
      <c r="AM1156" s="382"/>
      <c r="AN1156" s="382"/>
      <c r="AO1156" s="382"/>
      <c r="AP1156" s="382"/>
      <c r="AQ1156" s="382"/>
      <c r="AR1156" s="382"/>
      <c r="AS1156" s="350"/>
      <c r="AT1156" s="202"/>
      <c r="AV1156" s="412"/>
      <c r="AW1156" s="344">
        <v>0.39863945578231291</v>
      </c>
      <c r="AX1156" s="344"/>
      <c r="AY1156" s="344" t="s">
        <v>3192</v>
      </c>
      <c r="AZ1156" s="344" t="s">
        <v>3192</v>
      </c>
      <c r="BA1156" s="344" t="s">
        <v>3192</v>
      </c>
      <c r="BB1156" s="344" t="s">
        <v>3192</v>
      </c>
      <c r="BC1156" s="344"/>
      <c r="BD1156" s="345" t="s">
        <v>3192</v>
      </c>
      <c r="BE1156" s="334"/>
      <c r="BF1156" s="501">
        <f t="shared" si="93"/>
        <v>0.39863945578231291</v>
      </c>
      <c r="BG1156" s="501" t="s">
        <v>3192</v>
      </c>
      <c r="BJ1156" s="337"/>
    </row>
    <row r="1157" spans="1:62" ht="15" customHeight="1" thickBot="1" x14ac:dyDescent="0.25">
      <c r="A1157" s="176">
        <v>1158</v>
      </c>
      <c r="B1157" s="175">
        <v>1</v>
      </c>
      <c r="C1157" s="171" t="s">
        <v>596</v>
      </c>
      <c r="D1157" s="159" t="s">
        <v>2020</v>
      </c>
      <c r="I1157" s="189">
        <v>2012</v>
      </c>
      <c r="J1157" s="189" t="s">
        <v>3216</v>
      </c>
      <c r="L1157" s="189" t="s">
        <v>3219</v>
      </c>
      <c r="M1157" s="556" t="s">
        <v>4310</v>
      </c>
      <c r="AF1157" s="162" t="str">
        <f t="shared" si="94"/>
        <v/>
      </c>
      <c r="AG1157" s="162" t="str">
        <f t="shared" si="92"/>
        <v/>
      </c>
      <c r="AH1157" s="164">
        <f t="shared" si="95"/>
        <v>7.4829931972789115E-2</v>
      </c>
      <c r="AI1157" s="164" t="str">
        <f t="shared" si="96"/>
        <v/>
      </c>
      <c r="AJ1157" s="382"/>
      <c r="AK1157" s="382"/>
      <c r="AL1157" s="382"/>
      <c r="AM1157" s="382"/>
      <c r="AN1157" s="382"/>
      <c r="AO1157" s="382"/>
      <c r="AP1157" s="382"/>
      <c r="AQ1157" s="382"/>
      <c r="AR1157" s="382"/>
      <c r="AS1157" s="350"/>
      <c r="AT1157" s="202"/>
      <c r="AV1157" s="412"/>
      <c r="AW1157" s="344">
        <v>7.4829931972789115E-2</v>
      </c>
      <c r="AX1157" s="344"/>
      <c r="AY1157" s="344" t="s">
        <v>3192</v>
      </c>
      <c r="AZ1157" s="344" t="s">
        <v>3192</v>
      </c>
      <c r="BA1157" s="344" t="s">
        <v>3192</v>
      </c>
      <c r="BB1157" s="344" t="s">
        <v>3192</v>
      </c>
      <c r="BC1157" s="344"/>
      <c r="BD1157" s="345" t="s">
        <v>3192</v>
      </c>
      <c r="BE1157" s="334"/>
      <c r="BF1157" s="501">
        <f t="shared" si="93"/>
        <v>7.4829931972789115E-2</v>
      </c>
      <c r="BG1157" s="501" t="s">
        <v>3192</v>
      </c>
      <c r="BJ1157" s="337"/>
    </row>
    <row r="1158" spans="1:62" ht="15" customHeight="1" thickBot="1" x14ac:dyDescent="0.25">
      <c r="A1158" s="176">
        <v>1159</v>
      </c>
      <c r="B1158" s="175">
        <v>1</v>
      </c>
      <c r="C1158" s="171" t="s">
        <v>596</v>
      </c>
      <c r="D1158" s="159" t="s">
        <v>2020</v>
      </c>
      <c r="I1158" s="189">
        <v>2012</v>
      </c>
      <c r="J1158" s="189" t="s">
        <v>3216</v>
      </c>
      <c r="L1158" s="189" t="s">
        <v>3219</v>
      </c>
      <c r="M1158" s="556" t="s">
        <v>4310</v>
      </c>
      <c r="AF1158" s="162" t="str">
        <f t="shared" si="94"/>
        <v/>
      </c>
      <c r="AG1158" s="162" t="str">
        <f t="shared" si="92"/>
        <v/>
      </c>
      <c r="AH1158" s="164">
        <f t="shared" si="95"/>
        <v>0.44489795918367347</v>
      </c>
      <c r="AI1158" s="164" t="str">
        <f t="shared" si="96"/>
        <v/>
      </c>
      <c r="AJ1158" s="382"/>
      <c r="AK1158" s="382"/>
      <c r="AL1158" s="382"/>
      <c r="AM1158" s="382"/>
      <c r="AN1158" s="382"/>
      <c r="AO1158" s="382"/>
      <c r="AP1158" s="382"/>
      <c r="AQ1158" s="382"/>
      <c r="AR1158" s="382"/>
      <c r="AS1158" s="350"/>
      <c r="AT1158" s="202"/>
      <c r="AV1158" s="412"/>
      <c r="AW1158" s="344">
        <v>0.44489795918367347</v>
      </c>
      <c r="AX1158" s="344"/>
      <c r="AY1158" s="344" t="s">
        <v>3192</v>
      </c>
      <c r="AZ1158" s="344" t="s">
        <v>3192</v>
      </c>
      <c r="BA1158" s="344" t="s">
        <v>3192</v>
      </c>
      <c r="BB1158" s="344" t="s">
        <v>3192</v>
      </c>
      <c r="BC1158" s="344"/>
      <c r="BD1158" s="345" t="s">
        <v>3192</v>
      </c>
      <c r="BE1158" s="334"/>
      <c r="BF1158" s="501">
        <f t="shared" si="93"/>
        <v>0.44489795918367347</v>
      </c>
      <c r="BG1158" s="501" t="s">
        <v>3192</v>
      </c>
      <c r="BJ1158" s="337"/>
    </row>
    <row r="1159" spans="1:62" ht="15" customHeight="1" thickBot="1" x14ac:dyDescent="0.25">
      <c r="A1159" s="176">
        <v>1160</v>
      </c>
      <c r="B1159" s="175">
        <v>1</v>
      </c>
      <c r="C1159" s="171" t="s">
        <v>596</v>
      </c>
      <c r="D1159" s="159" t="s">
        <v>2020</v>
      </c>
      <c r="I1159" s="189">
        <v>2012</v>
      </c>
      <c r="J1159" s="189" t="s">
        <v>3216</v>
      </c>
      <c r="L1159" s="189" t="s">
        <v>3219</v>
      </c>
      <c r="M1159" s="556" t="s">
        <v>4310</v>
      </c>
      <c r="AF1159" s="162" t="str">
        <f t="shared" si="94"/>
        <v/>
      </c>
      <c r="AG1159" s="162" t="str">
        <f t="shared" si="92"/>
        <v/>
      </c>
      <c r="AH1159" s="164">
        <f t="shared" si="95"/>
        <v>0.2965986394557823</v>
      </c>
      <c r="AI1159" s="164" t="str">
        <f t="shared" si="96"/>
        <v/>
      </c>
      <c r="AJ1159" s="382"/>
      <c r="AK1159" s="382"/>
      <c r="AL1159" s="382"/>
      <c r="AM1159" s="382"/>
      <c r="AN1159" s="382"/>
      <c r="AO1159" s="382"/>
      <c r="AP1159" s="382"/>
      <c r="AQ1159" s="382"/>
      <c r="AR1159" s="382"/>
      <c r="AS1159" s="350"/>
      <c r="AT1159" s="203"/>
      <c r="AV1159" s="412"/>
      <c r="AW1159" s="344">
        <v>0.2965986394557823</v>
      </c>
      <c r="AX1159" s="344"/>
      <c r="AY1159" s="344" t="s">
        <v>3192</v>
      </c>
      <c r="AZ1159" s="344" t="s">
        <v>3192</v>
      </c>
      <c r="BA1159" s="344" t="s">
        <v>3192</v>
      </c>
      <c r="BB1159" s="344" t="s">
        <v>3192</v>
      </c>
      <c r="BC1159" s="344"/>
      <c r="BD1159" s="345" t="s">
        <v>3192</v>
      </c>
      <c r="BE1159" s="334"/>
      <c r="BF1159" s="501">
        <f t="shared" si="93"/>
        <v>0.2965986394557823</v>
      </c>
      <c r="BG1159" s="501" t="s">
        <v>3192</v>
      </c>
      <c r="BJ1159" s="337"/>
    </row>
    <row r="1160" spans="1:62" ht="15" customHeight="1" thickBot="1" x14ac:dyDescent="0.25">
      <c r="A1160" s="176">
        <v>1161</v>
      </c>
      <c r="B1160" s="175">
        <v>1</v>
      </c>
      <c r="C1160" s="171" t="s">
        <v>596</v>
      </c>
      <c r="D1160" s="159" t="s">
        <v>2020</v>
      </c>
      <c r="I1160" s="189">
        <v>2012</v>
      </c>
      <c r="J1160" s="189" t="s">
        <v>3216</v>
      </c>
      <c r="L1160" s="189" t="s">
        <v>3219</v>
      </c>
      <c r="M1160" s="556" t="s">
        <v>4310</v>
      </c>
      <c r="AF1160" s="162" t="str">
        <f t="shared" si="94"/>
        <v/>
      </c>
      <c r="AG1160" s="162" t="str">
        <f t="shared" si="92"/>
        <v/>
      </c>
      <c r="AH1160" s="164">
        <f t="shared" si="95"/>
        <v>0.29251700680272108</v>
      </c>
      <c r="AI1160" s="164" t="str">
        <f t="shared" si="96"/>
        <v/>
      </c>
      <c r="AJ1160" s="382"/>
      <c r="AK1160" s="382"/>
      <c r="AL1160" s="382"/>
      <c r="AM1160" s="382"/>
      <c r="AN1160" s="382"/>
      <c r="AO1160" s="382"/>
      <c r="AP1160" s="382"/>
      <c r="AQ1160" s="382"/>
      <c r="AR1160" s="382"/>
      <c r="AS1160" s="350"/>
      <c r="AT1160" s="203"/>
      <c r="AV1160" s="412"/>
      <c r="AW1160" s="344">
        <v>0.29251700680272108</v>
      </c>
      <c r="AX1160" s="344"/>
      <c r="AY1160" s="344" t="s">
        <v>3192</v>
      </c>
      <c r="AZ1160" s="344" t="s">
        <v>3192</v>
      </c>
      <c r="BA1160" s="344" t="s">
        <v>3192</v>
      </c>
      <c r="BB1160" s="344" t="s">
        <v>3192</v>
      </c>
      <c r="BC1160" s="344"/>
      <c r="BD1160" s="345" t="s">
        <v>3192</v>
      </c>
      <c r="BE1160" s="334"/>
      <c r="BF1160" s="501">
        <f t="shared" si="93"/>
        <v>0.29251700680272108</v>
      </c>
      <c r="BG1160" s="501" t="s">
        <v>3192</v>
      </c>
      <c r="BJ1160" s="337"/>
    </row>
    <row r="1161" spans="1:62" ht="15" customHeight="1" thickBot="1" x14ac:dyDescent="0.25">
      <c r="A1161" s="176">
        <v>1162</v>
      </c>
      <c r="B1161" s="175">
        <v>1</v>
      </c>
      <c r="C1161" s="171" t="s">
        <v>596</v>
      </c>
      <c r="D1161" s="159" t="s">
        <v>2020</v>
      </c>
      <c r="I1161" s="189">
        <v>2012</v>
      </c>
      <c r="J1161" s="189" t="s">
        <v>3216</v>
      </c>
      <c r="L1161" s="189" t="s">
        <v>3219</v>
      </c>
      <c r="M1161" s="556" t="s">
        <v>4310</v>
      </c>
      <c r="AF1161" s="162" t="str">
        <f t="shared" si="94"/>
        <v/>
      </c>
      <c r="AG1161" s="162" t="str">
        <f t="shared" si="92"/>
        <v/>
      </c>
      <c r="AH1161" s="164">
        <f t="shared" si="95"/>
        <v>0.3401360544217687</v>
      </c>
      <c r="AI1161" s="164" t="str">
        <f t="shared" si="96"/>
        <v/>
      </c>
      <c r="AJ1161" s="382"/>
      <c r="AK1161" s="382"/>
      <c r="AL1161" s="382"/>
      <c r="AM1161" s="382"/>
      <c r="AN1161" s="382"/>
      <c r="AO1161" s="382"/>
      <c r="AP1161" s="382"/>
      <c r="AQ1161" s="382"/>
      <c r="AR1161" s="382"/>
      <c r="AS1161" s="350"/>
      <c r="AT1161" s="202"/>
      <c r="AV1161" s="412"/>
      <c r="AW1161" s="344">
        <v>0.3401360544217687</v>
      </c>
      <c r="AX1161" s="344"/>
      <c r="AY1161" s="344" t="s">
        <v>3192</v>
      </c>
      <c r="AZ1161" s="344" t="s">
        <v>3192</v>
      </c>
      <c r="BA1161" s="344" t="s">
        <v>3192</v>
      </c>
      <c r="BB1161" s="344" t="s">
        <v>3192</v>
      </c>
      <c r="BC1161" s="344"/>
      <c r="BD1161" s="345" t="s">
        <v>3192</v>
      </c>
      <c r="BE1161" s="334"/>
      <c r="BF1161" s="501">
        <f t="shared" si="93"/>
        <v>0.3401360544217687</v>
      </c>
      <c r="BG1161" s="501" t="s">
        <v>3192</v>
      </c>
      <c r="BJ1161" s="337"/>
    </row>
    <row r="1162" spans="1:62" ht="15" customHeight="1" thickBot="1" x14ac:dyDescent="0.25">
      <c r="A1162" s="176">
        <v>1163</v>
      </c>
      <c r="B1162" s="175">
        <v>1</v>
      </c>
      <c r="C1162" s="171" t="s">
        <v>596</v>
      </c>
      <c r="D1162" s="159" t="s">
        <v>2020</v>
      </c>
      <c r="I1162" s="189">
        <v>2007</v>
      </c>
      <c r="J1162" s="189" t="s">
        <v>3217</v>
      </c>
      <c r="L1162" s="189" t="s">
        <v>3219</v>
      </c>
      <c r="M1162" s="556" t="s">
        <v>4310</v>
      </c>
      <c r="AF1162" s="162" t="str">
        <f t="shared" si="94"/>
        <v/>
      </c>
      <c r="AG1162" s="162" t="str">
        <f t="shared" si="92"/>
        <v/>
      </c>
      <c r="AH1162" s="164">
        <f t="shared" si="95"/>
        <v>0.20816326530612245</v>
      </c>
      <c r="AI1162" s="164">
        <f t="shared" si="96"/>
        <v>0.4503401360544218</v>
      </c>
      <c r="AJ1162" s="382"/>
      <c r="AK1162" s="382"/>
      <c r="AL1162" s="382"/>
      <c r="AM1162" s="382"/>
      <c r="AN1162" s="382"/>
      <c r="AO1162" s="382"/>
      <c r="AP1162" s="382"/>
      <c r="AQ1162" s="382"/>
      <c r="AR1162" s="382"/>
      <c r="AS1162" s="350"/>
      <c r="AT1162" s="202"/>
      <c r="AV1162" s="412"/>
      <c r="AW1162" s="344">
        <v>0.20816326530612245</v>
      </c>
      <c r="AX1162" s="344"/>
      <c r="AY1162" s="344">
        <v>0.24217687074829933</v>
      </c>
      <c r="AZ1162" s="344" t="s">
        <v>3192</v>
      </c>
      <c r="BA1162" s="344">
        <v>0.36598639455782317</v>
      </c>
      <c r="BB1162" s="344">
        <v>0.47210884353741495</v>
      </c>
      <c r="BC1162" s="344"/>
      <c r="BD1162" s="345" t="s">
        <v>3192</v>
      </c>
      <c r="BE1162" s="334"/>
      <c r="BF1162" s="501">
        <f t="shared" si="93"/>
        <v>0.20816326530612245</v>
      </c>
      <c r="BG1162" s="501">
        <v>1.2884353741496599</v>
      </c>
      <c r="BJ1162" s="337"/>
    </row>
    <row r="1163" spans="1:62" ht="15" customHeight="1" thickBot="1" x14ac:dyDescent="0.25">
      <c r="A1163" s="176">
        <v>1164</v>
      </c>
      <c r="B1163" s="175">
        <v>1</v>
      </c>
      <c r="C1163" s="171" t="s">
        <v>596</v>
      </c>
      <c r="D1163" s="159" t="s">
        <v>2020</v>
      </c>
      <c r="I1163" s="189">
        <v>2007</v>
      </c>
      <c r="J1163" s="189" t="s">
        <v>3217</v>
      </c>
      <c r="L1163" s="189" t="s">
        <v>3219</v>
      </c>
      <c r="M1163" s="556" t="s">
        <v>4310</v>
      </c>
      <c r="AF1163" s="162" t="str">
        <f t="shared" si="94"/>
        <v/>
      </c>
      <c r="AG1163" s="162" t="str">
        <f t="shared" si="92"/>
        <v/>
      </c>
      <c r="AH1163" s="164">
        <f t="shared" si="95"/>
        <v>0.20816326530612245</v>
      </c>
      <c r="AI1163" s="164">
        <f t="shared" si="96"/>
        <v>0.4503401360544218</v>
      </c>
      <c r="AJ1163" s="382"/>
      <c r="AK1163" s="382"/>
      <c r="AL1163" s="382"/>
      <c r="AM1163" s="382"/>
      <c r="AN1163" s="382"/>
      <c r="AO1163" s="382"/>
      <c r="AP1163" s="382"/>
      <c r="AQ1163" s="382"/>
      <c r="AR1163" s="382"/>
      <c r="AS1163" s="350"/>
      <c r="AT1163" s="202"/>
      <c r="AV1163" s="412"/>
      <c r="AW1163" s="344">
        <v>0.20816326530612245</v>
      </c>
      <c r="AX1163" s="344"/>
      <c r="AY1163" s="344">
        <v>0.24217687074829933</v>
      </c>
      <c r="AZ1163" s="344">
        <v>0.56462585034013602</v>
      </c>
      <c r="BA1163" s="344">
        <v>0.58911564625850343</v>
      </c>
      <c r="BB1163" s="344">
        <v>0.47210884353741495</v>
      </c>
      <c r="BC1163" s="344"/>
      <c r="BD1163" s="345" t="s">
        <v>3192</v>
      </c>
      <c r="BE1163" s="334"/>
      <c r="BF1163" s="501">
        <f t="shared" ref="BF1163:BF1179" si="97">AW1163</f>
        <v>0.20816326530612245</v>
      </c>
      <c r="BG1163" s="501">
        <v>2.0761904761904764</v>
      </c>
      <c r="BJ1163" s="337"/>
    </row>
    <row r="1164" spans="1:62" ht="15" customHeight="1" thickBot="1" x14ac:dyDescent="0.25">
      <c r="A1164" s="176">
        <v>1165</v>
      </c>
      <c r="B1164" s="175">
        <v>1</v>
      </c>
      <c r="C1164" s="171" t="s">
        <v>596</v>
      </c>
      <c r="D1164" s="159" t="s">
        <v>2020</v>
      </c>
      <c r="I1164" s="189">
        <v>2007</v>
      </c>
      <c r="J1164" s="189" t="s">
        <v>3217</v>
      </c>
      <c r="L1164" s="189" t="s">
        <v>3219</v>
      </c>
      <c r="M1164" s="556" t="s">
        <v>4310</v>
      </c>
      <c r="AF1164" s="162" t="str">
        <f t="shared" si="94"/>
        <v/>
      </c>
      <c r="AG1164" s="162" t="str">
        <f t="shared" si="92"/>
        <v/>
      </c>
      <c r="AH1164" s="164">
        <f t="shared" si="95"/>
        <v>0.20816326530612245</v>
      </c>
      <c r="AI1164" s="164">
        <f t="shared" si="96"/>
        <v>0.4503401360544218</v>
      </c>
      <c r="AJ1164" s="382"/>
      <c r="AK1164" s="382"/>
      <c r="AL1164" s="382"/>
      <c r="AM1164" s="382"/>
      <c r="AN1164" s="382"/>
      <c r="AO1164" s="382"/>
      <c r="AP1164" s="382"/>
      <c r="AQ1164" s="382"/>
      <c r="AR1164" s="382"/>
      <c r="AS1164" s="350"/>
      <c r="AT1164" s="202"/>
      <c r="AV1164" s="412"/>
      <c r="AW1164" s="344">
        <v>0.20816326530612245</v>
      </c>
      <c r="AX1164" s="344"/>
      <c r="AY1164" s="344">
        <v>0.24217687074829933</v>
      </c>
      <c r="AZ1164" s="344">
        <v>0.46530612244897962</v>
      </c>
      <c r="BA1164" s="344">
        <v>0.55102040816326525</v>
      </c>
      <c r="BB1164" s="344">
        <v>0.47210884353741495</v>
      </c>
      <c r="BC1164" s="344"/>
      <c r="BD1164" s="345" t="s">
        <v>3192</v>
      </c>
      <c r="BE1164" s="334"/>
      <c r="BF1164" s="501">
        <f t="shared" si="97"/>
        <v>0.20816326530612245</v>
      </c>
      <c r="BG1164" s="501">
        <v>1.9387755102040818</v>
      </c>
      <c r="BJ1164" s="337"/>
    </row>
    <row r="1165" spans="1:62" ht="15" customHeight="1" thickBot="1" x14ac:dyDescent="0.25">
      <c r="A1165" s="176">
        <v>1166</v>
      </c>
      <c r="B1165" s="175">
        <v>1</v>
      </c>
      <c r="C1165" s="171" t="s">
        <v>596</v>
      </c>
      <c r="D1165" s="159" t="s">
        <v>2020</v>
      </c>
      <c r="I1165" s="189">
        <v>2007</v>
      </c>
      <c r="J1165" s="189" t="s">
        <v>3217</v>
      </c>
      <c r="L1165" s="189" t="s">
        <v>3219</v>
      </c>
      <c r="M1165" s="556" t="s">
        <v>4310</v>
      </c>
      <c r="AF1165" s="162" t="str">
        <f t="shared" si="94"/>
        <v/>
      </c>
      <c r="AG1165" s="162" t="str">
        <f t="shared" si="92"/>
        <v/>
      </c>
      <c r="AH1165" s="164">
        <f t="shared" si="95"/>
        <v>0.20816326530612245</v>
      </c>
      <c r="AI1165" s="164">
        <f t="shared" si="96"/>
        <v>0.4503401360544218</v>
      </c>
      <c r="AJ1165" s="382"/>
      <c r="AK1165" s="382"/>
      <c r="AL1165" s="382"/>
      <c r="AM1165" s="382"/>
      <c r="AN1165" s="382"/>
      <c r="AO1165" s="382"/>
      <c r="AP1165" s="382"/>
      <c r="AQ1165" s="382"/>
      <c r="AR1165" s="382"/>
      <c r="AS1165" s="350"/>
      <c r="AT1165" s="202"/>
      <c r="AV1165" s="412"/>
      <c r="AW1165" s="344">
        <v>0.20816326530612245</v>
      </c>
      <c r="AX1165" s="344"/>
      <c r="AY1165" s="344">
        <v>0.24217687074829933</v>
      </c>
      <c r="AZ1165" s="344">
        <v>0.36734693877551022</v>
      </c>
      <c r="BA1165" s="344">
        <v>0.46666666666666673</v>
      </c>
      <c r="BB1165" s="344">
        <v>0.47210884353741495</v>
      </c>
      <c r="BC1165" s="344"/>
      <c r="BD1165" s="345" t="s">
        <v>3192</v>
      </c>
      <c r="BE1165" s="334"/>
      <c r="BF1165" s="501">
        <f t="shared" si="97"/>
        <v>0.20816326530612245</v>
      </c>
      <c r="BG1165" s="501">
        <v>1.7564625850340134</v>
      </c>
      <c r="BJ1165" s="337"/>
    </row>
    <row r="1166" spans="1:62" ht="15" customHeight="1" thickBot="1" x14ac:dyDescent="0.25">
      <c r="A1166" s="176">
        <v>1167</v>
      </c>
      <c r="B1166" s="175">
        <v>1</v>
      </c>
      <c r="C1166" s="171" t="s">
        <v>596</v>
      </c>
      <c r="D1166" s="159" t="s">
        <v>2020</v>
      </c>
      <c r="I1166" s="189">
        <v>2007</v>
      </c>
      <c r="J1166" s="189" t="s">
        <v>3217</v>
      </c>
      <c r="L1166" s="189" t="s">
        <v>3219</v>
      </c>
      <c r="M1166" s="556" t="s">
        <v>4310</v>
      </c>
      <c r="AF1166" s="162" t="str">
        <f t="shared" si="94"/>
        <v/>
      </c>
      <c r="AG1166" s="162" t="str">
        <f t="shared" si="92"/>
        <v/>
      </c>
      <c r="AH1166" s="164">
        <f t="shared" si="95"/>
        <v>0.20816326530612245</v>
      </c>
      <c r="AI1166" s="164">
        <f t="shared" si="96"/>
        <v>0.4503401360544218</v>
      </c>
      <c r="AJ1166" s="382"/>
      <c r="AK1166" s="382"/>
      <c r="AL1166" s="382"/>
      <c r="AM1166" s="382"/>
      <c r="AN1166" s="382"/>
      <c r="AO1166" s="382"/>
      <c r="AP1166" s="382"/>
      <c r="AQ1166" s="382"/>
      <c r="AR1166" s="382"/>
      <c r="AS1166" s="350"/>
      <c r="AT1166" s="202"/>
      <c r="AV1166" s="412"/>
      <c r="AW1166" s="344">
        <v>0.20816326530612245</v>
      </c>
      <c r="AX1166" s="344"/>
      <c r="AY1166" s="344">
        <v>0.24217687074829933</v>
      </c>
      <c r="AZ1166" s="344" t="s">
        <v>3192</v>
      </c>
      <c r="BA1166" s="344">
        <v>0.12108843537414966</v>
      </c>
      <c r="BB1166" s="344">
        <v>0.47210884353741495</v>
      </c>
      <c r="BC1166" s="344"/>
      <c r="BD1166" s="345" t="s">
        <v>3192</v>
      </c>
      <c r="BE1166" s="334"/>
      <c r="BF1166" s="501">
        <f t="shared" si="97"/>
        <v>0.20816326530612245</v>
      </c>
      <c r="BG1166" s="501">
        <v>1.0435374149659864</v>
      </c>
      <c r="BJ1166" s="337"/>
    </row>
    <row r="1167" spans="1:62" ht="15" customHeight="1" thickBot="1" x14ac:dyDescent="0.25">
      <c r="A1167" s="176">
        <v>1168</v>
      </c>
      <c r="B1167" s="175">
        <v>1</v>
      </c>
      <c r="C1167" s="171" t="s">
        <v>596</v>
      </c>
      <c r="D1167" s="159" t="s">
        <v>2020</v>
      </c>
      <c r="I1167" s="189">
        <v>2007</v>
      </c>
      <c r="J1167" s="189" t="s">
        <v>3217</v>
      </c>
      <c r="L1167" s="189" t="s">
        <v>3219</v>
      </c>
      <c r="M1167" s="556" t="s">
        <v>4310</v>
      </c>
      <c r="AF1167" s="162" t="str">
        <f t="shared" si="94"/>
        <v/>
      </c>
      <c r="AG1167" s="162" t="str">
        <f t="shared" si="92"/>
        <v/>
      </c>
      <c r="AH1167" s="164">
        <f t="shared" si="95"/>
        <v>0.20816326530612245</v>
      </c>
      <c r="AI1167" s="164">
        <f t="shared" si="96"/>
        <v>0.4503401360544218</v>
      </c>
      <c r="AJ1167" s="382"/>
      <c r="AK1167" s="382"/>
      <c r="AL1167" s="382"/>
      <c r="AM1167" s="382"/>
      <c r="AN1167" s="382"/>
      <c r="AO1167" s="382"/>
      <c r="AP1167" s="382"/>
      <c r="AQ1167" s="382"/>
      <c r="AR1167" s="382"/>
      <c r="AS1167" s="350"/>
      <c r="AT1167" s="202"/>
      <c r="AV1167" s="412"/>
      <c r="AW1167" s="344">
        <v>0.20816326530612245</v>
      </c>
      <c r="AX1167" s="344"/>
      <c r="AY1167" s="344">
        <v>0.24217687074829933</v>
      </c>
      <c r="AZ1167" s="344" t="s">
        <v>3192</v>
      </c>
      <c r="BA1167" s="344">
        <v>9.9319727891156465E-2</v>
      </c>
      <c r="BB1167" s="344">
        <v>0.47210884353741495</v>
      </c>
      <c r="BC1167" s="344"/>
      <c r="BD1167" s="345" t="s">
        <v>3192</v>
      </c>
      <c r="BE1167" s="334"/>
      <c r="BF1167" s="501">
        <f t="shared" si="97"/>
        <v>0.20816326530612245</v>
      </c>
      <c r="BG1167" s="501">
        <v>1.0217687074829931</v>
      </c>
      <c r="BJ1167" s="337"/>
    </row>
    <row r="1168" spans="1:62" ht="15" customHeight="1" thickBot="1" x14ac:dyDescent="0.25">
      <c r="A1168" s="176">
        <v>1169</v>
      </c>
      <c r="B1168" s="175">
        <v>1</v>
      </c>
      <c r="C1168" s="171" t="s">
        <v>596</v>
      </c>
      <c r="D1168" s="159" t="s">
        <v>2020</v>
      </c>
      <c r="I1168" s="189">
        <v>2007</v>
      </c>
      <c r="J1168" s="189" t="s">
        <v>3217</v>
      </c>
      <c r="L1168" s="189" t="s">
        <v>3219</v>
      </c>
      <c r="M1168" s="556" t="s">
        <v>4310</v>
      </c>
      <c r="AF1168" s="162" t="str">
        <f t="shared" si="94"/>
        <v/>
      </c>
      <c r="AG1168" s="162" t="str">
        <f t="shared" si="92"/>
        <v/>
      </c>
      <c r="AH1168" s="164">
        <f t="shared" si="95"/>
        <v>0.20816326530612245</v>
      </c>
      <c r="AI1168" s="164">
        <f t="shared" si="96"/>
        <v>0.4503401360544218</v>
      </c>
      <c r="AJ1168" s="382"/>
      <c r="AK1168" s="382"/>
      <c r="AL1168" s="382"/>
      <c r="AM1168" s="382"/>
      <c r="AN1168" s="382"/>
      <c r="AO1168" s="382"/>
      <c r="AP1168" s="382"/>
      <c r="AQ1168" s="382"/>
      <c r="AR1168" s="382"/>
      <c r="AS1168" s="350"/>
      <c r="AT1168" s="202"/>
      <c r="AV1168" s="412"/>
      <c r="AW1168" s="344">
        <v>0.20816326530612245</v>
      </c>
      <c r="AX1168" s="344"/>
      <c r="AY1168" s="344">
        <v>0.24217687074829933</v>
      </c>
      <c r="AZ1168" s="344" t="s">
        <v>3192</v>
      </c>
      <c r="BA1168" s="344">
        <v>8.8435374149659865E-2</v>
      </c>
      <c r="BB1168" s="344">
        <v>0.47210884353741495</v>
      </c>
      <c r="BC1168" s="344"/>
      <c r="BD1168" s="345" t="s">
        <v>3192</v>
      </c>
      <c r="BE1168" s="334"/>
      <c r="BF1168" s="501">
        <f t="shared" si="97"/>
        <v>0.20816326530612245</v>
      </c>
      <c r="BG1168" s="501">
        <v>1.0108843537414964</v>
      </c>
      <c r="BJ1168" s="337"/>
    </row>
    <row r="1169" spans="1:62" ht="15" customHeight="1" thickBot="1" x14ac:dyDescent="0.25">
      <c r="A1169" s="176">
        <v>1170</v>
      </c>
      <c r="B1169" s="175">
        <v>1</v>
      </c>
      <c r="C1169" s="171" t="s">
        <v>596</v>
      </c>
      <c r="D1169" s="159" t="s">
        <v>2020</v>
      </c>
      <c r="I1169" s="189">
        <v>2007</v>
      </c>
      <c r="J1169" s="189" t="s">
        <v>3217</v>
      </c>
      <c r="L1169" s="189" t="s">
        <v>3219</v>
      </c>
      <c r="M1169" s="556" t="s">
        <v>4310</v>
      </c>
      <c r="AF1169" s="162" t="str">
        <f t="shared" si="94"/>
        <v/>
      </c>
      <c r="AG1169" s="162" t="str">
        <f t="shared" si="92"/>
        <v/>
      </c>
      <c r="AH1169" s="164">
        <f t="shared" si="95"/>
        <v>0.20816326530612245</v>
      </c>
      <c r="AI1169" s="164">
        <f t="shared" si="96"/>
        <v>0.4503401360544218</v>
      </c>
      <c r="AJ1169" s="382"/>
      <c r="AK1169" s="382"/>
      <c r="AL1169" s="382"/>
      <c r="AM1169" s="382"/>
      <c r="AN1169" s="382"/>
      <c r="AO1169" s="382"/>
      <c r="AP1169" s="382"/>
      <c r="AQ1169" s="382"/>
      <c r="AR1169" s="382"/>
      <c r="AS1169" s="350"/>
      <c r="AT1169" s="202"/>
      <c r="AV1169" s="412"/>
      <c r="AW1169" s="344">
        <v>0.20816326530612245</v>
      </c>
      <c r="AX1169" s="344"/>
      <c r="AY1169" s="344">
        <v>0.24217687074829933</v>
      </c>
      <c r="AZ1169" s="344">
        <v>0.56462585034013602</v>
      </c>
      <c r="BA1169" s="344">
        <v>0.16326530612244897</v>
      </c>
      <c r="BB1169" s="344">
        <v>0.47210884353741495</v>
      </c>
      <c r="BC1169" s="344"/>
      <c r="BD1169" s="345" t="s">
        <v>3192</v>
      </c>
      <c r="BE1169" s="334"/>
      <c r="BF1169" s="501">
        <f t="shared" si="97"/>
        <v>0.20816326530612245</v>
      </c>
      <c r="BG1169" s="501">
        <v>1.6503401360544221</v>
      </c>
      <c r="BJ1169" s="337"/>
    </row>
    <row r="1170" spans="1:62" ht="15" customHeight="1" thickBot="1" x14ac:dyDescent="0.25">
      <c r="A1170" s="176">
        <v>1171</v>
      </c>
      <c r="B1170" s="175">
        <v>1</v>
      </c>
      <c r="C1170" s="171" t="s">
        <v>596</v>
      </c>
      <c r="D1170" s="159" t="s">
        <v>2020</v>
      </c>
      <c r="I1170" s="189">
        <v>2007</v>
      </c>
      <c r="J1170" s="189" t="s">
        <v>3217</v>
      </c>
      <c r="L1170" s="189" t="s">
        <v>3219</v>
      </c>
      <c r="M1170" s="556" t="s">
        <v>4310</v>
      </c>
      <c r="AF1170" s="162" t="str">
        <f t="shared" si="94"/>
        <v/>
      </c>
      <c r="AG1170" s="162" t="str">
        <f t="shared" si="92"/>
        <v/>
      </c>
      <c r="AH1170" s="164">
        <f t="shared" si="95"/>
        <v>0.20816326530612245</v>
      </c>
      <c r="AI1170" s="164">
        <f t="shared" si="96"/>
        <v>0.4503401360544218</v>
      </c>
      <c r="AJ1170" s="382"/>
      <c r="AK1170" s="382"/>
      <c r="AL1170" s="382"/>
      <c r="AM1170" s="382"/>
      <c r="AN1170" s="382"/>
      <c r="AO1170" s="382"/>
      <c r="AP1170" s="382"/>
      <c r="AQ1170" s="382"/>
      <c r="AR1170" s="382"/>
      <c r="AS1170" s="350"/>
      <c r="AT1170" s="202"/>
      <c r="AV1170" s="412"/>
      <c r="AW1170" s="344">
        <v>0.20816326530612245</v>
      </c>
      <c r="AX1170" s="344"/>
      <c r="AY1170" s="344">
        <v>0.24217687074829933</v>
      </c>
      <c r="AZ1170" s="344">
        <v>0.56462585034013602</v>
      </c>
      <c r="BA1170" s="344">
        <v>0.13605442176870747</v>
      </c>
      <c r="BB1170" s="344">
        <v>0.47210884353741495</v>
      </c>
      <c r="BC1170" s="344"/>
      <c r="BD1170" s="345" t="s">
        <v>3192</v>
      </c>
      <c r="BE1170" s="334"/>
      <c r="BF1170" s="501">
        <f t="shared" si="97"/>
        <v>0.20816326530612245</v>
      </c>
      <c r="BG1170" s="501">
        <v>1.6231292517006803</v>
      </c>
      <c r="BJ1170" s="337"/>
    </row>
    <row r="1171" spans="1:62" ht="15" customHeight="1" thickBot="1" x14ac:dyDescent="0.25">
      <c r="A1171" s="176">
        <v>1172</v>
      </c>
      <c r="B1171" s="175">
        <v>1</v>
      </c>
      <c r="C1171" s="171" t="s">
        <v>596</v>
      </c>
      <c r="D1171" s="159" t="s">
        <v>2020</v>
      </c>
      <c r="I1171" s="189">
        <v>2007</v>
      </c>
      <c r="J1171" s="189" t="s">
        <v>3217</v>
      </c>
      <c r="L1171" s="189" t="s">
        <v>3219</v>
      </c>
      <c r="M1171" s="556" t="s">
        <v>4310</v>
      </c>
      <c r="AF1171" s="162" t="str">
        <f t="shared" si="94"/>
        <v/>
      </c>
      <c r="AG1171" s="162" t="str">
        <f t="shared" ref="AG1171:AG1234" si="98">IF(AND(SUM(AJ1171:AL1171)&lt;&gt;0,SUM(AJ1171:AL1171)&lt;&gt;AJ1171),SUM(AJ1171:AL1171),"")</f>
        <v/>
      </c>
      <c r="AH1171" s="164">
        <f t="shared" si="95"/>
        <v>0.20816326530612245</v>
      </c>
      <c r="AI1171" s="164">
        <f t="shared" si="96"/>
        <v>0.4503401360544218</v>
      </c>
      <c r="AJ1171" s="382"/>
      <c r="AK1171" s="382"/>
      <c r="AL1171" s="382"/>
      <c r="AM1171" s="382"/>
      <c r="AN1171" s="382"/>
      <c r="AO1171" s="382"/>
      <c r="AP1171" s="382"/>
      <c r="AQ1171" s="382"/>
      <c r="AR1171" s="382"/>
      <c r="AS1171" s="350"/>
      <c r="AT1171" s="202"/>
      <c r="AV1171" s="412"/>
      <c r="AW1171" s="344">
        <v>0.20816326530612245</v>
      </c>
      <c r="AX1171" s="344"/>
      <c r="AY1171" s="344">
        <v>0.24217687074829933</v>
      </c>
      <c r="AZ1171" s="344">
        <v>0.56462585034013602</v>
      </c>
      <c r="BA1171" s="344">
        <v>0.1183673469387755</v>
      </c>
      <c r="BB1171" s="344">
        <v>0.47210884353741495</v>
      </c>
      <c r="BC1171" s="344"/>
      <c r="BD1171" s="345" t="s">
        <v>3192</v>
      </c>
      <c r="BE1171" s="334"/>
      <c r="BF1171" s="501">
        <f t="shared" si="97"/>
        <v>0.20816326530612245</v>
      </c>
      <c r="BG1171" s="501">
        <v>1.6054421768707481</v>
      </c>
      <c r="BJ1171" s="337"/>
    </row>
    <row r="1172" spans="1:62" ht="15" customHeight="1" thickBot="1" x14ac:dyDescent="0.25">
      <c r="A1172" s="176">
        <v>1173</v>
      </c>
      <c r="B1172" s="175">
        <v>1</v>
      </c>
      <c r="C1172" s="171" t="s">
        <v>596</v>
      </c>
      <c r="D1172" s="159" t="s">
        <v>2020</v>
      </c>
      <c r="I1172" s="189">
        <v>2003</v>
      </c>
      <c r="J1172" s="189" t="s">
        <v>3218</v>
      </c>
      <c r="L1172" s="189" t="s">
        <v>3219</v>
      </c>
      <c r="M1172" s="556" t="s">
        <v>4310</v>
      </c>
      <c r="AF1172" s="162" t="str">
        <f t="shared" si="94"/>
        <v/>
      </c>
      <c r="AG1172" s="162" t="str">
        <f t="shared" si="98"/>
        <v/>
      </c>
      <c r="AH1172" s="164">
        <f t="shared" si="95"/>
        <v>0.57959183673469394</v>
      </c>
      <c r="AI1172" s="164">
        <f t="shared" si="96"/>
        <v>1.0068027210884354</v>
      </c>
      <c r="AJ1172" s="382"/>
      <c r="AK1172" s="382"/>
      <c r="AL1172" s="382"/>
      <c r="AM1172" s="382"/>
      <c r="AN1172" s="382"/>
      <c r="AO1172" s="382"/>
      <c r="AP1172" s="382"/>
      <c r="AQ1172" s="382"/>
      <c r="AR1172" s="382"/>
      <c r="AS1172" s="350"/>
      <c r="AT1172" s="202"/>
      <c r="AV1172" s="412"/>
      <c r="AW1172" s="344">
        <v>0.57959183673469394</v>
      </c>
      <c r="AX1172" s="344"/>
      <c r="AY1172" s="344">
        <v>0.42721088435374149</v>
      </c>
      <c r="AZ1172" s="344">
        <v>0.38231292517006804</v>
      </c>
      <c r="BA1172" s="344">
        <v>0.13741496598639455</v>
      </c>
      <c r="BB1172" s="344" t="s">
        <v>3192</v>
      </c>
      <c r="BC1172" s="344"/>
      <c r="BD1172" s="345" t="s">
        <v>3192</v>
      </c>
      <c r="BE1172" s="334"/>
      <c r="BF1172" s="501">
        <f t="shared" si="97"/>
        <v>0.57959183673469394</v>
      </c>
      <c r="BG1172" s="501">
        <v>1.5265306122448981</v>
      </c>
      <c r="BJ1172" s="337"/>
    </row>
    <row r="1173" spans="1:62" ht="15" customHeight="1" thickBot="1" x14ac:dyDescent="0.25">
      <c r="A1173" s="176">
        <v>1174</v>
      </c>
      <c r="B1173" s="175">
        <v>1</v>
      </c>
      <c r="C1173" s="171" t="s">
        <v>596</v>
      </c>
      <c r="D1173" s="159" t="s">
        <v>2020</v>
      </c>
      <c r="I1173" s="189">
        <v>2013</v>
      </c>
      <c r="J1173" s="189" t="s">
        <v>3220</v>
      </c>
      <c r="L1173" s="189" t="s">
        <v>19</v>
      </c>
      <c r="M1173" s="556" t="s">
        <v>4311</v>
      </c>
      <c r="AF1173" s="162" t="str">
        <f t="shared" si="94"/>
        <v/>
      </c>
      <c r="AG1173" s="162" t="str">
        <f t="shared" si="98"/>
        <v/>
      </c>
      <c r="AH1173" s="164">
        <f t="shared" si="95"/>
        <v>0.96326530612244898</v>
      </c>
      <c r="AI1173" s="164">
        <f t="shared" si="96"/>
        <v>0.96715646258503407</v>
      </c>
      <c r="AJ1173" s="382"/>
      <c r="AK1173" s="382"/>
      <c r="AL1173" s="382"/>
      <c r="AM1173" s="382"/>
      <c r="AN1173" s="382"/>
      <c r="AO1173" s="382"/>
      <c r="AP1173" s="382"/>
      <c r="AQ1173" s="382"/>
      <c r="AR1173" s="382"/>
      <c r="AS1173" s="350"/>
      <c r="AT1173" s="202"/>
      <c r="AV1173" s="412"/>
      <c r="AW1173" s="344">
        <v>0.96326530612244898</v>
      </c>
      <c r="AX1173" s="344"/>
      <c r="AY1173" s="344">
        <v>3.8911564625850339E-3</v>
      </c>
      <c r="AZ1173" s="344">
        <v>1.2666666666666668</v>
      </c>
      <c r="BA1173" s="344" t="s">
        <v>3192</v>
      </c>
      <c r="BB1173" s="344" t="s">
        <v>3192</v>
      </c>
      <c r="BC1173" s="344"/>
      <c r="BD1173" s="345" t="s">
        <v>3192</v>
      </c>
      <c r="BE1173" s="334"/>
      <c r="BF1173" s="501">
        <f t="shared" si="97"/>
        <v>0.96326530612244898</v>
      </c>
      <c r="BG1173" s="501">
        <v>2.2338231292517006</v>
      </c>
      <c r="BJ1173" s="337"/>
    </row>
    <row r="1174" spans="1:62" ht="15" customHeight="1" thickBot="1" x14ac:dyDescent="0.25">
      <c r="A1174" s="176">
        <v>1175</v>
      </c>
      <c r="B1174" s="175">
        <v>1</v>
      </c>
      <c r="C1174" s="171" t="s">
        <v>596</v>
      </c>
      <c r="D1174" s="159" t="s">
        <v>2020</v>
      </c>
      <c r="I1174" s="189">
        <v>2014</v>
      </c>
      <c r="J1174" s="189" t="s">
        <v>3221</v>
      </c>
      <c r="L1174" s="189" t="s">
        <v>19</v>
      </c>
      <c r="M1174" s="556" t="s">
        <v>4312</v>
      </c>
      <c r="AF1174" s="162" t="str">
        <f t="shared" si="94"/>
        <v/>
      </c>
      <c r="AG1174" s="162" t="str">
        <f t="shared" si="98"/>
        <v/>
      </c>
      <c r="AH1174" s="164">
        <f t="shared" si="95"/>
        <v>0.68027210884353739</v>
      </c>
      <c r="AI1174" s="164">
        <f t="shared" si="96"/>
        <v>0.7482993197278911</v>
      </c>
      <c r="AJ1174" s="382"/>
      <c r="AK1174" s="382"/>
      <c r="AL1174" s="382"/>
      <c r="AM1174" s="382"/>
      <c r="AN1174" s="382"/>
      <c r="AO1174" s="382"/>
      <c r="AP1174" s="382"/>
      <c r="AQ1174" s="382"/>
      <c r="AR1174" s="382"/>
      <c r="AS1174" s="350"/>
      <c r="AT1174" s="202"/>
      <c r="AV1174" s="412"/>
      <c r="AW1174" s="344">
        <v>0.68027210884353739</v>
      </c>
      <c r="AX1174" s="344"/>
      <c r="AY1174" s="344">
        <v>6.8027210884353734E-2</v>
      </c>
      <c r="AZ1174" s="344">
        <v>0.68027210884353739</v>
      </c>
      <c r="BA1174" s="344">
        <v>0.27210884353741494</v>
      </c>
      <c r="BB1174" s="344" t="s">
        <v>3192</v>
      </c>
      <c r="BC1174" s="344"/>
      <c r="BD1174" s="345" t="s">
        <v>3192</v>
      </c>
      <c r="BE1174" s="334"/>
      <c r="BF1174" s="501">
        <f t="shared" si="97"/>
        <v>0.68027210884353739</v>
      </c>
      <c r="BG1174" s="501">
        <v>1.7006802721088436</v>
      </c>
      <c r="BJ1174" s="337"/>
    </row>
    <row r="1175" spans="1:62" ht="15" customHeight="1" thickBot="1" x14ac:dyDescent="0.25">
      <c r="A1175" s="176">
        <v>1176</v>
      </c>
      <c r="B1175" s="175">
        <v>1</v>
      </c>
      <c r="C1175" s="171" t="s">
        <v>596</v>
      </c>
      <c r="D1175" s="159" t="s">
        <v>2020</v>
      </c>
      <c r="I1175" s="189">
        <v>2014</v>
      </c>
      <c r="J1175" s="189" t="s">
        <v>3222</v>
      </c>
      <c r="L1175" s="189" t="s">
        <v>19</v>
      </c>
      <c r="M1175" s="556" t="s">
        <v>4313</v>
      </c>
      <c r="AF1175" s="162" t="str">
        <f t="shared" si="94"/>
        <v/>
      </c>
      <c r="AG1175" s="162" t="str">
        <f t="shared" si="98"/>
        <v/>
      </c>
      <c r="AH1175" s="164">
        <f t="shared" si="95"/>
        <v>0.22993197278911567</v>
      </c>
      <c r="AI1175" s="164">
        <f t="shared" si="96"/>
        <v>0.6027210884353742</v>
      </c>
      <c r="AJ1175" s="382"/>
      <c r="AK1175" s="382"/>
      <c r="AL1175" s="382"/>
      <c r="AM1175" s="382"/>
      <c r="AN1175" s="382"/>
      <c r="AO1175" s="382"/>
      <c r="AP1175" s="382"/>
      <c r="AQ1175" s="382"/>
      <c r="AR1175" s="382"/>
      <c r="AS1175" s="350"/>
      <c r="AT1175" s="202"/>
      <c r="AV1175" s="412"/>
      <c r="AW1175" s="344">
        <v>0.22993197278911567</v>
      </c>
      <c r="AX1175" s="344"/>
      <c r="AY1175" s="344">
        <v>0.3727891156462585</v>
      </c>
      <c r="AZ1175" s="344">
        <v>0.76462585034013608</v>
      </c>
      <c r="BA1175" s="344" t="s">
        <v>3192</v>
      </c>
      <c r="BB1175" s="344" t="s">
        <v>3192</v>
      </c>
      <c r="BC1175" s="344"/>
      <c r="BD1175" s="345" t="s">
        <v>3192</v>
      </c>
      <c r="BE1175" s="334"/>
      <c r="BF1175" s="501">
        <f t="shared" si="97"/>
        <v>0.22993197278911567</v>
      </c>
      <c r="BG1175" s="501">
        <v>1.3673469387755104</v>
      </c>
      <c r="BJ1175" s="337"/>
    </row>
    <row r="1176" spans="1:62" ht="15" customHeight="1" thickBot="1" x14ac:dyDescent="0.25">
      <c r="A1176" s="176">
        <v>1177</v>
      </c>
      <c r="B1176" s="175">
        <v>1</v>
      </c>
      <c r="C1176" s="171" t="s">
        <v>596</v>
      </c>
      <c r="D1176" s="159" t="s">
        <v>2020</v>
      </c>
      <c r="I1176" s="189">
        <v>2016</v>
      </c>
      <c r="J1176" s="189" t="s">
        <v>3223</v>
      </c>
      <c r="L1176" s="189" t="s">
        <v>19</v>
      </c>
      <c r="M1176" s="556" t="s">
        <v>4314</v>
      </c>
      <c r="AF1176" s="162" t="str">
        <f t="shared" si="94"/>
        <v/>
      </c>
      <c r="AG1176" s="162" t="str">
        <f t="shared" si="98"/>
        <v/>
      </c>
      <c r="AH1176" s="164">
        <f t="shared" si="95"/>
        <v>1.398639455782313</v>
      </c>
      <c r="AI1176" s="164">
        <f t="shared" si="96"/>
        <v>1.4025182312925171</v>
      </c>
      <c r="AJ1176" s="382"/>
      <c r="AK1176" s="382"/>
      <c r="AL1176" s="382"/>
      <c r="AM1176" s="382"/>
      <c r="AN1176" s="382"/>
      <c r="AO1176" s="382"/>
      <c r="AP1176" s="382"/>
      <c r="AQ1176" s="382"/>
      <c r="AR1176" s="382"/>
      <c r="AS1176" s="350"/>
      <c r="AT1176" s="202"/>
      <c r="AV1176" s="412"/>
      <c r="AW1176" s="344">
        <v>1.398639455782313</v>
      </c>
      <c r="AX1176" s="344"/>
      <c r="AY1176" s="344">
        <v>3.8787755102040818E-3</v>
      </c>
      <c r="AZ1176" s="344" t="s">
        <v>3192</v>
      </c>
      <c r="BA1176" s="344">
        <v>0.64414965986394557</v>
      </c>
      <c r="BB1176" s="344" t="s">
        <v>3192</v>
      </c>
      <c r="BC1176" s="344"/>
      <c r="BD1176" s="345">
        <v>-0.59278911564625858</v>
      </c>
      <c r="BE1176" s="334"/>
      <c r="BF1176" s="501">
        <f t="shared" si="97"/>
        <v>1.398639455782313</v>
      </c>
      <c r="BG1176" s="501">
        <v>1.4538787755102043</v>
      </c>
      <c r="BJ1176" s="337"/>
    </row>
    <row r="1177" spans="1:62" ht="15" customHeight="1" thickBot="1" x14ac:dyDescent="0.25">
      <c r="A1177" s="176">
        <v>1178</v>
      </c>
      <c r="B1177" s="175">
        <v>1</v>
      </c>
      <c r="C1177" s="171" t="s">
        <v>596</v>
      </c>
      <c r="D1177" s="159" t="s">
        <v>2020</v>
      </c>
      <c r="I1177" s="189">
        <v>2012</v>
      </c>
      <c r="J1177" s="189" t="s">
        <v>3224</v>
      </c>
      <c r="L1177" s="189" t="s">
        <v>19</v>
      </c>
      <c r="M1177" s="556" t="s">
        <v>4315</v>
      </c>
      <c r="AF1177" s="162" t="str">
        <f t="shared" si="94"/>
        <v/>
      </c>
      <c r="AG1177" s="162" t="str">
        <f t="shared" si="98"/>
        <v/>
      </c>
      <c r="AH1177" s="164">
        <f t="shared" si="95"/>
        <v>0.41115646258503408</v>
      </c>
      <c r="AI1177" s="164">
        <f t="shared" si="96"/>
        <v>0.53333333333333344</v>
      </c>
      <c r="AJ1177" s="382"/>
      <c r="AK1177" s="382"/>
      <c r="AL1177" s="382"/>
      <c r="AM1177" s="382"/>
      <c r="AN1177" s="382"/>
      <c r="AO1177" s="382"/>
      <c r="AP1177" s="382"/>
      <c r="AQ1177" s="382"/>
      <c r="AR1177" s="382"/>
      <c r="AS1177" s="350"/>
      <c r="AT1177" s="202"/>
      <c r="AV1177" s="412"/>
      <c r="AW1177" s="344">
        <v>0.41115646258503408</v>
      </c>
      <c r="AX1177" s="344"/>
      <c r="AY1177" s="344">
        <v>0.12217687074829936</v>
      </c>
      <c r="AZ1177" s="344">
        <v>1.1278911564625851</v>
      </c>
      <c r="BA1177" s="344">
        <v>9.3605442176870737E-2</v>
      </c>
      <c r="BB1177" s="344" t="s">
        <v>3192</v>
      </c>
      <c r="BC1177" s="344"/>
      <c r="BD1177" s="345" t="s">
        <v>3192</v>
      </c>
      <c r="BE1177" s="334"/>
      <c r="BF1177" s="501">
        <f t="shared" si="97"/>
        <v>0.41115646258503408</v>
      </c>
      <c r="BG1177" s="501">
        <v>1.7551020408163265</v>
      </c>
      <c r="BJ1177" s="337"/>
    </row>
    <row r="1178" spans="1:62" ht="15" customHeight="1" thickBot="1" x14ac:dyDescent="0.25">
      <c r="A1178" s="176">
        <v>1179</v>
      </c>
      <c r="B1178" s="175">
        <v>1</v>
      </c>
      <c r="C1178" s="171" t="s">
        <v>596</v>
      </c>
      <c r="D1178" s="159" t="s">
        <v>2020</v>
      </c>
      <c r="I1178" s="189">
        <v>2012</v>
      </c>
      <c r="J1178" s="189" t="s">
        <v>3225</v>
      </c>
      <c r="L1178" s="189" t="s">
        <v>19</v>
      </c>
      <c r="M1178" s="556" t="s">
        <v>4315</v>
      </c>
      <c r="AF1178" s="162" t="str">
        <f t="shared" si="94"/>
        <v/>
      </c>
      <c r="AG1178" s="162" t="str">
        <f t="shared" si="98"/>
        <v/>
      </c>
      <c r="AH1178" s="164">
        <f t="shared" si="95"/>
        <v>0.4118367346938776</v>
      </c>
      <c r="AI1178" s="164">
        <f t="shared" si="96"/>
        <v>1.1617687074829932</v>
      </c>
      <c r="AJ1178" s="382"/>
      <c r="AK1178" s="382"/>
      <c r="AL1178" s="382"/>
      <c r="AM1178" s="382"/>
      <c r="AN1178" s="382"/>
      <c r="AO1178" s="382"/>
      <c r="AP1178" s="382"/>
      <c r="AQ1178" s="382"/>
      <c r="AR1178" s="382"/>
      <c r="AS1178" s="350"/>
      <c r="AT1178" s="202"/>
      <c r="AV1178" s="412"/>
      <c r="AW1178" s="344">
        <v>0.4118367346938776</v>
      </c>
      <c r="AX1178" s="344"/>
      <c r="AY1178" s="344">
        <v>0.74993197278911561</v>
      </c>
      <c r="AZ1178" s="344">
        <v>1.1779591836734695</v>
      </c>
      <c r="BA1178" s="344">
        <v>9.5918367346938774E-2</v>
      </c>
      <c r="BB1178" s="344" t="s">
        <v>3192</v>
      </c>
      <c r="BC1178" s="344"/>
      <c r="BD1178" s="345" t="s">
        <v>3192</v>
      </c>
      <c r="BE1178" s="334"/>
      <c r="BF1178" s="501">
        <f t="shared" si="97"/>
        <v>0.4118367346938776</v>
      </c>
      <c r="BG1178" s="501">
        <v>2.435374149659864</v>
      </c>
      <c r="BJ1178" s="337"/>
    </row>
    <row r="1179" spans="1:62" ht="15" customHeight="1" thickBot="1" x14ac:dyDescent="0.25">
      <c r="A1179" s="176">
        <v>1180</v>
      </c>
      <c r="B1179" s="175">
        <v>1</v>
      </c>
      <c r="C1179" s="171" t="s">
        <v>596</v>
      </c>
      <c r="D1179" s="159" t="s">
        <v>2020</v>
      </c>
      <c r="I1179" s="189">
        <v>2013</v>
      </c>
      <c r="J1179" s="189" t="s">
        <v>3226</v>
      </c>
      <c r="L1179" s="189" t="s">
        <v>19</v>
      </c>
      <c r="M1179" s="556" t="s">
        <v>4316</v>
      </c>
      <c r="AF1179" s="162" t="str">
        <f t="shared" si="94"/>
        <v/>
      </c>
      <c r="AG1179" s="162" t="str">
        <f t="shared" si="98"/>
        <v/>
      </c>
      <c r="AH1179" s="164">
        <f t="shared" si="95"/>
        <v>0.13220408163265304</v>
      </c>
      <c r="AI1179" s="164" t="str">
        <f t="shared" si="96"/>
        <v/>
      </c>
      <c r="AJ1179" s="382"/>
      <c r="AK1179" s="382"/>
      <c r="AL1179" s="382"/>
      <c r="AM1179" s="382"/>
      <c r="AN1179" s="382"/>
      <c r="AO1179" s="382"/>
      <c r="AP1179" s="382"/>
      <c r="AQ1179" s="382"/>
      <c r="AR1179" s="382"/>
      <c r="AS1179" s="350"/>
      <c r="AT1179" s="202"/>
      <c r="AV1179" s="412"/>
      <c r="AW1179" s="344">
        <v>0.13220408163265304</v>
      </c>
      <c r="AX1179" s="344"/>
      <c r="AY1179" s="344" t="s">
        <v>3192</v>
      </c>
      <c r="AZ1179" s="344" t="s">
        <v>3192</v>
      </c>
      <c r="BA1179" s="344" t="s">
        <v>3192</v>
      </c>
      <c r="BB1179" s="344" t="s">
        <v>3192</v>
      </c>
      <c r="BC1179" s="344"/>
      <c r="BD1179" s="345" t="s">
        <v>3192</v>
      </c>
      <c r="BE1179" s="334"/>
      <c r="BF1179" s="501">
        <f t="shared" si="97"/>
        <v>0.13220408163265304</v>
      </c>
      <c r="BG1179" s="501" t="s">
        <v>3192</v>
      </c>
      <c r="BJ1179" s="337"/>
    </row>
    <row r="1180" spans="1:62" ht="15" customHeight="1" thickBot="1" x14ac:dyDescent="0.25">
      <c r="A1180" s="176">
        <v>1181</v>
      </c>
      <c r="B1180" s="230">
        <v>4</v>
      </c>
      <c r="C1180" s="171" t="s">
        <v>236</v>
      </c>
      <c r="D1180" s="166" t="s">
        <v>2017</v>
      </c>
      <c r="M1180" s="556"/>
      <c r="AF1180" s="162">
        <f t="shared" si="94"/>
        <v>28.264295951765718</v>
      </c>
      <c r="AG1180" s="162" t="str">
        <f t="shared" si="98"/>
        <v/>
      </c>
      <c r="AH1180" s="164" t="str">
        <f t="shared" si="95"/>
        <v/>
      </c>
      <c r="AI1180" s="164" t="str">
        <f t="shared" si="96"/>
        <v/>
      </c>
      <c r="AJ1180" s="382"/>
      <c r="AK1180" s="382"/>
      <c r="AL1180" s="382"/>
      <c r="AM1180" s="382"/>
      <c r="AN1180" s="382"/>
      <c r="AO1180" s="382"/>
      <c r="AP1180" s="382"/>
      <c r="AQ1180" s="382"/>
      <c r="AR1180" s="382"/>
      <c r="AS1180" s="356">
        <f>DAVERAGE('literature entries'!$D:$AI,"ACTIVE     CED, FARM GATE (MJ/kg)",berry)*4.54</f>
        <v>28.264295951765718</v>
      </c>
      <c r="AT1180" s="357"/>
      <c r="AV1180" s="532" t="s">
        <v>3298</v>
      </c>
      <c r="AW1180" s="344"/>
      <c r="AX1180" s="344"/>
      <c r="AY1180" s="344"/>
      <c r="AZ1180" s="344"/>
      <c r="BA1180" s="344"/>
      <c r="BB1180" s="344"/>
      <c r="BC1180" s="344"/>
      <c r="BD1180" s="344"/>
      <c r="BE1180" s="344"/>
      <c r="BF1180" s="484"/>
      <c r="BG1180" s="484"/>
      <c r="BJ1180" s="337"/>
    </row>
    <row r="1181" spans="1:62" ht="15" customHeight="1" thickBot="1" x14ac:dyDescent="0.25">
      <c r="A1181" s="176">
        <v>1182</v>
      </c>
      <c r="B1181" s="230">
        <v>2</v>
      </c>
      <c r="C1181" s="171" t="s">
        <v>236</v>
      </c>
      <c r="D1181" s="171" t="s">
        <v>2011</v>
      </c>
      <c r="J1181" s="189" t="s">
        <v>3299</v>
      </c>
      <c r="M1181" s="556" t="s">
        <v>4281</v>
      </c>
      <c r="AF1181" s="162">
        <f t="shared" si="94"/>
        <v>2.7020649299999997</v>
      </c>
      <c r="AG1181" s="162" t="str">
        <f t="shared" si="98"/>
        <v/>
      </c>
      <c r="AH1181" s="164">
        <f t="shared" si="95"/>
        <v>0.20832000000000001</v>
      </c>
      <c r="AI1181" s="164" t="str">
        <f t="shared" si="96"/>
        <v/>
      </c>
      <c r="AJ1181" s="382"/>
      <c r="AK1181" s="382"/>
      <c r="AL1181" s="382"/>
      <c r="AM1181" s="382"/>
      <c r="AN1181" s="382"/>
      <c r="AO1181" s="382"/>
      <c r="AP1181" s="382"/>
      <c r="AQ1181" s="382"/>
      <c r="AR1181" s="382"/>
      <c r="AS1181" s="261">
        <f>2.3985+0.3028+0.00076493</f>
        <v>2.7020649299999997</v>
      </c>
      <c r="AT1181" s="261"/>
      <c r="AV1181" s="533"/>
      <c r="AW1181" s="344"/>
      <c r="AX1181" s="344"/>
      <c r="AY1181" s="344"/>
      <c r="AZ1181" s="344"/>
      <c r="BA1181" s="344"/>
      <c r="BB1181" s="344"/>
      <c r="BC1181" s="344"/>
      <c r="BD1181" s="344"/>
      <c r="BE1181" s="344"/>
      <c r="BF1181" s="484">
        <v>0.20832000000000001</v>
      </c>
      <c r="BG1181" s="484"/>
      <c r="BJ1181" s="337"/>
    </row>
    <row r="1182" spans="1:62" ht="15" customHeight="1" thickBot="1" x14ac:dyDescent="0.25">
      <c r="A1182" s="176">
        <v>1183</v>
      </c>
      <c r="B1182" s="230">
        <v>2</v>
      </c>
      <c r="C1182" s="166" t="s">
        <v>587</v>
      </c>
      <c r="D1182" s="159" t="s">
        <v>2068</v>
      </c>
      <c r="J1182" s="189" t="s">
        <v>3300</v>
      </c>
      <c r="M1182" s="556"/>
      <c r="AF1182" s="162" t="str">
        <f t="shared" si="94"/>
        <v/>
      </c>
      <c r="AG1182" s="162">
        <f t="shared" si="98"/>
        <v>69.364547771906771</v>
      </c>
      <c r="AH1182" s="164" t="str">
        <f t="shared" si="95"/>
        <v/>
      </c>
      <c r="AI1182" s="164">
        <f t="shared" si="96"/>
        <v>6.7544572691172551</v>
      </c>
      <c r="AJ1182" s="382"/>
      <c r="AK1182" s="382"/>
      <c r="AL1182" s="388">
        <v>69.364547771906771</v>
      </c>
      <c r="AM1182" s="387"/>
      <c r="AN1182" s="382"/>
      <c r="AO1182" s="382"/>
      <c r="AP1182" s="382"/>
      <c r="AQ1182" s="382"/>
      <c r="AR1182" s="382"/>
      <c r="AS1182" s="261"/>
      <c r="AT1182" s="261"/>
      <c r="AV1182" s="412"/>
      <c r="AW1182" s="344"/>
      <c r="AX1182" s="344"/>
      <c r="AY1182" s="346">
        <v>6.7544572691172551</v>
      </c>
      <c r="AZ1182" s="344"/>
      <c r="BA1182" s="344"/>
      <c r="BB1182" s="344"/>
      <c r="BC1182" s="344"/>
      <c r="BD1182" s="344"/>
      <c r="BE1182" s="344"/>
      <c r="BF1182" s="484"/>
      <c r="BG1182" s="484"/>
      <c r="BJ1182" s="337"/>
    </row>
    <row r="1183" spans="1:62" ht="15" customHeight="1" thickBot="1" x14ac:dyDescent="0.25">
      <c r="A1183" s="176">
        <v>1184</v>
      </c>
      <c r="B1183" s="230">
        <v>2</v>
      </c>
      <c r="C1183" s="166" t="s">
        <v>24</v>
      </c>
      <c r="D1183" s="159" t="s">
        <v>2073</v>
      </c>
      <c r="J1183" s="189" t="s">
        <v>3302</v>
      </c>
      <c r="M1183" s="556"/>
      <c r="AF1183" s="162" t="str">
        <f t="shared" si="94"/>
        <v/>
      </c>
      <c r="AG1183" s="162">
        <f t="shared" si="98"/>
        <v>8.5</v>
      </c>
      <c r="AH1183" s="164" t="str">
        <f t="shared" si="95"/>
        <v/>
      </c>
      <c r="AI1183" s="164">
        <f t="shared" si="96"/>
        <v>0.84</v>
      </c>
      <c r="AJ1183" s="382"/>
      <c r="AK1183" s="382"/>
      <c r="AL1183" s="382">
        <v>8.5</v>
      </c>
      <c r="AM1183" s="382"/>
      <c r="AN1183" s="382"/>
      <c r="AO1183" s="382"/>
      <c r="AP1183" s="382"/>
      <c r="AQ1183" s="382"/>
      <c r="AR1183" s="382"/>
      <c r="AS1183" s="261"/>
      <c r="AT1183" s="261"/>
      <c r="AV1183" s="412"/>
      <c r="AW1183" s="344"/>
      <c r="AX1183" s="344"/>
      <c r="AY1183" s="344">
        <v>0.84</v>
      </c>
      <c r="AZ1183" s="344"/>
      <c r="BA1183" s="344"/>
      <c r="BB1183" s="344"/>
      <c r="BC1183" s="344"/>
      <c r="BD1183" s="344"/>
      <c r="BE1183" s="344"/>
      <c r="BF1183" s="484"/>
      <c r="BG1183" s="484"/>
      <c r="BJ1183" s="337"/>
    </row>
    <row r="1184" spans="1:62" ht="15" customHeight="1" thickBot="1" x14ac:dyDescent="0.25">
      <c r="A1184" s="176">
        <v>1185</v>
      </c>
      <c r="B1184" s="230">
        <v>1</v>
      </c>
      <c r="C1184" s="166" t="s">
        <v>596</v>
      </c>
      <c r="D1184" s="159" t="s">
        <v>2339</v>
      </c>
      <c r="F1184" s="297" t="s">
        <v>3348</v>
      </c>
      <c r="I1184" s="189">
        <v>2009</v>
      </c>
      <c r="J1184" s="189" t="s">
        <v>3336</v>
      </c>
      <c r="L1184" s="181" t="s">
        <v>274</v>
      </c>
      <c r="M1184" s="556" t="s">
        <v>4317</v>
      </c>
      <c r="AF1184" s="162" t="str">
        <f t="shared" si="94"/>
        <v/>
      </c>
      <c r="AG1184" s="162">
        <f t="shared" si="98"/>
        <v>4.1807661240187933E-3</v>
      </c>
      <c r="AH1184" s="164" t="str">
        <f t="shared" si="95"/>
        <v/>
      </c>
      <c r="AI1184" s="164">
        <f t="shared" si="96"/>
        <v>2.7919572459079257E-4</v>
      </c>
      <c r="AJ1184" s="382"/>
      <c r="AK1184" s="382"/>
      <c r="AL1184" s="382">
        <v>4.1807661240187933E-3</v>
      </c>
      <c r="AM1184" s="382">
        <v>3.2888693508947848E-3</v>
      </c>
      <c r="AN1184" s="382">
        <v>0</v>
      </c>
      <c r="AO1184" s="382"/>
      <c r="AP1184" s="382">
        <v>1.2821016113657633E-2</v>
      </c>
      <c r="AQ1184" s="382">
        <v>3.1550848349261826E-5</v>
      </c>
      <c r="AR1184" s="382"/>
      <c r="AS1184" s="261"/>
      <c r="AT1184" s="261">
        <f>SUM(AJ1184:AR1184)</f>
        <v>2.0322202436920473E-2</v>
      </c>
      <c r="AV1184" s="412"/>
      <c r="AW1184" s="347"/>
      <c r="AX1184" s="347"/>
      <c r="AY1184" s="347">
        <v>2.7919572459079257E-4</v>
      </c>
      <c r="AZ1184" s="347">
        <v>1.4618831931363383E-4</v>
      </c>
      <c r="BA1184" s="347"/>
      <c r="BB1184" s="347"/>
      <c r="BC1184" s="347">
        <v>8.2081146499868188E-4</v>
      </c>
      <c r="BD1184" s="347">
        <v>8.2200972991108875E-6</v>
      </c>
      <c r="BE1184" s="347"/>
      <c r="BF1184" s="484">
        <f>AW1184</f>
        <v>0</v>
      </c>
      <c r="BG1184" s="484">
        <f>SUM(AW1184:BE1184)</f>
        <v>1.2544156062022191E-3</v>
      </c>
      <c r="BJ1184" s="337"/>
    </row>
    <row r="1185" spans="1:62" ht="15" customHeight="1" thickBot="1" x14ac:dyDescent="0.25">
      <c r="A1185" s="176">
        <v>1186</v>
      </c>
      <c r="B1185" s="230">
        <v>2</v>
      </c>
      <c r="C1185" s="166" t="s">
        <v>236</v>
      </c>
      <c r="D1185" s="171" t="s">
        <v>2444</v>
      </c>
      <c r="H1185" s="171" t="s">
        <v>1155</v>
      </c>
      <c r="J1185" s="189" t="s">
        <v>3304</v>
      </c>
      <c r="M1185" s="556" t="s">
        <v>4281</v>
      </c>
      <c r="AF1185" s="162">
        <f t="shared" si="94"/>
        <v>19.814250000000001</v>
      </c>
      <c r="AG1185" s="162" t="str">
        <f t="shared" si="98"/>
        <v/>
      </c>
      <c r="AH1185" s="164">
        <f t="shared" si="95"/>
        <v>3.5733000000000001</v>
      </c>
      <c r="AI1185" s="164" t="str">
        <f t="shared" si="96"/>
        <v/>
      </c>
      <c r="AJ1185" s="382"/>
      <c r="AK1185" s="382"/>
      <c r="AL1185" s="382"/>
      <c r="AM1185" s="382"/>
      <c r="AN1185" s="382"/>
      <c r="AO1185" s="382"/>
      <c r="AP1185" s="382"/>
      <c r="AQ1185" s="382"/>
      <c r="AR1185" s="382"/>
      <c r="AS1185" s="261">
        <f>17.751+2.0034+0.05985</f>
        <v>19.814250000000001</v>
      </c>
      <c r="AT1185" s="261"/>
      <c r="AV1185" s="412"/>
      <c r="AW1185" s="334"/>
      <c r="AX1185" s="344"/>
      <c r="AY1185" s="344"/>
      <c r="AZ1185" s="344"/>
      <c r="BA1185" s="344"/>
      <c r="BB1185" s="344"/>
      <c r="BC1185" s="344"/>
      <c r="BD1185" s="344"/>
      <c r="BE1185" s="344"/>
      <c r="BF1185" s="502">
        <v>3.5733000000000001</v>
      </c>
      <c r="BG1185" s="484"/>
      <c r="BJ1185" s="337"/>
    </row>
    <row r="1186" spans="1:62" ht="15" customHeight="1" thickBot="1" x14ac:dyDescent="0.25">
      <c r="A1186" s="176">
        <v>1187</v>
      </c>
      <c r="B1186" s="230">
        <v>2</v>
      </c>
      <c r="C1186" s="166" t="s">
        <v>236</v>
      </c>
      <c r="D1186" s="171" t="s">
        <v>2444</v>
      </c>
      <c r="H1186" s="171" t="s">
        <v>1155</v>
      </c>
      <c r="J1186" s="189" t="s">
        <v>3305</v>
      </c>
      <c r="M1186" s="556" t="s">
        <v>4281</v>
      </c>
      <c r="AF1186" s="162">
        <f t="shared" si="94"/>
        <v>18.157867</v>
      </c>
      <c r="AG1186" s="162" t="str">
        <f t="shared" si="98"/>
        <v/>
      </c>
      <c r="AH1186" s="164">
        <f t="shared" si="95"/>
        <v>2.5215999999999998</v>
      </c>
      <c r="AI1186" s="164" t="str">
        <f t="shared" si="96"/>
        <v/>
      </c>
      <c r="AJ1186" s="382"/>
      <c r="AK1186" s="382"/>
      <c r="AL1186" s="382"/>
      <c r="AM1186" s="382"/>
      <c r="AN1186" s="382"/>
      <c r="AO1186" s="382"/>
      <c r="AP1186" s="382"/>
      <c r="AQ1186" s="382"/>
      <c r="AR1186" s="382"/>
      <c r="AS1186" s="261">
        <f>16.25+1.8565+0.051367</f>
        <v>18.157867</v>
      </c>
      <c r="AT1186" s="261"/>
      <c r="AV1186" s="412"/>
      <c r="AW1186" s="334"/>
      <c r="AX1186" s="344"/>
      <c r="AY1186" s="344"/>
      <c r="AZ1186" s="344"/>
      <c r="BA1186" s="344"/>
      <c r="BB1186" s="344"/>
      <c r="BC1186" s="344"/>
      <c r="BD1186" s="344"/>
      <c r="BE1186" s="344"/>
      <c r="BF1186" s="502">
        <v>2.5215999999999998</v>
      </c>
      <c r="BG1186" s="484"/>
      <c r="BJ1186" s="337"/>
    </row>
    <row r="1187" spans="1:62" ht="15" customHeight="1" thickBot="1" x14ac:dyDescent="0.25">
      <c r="A1187" s="176">
        <v>1188</v>
      </c>
      <c r="B1187" s="230">
        <v>1</v>
      </c>
      <c r="C1187" s="166" t="s">
        <v>596</v>
      </c>
      <c r="D1187" s="171" t="s">
        <v>2338</v>
      </c>
      <c r="F1187" s="296" t="s">
        <v>3312</v>
      </c>
      <c r="I1187" s="189">
        <v>2009</v>
      </c>
      <c r="J1187" s="189" t="s">
        <v>3336</v>
      </c>
      <c r="L1187" s="181" t="s">
        <v>274</v>
      </c>
      <c r="M1187" s="556" t="s">
        <v>4317</v>
      </c>
      <c r="AF1187" s="162" t="str">
        <f t="shared" si="94"/>
        <v/>
      </c>
      <c r="AG1187" s="162">
        <f t="shared" si="98"/>
        <v>0.16778808044395427</v>
      </c>
      <c r="AH1187" s="164" t="str">
        <f t="shared" si="95"/>
        <v/>
      </c>
      <c r="AI1187" s="164">
        <f t="shared" si="96"/>
        <v>1.0926977736237927E-2</v>
      </c>
      <c r="AJ1187" s="382"/>
      <c r="AK1187" s="382"/>
      <c r="AL1187" s="382">
        <v>0.16778808044395427</v>
      </c>
      <c r="AM1187" s="382">
        <v>2.8875158029889807</v>
      </c>
      <c r="AN1187" s="382">
        <v>0.10033838697645106</v>
      </c>
      <c r="AO1187" s="382"/>
      <c r="AP1187" s="382">
        <v>0.13099733855258888</v>
      </c>
      <c r="AQ1187" s="382">
        <v>-0.52766842839949202</v>
      </c>
      <c r="AR1187" s="382"/>
      <c r="AS1187" s="261"/>
      <c r="AT1187" s="261">
        <f t="shared" ref="AT1187:AT1221" si="99">SUM(AJ1187:AR1187)</f>
        <v>2.758971180562483</v>
      </c>
      <c r="AV1187" s="412"/>
      <c r="AW1187" s="340"/>
      <c r="AX1187" s="340"/>
      <c r="AY1187" s="340">
        <v>1.0926977736237927E-2</v>
      </c>
      <c r="AZ1187" s="340">
        <v>0.11726220432813288</v>
      </c>
      <c r="BA1187" s="340">
        <v>7.2135547726891458E-3</v>
      </c>
      <c r="BB1187" s="340"/>
      <c r="BC1187" s="340">
        <v>9.3704316150214507E-3</v>
      </c>
      <c r="BD1187" s="340">
        <v>-1.0515972871282383E-2</v>
      </c>
      <c r="BE1187" s="340"/>
      <c r="BF1187" s="484">
        <f t="shared" ref="BF1187:BF1250" si="100">AW1187</f>
        <v>0</v>
      </c>
      <c r="BG1187" s="484">
        <f t="shared" ref="BG1187:BG1221" si="101">SUM(AW1187:BE1187)</f>
        <v>0.13425719558079902</v>
      </c>
      <c r="BJ1187" s="337"/>
    </row>
    <row r="1188" spans="1:62" ht="15" customHeight="1" thickBot="1" x14ac:dyDescent="0.25">
      <c r="A1188" s="176">
        <v>1189</v>
      </c>
      <c r="B1188" s="230">
        <v>1</v>
      </c>
      <c r="C1188" s="166" t="s">
        <v>596</v>
      </c>
      <c r="D1188" s="171" t="s">
        <v>2338</v>
      </c>
      <c r="F1188" s="296" t="s">
        <v>3313</v>
      </c>
      <c r="I1188" s="189">
        <v>2009</v>
      </c>
      <c r="J1188" s="189" t="s">
        <v>3336</v>
      </c>
      <c r="L1188" s="181" t="s">
        <v>274</v>
      </c>
      <c r="M1188" s="556" t="s">
        <v>4317</v>
      </c>
      <c r="AF1188" s="162" t="str">
        <f t="shared" si="94"/>
        <v/>
      </c>
      <c r="AG1188" s="162">
        <f t="shared" si="98"/>
        <v>0.16778808044395427</v>
      </c>
      <c r="AH1188" s="164" t="str">
        <f t="shared" si="95"/>
        <v/>
      </c>
      <c r="AI1188" s="164">
        <f t="shared" si="96"/>
        <v>1.0926977736237927E-2</v>
      </c>
      <c r="AJ1188" s="382"/>
      <c r="AK1188" s="382"/>
      <c r="AL1188" s="382">
        <v>0.16778808044395427</v>
      </c>
      <c r="AM1188" s="382">
        <v>2.8875158029889807</v>
      </c>
      <c r="AN1188" s="382">
        <v>0.10033838697645106</v>
      </c>
      <c r="AO1188" s="382"/>
      <c r="AP1188" s="382">
        <v>0.13099733855258888</v>
      </c>
      <c r="AQ1188" s="382">
        <v>7.8040967648350802E-4</v>
      </c>
      <c r="AR1188" s="382"/>
      <c r="AS1188" s="261"/>
      <c r="AT1188" s="261">
        <f t="shared" si="99"/>
        <v>3.2874200186384588</v>
      </c>
      <c r="AV1188" s="412"/>
      <c r="AW1188" s="340"/>
      <c r="AX1188" s="340"/>
      <c r="AY1188" s="340">
        <v>1.0926977736237927E-2</v>
      </c>
      <c r="AZ1188" s="340">
        <v>0.11726220432813288</v>
      </c>
      <c r="BA1188" s="340">
        <v>7.2135547726891458E-3</v>
      </c>
      <c r="BB1188" s="340"/>
      <c r="BC1188" s="340">
        <v>9.3704316150214507E-3</v>
      </c>
      <c r="BD1188" s="340">
        <v>3.2964267740312032E-3</v>
      </c>
      <c r="BE1188" s="340"/>
      <c r="BF1188" s="484">
        <f t="shared" si="100"/>
        <v>0</v>
      </c>
      <c r="BG1188" s="484">
        <f t="shared" si="101"/>
        <v>0.1480695952261126</v>
      </c>
      <c r="BJ1188" s="337"/>
    </row>
    <row r="1189" spans="1:62" ht="15" customHeight="1" thickBot="1" x14ac:dyDescent="0.25">
      <c r="A1189" s="176">
        <v>1190</v>
      </c>
      <c r="B1189" s="230">
        <v>1</v>
      </c>
      <c r="C1189" s="166" t="s">
        <v>596</v>
      </c>
      <c r="D1189" s="171" t="s">
        <v>2338</v>
      </c>
      <c r="F1189" s="296" t="s">
        <v>3314</v>
      </c>
      <c r="I1189" s="189">
        <v>2009</v>
      </c>
      <c r="J1189" s="189" t="s">
        <v>3336</v>
      </c>
      <c r="L1189" s="181" t="s">
        <v>274</v>
      </c>
      <c r="M1189" s="556" t="s">
        <v>4317</v>
      </c>
      <c r="AF1189" s="162" t="str">
        <f t="shared" si="94"/>
        <v/>
      </c>
      <c r="AG1189" s="162">
        <f t="shared" si="98"/>
        <v>0.16778808044395427</v>
      </c>
      <c r="AH1189" s="164" t="str">
        <f t="shared" si="95"/>
        <v/>
      </c>
      <c r="AI1189" s="164">
        <f t="shared" si="96"/>
        <v>1.0926977736237927E-2</v>
      </c>
      <c r="AJ1189" s="382"/>
      <c r="AK1189" s="382"/>
      <c r="AL1189" s="382">
        <v>0.16778808044395427</v>
      </c>
      <c r="AM1189" s="382">
        <v>2.8875158029889807</v>
      </c>
      <c r="AN1189" s="382">
        <v>0.10033838697645106</v>
      </c>
      <c r="AO1189" s="382"/>
      <c r="AP1189" s="382">
        <v>0.13099733855258888</v>
      </c>
      <c r="AQ1189" s="382">
        <v>-1.040230355204196</v>
      </c>
      <c r="AR1189" s="382"/>
      <c r="AS1189" s="261"/>
      <c r="AT1189" s="261">
        <f t="shared" si="99"/>
        <v>2.2464092537577791</v>
      </c>
      <c r="AV1189" s="412"/>
      <c r="AW1189" s="340"/>
      <c r="AX1189" s="340"/>
      <c r="AY1189" s="340">
        <v>1.0926977736237927E-2</v>
      </c>
      <c r="AZ1189" s="340">
        <v>0.11726220432813288</v>
      </c>
      <c r="BA1189" s="340">
        <v>7.2135547726891458E-3</v>
      </c>
      <c r="BB1189" s="340"/>
      <c r="BC1189" s="340">
        <v>9.3704316150214507E-3</v>
      </c>
      <c r="BD1189" s="340">
        <v>-2.7098760994080571E-2</v>
      </c>
      <c r="BE1189" s="340"/>
      <c r="BF1189" s="484">
        <f t="shared" si="100"/>
        <v>0</v>
      </c>
      <c r="BG1189" s="484">
        <f t="shared" si="101"/>
        <v>0.11767440745800084</v>
      </c>
      <c r="BJ1189" s="337"/>
    </row>
    <row r="1190" spans="1:62" ht="15" customHeight="1" thickBot="1" x14ac:dyDescent="0.25">
      <c r="A1190" s="176">
        <v>1191</v>
      </c>
      <c r="B1190" s="230">
        <v>1</v>
      </c>
      <c r="C1190" s="166" t="s">
        <v>596</v>
      </c>
      <c r="D1190" s="171" t="s">
        <v>2338</v>
      </c>
      <c r="F1190" s="296" t="s">
        <v>3315</v>
      </c>
      <c r="I1190" s="189">
        <v>2009</v>
      </c>
      <c r="J1190" s="189" t="s">
        <v>3336</v>
      </c>
      <c r="L1190" s="181" t="s">
        <v>274</v>
      </c>
      <c r="M1190" s="556" t="s">
        <v>4317</v>
      </c>
      <c r="AF1190" s="162" t="str">
        <f t="shared" si="94"/>
        <v/>
      </c>
      <c r="AG1190" s="162">
        <f t="shared" si="98"/>
        <v>0.16778808044395427</v>
      </c>
      <c r="AH1190" s="164" t="str">
        <f t="shared" si="95"/>
        <v/>
      </c>
      <c r="AI1190" s="164">
        <f t="shared" si="96"/>
        <v>1.0926977736237927E-2</v>
      </c>
      <c r="AJ1190" s="382"/>
      <c r="AK1190" s="382"/>
      <c r="AL1190" s="382">
        <v>0.16778808044395427</v>
      </c>
      <c r="AM1190" s="382">
        <v>3.7125203181286892</v>
      </c>
      <c r="AN1190" s="382">
        <v>0.10033838697645106</v>
      </c>
      <c r="AO1190" s="382"/>
      <c r="AP1190" s="382">
        <v>6.6892257984300693E-2</v>
      </c>
      <c r="AQ1190" s="382">
        <v>-0.73187098178365007</v>
      </c>
      <c r="AR1190" s="382"/>
      <c r="AS1190" s="261"/>
      <c r="AT1190" s="261">
        <f t="shared" si="99"/>
        <v>3.3156680617497449</v>
      </c>
      <c r="AV1190" s="412"/>
      <c r="AW1190" s="340"/>
      <c r="AX1190" s="340"/>
      <c r="AY1190" s="340">
        <v>1.0926977736237927E-2</v>
      </c>
      <c r="AZ1190" s="340">
        <v>0.15299446401610467</v>
      </c>
      <c r="BA1190" s="340">
        <v>7.2734680183094884E-3</v>
      </c>
      <c r="BB1190" s="340"/>
      <c r="BC1190" s="340">
        <v>4.7211637548829292E-3</v>
      </c>
      <c r="BD1190" s="340">
        <v>-1.4579289189253962E-2</v>
      </c>
      <c r="BE1190" s="340"/>
      <c r="BF1190" s="484">
        <f t="shared" si="100"/>
        <v>0</v>
      </c>
      <c r="BG1190" s="484">
        <f t="shared" si="101"/>
        <v>0.16133678433628107</v>
      </c>
      <c r="BJ1190" s="337"/>
    </row>
    <row r="1191" spans="1:62" ht="15" customHeight="1" thickBot="1" x14ac:dyDescent="0.25">
      <c r="A1191" s="176">
        <v>1192</v>
      </c>
      <c r="B1191" s="230">
        <v>1</v>
      </c>
      <c r="C1191" s="166" t="s">
        <v>596</v>
      </c>
      <c r="D1191" s="171" t="s">
        <v>2338</v>
      </c>
      <c r="F1191" s="296" t="s">
        <v>3316</v>
      </c>
      <c r="I1191" s="189">
        <v>2009</v>
      </c>
      <c r="J1191" s="189" t="s">
        <v>3336</v>
      </c>
      <c r="L1191" s="181" t="s">
        <v>274</v>
      </c>
      <c r="M1191" s="556" t="s">
        <v>4317</v>
      </c>
      <c r="AF1191" s="162" t="str">
        <f t="shared" si="94"/>
        <v/>
      </c>
      <c r="AG1191" s="162">
        <f t="shared" si="98"/>
        <v>0.16778808044395427</v>
      </c>
      <c r="AH1191" s="164" t="str">
        <f t="shared" si="95"/>
        <v/>
      </c>
      <c r="AI1191" s="164">
        <f t="shared" si="96"/>
        <v>1.0926977736237927E-2</v>
      </c>
      <c r="AJ1191" s="382"/>
      <c r="AK1191" s="382"/>
      <c r="AL1191" s="382">
        <v>0.16778808044395427</v>
      </c>
      <c r="AM1191" s="382">
        <v>5.6523957996734087</v>
      </c>
      <c r="AN1191" s="382">
        <v>0.10312556439246358</v>
      </c>
      <c r="AO1191" s="382"/>
      <c r="AP1191" s="382">
        <v>0.27593056418524042</v>
      </c>
      <c r="AQ1191" s="382">
        <v>-1.0393663302052321</v>
      </c>
      <c r="AR1191" s="382"/>
      <c r="AS1191" s="261"/>
      <c r="AT1191" s="261">
        <f t="shared" si="99"/>
        <v>5.1598736784898351</v>
      </c>
      <c r="AV1191" s="412"/>
      <c r="AW1191" s="340"/>
      <c r="AX1191" s="340"/>
      <c r="AY1191" s="340">
        <v>1.0926977736237927E-2</v>
      </c>
      <c r="AZ1191" s="340">
        <v>0.23006686318211231</v>
      </c>
      <c r="BA1191" s="340">
        <v>7.4532077551705128E-3</v>
      </c>
      <c r="BB1191" s="340"/>
      <c r="BC1191" s="340">
        <v>1.9771371054712779E-2</v>
      </c>
      <c r="BD1191" s="340">
        <v>-2.0789896230258582E-2</v>
      </c>
      <c r="BE1191" s="340"/>
      <c r="BF1191" s="484">
        <f t="shared" si="100"/>
        <v>0</v>
      </c>
      <c r="BG1191" s="484">
        <f t="shared" si="101"/>
        <v>0.24742852349797492</v>
      </c>
      <c r="BJ1191" s="337"/>
    </row>
    <row r="1192" spans="1:62" ht="15" customHeight="1" thickBot="1" x14ac:dyDescent="0.25">
      <c r="A1192" s="176">
        <v>1193</v>
      </c>
      <c r="B1192" s="230">
        <v>1</v>
      </c>
      <c r="C1192" s="166" t="s">
        <v>596</v>
      </c>
      <c r="D1192" s="171" t="s">
        <v>2338</v>
      </c>
      <c r="F1192" s="296" t="s">
        <v>3317</v>
      </c>
      <c r="I1192" s="189">
        <v>2009</v>
      </c>
      <c r="J1192" s="189" t="s">
        <v>3336</v>
      </c>
      <c r="L1192" s="181" t="s">
        <v>274</v>
      </c>
      <c r="M1192" s="556" t="s">
        <v>4317</v>
      </c>
      <c r="AF1192" s="162" t="str">
        <f t="shared" si="94"/>
        <v/>
      </c>
      <c r="AG1192" s="162">
        <f t="shared" si="98"/>
        <v>0.16778808044395427</v>
      </c>
      <c r="AH1192" s="164" t="str">
        <f t="shared" si="95"/>
        <v/>
      </c>
      <c r="AI1192" s="164">
        <f t="shared" si="96"/>
        <v>1.0926977736237927E-2</v>
      </c>
      <c r="AJ1192" s="382"/>
      <c r="AK1192" s="382"/>
      <c r="AL1192" s="382">
        <v>0.16778808044395427</v>
      </c>
      <c r="AM1192" s="382">
        <v>2.2631880618021736</v>
      </c>
      <c r="AN1192" s="382">
        <v>0.10033838697645106</v>
      </c>
      <c r="AO1192" s="382"/>
      <c r="AP1192" s="382">
        <v>0.13099733855258888</v>
      </c>
      <c r="AQ1192" s="382">
        <v>-0.39941645960167549</v>
      </c>
      <c r="AR1192" s="382"/>
      <c r="AS1192" s="261"/>
      <c r="AT1192" s="261">
        <f t="shared" si="99"/>
        <v>2.2628954081734927</v>
      </c>
      <c r="AV1192" s="412"/>
      <c r="AW1192" s="340"/>
      <c r="AX1192" s="340"/>
      <c r="AY1192" s="340">
        <v>1.0926977736237927E-2</v>
      </c>
      <c r="AZ1192" s="340">
        <v>9.1379682220145239E-2</v>
      </c>
      <c r="BA1192" s="340">
        <v>7.1536415270688049E-3</v>
      </c>
      <c r="BB1192" s="340"/>
      <c r="BC1192" s="340">
        <v>9.3704316150214507E-3</v>
      </c>
      <c r="BD1192" s="340">
        <v>-7.968461667505455E-3</v>
      </c>
      <c r="BE1192" s="340"/>
      <c r="BF1192" s="484">
        <f t="shared" si="100"/>
        <v>0</v>
      </c>
      <c r="BG1192" s="484">
        <f t="shared" si="101"/>
        <v>0.11086227143096797</v>
      </c>
      <c r="BJ1192" s="337"/>
    </row>
    <row r="1193" spans="1:62" ht="15" customHeight="1" thickBot="1" x14ac:dyDescent="0.25">
      <c r="A1193" s="176">
        <v>1194</v>
      </c>
      <c r="B1193" s="230">
        <v>1</v>
      </c>
      <c r="C1193" s="166" t="s">
        <v>596</v>
      </c>
      <c r="D1193" s="171" t="s">
        <v>2338</v>
      </c>
      <c r="F1193" s="296" t="s">
        <v>3318</v>
      </c>
      <c r="I1193" s="189">
        <v>2009</v>
      </c>
      <c r="J1193" s="189" t="s">
        <v>3336</v>
      </c>
      <c r="L1193" s="181" t="s">
        <v>274</v>
      </c>
      <c r="M1193" s="556" t="s">
        <v>4317</v>
      </c>
      <c r="AF1193" s="162" t="str">
        <f t="shared" si="94"/>
        <v/>
      </c>
      <c r="AG1193" s="162">
        <f t="shared" si="98"/>
        <v>0.16778808044395427</v>
      </c>
      <c r="AH1193" s="164" t="str">
        <f t="shared" si="95"/>
        <v/>
      </c>
      <c r="AI1193" s="164">
        <f t="shared" si="96"/>
        <v>1.0926977736237927E-2</v>
      </c>
      <c r="AJ1193" s="382"/>
      <c r="AK1193" s="382"/>
      <c r="AL1193" s="382">
        <v>0.16778808044395427</v>
      </c>
      <c r="AM1193" s="382">
        <v>2.243677819890086</v>
      </c>
      <c r="AN1193" s="382">
        <v>0.10033838697645106</v>
      </c>
      <c r="AO1193" s="382"/>
      <c r="AP1193" s="382">
        <v>0.13099733855258888</v>
      </c>
      <c r="AQ1193" s="382">
        <v>-0.39941645960167549</v>
      </c>
      <c r="AR1193" s="382"/>
      <c r="AS1193" s="261"/>
      <c r="AT1193" s="261">
        <f t="shared" si="99"/>
        <v>2.2433851662614051</v>
      </c>
      <c r="AV1193" s="412"/>
      <c r="AW1193" s="340"/>
      <c r="AX1193" s="340"/>
      <c r="AY1193" s="340">
        <v>1.0926977736237927E-2</v>
      </c>
      <c r="AZ1193" s="340">
        <v>9.0061590816497714E-2</v>
      </c>
      <c r="BA1193" s="340">
        <v>7.1536415270688049E-3</v>
      </c>
      <c r="BB1193" s="340"/>
      <c r="BC1193" s="340">
        <v>9.3704316150214507E-3</v>
      </c>
      <c r="BD1193" s="340">
        <v>-7.968461667505455E-3</v>
      </c>
      <c r="BE1193" s="340"/>
      <c r="BF1193" s="484">
        <f t="shared" si="100"/>
        <v>0</v>
      </c>
      <c r="BG1193" s="484">
        <f t="shared" si="101"/>
        <v>0.10954418002732044</v>
      </c>
      <c r="BJ1193" s="337"/>
    </row>
    <row r="1194" spans="1:62" ht="15" customHeight="1" thickBot="1" x14ac:dyDescent="0.25">
      <c r="A1194" s="176">
        <v>1195</v>
      </c>
      <c r="B1194" s="230">
        <v>1</v>
      </c>
      <c r="C1194" s="166" t="s">
        <v>596</v>
      </c>
      <c r="D1194" s="171" t="s">
        <v>2338</v>
      </c>
      <c r="F1194" s="296" t="s">
        <v>3319</v>
      </c>
      <c r="I1194" s="189">
        <v>2009</v>
      </c>
      <c r="J1194" s="189" t="s">
        <v>3336</v>
      </c>
      <c r="L1194" s="181" t="s">
        <v>274</v>
      </c>
      <c r="M1194" s="556" t="s">
        <v>4317</v>
      </c>
      <c r="AF1194" s="162" t="str">
        <f t="shared" si="94"/>
        <v/>
      </c>
      <c r="AG1194" s="162">
        <f t="shared" si="98"/>
        <v>0.16778808044395427</v>
      </c>
      <c r="AH1194" s="164" t="str">
        <f t="shared" si="95"/>
        <v/>
      </c>
      <c r="AI1194" s="164">
        <f t="shared" si="96"/>
        <v>1.0926977736237927E-2</v>
      </c>
      <c r="AJ1194" s="382"/>
      <c r="AK1194" s="382"/>
      <c r="AL1194" s="382">
        <v>0.16778808044395427</v>
      </c>
      <c r="AM1194" s="382">
        <v>2.6784774967880405</v>
      </c>
      <c r="AN1194" s="382">
        <v>0.10033838697645106</v>
      </c>
      <c r="AO1194" s="382"/>
      <c r="AP1194" s="382">
        <v>0.13099733855258888</v>
      </c>
      <c r="AQ1194" s="382">
        <v>-0.4552018155831663</v>
      </c>
      <c r="AR1194" s="382"/>
      <c r="AS1194" s="261"/>
      <c r="AT1194" s="261">
        <f t="shared" si="99"/>
        <v>2.6223994871778684</v>
      </c>
      <c r="AV1194" s="412"/>
      <c r="AW1194" s="340"/>
      <c r="AX1194" s="340"/>
      <c r="AY1194" s="340">
        <v>1.0926977736237927E-2</v>
      </c>
      <c r="AZ1194" s="340">
        <v>0.11031226783617321</v>
      </c>
      <c r="BA1194" s="340">
        <v>7.2135547726891458E-3</v>
      </c>
      <c r="BB1194" s="340"/>
      <c r="BC1194" s="340">
        <v>9.3704316150214507E-3</v>
      </c>
      <c r="BD1194" s="340">
        <v>-8.4309919236944912E-3</v>
      </c>
      <c r="BE1194" s="340"/>
      <c r="BF1194" s="484">
        <f t="shared" si="100"/>
        <v>0</v>
      </c>
      <c r="BG1194" s="484">
        <f t="shared" si="101"/>
        <v>0.12939224003642724</v>
      </c>
      <c r="BJ1194" s="337"/>
    </row>
    <row r="1195" spans="1:62" ht="15" customHeight="1" thickBot="1" x14ac:dyDescent="0.25">
      <c r="A1195" s="176">
        <v>1196</v>
      </c>
      <c r="B1195" s="230">
        <v>1</v>
      </c>
      <c r="C1195" s="166" t="s">
        <v>596</v>
      </c>
      <c r="D1195" s="171" t="s">
        <v>2338</v>
      </c>
      <c r="F1195" s="296" t="s">
        <v>3320</v>
      </c>
      <c r="I1195" s="189">
        <v>2009</v>
      </c>
      <c r="J1195" s="189" t="s">
        <v>3336</v>
      </c>
      <c r="L1195" s="181" t="s">
        <v>274</v>
      </c>
      <c r="M1195" s="556" t="s">
        <v>4317</v>
      </c>
      <c r="AF1195" s="162" t="str">
        <f t="shared" si="94"/>
        <v/>
      </c>
      <c r="AG1195" s="162">
        <f t="shared" si="98"/>
        <v>0.16778808044395427</v>
      </c>
      <c r="AH1195" s="164" t="str">
        <f t="shared" si="95"/>
        <v/>
      </c>
      <c r="AI1195" s="164">
        <f t="shared" si="96"/>
        <v>1.0926977736237927E-2</v>
      </c>
      <c r="AJ1195" s="382"/>
      <c r="AK1195" s="382"/>
      <c r="AL1195" s="382">
        <v>0.16778808044395427</v>
      </c>
      <c r="AM1195" s="382">
        <v>2.4694391905871003</v>
      </c>
      <c r="AN1195" s="382">
        <v>0.10033838697645106</v>
      </c>
      <c r="AO1195" s="382"/>
      <c r="AP1195" s="382">
        <v>0.13099733855258888</v>
      </c>
      <c r="AQ1195" s="382">
        <v>7.8040967648350802E-4</v>
      </c>
      <c r="AR1195" s="382"/>
      <c r="AS1195" s="261"/>
      <c r="AT1195" s="261">
        <f t="shared" si="99"/>
        <v>2.8693434062365784</v>
      </c>
      <c r="AV1195" s="412"/>
      <c r="AW1195" s="340"/>
      <c r="AX1195" s="340"/>
      <c r="AY1195" s="340">
        <v>1.0926977736237927E-2</v>
      </c>
      <c r="AZ1195" s="340">
        <v>0.10324250485297289</v>
      </c>
      <c r="BA1195" s="340">
        <v>7.2135547726891458E-3</v>
      </c>
      <c r="BB1195" s="340"/>
      <c r="BC1195" s="340">
        <v>9.3704316150214507E-3</v>
      </c>
      <c r="BD1195" s="340">
        <v>3.2964267740312032E-3</v>
      </c>
      <c r="BE1195" s="340"/>
      <c r="BF1195" s="484">
        <f t="shared" si="100"/>
        <v>0</v>
      </c>
      <c r="BG1195" s="484">
        <f t="shared" si="101"/>
        <v>0.13404989575095261</v>
      </c>
      <c r="BJ1195" s="337"/>
    </row>
    <row r="1196" spans="1:62" ht="15" customHeight="1" thickBot="1" x14ac:dyDescent="0.25">
      <c r="A1196" s="176">
        <v>1197</v>
      </c>
      <c r="B1196" s="230">
        <v>1</v>
      </c>
      <c r="C1196" s="166" t="s">
        <v>596</v>
      </c>
      <c r="D1196" s="171" t="s">
        <v>2338</v>
      </c>
      <c r="F1196" s="296" t="s">
        <v>3321</v>
      </c>
      <c r="I1196" s="189">
        <v>2009</v>
      </c>
      <c r="J1196" s="189" t="s">
        <v>3336</v>
      </c>
      <c r="L1196" s="181" t="s">
        <v>274</v>
      </c>
      <c r="M1196" s="556" t="s">
        <v>4317</v>
      </c>
      <c r="AF1196" s="162" t="str">
        <f t="shared" si="94"/>
        <v/>
      </c>
      <c r="AG1196" s="162">
        <f t="shared" si="98"/>
        <v>0.16778808044395427</v>
      </c>
      <c r="AH1196" s="164" t="str">
        <f t="shared" si="95"/>
        <v/>
      </c>
      <c r="AI1196" s="164">
        <f t="shared" si="96"/>
        <v>1.0926977736237927E-2</v>
      </c>
      <c r="AJ1196" s="382"/>
      <c r="AK1196" s="382"/>
      <c r="AL1196" s="382">
        <v>0.16778808044395427</v>
      </c>
      <c r="AM1196" s="382">
        <v>2.8875158029889807</v>
      </c>
      <c r="AN1196" s="382">
        <v>0.10033838697645106</v>
      </c>
      <c r="AO1196" s="382"/>
      <c r="AP1196" s="382">
        <v>0.13099733855258888</v>
      </c>
      <c r="AQ1196" s="382">
        <v>-1.040230355204196</v>
      </c>
      <c r="AR1196" s="382"/>
      <c r="AS1196" s="261"/>
      <c r="AT1196" s="261">
        <f t="shared" si="99"/>
        <v>2.2464092537577791</v>
      </c>
      <c r="AV1196" s="412"/>
      <c r="AW1196" s="340"/>
      <c r="AX1196" s="340"/>
      <c r="AY1196" s="340">
        <v>1.0926977736237927E-2</v>
      </c>
      <c r="AZ1196" s="340">
        <v>0.11726220432813288</v>
      </c>
      <c r="BA1196" s="340">
        <v>7.2135547726891458E-3</v>
      </c>
      <c r="BB1196" s="340"/>
      <c r="BC1196" s="340">
        <v>9.3704316150214507E-3</v>
      </c>
      <c r="BD1196" s="340">
        <v>-2.7098760994080571E-2</v>
      </c>
      <c r="BE1196" s="340"/>
      <c r="BF1196" s="484">
        <f t="shared" si="100"/>
        <v>0</v>
      </c>
      <c r="BG1196" s="484">
        <f t="shared" si="101"/>
        <v>0.11767440745800084</v>
      </c>
      <c r="BJ1196" s="337"/>
    </row>
    <row r="1197" spans="1:62" ht="15" customHeight="1" thickBot="1" x14ac:dyDescent="0.25">
      <c r="A1197" s="176">
        <v>1198</v>
      </c>
      <c r="B1197" s="230">
        <v>1</v>
      </c>
      <c r="C1197" s="166" t="s">
        <v>596</v>
      </c>
      <c r="D1197" s="171" t="s">
        <v>2338</v>
      </c>
      <c r="F1197" s="296" t="s">
        <v>3322</v>
      </c>
      <c r="I1197" s="189">
        <v>2009</v>
      </c>
      <c r="J1197" s="189" t="s">
        <v>3336</v>
      </c>
      <c r="L1197" s="181" t="s">
        <v>274</v>
      </c>
      <c r="M1197" s="556" t="s">
        <v>4317</v>
      </c>
      <c r="AF1197" s="162" t="str">
        <f t="shared" ref="AF1197:AF1260" si="102">IF(AS1197&lt;&gt;0,AS1197,"")</f>
        <v/>
      </c>
      <c r="AG1197" s="162">
        <f t="shared" si="98"/>
        <v>0.16778808044395427</v>
      </c>
      <c r="AH1197" s="164" t="str">
        <f t="shared" si="95"/>
        <v/>
      </c>
      <c r="AI1197" s="164">
        <f t="shared" si="96"/>
        <v>1.0926977736237927E-2</v>
      </c>
      <c r="AJ1197" s="382"/>
      <c r="AK1197" s="382"/>
      <c r="AL1197" s="382">
        <v>0.16778808044395427</v>
      </c>
      <c r="AM1197" s="382">
        <v>2.1795727393217978</v>
      </c>
      <c r="AN1197" s="382">
        <v>0.10033838697645106</v>
      </c>
      <c r="AO1197" s="382"/>
      <c r="AP1197" s="382">
        <v>0.13099733855258888</v>
      </c>
      <c r="AQ1197" s="382">
        <v>-3.2944437057268093E-2</v>
      </c>
      <c r="AR1197" s="382"/>
      <c r="AS1197" s="261"/>
      <c r="AT1197" s="261">
        <f t="shared" si="99"/>
        <v>2.5457521082375241</v>
      </c>
      <c r="AV1197" s="412"/>
      <c r="AW1197" s="340"/>
      <c r="AX1197" s="340"/>
      <c r="AY1197" s="340">
        <v>1.0926977736237927E-2</v>
      </c>
      <c r="AZ1197" s="340">
        <v>0.12253456994272294</v>
      </c>
      <c r="BA1197" s="340">
        <v>7.2135547726891458E-3</v>
      </c>
      <c r="BB1197" s="340"/>
      <c r="BC1197" s="340">
        <v>9.3704316150214507E-3</v>
      </c>
      <c r="BD1197" s="340">
        <v>-4.641598964699116E-2</v>
      </c>
      <c r="BE1197" s="340"/>
      <c r="BF1197" s="484">
        <f t="shared" si="100"/>
        <v>0</v>
      </c>
      <c r="BG1197" s="484">
        <f t="shared" si="101"/>
        <v>0.10362954441968032</v>
      </c>
      <c r="BJ1197" s="337"/>
    </row>
    <row r="1198" spans="1:62" ht="15" customHeight="1" thickBot="1" x14ac:dyDescent="0.25">
      <c r="A1198" s="176">
        <v>1199</v>
      </c>
      <c r="B1198" s="230">
        <v>1</v>
      </c>
      <c r="C1198" s="166" t="s">
        <v>596</v>
      </c>
      <c r="D1198" s="171" t="s">
        <v>2338</v>
      </c>
      <c r="F1198" s="296" t="s">
        <v>3323</v>
      </c>
      <c r="I1198" s="189">
        <v>2009</v>
      </c>
      <c r="J1198" s="189" t="s">
        <v>3336</v>
      </c>
      <c r="L1198" s="181" t="s">
        <v>274</v>
      </c>
      <c r="M1198" s="556" t="s">
        <v>4317</v>
      </c>
      <c r="AF1198" s="162" t="str">
        <f t="shared" si="102"/>
        <v/>
      </c>
      <c r="AG1198" s="162">
        <f t="shared" si="98"/>
        <v>0.16778808044395427</v>
      </c>
      <c r="AH1198" s="164" t="str">
        <f t="shared" si="95"/>
        <v/>
      </c>
      <c r="AI1198" s="164">
        <f t="shared" si="96"/>
        <v>1.0926977736237927E-2</v>
      </c>
      <c r="AJ1198" s="382"/>
      <c r="AK1198" s="382"/>
      <c r="AL1198" s="382">
        <v>0.16778808044395427</v>
      </c>
      <c r="AM1198" s="382">
        <v>2.1795727393217978</v>
      </c>
      <c r="AN1198" s="382">
        <v>0.10033838697645106</v>
      </c>
      <c r="AO1198" s="382"/>
      <c r="AP1198" s="382">
        <v>0.13099733855258888</v>
      </c>
      <c r="AQ1198" s="382">
        <v>-0.15697383206982565</v>
      </c>
      <c r="AR1198" s="382"/>
      <c r="AS1198" s="261"/>
      <c r="AT1198" s="261">
        <f t="shared" si="99"/>
        <v>2.4217227132249666</v>
      </c>
      <c r="AV1198" s="412"/>
      <c r="AW1198" s="340"/>
      <c r="AX1198" s="340"/>
      <c r="AY1198" s="340">
        <v>1.0926977736237927E-2</v>
      </c>
      <c r="AZ1198" s="340">
        <v>0.12253456994272294</v>
      </c>
      <c r="BA1198" s="340">
        <v>7.2135547726891458E-3</v>
      </c>
      <c r="BB1198" s="340"/>
      <c r="BC1198" s="340">
        <v>9.3704316150214507E-3</v>
      </c>
      <c r="BD1198" s="340">
        <v>6.6939871066695425E-2</v>
      </c>
      <c r="BE1198" s="340"/>
      <c r="BF1198" s="484">
        <f t="shared" si="100"/>
        <v>0</v>
      </c>
      <c r="BG1198" s="484">
        <f t="shared" si="101"/>
        <v>0.21698540513336689</v>
      </c>
      <c r="BJ1198" s="337"/>
    </row>
    <row r="1199" spans="1:62" ht="15" customHeight="1" thickBot="1" x14ac:dyDescent="0.25">
      <c r="A1199" s="176">
        <v>1200</v>
      </c>
      <c r="B1199" s="230">
        <v>1</v>
      </c>
      <c r="C1199" s="166" t="s">
        <v>596</v>
      </c>
      <c r="D1199" s="171" t="s">
        <v>2338</v>
      </c>
      <c r="F1199" s="296" t="s">
        <v>3324</v>
      </c>
      <c r="I1199" s="189">
        <v>2009</v>
      </c>
      <c r="J1199" s="189" t="s">
        <v>3336</v>
      </c>
      <c r="L1199" s="181" t="s">
        <v>274</v>
      </c>
      <c r="M1199" s="556" t="s">
        <v>4317</v>
      </c>
      <c r="AF1199" s="162" t="str">
        <f t="shared" si="102"/>
        <v/>
      </c>
      <c r="AG1199" s="162">
        <f t="shared" si="98"/>
        <v>0.16778808044395427</v>
      </c>
      <c r="AH1199" s="164" t="str">
        <f t="shared" si="95"/>
        <v/>
      </c>
      <c r="AI1199" s="164">
        <f t="shared" si="96"/>
        <v>1.0926977736237927E-2</v>
      </c>
      <c r="AJ1199" s="382"/>
      <c r="AK1199" s="382"/>
      <c r="AL1199" s="382">
        <v>0.16778808044395427</v>
      </c>
      <c r="AM1199" s="382">
        <v>2.1795727393217978</v>
      </c>
      <c r="AN1199" s="382">
        <v>0.10033838697645106</v>
      </c>
      <c r="AO1199" s="382"/>
      <c r="AP1199" s="382">
        <v>0.13099733855258888</v>
      </c>
      <c r="AQ1199" s="382">
        <v>-3.7961356406090642E-2</v>
      </c>
      <c r="AR1199" s="382"/>
      <c r="AS1199" s="261"/>
      <c r="AT1199" s="261">
        <f t="shared" si="99"/>
        <v>2.5407351888887018</v>
      </c>
      <c r="AV1199" s="412"/>
      <c r="AW1199" s="340"/>
      <c r="AX1199" s="340"/>
      <c r="AY1199" s="340">
        <v>1.0926977736237927E-2</v>
      </c>
      <c r="AZ1199" s="340">
        <v>0.12253456994272294</v>
      </c>
      <c r="BA1199" s="340">
        <v>7.2135547726891458E-3</v>
      </c>
      <c r="BB1199" s="340"/>
      <c r="BC1199" s="340">
        <v>9.3704316150214507E-3</v>
      </c>
      <c r="BD1199" s="340">
        <v>-8.6472184198043444E-20</v>
      </c>
      <c r="BE1199" s="340"/>
      <c r="BF1199" s="484">
        <f t="shared" si="100"/>
        <v>0</v>
      </c>
      <c r="BG1199" s="484">
        <f t="shared" si="101"/>
        <v>0.15004553406667148</v>
      </c>
      <c r="BJ1199" s="337"/>
    </row>
    <row r="1200" spans="1:62" ht="15" customHeight="1" thickBot="1" x14ac:dyDescent="0.25">
      <c r="A1200" s="176">
        <v>1201</v>
      </c>
      <c r="B1200" s="230">
        <v>1</v>
      </c>
      <c r="C1200" s="166" t="s">
        <v>596</v>
      </c>
      <c r="D1200" s="171" t="s">
        <v>2338</v>
      </c>
      <c r="F1200" s="296" t="s">
        <v>3325</v>
      </c>
      <c r="I1200" s="189">
        <v>2009</v>
      </c>
      <c r="J1200" s="189" t="s">
        <v>3336</v>
      </c>
      <c r="L1200" s="181" t="s">
        <v>274</v>
      </c>
      <c r="M1200" s="556" t="s">
        <v>4317</v>
      </c>
      <c r="AF1200" s="162" t="str">
        <f t="shared" si="102"/>
        <v/>
      </c>
      <c r="AG1200" s="162">
        <f t="shared" si="98"/>
        <v>8.4172757963578398E-2</v>
      </c>
      <c r="AH1200" s="164" t="str">
        <f t="shared" si="95"/>
        <v/>
      </c>
      <c r="AI1200" s="164">
        <f t="shared" si="96"/>
        <v>5.438924437414624E-3</v>
      </c>
      <c r="AJ1200" s="382"/>
      <c r="AK1200" s="382"/>
      <c r="AL1200" s="382">
        <v>8.4172757963578398E-2</v>
      </c>
      <c r="AM1200" s="382">
        <v>2.8875158029889807</v>
      </c>
      <c r="AN1200" s="382">
        <v>0.26199467710517776</v>
      </c>
      <c r="AO1200" s="382"/>
      <c r="AP1200" s="382">
        <v>0.13099733855258888</v>
      </c>
      <c r="AQ1200" s="382">
        <v>-0.52819799210853446</v>
      </c>
      <c r="AR1200" s="382"/>
      <c r="AS1200" s="261"/>
      <c r="AT1200" s="261">
        <f t="shared" si="99"/>
        <v>2.8364825845017911</v>
      </c>
      <c r="AV1200" s="412"/>
      <c r="AW1200" s="340"/>
      <c r="AX1200" s="340"/>
      <c r="AY1200" s="340">
        <v>5.438924437414624E-3</v>
      </c>
      <c r="AZ1200" s="340">
        <v>0.11726220432813288</v>
      </c>
      <c r="BA1200" s="340">
        <v>1.8692932633546624E-2</v>
      </c>
      <c r="BB1200" s="340"/>
      <c r="BC1200" s="340">
        <v>9.3704316150214507E-3</v>
      </c>
      <c r="BD1200" s="340">
        <v>-1.0551920818654588E-2</v>
      </c>
      <c r="BE1200" s="340"/>
      <c r="BF1200" s="484">
        <f t="shared" si="100"/>
        <v>0</v>
      </c>
      <c r="BG1200" s="484">
        <f t="shared" si="101"/>
        <v>0.14021257219546102</v>
      </c>
      <c r="BJ1200" s="337"/>
    </row>
    <row r="1201" spans="1:62" ht="15" customHeight="1" thickBot="1" x14ac:dyDescent="0.25">
      <c r="A1201" s="176">
        <v>1202</v>
      </c>
      <c r="B1201" s="230">
        <v>1</v>
      </c>
      <c r="C1201" s="166" t="s">
        <v>596</v>
      </c>
      <c r="D1201" s="171" t="s">
        <v>2338</v>
      </c>
      <c r="F1201" s="296" t="s">
        <v>3326</v>
      </c>
      <c r="I1201" s="189">
        <v>2009</v>
      </c>
      <c r="J1201" s="189" t="s">
        <v>3336</v>
      </c>
      <c r="L1201" s="181" t="s">
        <v>274</v>
      </c>
      <c r="M1201" s="556" t="s">
        <v>4317</v>
      </c>
      <c r="AF1201" s="162" t="str">
        <f t="shared" si="102"/>
        <v/>
      </c>
      <c r="AG1201" s="162">
        <f t="shared" si="98"/>
        <v>0.10842120148288739</v>
      </c>
      <c r="AH1201" s="164" t="str">
        <f t="shared" si="95"/>
        <v/>
      </c>
      <c r="AI1201" s="164">
        <f t="shared" si="96"/>
        <v>7.5107244709660412E-3</v>
      </c>
      <c r="AJ1201" s="382"/>
      <c r="AK1201" s="382"/>
      <c r="AL1201" s="382">
        <v>0.10842120148288739</v>
      </c>
      <c r="AM1201" s="382">
        <v>2.9655567706373311</v>
      </c>
      <c r="AN1201" s="382">
        <v>6.6334822501098181</v>
      </c>
      <c r="AO1201" s="382"/>
      <c r="AP1201" s="382">
        <v>0.13099733855258888</v>
      </c>
      <c r="AQ1201" s="382">
        <v>-0.52819799210853446</v>
      </c>
      <c r="AR1201" s="382"/>
      <c r="AS1201" s="261"/>
      <c r="AT1201" s="261">
        <f t="shared" si="99"/>
        <v>9.3102595686740912</v>
      </c>
      <c r="AV1201" s="412"/>
      <c r="AW1201" s="340"/>
      <c r="AX1201" s="340"/>
      <c r="AY1201" s="340">
        <v>7.5107244709660412E-3</v>
      </c>
      <c r="AZ1201" s="340">
        <v>0.12421214082009251</v>
      </c>
      <c r="BA1201" s="340">
        <v>0.47127759004960817</v>
      </c>
      <c r="BB1201" s="340"/>
      <c r="BC1201" s="340">
        <v>9.3704316150214507E-3</v>
      </c>
      <c r="BD1201" s="340">
        <v>-1.0551920818654588E-2</v>
      </c>
      <c r="BE1201" s="340"/>
      <c r="BF1201" s="484">
        <f t="shared" si="100"/>
        <v>0</v>
      </c>
      <c r="BG1201" s="484">
        <f t="shared" si="101"/>
        <v>0.60181896613703356</v>
      </c>
      <c r="BJ1201" s="337"/>
    </row>
    <row r="1202" spans="1:62" ht="15" customHeight="1" thickBot="1" x14ac:dyDescent="0.25">
      <c r="A1202" s="176">
        <v>1203</v>
      </c>
      <c r="B1202" s="230">
        <v>1</v>
      </c>
      <c r="C1202" s="166" t="s">
        <v>596</v>
      </c>
      <c r="D1202" s="171" t="s">
        <v>2338</v>
      </c>
      <c r="F1202" s="296" t="s">
        <v>3327</v>
      </c>
      <c r="I1202" s="189">
        <v>2009</v>
      </c>
      <c r="J1202" s="189" t="s">
        <v>3336</v>
      </c>
      <c r="L1202" s="181" t="s">
        <v>274</v>
      </c>
      <c r="M1202" s="556" t="s">
        <v>4317</v>
      </c>
      <c r="AF1202" s="162" t="str">
        <f t="shared" si="102"/>
        <v/>
      </c>
      <c r="AG1202" s="162">
        <f t="shared" si="98"/>
        <v>8.2305349094849989E-3</v>
      </c>
      <c r="AH1202" s="164" t="str">
        <f t="shared" si="95"/>
        <v/>
      </c>
      <c r="AI1202" s="164">
        <f t="shared" si="96"/>
        <v>5.7121288374433821E-4</v>
      </c>
      <c r="AJ1202" s="382"/>
      <c r="AK1202" s="382"/>
      <c r="AL1202" s="382">
        <v>8.2305349094849989E-3</v>
      </c>
      <c r="AM1202" s="382">
        <v>5.6022266061851838</v>
      </c>
      <c r="AN1202" s="382">
        <v>3.8741766082574158</v>
      </c>
      <c r="AO1202" s="382"/>
      <c r="AP1202" s="382">
        <v>0.13099733855258888</v>
      </c>
      <c r="AQ1202" s="382">
        <v>-1.044020916489973</v>
      </c>
      <c r="AR1202" s="382"/>
      <c r="AS1202" s="261"/>
      <c r="AT1202" s="261">
        <f t="shared" si="99"/>
        <v>8.5716101714147008</v>
      </c>
      <c r="AV1202" s="412"/>
      <c r="AW1202" s="340"/>
      <c r="AX1202" s="340"/>
      <c r="AY1202" s="340">
        <v>5.7121288374433821E-4</v>
      </c>
      <c r="AZ1202" s="340">
        <v>0.23797541160399741</v>
      </c>
      <c r="BA1202" s="340">
        <v>0.28542670213530807</v>
      </c>
      <c r="BB1202" s="340"/>
      <c r="BC1202" s="340">
        <v>9.3704316150214507E-3</v>
      </c>
      <c r="BD1202" s="340">
        <v>-2.0571812016200536E-2</v>
      </c>
      <c r="BE1202" s="340"/>
      <c r="BF1202" s="484">
        <f t="shared" si="100"/>
        <v>0</v>
      </c>
      <c r="BG1202" s="484">
        <f t="shared" si="101"/>
        <v>0.51277194622187083</v>
      </c>
      <c r="BJ1202" s="337"/>
    </row>
    <row r="1203" spans="1:62" ht="15" customHeight="1" thickBot="1" x14ac:dyDescent="0.25">
      <c r="A1203" s="176">
        <v>1204</v>
      </c>
      <c r="B1203" s="230">
        <v>1</v>
      </c>
      <c r="C1203" s="166" t="s">
        <v>596</v>
      </c>
      <c r="D1203" s="171" t="s">
        <v>2338</v>
      </c>
      <c r="F1203" s="296" t="s">
        <v>3328</v>
      </c>
      <c r="I1203" s="189">
        <v>2009</v>
      </c>
      <c r="J1203" s="189" t="s">
        <v>3336</v>
      </c>
      <c r="L1203" s="181" t="s">
        <v>274</v>
      </c>
      <c r="M1203" s="556" t="s">
        <v>4317</v>
      </c>
      <c r="AF1203" s="162" t="str">
        <f t="shared" si="102"/>
        <v/>
      </c>
      <c r="AG1203" s="162">
        <f t="shared" si="98"/>
        <v>8.2305349094849989E-3</v>
      </c>
      <c r="AH1203" s="164" t="str">
        <f t="shared" si="95"/>
        <v/>
      </c>
      <c r="AI1203" s="164">
        <f t="shared" si="96"/>
        <v>5.7121288374433821E-4</v>
      </c>
      <c r="AJ1203" s="382"/>
      <c r="AK1203" s="382"/>
      <c r="AL1203" s="382">
        <v>8.2305349094849989E-3</v>
      </c>
      <c r="AM1203" s="382">
        <v>5.6022266061851838</v>
      </c>
      <c r="AN1203" s="382">
        <v>1.9231524170486451</v>
      </c>
      <c r="AO1203" s="382"/>
      <c r="AP1203" s="382">
        <v>0.13099733855258888</v>
      </c>
      <c r="AQ1203" s="382">
        <v>-1.044020916489973</v>
      </c>
      <c r="AR1203" s="382"/>
      <c r="AS1203" s="261"/>
      <c r="AT1203" s="261">
        <f t="shared" si="99"/>
        <v>6.620585980205929</v>
      </c>
      <c r="AV1203" s="412"/>
      <c r="AW1203" s="340"/>
      <c r="AX1203" s="340"/>
      <c r="AY1203" s="340">
        <v>5.7121288374433821E-4</v>
      </c>
      <c r="AZ1203" s="340">
        <v>0.23797541160399741</v>
      </c>
      <c r="BA1203" s="340">
        <v>0.13684185299686055</v>
      </c>
      <c r="BB1203" s="340"/>
      <c r="BC1203" s="340">
        <v>9.3704316150214507E-3</v>
      </c>
      <c r="BD1203" s="340">
        <v>-2.0571812016200536E-2</v>
      </c>
      <c r="BE1203" s="340"/>
      <c r="BF1203" s="484">
        <f t="shared" si="100"/>
        <v>0</v>
      </c>
      <c r="BG1203" s="484">
        <f t="shared" si="101"/>
        <v>0.36418709708342323</v>
      </c>
      <c r="BJ1203" s="337"/>
    </row>
    <row r="1204" spans="1:62" ht="15" customHeight="1" thickBot="1" x14ac:dyDescent="0.25">
      <c r="A1204" s="176">
        <v>1205</v>
      </c>
      <c r="B1204" s="230">
        <v>1</v>
      </c>
      <c r="C1204" s="166" t="s">
        <v>596</v>
      </c>
      <c r="D1204" s="171" t="s">
        <v>2338</v>
      </c>
      <c r="F1204" s="296" t="s">
        <v>3329</v>
      </c>
      <c r="I1204" s="189">
        <v>2009</v>
      </c>
      <c r="J1204" s="189" t="s">
        <v>3336</v>
      </c>
      <c r="L1204" s="181" t="s">
        <v>274</v>
      </c>
      <c r="M1204" s="556" t="s">
        <v>4317</v>
      </c>
      <c r="AF1204" s="162" t="str">
        <f t="shared" si="102"/>
        <v/>
      </c>
      <c r="AG1204" s="162">
        <f t="shared" si="98"/>
        <v>0.16778808044395427</v>
      </c>
      <c r="AH1204" s="164" t="str">
        <f t="shared" si="95"/>
        <v/>
      </c>
      <c r="AI1204" s="164">
        <f t="shared" si="96"/>
        <v>4.8170249478754765E-3</v>
      </c>
      <c r="AJ1204" s="382"/>
      <c r="AK1204" s="382"/>
      <c r="AL1204" s="382">
        <v>0.16778808044395427</v>
      </c>
      <c r="AM1204" s="382">
        <v>3.1160643511020067</v>
      </c>
      <c r="AN1204" s="382">
        <v>0.10033838697645106</v>
      </c>
      <c r="AO1204" s="382"/>
      <c r="AP1204" s="382">
        <v>0.13099733855258888</v>
      </c>
      <c r="AQ1204" s="382">
        <v>-0.52766842839949202</v>
      </c>
      <c r="AR1204" s="382"/>
      <c r="AS1204" s="261"/>
      <c r="AT1204" s="261">
        <f t="shared" si="99"/>
        <v>2.9875197286755091</v>
      </c>
      <c r="AV1204" s="412"/>
      <c r="AW1204" s="340"/>
      <c r="AX1204" s="340"/>
      <c r="AY1204" s="340">
        <v>4.8170249478754765E-3</v>
      </c>
      <c r="AZ1204" s="340">
        <v>0.64933975603326377</v>
      </c>
      <c r="BA1204" s="340">
        <v>0.85148704675629694</v>
      </c>
      <c r="BB1204" s="340"/>
      <c r="BC1204" s="340">
        <v>1.3061087545234501E-2</v>
      </c>
      <c r="BD1204" s="340">
        <v>-0.16448582452608623</v>
      </c>
      <c r="BE1204" s="340"/>
      <c r="BF1204" s="484">
        <f t="shared" si="100"/>
        <v>0</v>
      </c>
      <c r="BG1204" s="484">
        <f t="shared" si="101"/>
        <v>1.3542190907565845</v>
      </c>
      <c r="BJ1204" s="337"/>
    </row>
    <row r="1205" spans="1:62" ht="15" customHeight="1" thickBot="1" x14ac:dyDescent="0.25">
      <c r="A1205" s="176">
        <v>1206</v>
      </c>
      <c r="B1205" s="230">
        <v>1</v>
      </c>
      <c r="C1205" s="166" t="s">
        <v>596</v>
      </c>
      <c r="D1205" s="171" t="s">
        <v>2338</v>
      </c>
      <c r="F1205" s="296" t="s">
        <v>3330</v>
      </c>
      <c r="I1205" s="189">
        <v>2009</v>
      </c>
      <c r="J1205" s="189" t="s">
        <v>3336</v>
      </c>
      <c r="L1205" s="181" t="s">
        <v>274</v>
      </c>
      <c r="M1205" s="556" t="s">
        <v>4317</v>
      </c>
      <c r="AF1205" s="162" t="str">
        <f t="shared" si="102"/>
        <v/>
      </c>
      <c r="AG1205" s="162">
        <f t="shared" si="98"/>
        <v>0.16778808044395427</v>
      </c>
      <c r="AH1205" s="164" t="str">
        <f t="shared" si="95"/>
        <v/>
      </c>
      <c r="AI1205" s="164">
        <f t="shared" si="96"/>
        <v>1.0926977736237927E-2</v>
      </c>
      <c r="AJ1205" s="382"/>
      <c r="AK1205" s="382"/>
      <c r="AL1205" s="382">
        <v>0.16778808044395427</v>
      </c>
      <c r="AM1205" s="382">
        <v>2.8875158029889807</v>
      </c>
      <c r="AN1205" s="382">
        <v>0.10033838697645106</v>
      </c>
      <c r="AO1205" s="382"/>
      <c r="AP1205" s="382">
        <v>3.2609975767346593</v>
      </c>
      <c r="AQ1205" s="382">
        <v>-0.52766842839949202</v>
      </c>
      <c r="AR1205" s="382"/>
      <c r="AS1205" s="261"/>
      <c r="AT1205" s="261">
        <f t="shared" si="99"/>
        <v>5.8889714187445534</v>
      </c>
      <c r="AV1205" s="412"/>
      <c r="AW1205" s="340"/>
      <c r="AX1205" s="340"/>
      <c r="AY1205" s="340">
        <v>1.0926977736237927E-2</v>
      </c>
      <c r="AZ1205" s="340">
        <v>0.13355860713686579</v>
      </c>
      <c r="BA1205" s="340">
        <v>7.2135547726891458E-3</v>
      </c>
      <c r="BB1205" s="340"/>
      <c r="BC1205" s="340">
        <v>9.3704316150214507E-3</v>
      </c>
      <c r="BD1205" s="340">
        <v>-1.0515972871282383E-2</v>
      </c>
      <c r="BE1205" s="340"/>
      <c r="BF1205" s="484">
        <f t="shared" si="100"/>
        <v>0</v>
      </c>
      <c r="BG1205" s="484">
        <f t="shared" si="101"/>
        <v>0.15055359838953195</v>
      </c>
      <c r="BJ1205" s="337"/>
    </row>
    <row r="1206" spans="1:62" ht="15" customHeight="1" thickBot="1" x14ac:dyDescent="0.25">
      <c r="A1206" s="176">
        <v>1207</v>
      </c>
      <c r="B1206" s="230">
        <v>1</v>
      </c>
      <c r="C1206" s="166" t="s">
        <v>596</v>
      </c>
      <c r="D1206" s="171" t="s">
        <v>2338</v>
      </c>
      <c r="F1206" s="296" t="s">
        <v>3331</v>
      </c>
      <c r="I1206" s="189">
        <v>2009</v>
      </c>
      <c r="J1206" s="189" t="s">
        <v>3336</v>
      </c>
      <c r="L1206" s="181" t="s">
        <v>274</v>
      </c>
      <c r="M1206" s="556" t="s">
        <v>4317</v>
      </c>
      <c r="AF1206" s="162" t="str">
        <f t="shared" si="102"/>
        <v/>
      </c>
      <c r="AG1206" s="162">
        <f t="shared" si="98"/>
        <v>0.16778808044395427</v>
      </c>
      <c r="AH1206" s="164" t="str">
        <f t="shared" si="95"/>
        <v/>
      </c>
      <c r="AI1206" s="164">
        <f t="shared" si="96"/>
        <v>1.0926977736237927E-2</v>
      </c>
      <c r="AJ1206" s="382"/>
      <c r="AK1206" s="382"/>
      <c r="AL1206" s="382">
        <v>0.16778808044395427</v>
      </c>
      <c r="AM1206" s="382">
        <v>2.8875158029889807</v>
      </c>
      <c r="AN1206" s="382">
        <v>0.10033838697645106</v>
      </c>
      <c r="AO1206" s="382"/>
      <c r="AP1206" s="382">
        <v>0.22297419328100232</v>
      </c>
      <c r="AQ1206" s="382">
        <v>-0.52766842839949202</v>
      </c>
      <c r="AR1206" s="382"/>
      <c r="AS1206" s="261"/>
      <c r="AT1206" s="261">
        <f t="shared" si="99"/>
        <v>2.8509480352908962</v>
      </c>
      <c r="AV1206" s="412"/>
      <c r="AW1206" s="340"/>
      <c r="AX1206" s="340"/>
      <c r="AY1206" s="340">
        <v>1.0926977736237927E-2</v>
      </c>
      <c r="AZ1206" s="340">
        <v>0.10432094327413906</v>
      </c>
      <c r="BA1206" s="340">
        <v>7.2135547726891458E-3</v>
      </c>
      <c r="BB1206" s="340"/>
      <c r="BC1206" s="340">
        <v>0.23270304598940733</v>
      </c>
      <c r="BD1206" s="340">
        <v>-1.0515972871282383E-2</v>
      </c>
      <c r="BE1206" s="340"/>
      <c r="BF1206" s="484">
        <f t="shared" si="100"/>
        <v>0</v>
      </c>
      <c r="BG1206" s="484">
        <f t="shared" si="101"/>
        <v>0.34464854890119112</v>
      </c>
      <c r="BJ1206" s="337"/>
    </row>
    <row r="1207" spans="1:62" ht="15" customHeight="1" thickBot="1" x14ac:dyDescent="0.25">
      <c r="A1207" s="176">
        <v>1208</v>
      </c>
      <c r="B1207" s="230">
        <v>1</v>
      </c>
      <c r="C1207" s="166" t="s">
        <v>596</v>
      </c>
      <c r="D1207" s="171" t="s">
        <v>2338</v>
      </c>
      <c r="F1207" s="296" t="s">
        <v>3332</v>
      </c>
      <c r="I1207" s="189">
        <v>2009</v>
      </c>
      <c r="J1207" s="189" t="s">
        <v>3336</v>
      </c>
      <c r="L1207" s="181" t="s">
        <v>274</v>
      </c>
      <c r="M1207" s="556" t="s">
        <v>4317</v>
      </c>
      <c r="AF1207" s="162" t="str">
        <f t="shared" si="102"/>
        <v/>
      </c>
      <c r="AG1207" s="162">
        <f t="shared" si="98"/>
        <v>0.16778808044395427</v>
      </c>
      <c r="AH1207" s="164" t="str">
        <f t="shared" si="95"/>
        <v/>
      </c>
      <c r="AI1207" s="164">
        <f t="shared" si="96"/>
        <v>1.0926977736237927E-2</v>
      </c>
      <c r="AJ1207" s="382"/>
      <c r="AK1207" s="382"/>
      <c r="AL1207" s="382">
        <v>0.16778808044395427</v>
      </c>
      <c r="AM1207" s="382">
        <v>2.8875158029889807</v>
      </c>
      <c r="AN1207" s="382">
        <v>0.10033838697645106</v>
      </c>
      <c r="AO1207" s="382"/>
      <c r="AP1207" s="382">
        <v>0.13099733855258888</v>
      </c>
      <c r="AQ1207" s="382">
        <v>-0.3269916544465899</v>
      </c>
      <c r="AR1207" s="382"/>
      <c r="AS1207" s="261"/>
      <c r="AT1207" s="261">
        <f t="shared" si="99"/>
        <v>2.9596479545153853</v>
      </c>
      <c r="AV1207" s="412"/>
      <c r="AW1207" s="340"/>
      <c r="AX1207" s="340"/>
      <c r="AY1207" s="340">
        <v>1.0926977736237927E-2</v>
      </c>
      <c r="AZ1207" s="340">
        <v>0.11726220432813288</v>
      </c>
      <c r="BA1207" s="340">
        <v>7.2135547726891458E-3</v>
      </c>
      <c r="BB1207" s="340"/>
      <c r="BC1207" s="340">
        <v>1.5241929685814943E-2</v>
      </c>
      <c r="BD1207" s="340">
        <v>-1.0515972871282383E-2</v>
      </c>
      <c r="BE1207" s="340"/>
      <c r="BF1207" s="484">
        <f t="shared" si="100"/>
        <v>0</v>
      </c>
      <c r="BG1207" s="484">
        <f t="shared" si="101"/>
        <v>0.1401286936515925</v>
      </c>
      <c r="BJ1207" s="337"/>
    </row>
    <row r="1208" spans="1:62" ht="15" customHeight="1" thickBot="1" x14ac:dyDescent="0.25">
      <c r="A1208" s="176">
        <v>1209</v>
      </c>
      <c r="B1208" s="230">
        <v>1</v>
      </c>
      <c r="C1208" s="166" t="s">
        <v>596</v>
      </c>
      <c r="D1208" s="171" t="s">
        <v>2338</v>
      </c>
      <c r="F1208" s="296" t="s">
        <v>3333</v>
      </c>
      <c r="I1208" s="189">
        <v>2009</v>
      </c>
      <c r="J1208" s="189" t="s">
        <v>3336</v>
      </c>
      <c r="L1208" s="181" t="s">
        <v>274</v>
      </c>
      <c r="M1208" s="556" t="s">
        <v>4317</v>
      </c>
      <c r="AF1208" s="162" t="str">
        <f t="shared" si="102"/>
        <v/>
      </c>
      <c r="AG1208" s="162">
        <f t="shared" si="98"/>
        <v>6.2488517667000911E-3</v>
      </c>
      <c r="AH1208" s="164" t="str">
        <f t="shared" si="95"/>
        <v/>
      </c>
      <c r="AI1208" s="164">
        <f t="shared" si="96"/>
        <v>1.0926977736237927E-2</v>
      </c>
      <c r="AJ1208" s="382"/>
      <c r="AK1208" s="382"/>
      <c r="AL1208" s="382">
        <v>6.2488517667000911E-3</v>
      </c>
      <c r="AM1208" s="382">
        <v>2.1433394329136344</v>
      </c>
      <c r="AN1208" s="382">
        <v>3.902048382417541E-2</v>
      </c>
      <c r="AO1208" s="382"/>
      <c r="AP1208" s="382">
        <v>8.9189677312400935E-4</v>
      </c>
      <c r="AQ1208" s="382">
        <v>-1.144791315965906</v>
      </c>
      <c r="AR1208" s="382"/>
      <c r="AS1208" s="261"/>
      <c r="AT1208" s="261">
        <f t="shared" si="99"/>
        <v>1.0447093493117277</v>
      </c>
      <c r="AV1208" s="412"/>
      <c r="AW1208" s="340"/>
      <c r="AX1208" s="340"/>
      <c r="AY1208" s="340">
        <v>1.0926977736237927E-2</v>
      </c>
      <c r="AZ1208" s="340">
        <v>0.11726220432813288</v>
      </c>
      <c r="BA1208" s="340">
        <v>7.2135547726891458E-3</v>
      </c>
      <c r="BB1208" s="340"/>
      <c r="BC1208" s="340">
        <v>9.3704316150214507E-3</v>
      </c>
      <c r="BD1208" s="340">
        <v>-4.5605962566204142E-3</v>
      </c>
      <c r="BE1208" s="340"/>
      <c r="BF1208" s="484">
        <f t="shared" si="100"/>
        <v>0</v>
      </c>
      <c r="BG1208" s="484">
        <f t="shared" si="101"/>
        <v>0.14021257219546099</v>
      </c>
      <c r="BJ1208" s="337"/>
    </row>
    <row r="1209" spans="1:62" ht="15" customHeight="1" thickBot="1" x14ac:dyDescent="0.25">
      <c r="A1209" s="176">
        <v>1210</v>
      </c>
      <c r="B1209" s="230">
        <v>1</v>
      </c>
      <c r="C1209" s="166" t="s">
        <v>596</v>
      </c>
      <c r="D1209" s="171" t="s">
        <v>2338</v>
      </c>
      <c r="F1209" s="296" t="s">
        <v>3334</v>
      </c>
      <c r="I1209" s="189">
        <v>2009</v>
      </c>
      <c r="J1209" s="189" t="s">
        <v>3336</v>
      </c>
      <c r="L1209" s="181" t="s">
        <v>274</v>
      </c>
      <c r="M1209" s="556" t="s">
        <v>4317</v>
      </c>
      <c r="AF1209" s="162" t="str">
        <f t="shared" si="102"/>
        <v/>
      </c>
      <c r="AG1209" s="162">
        <f t="shared" si="98"/>
        <v>0.11956991114693753</v>
      </c>
      <c r="AH1209" s="164" t="str">
        <f t="shared" si="95"/>
        <v/>
      </c>
      <c r="AI1209" s="164">
        <f t="shared" si="96"/>
        <v>4.1376087425408015E-4</v>
      </c>
      <c r="AJ1209" s="382"/>
      <c r="AK1209" s="382"/>
      <c r="AL1209" s="382">
        <v>0.11956991114693753</v>
      </c>
      <c r="AM1209" s="382">
        <v>6.1122800733154756</v>
      </c>
      <c r="AN1209" s="382">
        <v>6.8564564433908215</v>
      </c>
      <c r="AO1209" s="382"/>
      <c r="AP1209" s="382">
        <v>7.2661715235446636</v>
      </c>
      <c r="AQ1209" s="382">
        <v>-8.6660035089627968E-2</v>
      </c>
      <c r="AR1209" s="382"/>
      <c r="AS1209" s="261"/>
      <c r="AT1209" s="261">
        <f t="shared" si="99"/>
        <v>20.267817916308267</v>
      </c>
      <c r="AV1209" s="412"/>
      <c r="AW1209" s="340"/>
      <c r="AX1209" s="340"/>
      <c r="AY1209" s="340">
        <v>4.1376087425408015E-4</v>
      </c>
      <c r="AZ1209" s="340">
        <v>8.4238023342200485E-2</v>
      </c>
      <c r="BA1209" s="340">
        <v>2.8518704915282676E-3</v>
      </c>
      <c r="BB1209" s="340"/>
      <c r="BC1209" s="340">
        <v>6.230977544515541E-5</v>
      </c>
      <c r="BD1209" s="340">
        <v>-2.9761305629448561E-2</v>
      </c>
      <c r="BE1209" s="340"/>
      <c r="BF1209" s="484">
        <f t="shared" si="100"/>
        <v>0</v>
      </c>
      <c r="BG1209" s="484">
        <f t="shared" si="101"/>
        <v>5.7804658853979424E-2</v>
      </c>
      <c r="BJ1209" s="337"/>
    </row>
    <row r="1210" spans="1:62" ht="15" customHeight="1" thickBot="1" x14ac:dyDescent="0.25">
      <c r="A1210" s="176">
        <v>1211</v>
      </c>
      <c r="B1210" s="230">
        <v>1</v>
      </c>
      <c r="C1210" s="166" t="s">
        <v>596</v>
      </c>
      <c r="D1210" s="171" t="s">
        <v>2338</v>
      </c>
      <c r="F1210" s="296" t="s">
        <v>3335</v>
      </c>
      <c r="I1210" s="189">
        <v>2009</v>
      </c>
      <c r="J1210" s="189" t="s">
        <v>3336</v>
      </c>
      <c r="L1210" s="181" t="s">
        <v>274</v>
      </c>
      <c r="M1210" s="556" t="s">
        <v>4317</v>
      </c>
      <c r="AF1210" s="162" t="str">
        <f t="shared" si="102"/>
        <v/>
      </c>
      <c r="AG1210" s="162">
        <f t="shared" si="98"/>
        <v>6.2488517667000911E-3</v>
      </c>
      <c r="AH1210" s="164" t="str">
        <f t="shared" si="95"/>
        <v/>
      </c>
      <c r="AI1210" s="164">
        <f t="shared" si="96"/>
        <v>8.2895966640304849E-3</v>
      </c>
      <c r="AJ1210" s="382"/>
      <c r="AK1210" s="382"/>
      <c r="AL1210" s="382">
        <v>6.2488517667000911E-3</v>
      </c>
      <c r="AM1210" s="382">
        <v>1.6221372561192919</v>
      </c>
      <c r="AN1210" s="382">
        <v>3.902048382417541E-2</v>
      </c>
      <c r="AO1210" s="382"/>
      <c r="AP1210" s="382">
        <v>8.9189677312400935E-4</v>
      </c>
      <c r="AQ1210" s="382">
        <v>7.1491100720721375E-3</v>
      </c>
      <c r="AR1210" s="382"/>
      <c r="AS1210" s="261"/>
      <c r="AT1210" s="261">
        <f t="shared" si="99"/>
        <v>1.6754475985553636</v>
      </c>
      <c r="AV1210" s="412"/>
      <c r="AW1210" s="340"/>
      <c r="AX1210" s="340"/>
      <c r="AY1210" s="340">
        <v>8.2895966640304849E-3</v>
      </c>
      <c r="AZ1210" s="340">
        <v>0.26265966879957825</v>
      </c>
      <c r="BA1210" s="340">
        <v>0.48817312531454454</v>
      </c>
      <c r="BB1210" s="340"/>
      <c r="BC1210" s="340">
        <v>0.51621252426486453</v>
      </c>
      <c r="BD1210" s="340">
        <v>7.9099863397800001E-3</v>
      </c>
      <c r="BE1210" s="340"/>
      <c r="BF1210" s="484">
        <f t="shared" si="100"/>
        <v>0</v>
      </c>
      <c r="BG1210" s="484">
        <f t="shared" si="101"/>
        <v>1.2832449013827978</v>
      </c>
      <c r="BJ1210" s="337"/>
    </row>
    <row r="1211" spans="1:62" ht="15" customHeight="1" thickBot="1" x14ac:dyDescent="0.25">
      <c r="A1211" s="176">
        <v>1212</v>
      </c>
      <c r="B1211" s="230">
        <v>1</v>
      </c>
      <c r="C1211" s="166" t="s">
        <v>596</v>
      </c>
      <c r="D1211" s="159" t="s">
        <v>2339</v>
      </c>
      <c r="F1211" s="297" t="s">
        <v>3337</v>
      </c>
      <c r="I1211" s="189">
        <v>2009</v>
      </c>
      <c r="J1211" s="189" t="s">
        <v>3336</v>
      </c>
      <c r="L1211" s="181" t="s">
        <v>274</v>
      </c>
      <c r="M1211" s="556" t="s">
        <v>4317</v>
      </c>
      <c r="AF1211" s="162" t="str">
        <f t="shared" si="102"/>
        <v/>
      </c>
      <c r="AG1211" s="162">
        <f t="shared" si="98"/>
        <v>7.8040967648350824E-3</v>
      </c>
      <c r="AH1211" s="164" t="str">
        <f t="shared" si="95"/>
        <v/>
      </c>
      <c r="AI1211" s="164">
        <f t="shared" si="96"/>
        <v>5.0087473338605696E-4</v>
      </c>
      <c r="AJ1211" s="382"/>
      <c r="AK1211" s="382"/>
      <c r="AL1211" s="382">
        <v>7.8040967648350824E-3</v>
      </c>
      <c r="AM1211" s="382">
        <v>0.10033838697645107</v>
      </c>
      <c r="AN1211" s="382">
        <v>0</v>
      </c>
      <c r="AO1211" s="382"/>
      <c r="AP1211" s="382">
        <v>0.51562782196231782</v>
      </c>
      <c r="AQ1211" s="382">
        <v>2.0848087071773718E-3</v>
      </c>
      <c r="AR1211" s="382"/>
      <c r="AS1211" s="261"/>
      <c r="AT1211" s="261">
        <f t="shared" si="99"/>
        <v>0.62585511441078134</v>
      </c>
      <c r="AV1211" s="412"/>
      <c r="AW1211" s="347"/>
      <c r="AX1211" s="347"/>
      <c r="AY1211" s="347">
        <v>5.0087473338605696E-4</v>
      </c>
      <c r="AZ1211" s="347">
        <v>6.967910465645745E-3</v>
      </c>
      <c r="BA1211" s="347"/>
      <c r="BB1211" s="347"/>
      <c r="BC1211" s="347">
        <v>3.3072111582428648E-2</v>
      </c>
      <c r="BD1211" s="347">
        <v>1.5577443861288854E-4</v>
      </c>
      <c r="BE1211" s="347"/>
      <c r="BF1211" s="484">
        <f t="shared" si="100"/>
        <v>0</v>
      </c>
      <c r="BG1211" s="484">
        <f t="shared" si="101"/>
        <v>4.0696671220073338E-2</v>
      </c>
      <c r="BJ1211" s="337"/>
    </row>
    <row r="1212" spans="1:62" ht="15" customHeight="1" thickBot="1" x14ac:dyDescent="0.25">
      <c r="A1212" s="176">
        <v>1213</v>
      </c>
      <c r="B1212" s="230">
        <v>1</v>
      </c>
      <c r="C1212" s="166" t="s">
        <v>596</v>
      </c>
      <c r="D1212" s="159" t="s">
        <v>2339</v>
      </c>
      <c r="F1212" s="297" t="s">
        <v>3338</v>
      </c>
      <c r="I1212" s="189">
        <v>2009</v>
      </c>
      <c r="J1212" s="189" t="s">
        <v>3336</v>
      </c>
      <c r="L1212" s="181" t="s">
        <v>274</v>
      </c>
      <c r="M1212" s="556" t="s">
        <v>4317</v>
      </c>
      <c r="AF1212" s="162" t="str">
        <f t="shared" si="102"/>
        <v/>
      </c>
      <c r="AG1212" s="162">
        <f t="shared" si="98"/>
        <v>6.4105080568288165E-3</v>
      </c>
      <c r="AH1212" s="164" t="str">
        <f t="shared" si="95"/>
        <v/>
      </c>
      <c r="AI1212" s="164">
        <f t="shared" si="96"/>
        <v>4.1699618951757854E-4</v>
      </c>
      <c r="AJ1212" s="382"/>
      <c r="AK1212" s="382"/>
      <c r="AL1212" s="382">
        <v>6.4105080568288165E-3</v>
      </c>
      <c r="AM1212" s="382">
        <v>3.2888693508947846E-2</v>
      </c>
      <c r="AN1212" s="382">
        <v>0</v>
      </c>
      <c r="AO1212" s="382"/>
      <c r="AP1212" s="382">
        <v>0.32331258025745341</v>
      </c>
      <c r="AQ1212" s="382">
        <v>1.1823206598725151E-3</v>
      </c>
      <c r="AR1212" s="382"/>
      <c r="AS1212" s="261"/>
      <c r="AT1212" s="261">
        <f t="shared" si="99"/>
        <v>0.36379410248310257</v>
      </c>
      <c r="AV1212" s="412"/>
      <c r="AW1212" s="347"/>
      <c r="AX1212" s="347"/>
      <c r="AY1212" s="347">
        <v>4.1699618951757854E-4</v>
      </c>
      <c r="AZ1212" s="347">
        <v>1.4582883983991182E-3</v>
      </c>
      <c r="BA1212" s="347"/>
      <c r="BB1212" s="347"/>
      <c r="BC1212" s="347">
        <v>2.061015649339756E-2</v>
      </c>
      <c r="BD1212" s="347">
        <v>1.4091595369904378E-4</v>
      </c>
      <c r="BE1212" s="347"/>
      <c r="BF1212" s="484">
        <f t="shared" si="100"/>
        <v>0</v>
      </c>
      <c r="BG1212" s="484">
        <f t="shared" si="101"/>
        <v>2.2626357035013301E-2</v>
      </c>
      <c r="BJ1212" s="337"/>
    </row>
    <row r="1213" spans="1:62" ht="15" customHeight="1" thickBot="1" x14ac:dyDescent="0.25">
      <c r="A1213" s="176">
        <v>1214</v>
      </c>
      <c r="B1213" s="230">
        <v>1</v>
      </c>
      <c r="C1213" s="166" t="s">
        <v>596</v>
      </c>
      <c r="D1213" s="159" t="s">
        <v>2339</v>
      </c>
      <c r="F1213" s="297" t="s">
        <v>3339</v>
      </c>
      <c r="I1213" s="189">
        <v>2009</v>
      </c>
      <c r="J1213" s="189" t="s">
        <v>3336</v>
      </c>
      <c r="L1213" s="181" t="s">
        <v>274</v>
      </c>
      <c r="M1213" s="556" t="s">
        <v>4317</v>
      </c>
      <c r="AF1213" s="162" t="str">
        <f t="shared" si="102"/>
        <v/>
      </c>
      <c r="AG1213" s="162">
        <f t="shared" si="98"/>
        <v>6.9679435400313225E-3</v>
      </c>
      <c r="AH1213" s="164" t="str">
        <f t="shared" si="95"/>
        <v/>
      </c>
      <c r="AI1213" s="164">
        <f t="shared" si="96"/>
        <v>4.4215975267812211E-4</v>
      </c>
      <c r="AJ1213" s="382"/>
      <c r="AK1213" s="382"/>
      <c r="AL1213" s="382">
        <v>6.9679435400313225E-3</v>
      </c>
      <c r="AM1213" s="382">
        <v>4.8496887038618007E-2</v>
      </c>
      <c r="AN1213" s="382">
        <v>0</v>
      </c>
      <c r="AO1213" s="382"/>
      <c r="AP1213" s="382">
        <v>0.38184330599371652</v>
      </c>
      <c r="AQ1213" s="382">
        <v>1.7439369091990389E-3</v>
      </c>
      <c r="AR1213" s="382"/>
      <c r="AS1213" s="261"/>
      <c r="AT1213" s="261">
        <f t="shared" si="99"/>
        <v>0.43905207348156489</v>
      </c>
      <c r="AV1213" s="412"/>
      <c r="AW1213" s="347"/>
      <c r="AX1213" s="347"/>
      <c r="AY1213" s="347">
        <v>4.4215975267812211E-4</v>
      </c>
      <c r="AZ1213" s="347">
        <v>4.7714908812040166E-3</v>
      </c>
      <c r="BA1213" s="347"/>
      <c r="BB1213" s="347"/>
      <c r="BC1213" s="347">
        <v>2.4444604213099432E-2</v>
      </c>
      <c r="BD1213" s="347">
        <v>1.4858484913844754E-4</v>
      </c>
      <c r="BE1213" s="347"/>
      <c r="BF1213" s="484">
        <f t="shared" si="100"/>
        <v>0</v>
      </c>
      <c r="BG1213" s="484">
        <f t="shared" si="101"/>
        <v>2.9806839696120017E-2</v>
      </c>
      <c r="BJ1213" s="337"/>
    </row>
    <row r="1214" spans="1:62" ht="15" customHeight="1" thickBot="1" x14ac:dyDescent="0.25">
      <c r="A1214" s="176">
        <v>1215</v>
      </c>
      <c r="B1214" s="230">
        <v>1</v>
      </c>
      <c r="C1214" s="166" t="s">
        <v>596</v>
      </c>
      <c r="D1214" s="159" t="s">
        <v>2339</v>
      </c>
      <c r="F1214" s="297" t="s">
        <v>3340</v>
      </c>
      <c r="I1214" s="189">
        <v>2009</v>
      </c>
      <c r="J1214" s="189" t="s">
        <v>3336</v>
      </c>
      <c r="L1214" s="181" t="s">
        <v>274</v>
      </c>
      <c r="M1214" s="556" t="s">
        <v>4317</v>
      </c>
      <c r="AF1214" s="162" t="str">
        <f t="shared" si="102"/>
        <v/>
      </c>
      <c r="AG1214" s="162">
        <f t="shared" si="98"/>
        <v>8.6402499896388405E-3</v>
      </c>
      <c r="AH1214" s="164" t="str">
        <f t="shared" si="95"/>
        <v/>
      </c>
      <c r="AI1214" s="164">
        <f t="shared" si="96"/>
        <v>5.5719318426917836E-4</v>
      </c>
      <c r="AJ1214" s="382"/>
      <c r="AK1214" s="382"/>
      <c r="AL1214" s="382">
        <v>8.6402499896388405E-3</v>
      </c>
      <c r="AM1214" s="382">
        <v>1.4493322563265151E-2</v>
      </c>
      <c r="AN1214" s="382">
        <v>0</v>
      </c>
      <c r="AO1214" s="382"/>
      <c r="AP1214" s="382">
        <v>0.64662516051490682</v>
      </c>
      <c r="AQ1214" s="382">
        <v>2.4805879002511508E-3</v>
      </c>
      <c r="AR1214" s="382"/>
      <c r="AS1214" s="261"/>
      <c r="AT1214" s="261">
        <f t="shared" si="99"/>
        <v>0.67223932096806194</v>
      </c>
      <c r="AV1214" s="412"/>
      <c r="AW1214" s="347"/>
      <c r="AX1214" s="347"/>
      <c r="AY1214" s="347">
        <v>5.5719318426917836E-4</v>
      </c>
      <c r="AZ1214" s="347">
        <v>1.1203776931003905E-3</v>
      </c>
      <c r="BA1214" s="347"/>
      <c r="BB1214" s="347"/>
      <c r="BC1214" s="347">
        <v>4.1340139478035796E-2</v>
      </c>
      <c r="BD1214" s="347">
        <v>1.6895535264936371E-4</v>
      </c>
      <c r="BE1214" s="347"/>
      <c r="BF1214" s="484">
        <f t="shared" si="100"/>
        <v>0</v>
      </c>
      <c r="BG1214" s="484">
        <f t="shared" si="101"/>
        <v>4.3186665708054732E-2</v>
      </c>
      <c r="BJ1214" s="337"/>
    </row>
    <row r="1215" spans="1:62" ht="15" customHeight="1" thickBot="1" x14ac:dyDescent="0.25">
      <c r="A1215" s="176">
        <v>1216</v>
      </c>
      <c r="B1215" s="230">
        <v>1</v>
      </c>
      <c r="C1215" s="166" t="s">
        <v>596</v>
      </c>
      <c r="D1215" s="159" t="s">
        <v>2339</v>
      </c>
      <c r="F1215" s="297" t="s">
        <v>3341</v>
      </c>
      <c r="I1215" s="189">
        <v>2009</v>
      </c>
      <c r="J1215" s="189" t="s">
        <v>3336</v>
      </c>
      <c r="L1215" s="181" t="s">
        <v>274</v>
      </c>
      <c r="M1215" s="556" t="s">
        <v>4317</v>
      </c>
      <c r="AF1215" s="162" t="str">
        <f t="shared" si="102"/>
        <v/>
      </c>
      <c r="AG1215" s="162">
        <f t="shared" si="98"/>
        <v>7.8040967648350824E-3</v>
      </c>
      <c r="AH1215" s="164" t="str">
        <f t="shared" si="95"/>
        <v/>
      </c>
      <c r="AI1215" s="164">
        <f t="shared" si="96"/>
        <v>5.0087473338605696E-4</v>
      </c>
      <c r="AJ1215" s="382"/>
      <c r="AK1215" s="382"/>
      <c r="AL1215" s="382">
        <v>7.8040967648350824E-3</v>
      </c>
      <c r="AM1215" s="382">
        <v>2.0067677395290213E-2</v>
      </c>
      <c r="AN1215" s="382">
        <v>0</v>
      </c>
      <c r="AO1215" s="382"/>
      <c r="AP1215" s="382">
        <v>0.51562782196231782</v>
      </c>
      <c r="AQ1215" s="382">
        <v>1.8022167889678612E-3</v>
      </c>
      <c r="AR1215" s="382"/>
      <c r="AS1215" s="261"/>
      <c r="AT1215" s="261">
        <f t="shared" si="99"/>
        <v>0.545301812911411</v>
      </c>
      <c r="AV1215" s="412"/>
      <c r="AW1215" s="347"/>
      <c r="AX1215" s="347"/>
      <c r="AY1215" s="347">
        <v>5.0087473338605696E-4</v>
      </c>
      <c r="AZ1215" s="347">
        <v>1.3959786229539627E-3</v>
      </c>
      <c r="BA1215" s="347"/>
      <c r="BB1215" s="347"/>
      <c r="BC1215" s="347">
        <v>3.3072111582428648E-2</v>
      </c>
      <c r="BD1215" s="347">
        <v>1.2414024492534811E-4</v>
      </c>
      <c r="BE1215" s="347"/>
      <c r="BF1215" s="484">
        <f t="shared" si="100"/>
        <v>0</v>
      </c>
      <c r="BG1215" s="484">
        <f t="shared" si="101"/>
        <v>3.5093105183694011E-2</v>
      </c>
      <c r="BJ1215" s="337"/>
    </row>
    <row r="1216" spans="1:62" ht="15" customHeight="1" thickBot="1" x14ac:dyDescent="0.25">
      <c r="A1216" s="176">
        <v>1217</v>
      </c>
      <c r="B1216" s="230">
        <v>1</v>
      </c>
      <c r="C1216" s="166" t="s">
        <v>596</v>
      </c>
      <c r="D1216" s="159" t="s">
        <v>2339</v>
      </c>
      <c r="F1216" s="297" t="s">
        <v>3342</v>
      </c>
      <c r="I1216" s="189">
        <v>2009</v>
      </c>
      <c r="J1216" s="189" t="s">
        <v>3336</v>
      </c>
      <c r="L1216" s="181" t="s">
        <v>274</v>
      </c>
      <c r="M1216" s="556" t="s">
        <v>4317</v>
      </c>
      <c r="AF1216" s="162" t="str">
        <f t="shared" si="102"/>
        <v/>
      </c>
      <c r="AG1216" s="162">
        <f t="shared" si="98"/>
        <v>7.8040967648350824E-3</v>
      </c>
      <c r="AH1216" s="164" t="str">
        <f t="shared" si="95"/>
        <v/>
      </c>
      <c r="AI1216" s="164">
        <f t="shared" si="96"/>
        <v>5.0087473338605696E-4</v>
      </c>
      <c r="AJ1216" s="382"/>
      <c r="AK1216" s="382"/>
      <c r="AL1216" s="382">
        <v>7.8040967648350824E-3</v>
      </c>
      <c r="AM1216" s="382">
        <v>0.10033838697645107</v>
      </c>
      <c r="AN1216" s="382">
        <v>0</v>
      </c>
      <c r="AO1216" s="382"/>
      <c r="AP1216" s="382">
        <v>0.51562782196231782</v>
      </c>
      <c r="AQ1216" s="382">
        <v>-3.8134161405883424E-2</v>
      </c>
      <c r="AR1216" s="382"/>
      <c r="AS1216" s="261"/>
      <c r="AT1216" s="261">
        <f t="shared" si="99"/>
        <v>0.58563614429772048</v>
      </c>
      <c r="AV1216" s="412"/>
      <c r="AW1216" s="347"/>
      <c r="AX1216" s="347"/>
      <c r="AY1216" s="347">
        <v>5.0087473338605696E-4</v>
      </c>
      <c r="AZ1216" s="347">
        <v>6.967910465645745E-3</v>
      </c>
      <c r="BA1216" s="347"/>
      <c r="BB1216" s="347"/>
      <c r="BC1216" s="347">
        <v>3.3072111582428648E-2</v>
      </c>
      <c r="BD1216" s="347">
        <v>-2.8183190739808762E-3</v>
      </c>
      <c r="BE1216" s="347"/>
      <c r="BF1216" s="484">
        <f t="shared" si="100"/>
        <v>0</v>
      </c>
      <c r="BG1216" s="484">
        <f t="shared" si="101"/>
        <v>3.7722577707479575E-2</v>
      </c>
      <c r="BJ1216" s="337"/>
    </row>
    <row r="1217" spans="1:62" ht="15" customHeight="1" thickBot="1" x14ac:dyDescent="0.25">
      <c r="A1217" s="176">
        <v>1218</v>
      </c>
      <c r="B1217" s="230">
        <v>1</v>
      </c>
      <c r="C1217" s="166" t="s">
        <v>596</v>
      </c>
      <c r="D1217" s="159" t="s">
        <v>2339</v>
      </c>
      <c r="F1217" s="298" t="s">
        <v>3343</v>
      </c>
      <c r="I1217" s="189">
        <v>2009</v>
      </c>
      <c r="J1217" s="189" t="s">
        <v>3336</v>
      </c>
      <c r="L1217" s="181" t="s">
        <v>274</v>
      </c>
      <c r="M1217" s="556" t="s">
        <v>4317</v>
      </c>
      <c r="AF1217" s="162" t="str">
        <f t="shared" si="102"/>
        <v/>
      </c>
      <c r="AG1217" s="162">
        <f t="shared" si="98"/>
        <v>6.1317903152275635E-3</v>
      </c>
      <c r="AH1217" s="164" t="str">
        <f t="shared" si="95"/>
        <v/>
      </c>
      <c r="AI1217" s="164">
        <f t="shared" si="96"/>
        <v>3.8823783161981456E-4</v>
      </c>
      <c r="AJ1217" s="382"/>
      <c r="AK1217" s="382"/>
      <c r="AL1217" s="382">
        <v>6.1317903152275635E-3</v>
      </c>
      <c r="AM1217" s="382">
        <v>5.0169193488225537E-2</v>
      </c>
      <c r="AN1217" s="382">
        <v>0</v>
      </c>
      <c r="AO1217" s="382"/>
      <c r="AP1217" s="382">
        <v>0.25920749968916518</v>
      </c>
      <c r="AQ1217" s="382">
        <v>1.0480344519690312E-3</v>
      </c>
      <c r="AR1217" s="382"/>
      <c r="AS1217" s="261"/>
      <c r="AT1217" s="261">
        <f t="shared" si="99"/>
        <v>0.31655651794458733</v>
      </c>
      <c r="AV1217" s="412"/>
      <c r="AW1217" s="347"/>
      <c r="AX1217" s="347"/>
      <c r="AY1217" s="347">
        <v>3.8823783161981456E-4</v>
      </c>
      <c r="AZ1217" s="347">
        <v>3.4833561003666685E-3</v>
      </c>
      <c r="BA1217" s="347"/>
      <c r="BB1217" s="347"/>
      <c r="BC1217" s="347">
        <v>1.6536055791214324E-2</v>
      </c>
      <c r="BD1217" s="347">
        <v>7.8246698780166322E-5</v>
      </c>
      <c r="BE1217" s="347"/>
      <c r="BF1217" s="484">
        <f t="shared" si="100"/>
        <v>0</v>
      </c>
      <c r="BG1217" s="484">
        <f t="shared" si="101"/>
        <v>2.0485896421980974E-2</v>
      </c>
      <c r="BJ1217" s="337"/>
    </row>
    <row r="1218" spans="1:62" ht="15" customHeight="1" thickBot="1" x14ac:dyDescent="0.25">
      <c r="A1218" s="176">
        <v>1219</v>
      </c>
      <c r="B1218" s="230">
        <v>1</v>
      </c>
      <c r="C1218" s="166" t="s">
        <v>596</v>
      </c>
      <c r="D1218" s="159" t="s">
        <v>2339</v>
      </c>
      <c r="F1218" s="297" t="s">
        <v>3344</v>
      </c>
      <c r="I1218" s="189">
        <v>2009</v>
      </c>
      <c r="J1218" s="189" t="s">
        <v>3336</v>
      </c>
      <c r="L1218" s="181" t="s">
        <v>274</v>
      </c>
      <c r="M1218" s="556" t="s">
        <v>4317</v>
      </c>
      <c r="AF1218" s="162" t="str">
        <f t="shared" si="102"/>
        <v/>
      </c>
      <c r="AG1218" s="162">
        <f t="shared" si="98"/>
        <v>4.7382016072213002E-3</v>
      </c>
      <c r="AH1218" s="164" t="str">
        <f t="shared" ref="AH1218:AH1281" si="103">IF(BF1218&lt;&gt;0,BF1218,"")</f>
        <v/>
      </c>
      <c r="AI1218" s="164">
        <f t="shared" ref="AI1218:AI1281" si="104">IF(AND(SUM(AW1218:AY1218)&lt;&gt;0,SUM(AW1218:AY1218)&lt;&gt;AW1218),SUM(AW1218:AY1218),"")</f>
        <v>3.0795408248855655E-4</v>
      </c>
      <c r="AJ1218" s="382"/>
      <c r="AK1218" s="382"/>
      <c r="AL1218" s="382">
        <v>4.7382016072213002E-3</v>
      </c>
      <c r="AM1218" s="382">
        <v>0.10033838697645107</v>
      </c>
      <c r="AN1218" s="382">
        <v>0</v>
      </c>
      <c r="AO1218" s="382"/>
      <c r="AP1218" s="382">
        <v>7.2466612816325743E-2</v>
      </c>
      <c r="AQ1218" s="382">
        <v>6.0481749927471891E-4</v>
      </c>
      <c r="AR1218" s="382"/>
      <c r="AS1218" s="261"/>
      <c r="AT1218" s="261">
        <f t="shared" si="99"/>
        <v>0.17814801889927284</v>
      </c>
      <c r="AV1218" s="412"/>
      <c r="AW1218" s="347"/>
      <c r="AX1218" s="347"/>
      <c r="AY1218" s="347">
        <v>3.0795408248855655E-4</v>
      </c>
      <c r="AZ1218" s="347">
        <v>6.967910465645745E-3</v>
      </c>
      <c r="BA1218" s="347"/>
      <c r="BB1218" s="347"/>
      <c r="BC1218" s="347">
        <v>4.7211637548829292E-3</v>
      </c>
      <c r="BD1218" s="347">
        <v>5.631845088312125E-5</v>
      </c>
      <c r="BE1218" s="347"/>
      <c r="BF1218" s="484">
        <f t="shared" si="100"/>
        <v>0</v>
      </c>
      <c r="BG1218" s="484">
        <f t="shared" si="101"/>
        <v>1.2053346753900351E-2</v>
      </c>
      <c r="BJ1218" s="337"/>
    </row>
    <row r="1219" spans="1:62" ht="15" customHeight="1" thickBot="1" x14ac:dyDescent="0.25">
      <c r="A1219" s="176">
        <v>1220</v>
      </c>
      <c r="B1219" s="230">
        <v>1</v>
      </c>
      <c r="C1219" s="166" t="s">
        <v>596</v>
      </c>
      <c r="D1219" s="159" t="s">
        <v>2339</v>
      </c>
      <c r="F1219" s="297" t="s">
        <v>3345</v>
      </c>
      <c r="I1219" s="189">
        <v>2009</v>
      </c>
      <c r="J1219" s="189" t="s">
        <v>3336</v>
      </c>
      <c r="L1219" s="181" t="s">
        <v>274</v>
      </c>
      <c r="M1219" s="556" t="s">
        <v>4317</v>
      </c>
      <c r="AF1219" s="162" t="str">
        <f t="shared" si="102"/>
        <v/>
      </c>
      <c r="AG1219" s="162">
        <f t="shared" si="98"/>
        <v>5.2956370904238053E-3</v>
      </c>
      <c r="AH1219" s="164" t="str">
        <f t="shared" si="103"/>
        <v/>
      </c>
      <c r="AI1219" s="164">
        <f t="shared" si="104"/>
        <v>3.4030723512354106E-4</v>
      </c>
      <c r="AJ1219" s="382"/>
      <c r="AK1219" s="382"/>
      <c r="AL1219" s="382">
        <v>5.2956370904238053E-3</v>
      </c>
      <c r="AM1219" s="382">
        <v>0.10033838697645107</v>
      </c>
      <c r="AN1219" s="382">
        <v>0</v>
      </c>
      <c r="AO1219" s="382"/>
      <c r="AP1219" s="382">
        <v>0.28707927384929049</v>
      </c>
      <c r="AQ1219" s="382">
        <v>8.5845064413185893E-4</v>
      </c>
      <c r="AR1219" s="382"/>
      <c r="AS1219" s="261"/>
      <c r="AT1219" s="261">
        <f t="shared" si="99"/>
        <v>0.39357174856029725</v>
      </c>
      <c r="AV1219" s="412"/>
      <c r="AW1219" s="347"/>
      <c r="AX1219" s="347"/>
      <c r="AY1219" s="347">
        <v>3.4030723512354106E-4</v>
      </c>
      <c r="AZ1219" s="347">
        <v>6.967910465645745E-3</v>
      </c>
      <c r="BA1219" s="347"/>
      <c r="BB1219" s="347"/>
      <c r="BC1219" s="347">
        <v>1.8333453159824573E-2</v>
      </c>
      <c r="BD1219" s="347">
        <v>7.3094159656816944E-5</v>
      </c>
      <c r="BE1219" s="347"/>
      <c r="BF1219" s="484">
        <f t="shared" si="100"/>
        <v>0</v>
      </c>
      <c r="BG1219" s="484">
        <f t="shared" si="101"/>
        <v>2.5714765020250677E-2</v>
      </c>
      <c r="BJ1219" s="337"/>
    </row>
    <row r="1220" spans="1:62" ht="15" customHeight="1" thickBot="1" x14ac:dyDescent="0.25">
      <c r="A1220" s="176">
        <v>1221</v>
      </c>
      <c r="B1220" s="230">
        <v>1</v>
      </c>
      <c r="C1220" s="166" t="s">
        <v>596</v>
      </c>
      <c r="D1220" s="159" t="s">
        <v>2339</v>
      </c>
      <c r="F1220" s="298" t="s">
        <v>3346</v>
      </c>
      <c r="I1220" s="189">
        <v>2009</v>
      </c>
      <c r="J1220" s="189" t="s">
        <v>3336</v>
      </c>
      <c r="L1220" s="181" t="s">
        <v>274</v>
      </c>
      <c r="M1220" s="556" t="s">
        <v>4317</v>
      </c>
      <c r="AF1220" s="162" t="str">
        <f t="shared" si="102"/>
        <v/>
      </c>
      <c r="AG1220" s="162">
        <f t="shared" si="98"/>
        <v>1.1148709664050117E-2</v>
      </c>
      <c r="AH1220" s="164" t="str">
        <f t="shared" si="103"/>
        <v/>
      </c>
      <c r="AI1220" s="164">
        <f t="shared" si="104"/>
        <v>7.2495027200613509E-4</v>
      </c>
      <c r="AJ1220" s="382"/>
      <c r="AK1220" s="382"/>
      <c r="AL1220" s="382">
        <v>1.1148709664050117E-2</v>
      </c>
      <c r="AM1220" s="382">
        <v>0.10033838697645107</v>
      </c>
      <c r="AN1220" s="382">
        <v>0</v>
      </c>
      <c r="AO1220" s="382"/>
      <c r="AP1220" s="382">
        <v>1.0340428213406483</v>
      </c>
      <c r="AQ1220" s="382">
        <v>3.7013716084646387E-3</v>
      </c>
      <c r="AR1220" s="382"/>
      <c r="AS1220" s="261"/>
      <c r="AT1220" s="261">
        <f t="shared" si="99"/>
        <v>1.1492312895896142</v>
      </c>
      <c r="AV1220" s="412"/>
      <c r="AW1220" s="347"/>
      <c r="AX1220" s="347"/>
      <c r="AY1220" s="347">
        <v>7.2495027200613509E-4</v>
      </c>
      <c r="AZ1220" s="347">
        <v>6.967910465645745E-3</v>
      </c>
      <c r="BA1220" s="347"/>
      <c r="BB1220" s="347"/>
      <c r="BC1220" s="347">
        <v>6.6024396673616606E-2</v>
      </c>
      <c r="BD1220" s="347">
        <v>2.7200613511635152E-4</v>
      </c>
      <c r="BE1220" s="347"/>
      <c r="BF1220" s="484">
        <f t="shared" si="100"/>
        <v>0</v>
      </c>
      <c r="BG1220" s="484">
        <f t="shared" si="101"/>
        <v>7.398926354638484E-2</v>
      </c>
      <c r="BJ1220" s="337"/>
    </row>
    <row r="1221" spans="1:62" ht="15" customHeight="1" thickBot="1" x14ac:dyDescent="0.25">
      <c r="A1221" s="176">
        <v>1222</v>
      </c>
      <c r="B1221" s="230">
        <v>1</v>
      </c>
      <c r="C1221" s="166" t="s">
        <v>596</v>
      </c>
      <c r="D1221" s="159" t="s">
        <v>2339</v>
      </c>
      <c r="F1221" s="297" t="s">
        <v>3347</v>
      </c>
      <c r="I1221" s="189">
        <v>2009</v>
      </c>
      <c r="J1221" s="189" t="s">
        <v>3336</v>
      </c>
      <c r="L1221" s="181" t="s">
        <v>274</v>
      </c>
      <c r="M1221" s="556" t="s">
        <v>4317</v>
      </c>
      <c r="AF1221" s="162" t="str">
        <f t="shared" si="102"/>
        <v/>
      </c>
      <c r="AG1221" s="162">
        <f t="shared" si="98"/>
        <v>9.7551209560438525E-3</v>
      </c>
      <c r="AH1221" s="164" t="str">
        <f t="shared" si="103"/>
        <v/>
      </c>
      <c r="AI1221" s="164">
        <f t="shared" si="104"/>
        <v>6.3867519831284293E-4</v>
      </c>
      <c r="AJ1221" s="382"/>
      <c r="AK1221" s="382"/>
      <c r="AL1221" s="382">
        <v>9.7551209560438525E-3</v>
      </c>
      <c r="AM1221" s="382">
        <v>0.10033838697645107</v>
      </c>
      <c r="AN1221" s="382">
        <v>0</v>
      </c>
      <c r="AO1221" s="382"/>
      <c r="AP1221" s="382">
        <v>0.51562782196231782</v>
      </c>
      <c r="AQ1221" s="382">
        <v>2.0848087071773718E-3</v>
      </c>
      <c r="AR1221" s="382"/>
      <c r="AS1221" s="261"/>
      <c r="AT1221" s="261">
        <f t="shared" si="99"/>
        <v>0.62780613860199019</v>
      </c>
      <c r="AV1221" s="412"/>
      <c r="AW1221" s="347"/>
      <c r="AX1221" s="347"/>
      <c r="AY1221" s="347">
        <v>6.3867519831284293E-4</v>
      </c>
      <c r="AZ1221" s="347">
        <v>6.967910465645745E-3</v>
      </c>
      <c r="BA1221" s="347"/>
      <c r="BB1221" s="347"/>
      <c r="BC1221" s="347">
        <v>3.3072111582428648E-2</v>
      </c>
      <c r="BD1221" s="347">
        <v>1.5577443861288854E-4</v>
      </c>
      <c r="BE1221" s="347"/>
      <c r="BF1221" s="484">
        <f t="shared" si="100"/>
        <v>0</v>
      </c>
      <c r="BG1221" s="484">
        <f t="shared" si="101"/>
        <v>4.0834471685000123E-2</v>
      </c>
      <c r="BJ1221" s="337"/>
    </row>
    <row r="1222" spans="1:62" ht="15" customHeight="1" thickBot="1" x14ac:dyDescent="0.25">
      <c r="A1222" s="176">
        <v>1223</v>
      </c>
      <c r="B1222" s="291">
        <v>1</v>
      </c>
      <c r="C1222" s="167" t="s">
        <v>24</v>
      </c>
      <c r="D1222" s="299" t="s">
        <v>4056</v>
      </c>
      <c r="E1222" s="167" t="s">
        <v>13</v>
      </c>
      <c r="F1222" s="299" t="s">
        <v>3371</v>
      </c>
      <c r="G1222" s="299" t="s">
        <v>15</v>
      </c>
      <c r="H1222" s="299" t="s">
        <v>42</v>
      </c>
      <c r="I1222" s="184">
        <v>2008</v>
      </c>
      <c r="J1222" s="306" t="s">
        <v>3372</v>
      </c>
      <c r="K1222" s="306" t="s">
        <v>116</v>
      </c>
      <c r="L1222" s="184" t="s">
        <v>104</v>
      </c>
      <c r="M1222" s="558" t="s">
        <v>4318</v>
      </c>
      <c r="N1222" s="317" t="s">
        <v>20</v>
      </c>
      <c r="O1222" s="317" t="s">
        <v>15</v>
      </c>
      <c r="P1222" s="317" t="s">
        <v>15</v>
      </c>
      <c r="Q1222" s="317" t="s">
        <v>15</v>
      </c>
      <c r="R1222" s="317" t="s">
        <v>20</v>
      </c>
      <c r="S1222" s="317" t="s">
        <v>20</v>
      </c>
      <c r="T1222" s="317" t="s">
        <v>20</v>
      </c>
      <c r="U1222" s="317" t="s">
        <v>15</v>
      </c>
      <c r="V1222" s="317" t="s">
        <v>15</v>
      </c>
      <c r="W1222" s="317" t="s">
        <v>15</v>
      </c>
      <c r="X1222" s="317" t="s">
        <v>15</v>
      </c>
      <c r="Y1222" s="317" t="s">
        <v>15</v>
      </c>
      <c r="Z1222" s="318" t="s">
        <v>15</v>
      </c>
      <c r="AA1222" s="318" t="s">
        <v>3373</v>
      </c>
      <c r="AB1222" s="318" t="s">
        <v>15</v>
      </c>
      <c r="AC1222" s="318" t="s">
        <v>20</v>
      </c>
      <c r="AD1222" s="330" t="s">
        <v>3374</v>
      </c>
      <c r="AE1222" s="330" t="s">
        <v>92</v>
      </c>
      <c r="AF1222" s="162" t="str">
        <f t="shared" si="102"/>
        <v/>
      </c>
      <c r="AG1222" s="162" t="str">
        <f t="shared" si="98"/>
        <v/>
      </c>
      <c r="AH1222" s="164">
        <f t="shared" si="103"/>
        <v>8.2319999999999993</v>
      </c>
      <c r="AI1222" s="164">
        <f t="shared" si="104"/>
        <v>8.5809999999999995</v>
      </c>
      <c r="AJ1222" s="518"/>
      <c r="AK1222" s="518"/>
      <c r="AL1222" s="518"/>
      <c r="AM1222" s="518"/>
      <c r="AN1222" s="518"/>
      <c r="AO1222" s="518"/>
      <c r="AP1222" s="518"/>
      <c r="AQ1222" s="518"/>
      <c r="AR1222" s="518"/>
      <c r="AS1222" s="529"/>
      <c r="AT1222" s="529"/>
      <c r="AU1222" s="377"/>
      <c r="AV1222" s="534"/>
      <c r="AW1222" s="335">
        <v>8.2319999999999993</v>
      </c>
      <c r="AX1222" s="335">
        <v>0.34899999999999998</v>
      </c>
      <c r="AY1222" s="335"/>
      <c r="AZ1222" s="335">
        <v>0.186</v>
      </c>
      <c r="BA1222" s="335">
        <v>2.3E-2</v>
      </c>
      <c r="BB1222" s="335">
        <v>0.11600000000000001</v>
      </c>
      <c r="BC1222" s="341"/>
      <c r="BD1222" s="335"/>
      <c r="BE1222" s="335"/>
      <c r="BF1222" s="495">
        <f t="shared" si="100"/>
        <v>8.2319999999999993</v>
      </c>
      <c r="BG1222" s="495">
        <f>SUM(AW1222:BB1222)</f>
        <v>8.9059999999999988</v>
      </c>
      <c r="BH1222" s="341"/>
      <c r="BI1222" s="447"/>
      <c r="BJ1222" s="337"/>
    </row>
    <row r="1223" spans="1:62" ht="17" thickBot="1" x14ac:dyDescent="0.25">
      <c r="A1223" s="176">
        <v>1224</v>
      </c>
      <c r="B1223" s="291">
        <v>1</v>
      </c>
      <c r="C1223" s="299" t="s">
        <v>24</v>
      </c>
      <c r="D1223" s="299" t="s">
        <v>53</v>
      </c>
      <c r="E1223" s="299" t="s">
        <v>13</v>
      </c>
      <c r="F1223" s="299" t="s">
        <v>3375</v>
      </c>
      <c r="G1223" s="299" t="s">
        <v>15</v>
      </c>
      <c r="H1223" s="299" t="s">
        <v>42</v>
      </c>
      <c r="I1223" s="184">
        <v>2008</v>
      </c>
      <c r="J1223" s="306" t="s">
        <v>3372</v>
      </c>
      <c r="K1223" s="306" t="s">
        <v>116</v>
      </c>
      <c r="L1223" s="184" t="s">
        <v>104</v>
      </c>
      <c r="M1223" s="558" t="s">
        <v>4318</v>
      </c>
      <c r="N1223" s="317" t="s">
        <v>20</v>
      </c>
      <c r="O1223" s="317" t="s">
        <v>15</v>
      </c>
      <c r="P1223" s="317" t="s">
        <v>15</v>
      </c>
      <c r="Q1223" s="317" t="s">
        <v>15</v>
      </c>
      <c r="R1223" s="317" t="s">
        <v>20</v>
      </c>
      <c r="S1223" s="317" t="s">
        <v>15</v>
      </c>
      <c r="T1223" s="317" t="s">
        <v>15</v>
      </c>
      <c r="U1223" s="317" t="s">
        <v>15</v>
      </c>
      <c r="V1223" s="317" t="s">
        <v>15</v>
      </c>
      <c r="W1223" s="317" t="s">
        <v>15</v>
      </c>
      <c r="X1223" s="317" t="s">
        <v>15</v>
      </c>
      <c r="Y1223" s="317" t="s">
        <v>15</v>
      </c>
      <c r="Z1223" s="318" t="s">
        <v>15</v>
      </c>
      <c r="AA1223" s="318" t="s">
        <v>3373</v>
      </c>
      <c r="AB1223" s="318" t="s">
        <v>15</v>
      </c>
      <c r="AC1223" s="318" t="s">
        <v>20</v>
      </c>
      <c r="AD1223" s="330" t="s">
        <v>3374</v>
      </c>
      <c r="AE1223" s="330" t="s">
        <v>92</v>
      </c>
      <c r="AF1223" s="162" t="str">
        <f t="shared" si="102"/>
        <v/>
      </c>
      <c r="AG1223" s="162" t="str">
        <f t="shared" si="98"/>
        <v/>
      </c>
      <c r="AH1223" s="164">
        <f t="shared" si="103"/>
        <v>15.56</v>
      </c>
      <c r="AI1223" s="164">
        <f t="shared" si="104"/>
        <v>16.77</v>
      </c>
      <c r="AJ1223" s="368"/>
      <c r="AK1223" s="368"/>
      <c r="AL1223" s="368"/>
      <c r="AM1223" s="368"/>
      <c r="AN1223" s="368"/>
      <c r="AO1223" s="368"/>
      <c r="AP1223" s="368"/>
      <c r="AQ1223" s="368"/>
      <c r="AR1223" s="389"/>
      <c r="AS1223" s="262"/>
      <c r="AT1223" s="270"/>
      <c r="AU1223" s="389"/>
      <c r="AV1223" s="418"/>
      <c r="AW1223" s="436">
        <v>15.56</v>
      </c>
      <c r="AX1223" s="359">
        <v>1.21</v>
      </c>
      <c r="AY1223" s="359"/>
      <c r="AZ1223" s="359">
        <v>0.24</v>
      </c>
      <c r="BA1223" s="359"/>
      <c r="BB1223" s="359"/>
      <c r="BC1223" s="426"/>
      <c r="BD1223" s="359"/>
      <c r="BE1223" s="359"/>
      <c r="BF1223" s="469">
        <f t="shared" si="100"/>
        <v>15.56</v>
      </c>
      <c r="BG1223" s="469">
        <f>SUM(AW1223:AZ1223)</f>
        <v>17.009999999999998</v>
      </c>
      <c r="BH1223" s="460"/>
      <c r="BI1223" s="461"/>
      <c r="BJ1223" s="505"/>
    </row>
    <row r="1224" spans="1:62" ht="17" thickBot="1" x14ac:dyDescent="0.25">
      <c r="A1224" s="176">
        <v>1225</v>
      </c>
      <c r="B1224" s="291">
        <v>1</v>
      </c>
      <c r="C1224" s="299" t="s">
        <v>24</v>
      </c>
      <c r="D1224" s="299" t="s">
        <v>53</v>
      </c>
      <c r="E1224" s="299" t="s">
        <v>13</v>
      </c>
      <c r="F1224" s="299" t="s">
        <v>3376</v>
      </c>
      <c r="G1224" s="299" t="s">
        <v>15</v>
      </c>
      <c r="H1224" s="299" t="s">
        <v>376</v>
      </c>
      <c r="I1224" s="184">
        <v>2008</v>
      </c>
      <c r="J1224" s="306" t="s">
        <v>3372</v>
      </c>
      <c r="K1224" s="306" t="s">
        <v>116</v>
      </c>
      <c r="L1224" s="184" t="s">
        <v>104</v>
      </c>
      <c r="M1224" s="558" t="s">
        <v>4318</v>
      </c>
      <c r="N1224" s="317" t="s">
        <v>20</v>
      </c>
      <c r="O1224" s="317" t="s">
        <v>15</v>
      </c>
      <c r="P1224" s="317" t="s">
        <v>15</v>
      </c>
      <c r="Q1224" s="317" t="s">
        <v>15</v>
      </c>
      <c r="R1224" s="317" t="s">
        <v>20</v>
      </c>
      <c r="S1224" s="317" t="s">
        <v>15</v>
      </c>
      <c r="T1224" s="317" t="s">
        <v>15</v>
      </c>
      <c r="U1224" s="317" t="s">
        <v>15</v>
      </c>
      <c r="V1224" s="317" t="s">
        <v>15</v>
      </c>
      <c r="W1224" s="317" t="s">
        <v>15</v>
      </c>
      <c r="X1224" s="317" t="s">
        <v>15</v>
      </c>
      <c r="Y1224" s="317" t="s">
        <v>15</v>
      </c>
      <c r="Z1224" s="318" t="s">
        <v>15</v>
      </c>
      <c r="AA1224" s="318" t="s">
        <v>3373</v>
      </c>
      <c r="AB1224" s="318" t="s">
        <v>15</v>
      </c>
      <c r="AC1224" s="318" t="s">
        <v>20</v>
      </c>
      <c r="AD1224" s="330" t="s">
        <v>3374</v>
      </c>
      <c r="AE1224" s="330" t="s">
        <v>92</v>
      </c>
      <c r="AF1224" s="162" t="str">
        <f t="shared" si="102"/>
        <v/>
      </c>
      <c r="AG1224" s="162" t="str">
        <f t="shared" si="98"/>
        <v/>
      </c>
      <c r="AH1224" s="164">
        <f t="shared" si="103"/>
        <v>37.74</v>
      </c>
      <c r="AI1224" s="164">
        <f t="shared" si="104"/>
        <v>37.79</v>
      </c>
      <c r="AJ1224" s="368"/>
      <c r="AK1224" s="368"/>
      <c r="AL1224" s="368"/>
      <c r="AM1224" s="368"/>
      <c r="AN1224" s="368"/>
      <c r="AO1224" s="368"/>
      <c r="AP1224" s="368"/>
      <c r="AQ1224" s="368"/>
      <c r="AR1224" s="389"/>
      <c r="AS1224" s="262"/>
      <c r="AT1224" s="270"/>
      <c r="AU1224" s="389"/>
      <c r="AV1224" s="418"/>
      <c r="AW1224" s="436">
        <v>37.74</v>
      </c>
      <c r="AX1224" s="359">
        <v>0.05</v>
      </c>
      <c r="AY1224" s="359"/>
      <c r="AZ1224" s="359">
        <v>0.08</v>
      </c>
      <c r="BA1224" s="359"/>
      <c r="BB1224" s="359"/>
      <c r="BC1224" s="426"/>
      <c r="BD1224" s="359"/>
      <c r="BE1224" s="359"/>
      <c r="BF1224" s="469">
        <f t="shared" si="100"/>
        <v>37.74</v>
      </c>
      <c r="BG1224" s="469">
        <f>SUM(AW1224:AZ1224)</f>
        <v>37.869999999999997</v>
      </c>
      <c r="BH1224" s="460"/>
      <c r="BI1224" s="461"/>
      <c r="BJ1224" s="505"/>
    </row>
    <row r="1225" spans="1:62" ht="17" thickBot="1" x14ac:dyDescent="0.25">
      <c r="A1225" s="176">
        <v>1226</v>
      </c>
      <c r="B1225" s="291">
        <v>1</v>
      </c>
      <c r="C1225" s="299" t="s">
        <v>24</v>
      </c>
      <c r="D1225" s="299" t="s">
        <v>53</v>
      </c>
      <c r="E1225" s="299" t="s">
        <v>13</v>
      </c>
      <c r="F1225" s="299" t="s">
        <v>3377</v>
      </c>
      <c r="G1225" s="299" t="s">
        <v>15</v>
      </c>
      <c r="H1225" s="299" t="s">
        <v>375</v>
      </c>
      <c r="I1225" s="184">
        <v>2008</v>
      </c>
      <c r="J1225" s="306" t="s">
        <v>3372</v>
      </c>
      <c r="K1225" s="306" t="s">
        <v>116</v>
      </c>
      <c r="L1225" s="184" t="s">
        <v>104</v>
      </c>
      <c r="M1225" s="558" t="s">
        <v>4318</v>
      </c>
      <c r="N1225" s="317" t="s">
        <v>20</v>
      </c>
      <c r="O1225" s="317" t="s">
        <v>15</v>
      </c>
      <c r="P1225" s="317" t="s">
        <v>15</v>
      </c>
      <c r="Q1225" s="317" t="s">
        <v>15</v>
      </c>
      <c r="R1225" s="317" t="s">
        <v>20</v>
      </c>
      <c r="S1225" s="317" t="s">
        <v>15</v>
      </c>
      <c r="T1225" s="317" t="s">
        <v>15</v>
      </c>
      <c r="U1225" s="317" t="s">
        <v>15</v>
      </c>
      <c r="V1225" s="317" t="s">
        <v>15</v>
      </c>
      <c r="W1225" s="317" t="s">
        <v>15</v>
      </c>
      <c r="X1225" s="317" t="s">
        <v>15</v>
      </c>
      <c r="Y1225" s="317" t="s">
        <v>15</v>
      </c>
      <c r="Z1225" s="318" t="s">
        <v>15</v>
      </c>
      <c r="AA1225" s="318" t="s">
        <v>3373</v>
      </c>
      <c r="AB1225" s="318" t="s">
        <v>15</v>
      </c>
      <c r="AC1225" s="318" t="s">
        <v>20</v>
      </c>
      <c r="AD1225" s="330" t="s">
        <v>3378</v>
      </c>
      <c r="AE1225" s="330" t="s">
        <v>92</v>
      </c>
      <c r="AF1225" s="162" t="str">
        <f t="shared" si="102"/>
        <v/>
      </c>
      <c r="AG1225" s="162" t="str">
        <f t="shared" si="98"/>
        <v/>
      </c>
      <c r="AH1225" s="164">
        <f t="shared" si="103"/>
        <v>58.39</v>
      </c>
      <c r="AI1225" s="164">
        <f t="shared" si="104"/>
        <v>58.44</v>
      </c>
      <c r="AJ1225" s="368"/>
      <c r="AK1225" s="368"/>
      <c r="AL1225" s="368"/>
      <c r="AM1225" s="368"/>
      <c r="AN1225" s="368"/>
      <c r="AO1225" s="368"/>
      <c r="AP1225" s="368"/>
      <c r="AQ1225" s="368"/>
      <c r="AR1225" s="389"/>
      <c r="AS1225" s="262"/>
      <c r="AT1225" s="270"/>
      <c r="AU1225" s="389"/>
      <c r="AV1225" s="418"/>
      <c r="AW1225" s="436">
        <v>58.39</v>
      </c>
      <c r="AX1225" s="359">
        <v>0.05</v>
      </c>
      <c r="AY1225" s="359"/>
      <c r="AZ1225" s="359">
        <v>0.08</v>
      </c>
      <c r="BA1225" s="359"/>
      <c r="BB1225" s="359"/>
      <c r="BC1225" s="426"/>
      <c r="BD1225" s="359"/>
      <c r="BE1225" s="359"/>
      <c r="BF1225" s="469">
        <f t="shared" si="100"/>
        <v>58.39</v>
      </c>
      <c r="BG1225" s="469">
        <f>SUM(AW1225:AZ1225)</f>
        <v>58.519999999999996</v>
      </c>
      <c r="BH1225" s="460"/>
      <c r="BI1225" s="461"/>
      <c r="BJ1225" s="505"/>
    </row>
    <row r="1226" spans="1:62" ht="17" thickBot="1" x14ac:dyDescent="0.25">
      <c r="A1226" s="176">
        <v>1227</v>
      </c>
      <c r="B1226" s="291">
        <v>1</v>
      </c>
      <c r="C1226" s="299" t="s">
        <v>24</v>
      </c>
      <c r="D1226" s="299" t="s">
        <v>283</v>
      </c>
      <c r="E1226" s="299" t="s">
        <v>13</v>
      </c>
      <c r="F1226" s="299" t="s">
        <v>3379</v>
      </c>
      <c r="G1226" s="299" t="s">
        <v>15</v>
      </c>
      <c r="H1226" s="299" t="s">
        <v>375</v>
      </c>
      <c r="I1226" s="184">
        <v>2008</v>
      </c>
      <c r="J1226" s="306" t="s">
        <v>3372</v>
      </c>
      <c r="K1226" s="306" t="s">
        <v>116</v>
      </c>
      <c r="L1226" s="184" t="s">
        <v>104</v>
      </c>
      <c r="M1226" s="558" t="s">
        <v>4318</v>
      </c>
      <c r="N1226" s="317" t="s">
        <v>20</v>
      </c>
      <c r="O1226" s="317" t="s">
        <v>15</v>
      </c>
      <c r="P1226" s="317" t="s">
        <v>15</v>
      </c>
      <c r="Q1226" s="317" t="s">
        <v>15</v>
      </c>
      <c r="R1226" s="317" t="s">
        <v>20</v>
      </c>
      <c r="S1226" s="317" t="s">
        <v>20</v>
      </c>
      <c r="T1226" s="317" t="s">
        <v>20</v>
      </c>
      <c r="U1226" s="317" t="s">
        <v>15</v>
      </c>
      <c r="V1226" s="317" t="s">
        <v>15</v>
      </c>
      <c r="W1226" s="317" t="s">
        <v>15</v>
      </c>
      <c r="X1226" s="317" t="s">
        <v>15</v>
      </c>
      <c r="Y1226" s="317" t="s">
        <v>15</v>
      </c>
      <c r="Z1226" s="318" t="s">
        <v>15</v>
      </c>
      <c r="AA1226" s="234"/>
      <c r="AB1226" s="318"/>
      <c r="AC1226" s="318" t="s">
        <v>20</v>
      </c>
      <c r="AD1226" s="330" t="s">
        <v>3378</v>
      </c>
      <c r="AE1226" s="319"/>
      <c r="AF1226" s="162" t="str">
        <f t="shared" si="102"/>
        <v/>
      </c>
      <c r="AG1226" s="162" t="str">
        <f t="shared" si="98"/>
        <v/>
      </c>
      <c r="AH1226" s="164">
        <f t="shared" si="103"/>
        <v>2.44</v>
      </c>
      <c r="AI1226" s="164">
        <f t="shared" si="104"/>
        <v>2.4859999999999998</v>
      </c>
      <c r="AJ1226" s="368"/>
      <c r="AK1226" s="368"/>
      <c r="AL1226" s="368"/>
      <c r="AM1226" s="368"/>
      <c r="AN1226" s="368"/>
      <c r="AO1226" s="368"/>
      <c r="AP1226" s="368"/>
      <c r="AQ1226" s="368"/>
      <c r="AR1226" s="389"/>
      <c r="AS1226" s="264"/>
      <c r="AT1226" s="270"/>
      <c r="AU1226" s="389"/>
      <c r="AV1226" s="419"/>
      <c r="AW1226" s="436">
        <v>2.44</v>
      </c>
      <c r="AX1226" s="359">
        <v>4.5999999999999999E-2</v>
      </c>
      <c r="AY1226" s="359"/>
      <c r="AZ1226" s="359">
        <v>0.186</v>
      </c>
      <c r="BA1226" s="359">
        <v>0.11600000000000001</v>
      </c>
      <c r="BB1226" s="359">
        <v>0.11600000000000001</v>
      </c>
      <c r="BC1226" s="426"/>
      <c r="BD1226" s="359"/>
      <c r="BE1226" s="359"/>
      <c r="BF1226" s="469">
        <f t="shared" si="100"/>
        <v>2.44</v>
      </c>
      <c r="BG1226" s="469">
        <f t="shared" ref="BG1226:BG1247" si="105">SUM(AW1226:BE1226)</f>
        <v>2.9039999999999999</v>
      </c>
      <c r="BH1226" s="460"/>
      <c r="BI1226" s="461"/>
      <c r="BJ1226" s="505"/>
    </row>
    <row r="1227" spans="1:62" ht="17" thickBot="1" x14ac:dyDescent="0.25">
      <c r="A1227" s="176">
        <v>1228</v>
      </c>
      <c r="B1227" s="291">
        <v>1</v>
      </c>
      <c r="C1227" s="299" t="s">
        <v>24</v>
      </c>
      <c r="D1227" s="299" t="s">
        <v>283</v>
      </c>
      <c r="E1227" s="299" t="s">
        <v>13</v>
      </c>
      <c r="F1227" s="299" t="s">
        <v>3380</v>
      </c>
      <c r="G1227" s="299" t="s">
        <v>15</v>
      </c>
      <c r="H1227" s="299" t="s">
        <v>42</v>
      </c>
      <c r="I1227" s="184">
        <v>2008</v>
      </c>
      <c r="J1227" s="306" t="s">
        <v>3372</v>
      </c>
      <c r="K1227" s="306" t="s">
        <v>116</v>
      </c>
      <c r="L1227" s="184" t="s">
        <v>104</v>
      </c>
      <c r="M1227" s="558" t="s">
        <v>4318</v>
      </c>
      <c r="N1227" s="317" t="s">
        <v>20</v>
      </c>
      <c r="O1227" s="317" t="s">
        <v>15</v>
      </c>
      <c r="P1227" s="317" t="s">
        <v>15</v>
      </c>
      <c r="Q1227" s="317" t="s">
        <v>15</v>
      </c>
      <c r="R1227" s="317" t="s">
        <v>20</v>
      </c>
      <c r="S1227" s="317" t="s">
        <v>20</v>
      </c>
      <c r="T1227" s="317" t="s">
        <v>20</v>
      </c>
      <c r="U1227" s="317" t="s">
        <v>15</v>
      </c>
      <c r="V1227" s="317" t="s">
        <v>15</v>
      </c>
      <c r="W1227" s="317" t="s">
        <v>15</v>
      </c>
      <c r="X1227" s="317" t="s">
        <v>15</v>
      </c>
      <c r="Y1227" s="317" t="s">
        <v>15</v>
      </c>
      <c r="Z1227" s="318" t="s">
        <v>15</v>
      </c>
      <c r="AA1227" s="234"/>
      <c r="AB1227" s="318"/>
      <c r="AC1227" s="318" t="s">
        <v>20</v>
      </c>
      <c r="AD1227" s="330" t="s">
        <v>3378</v>
      </c>
      <c r="AE1227" s="319"/>
      <c r="AF1227" s="162" t="str">
        <f t="shared" si="102"/>
        <v/>
      </c>
      <c r="AG1227" s="162" t="str">
        <f t="shared" si="98"/>
        <v/>
      </c>
      <c r="AH1227" s="164">
        <f t="shared" si="103"/>
        <v>2.72</v>
      </c>
      <c r="AI1227" s="164">
        <f t="shared" si="104"/>
        <v>2.7670000000000003</v>
      </c>
      <c r="AJ1227" s="368"/>
      <c r="AK1227" s="368"/>
      <c r="AL1227" s="368"/>
      <c r="AM1227" s="368"/>
      <c r="AN1227" s="368"/>
      <c r="AO1227" s="368"/>
      <c r="AP1227" s="368"/>
      <c r="AQ1227" s="368"/>
      <c r="AR1227" s="389"/>
      <c r="AS1227" s="264"/>
      <c r="AT1227" s="270"/>
      <c r="AU1227" s="389"/>
      <c r="AV1227" s="418"/>
      <c r="AW1227" s="436">
        <v>2.72</v>
      </c>
      <c r="AX1227" s="359">
        <v>4.7E-2</v>
      </c>
      <c r="AY1227" s="359"/>
      <c r="AZ1227" s="359">
        <v>0.186</v>
      </c>
      <c r="BA1227" s="359">
        <v>2.3E-2</v>
      </c>
      <c r="BB1227" s="359">
        <v>0.11600000000000001</v>
      </c>
      <c r="BC1227" s="426"/>
      <c r="BD1227" s="359"/>
      <c r="BE1227" s="359"/>
      <c r="BF1227" s="469">
        <f t="shared" si="100"/>
        <v>2.72</v>
      </c>
      <c r="BG1227" s="469">
        <f t="shared" si="105"/>
        <v>3.0920000000000005</v>
      </c>
      <c r="BH1227" s="460"/>
      <c r="BI1227" s="461"/>
      <c r="BJ1227" s="505"/>
    </row>
    <row r="1228" spans="1:62" ht="17" thickBot="1" x14ac:dyDescent="0.25">
      <c r="A1228" s="176">
        <v>1229</v>
      </c>
      <c r="B1228" s="291">
        <v>1</v>
      </c>
      <c r="C1228" s="299" t="s">
        <v>24</v>
      </c>
      <c r="D1228" s="299" t="s">
        <v>269</v>
      </c>
      <c r="E1228" s="299" t="s">
        <v>13</v>
      </c>
      <c r="F1228" s="299" t="s">
        <v>3381</v>
      </c>
      <c r="G1228" s="299" t="s">
        <v>15</v>
      </c>
      <c r="H1228" s="299" t="s">
        <v>42</v>
      </c>
      <c r="I1228" s="184">
        <v>2008</v>
      </c>
      <c r="J1228" s="306" t="s">
        <v>3372</v>
      </c>
      <c r="K1228" s="306" t="s">
        <v>116</v>
      </c>
      <c r="L1228" s="184" t="s">
        <v>104</v>
      </c>
      <c r="M1228" s="558" t="s">
        <v>4318</v>
      </c>
      <c r="N1228" s="317" t="s">
        <v>20</v>
      </c>
      <c r="O1228" s="317" t="s">
        <v>15</v>
      </c>
      <c r="P1228" s="317" t="s">
        <v>15</v>
      </c>
      <c r="Q1228" s="317" t="s">
        <v>15</v>
      </c>
      <c r="R1228" s="317" t="s">
        <v>20</v>
      </c>
      <c r="S1228" s="317" t="s">
        <v>15</v>
      </c>
      <c r="T1228" s="317" t="s">
        <v>20</v>
      </c>
      <c r="U1228" s="317" t="s">
        <v>15</v>
      </c>
      <c r="V1228" s="317" t="s">
        <v>15</v>
      </c>
      <c r="W1228" s="317" t="s">
        <v>15</v>
      </c>
      <c r="X1228" s="317" t="s">
        <v>15</v>
      </c>
      <c r="Y1228" s="317" t="s">
        <v>15</v>
      </c>
      <c r="Z1228" s="318" t="s">
        <v>15</v>
      </c>
      <c r="AA1228" s="234"/>
      <c r="AB1228" s="318"/>
      <c r="AC1228" s="318" t="s">
        <v>20</v>
      </c>
      <c r="AD1228" s="330" t="s">
        <v>3378</v>
      </c>
      <c r="AE1228" s="319"/>
      <c r="AF1228" s="162" t="str">
        <f t="shared" si="102"/>
        <v/>
      </c>
      <c r="AG1228" s="162" t="str">
        <f t="shared" si="98"/>
        <v/>
      </c>
      <c r="AH1228" s="164">
        <f t="shared" si="103"/>
        <v>3.907</v>
      </c>
      <c r="AI1228" s="164">
        <f t="shared" si="104"/>
        <v>4.2089999999999996</v>
      </c>
      <c r="AJ1228" s="368"/>
      <c r="AK1228" s="368"/>
      <c r="AL1228" s="368"/>
      <c r="AM1228" s="368"/>
      <c r="AN1228" s="368"/>
      <c r="AO1228" s="368"/>
      <c r="AP1228" s="368"/>
      <c r="AQ1228" s="368"/>
      <c r="AR1228" s="389"/>
      <c r="AS1228" s="264"/>
      <c r="AT1228" s="270"/>
      <c r="AU1228" s="389"/>
      <c r="AV1228" s="418"/>
      <c r="AW1228" s="436">
        <v>3.907</v>
      </c>
      <c r="AX1228" s="359">
        <v>0.30199999999999999</v>
      </c>
      <c r="AY1228" s="359"/>
      <c r="AZ1228" s="359">
        <v>0.20899999999999999</v>
      </c>
      <c r="BA1228" s="359"/>
      <c r="BB1228" s="359">
        <v>0.11600000000000001</v>
      </c>
      <c r="BC1228" s="426"/>
      <c r="BD1228" s="359"/>
      <c r="BE1228" s="359"/>
      <c r="BF1228" s="469">
        <f t="shared" si="100"/>
        <v>3.907</v>
      </c>
      <c r="BG1228" s="469">
        <f t="shared" si="105"/>
        <v>4.5339999999999989</v>
      </c>
      <c r="BH1228" s="460"/>
      <c r="BI1228" s="461"/>
      <c r="BJ1228" s="505"/>
    </row>
    <row r="1229" spans="1:62" ht="17" thickBot="1" x14ac:dyDescent="0.25">
      <c r="A1229" s="176">
        <v>1230</v>
      </c>
      <c r="B1229" s="291">
        <v>1</v>
      </c>
      <c r="C1229" s="299" t="s">
        <v>24</v>
      </c>
      <c r="D1229" s="167" t="s">
        <v>394</v>
      </c>
      <c r="E1229" s="299" t="s">
        <v>13</v>
      </c>
      <c r="F1229" s="299" t="s">
        <v>394</v>
      </c>
      <c r="G1229" s="299" t="s">
        <v>15</v>
      </c>
      <c r="H1229" s="299" t="s">
        <v>42</v>
      </c>
      <c r="I1229" s="184">
        <v>2008</v>
      </c>
      <c r="J1229" s="306" t="s">
        <v>3372</v>
      </c>
      <c r="K1229" s="306" t="s">
        <v>116</v>
      </c>
      <c r="L1229" s="184" t="s">
        <v>104</v>
      </c>
      <c r="M1229" s="558" t="s">
        <v>4318</v>
      </c>
      <c r="N1229" s="317" t="s">
        <v>20</v>
      </c>
      <c r="O1229" s="317" t="s">
        <v>15</v>
      </c>
      <c r="P1229" s="317" t="s">
        <v>15</v>
      </c>
      <c r="Q1229" s="317" t="s">
        <v>15</v>
      </c>
      <c r="R1229" s="317" t="s">
        <v>20</v>
      </c>
      <c r="S1229" s="317" t="s">
        <v>15</v>
      </c>
      <c r="T1229" s="317" t="s">
        <v>20</v>
      </c>
      <c r="U1229" s="317" t="s">
        <v>15</v>
      </c>
      <c r="V1229" s="317" t="s">
        <v>15</v>
      </c>
      <c r="W1229" s="317" t="s">
        <v>15</v>
      </c>
      <c r="X1229" s="317" t="s">
        <v>15</v>
      </c>
      <c r="Y1229" s="317" t="s">
        <v>15</v>
      </c>
      <c r="Z1229" s="318" t="s">
        <v>15</v>
      </c>
      <c r="AA1229" s="234"/>
      <c r="AB1229" s="318"/>
      <c r="AC1229" s="318" t="s">
        <v>20</v>
      </c>
      <c r="AD1229" s="330" t="s">
        <v>3378</v>
      </c>
      <c r="AE1229" s="319"/>
      <c r="AF1229" s="162" t="str">
        <f t="shared" si="102"/>
        <v/>
      </c>
      <c r="AG1229" s="162" t="str">
        <f t="shared" si="98"/>
        <v/>
      </c>
      <c r="AH1229" s="164">
        <f t="shared" si="103"/>
        <v>5.7670000000000003</v>
      </c>
      <c r="AI1229" s="164">
        <f t="shared" si="104"/>
        <v>5.9300000000000006</v>
      </c>
      <c r="AJ1229" s="368"/>
      <c r="AK1229" s="368"/>
      <c r="AL1229" s="368"/>
      <c r="AM1229" s="368"/>
      <c r="AN1229" s="368"/>
      <c r="AO1229" s="368"/>
      <c r="AP1229" s="368"/>
      <c r="AQ1229" s="368"/>
      <c r="AR1229" s="389"/>
      <c r="AS1229" s="264"/>
      <c r="AT1229" s="270"/>
      <c r="AU1229" s="389"/>
      <c r="AV1229" s="418"/>
      <c r="AW1229" s="436">
        <v>5.7670000000000003</v>
      </c>
      <c r="AX1229" s="359">
        <v>0.16300000000000001</v>
      </c>
      <c r="AY1229" s="359"/>
      <c r="AZ1229" s="359">
        <v>0.20899999999999999</v>
      </c>
      <c r="BA1229" s="359"/>
      <c r="BB1229" s="359">
        <v>0.112</v>
      </c>
      <c r="BC1229" s="426"/>
      <c r="BD1229" s="359"/>
      <c r="BE1229" s="359"/>
      <c r="BF1229" s="469">
        <f t="shared" si="100"/>
        <v>5.7670000000000003</v>
      </c>
      <c r="BG1229" s="469">
        <f t="shared" si="105"/>
        <v>6.2510000000000003</v>
      </c>
      <c r="BH1229" s="460"/>
      <c r="BI1229" s="461"/>
      <c r="BJ1229" s="505"/>
    </row>
    <row r="1230" spans="1:62" ht="17" thickBot="1" x14ac:dyDescent="0.25">
      <c r="A1230" s="176">
        <v>1231</v>
      </c>
      <c r="B1230" s="291">
        <v>1</v>
      </c>
      <c r="C1230" s="299" t="s">
        <v>24</v>
      </c>
      <c r="D1230" s="299" t="s">
        <v>346</v>
      </c>
      <c r="E1230" s="299" t="s">
        <v>13</v>
      </c>
      <c r="F1230" s="299" t="s">
        <v>2426</v>
      </c>
      <c r="G1230" s="299" t="s">
        <v>15</v>
      </c>
      <c r="H1230" s="299" t="s">
        <v>42</v>
      </c>
      <c r="I1230" s="184">
        <v>2008</v>
      </c>
      <c r="J1230" s="306" t="s">
        <v>3372</v>
      </c>
      <c r="K1230" s="306" t="s">
        <v>116</v>
      </c>
      <c r="L1230" s="184" t="s">
        <v>104</v>
      </c>
      <c r="M1230" s="558" t="s">
        <v>4318</v>
      </c>
      <c r="N1230" s="317" t="s">
        <v>20</v>
      </c>
      <c r="O1230" s="317" t="s">
        <v>15</v>
      </c>
      <c r="P1230" s="317" t="s">
        <v>15</v>
      </c>
      <c r="Q1230" s="317" t="s">
        <v>15</v>
      </c>
      <c r="R1230" s="317" t="s">
        <v>20</v>
      </c>
      <c r="S1230" s="317" t="s">
        <v>15</v>
      </c>
      <c r="T1230" s="317" t="s">
        <v>20</v>
      </c>
      <c r="U1230" s="317" t="s">
        <v>15</v>
      </c>
      <c r="V1230" s="317" t="s">
        <v>15</v>
      </c>
      <c r="W1230" s="317" t="s">
        <v>15</v>
      </c>
      <c r="X1230" s="317" t="s">
        <v>15</v>
      </c>
      <c r="Y1230" s="317" t="s">
        <v>15</v>
      </c>
      <c r="Z1230" s="318" t="s">
        <v>15</v>
      </c>
      <c r="AA1230" s="234"/>
      <c r="AB1230" s="318"/>
      <c r="AC1230" s="318" t="s">
        <v>20</v>
      </c>
      <c r="AD1230" s="330" t="s">
        <v>3378</v>
      </c>
      <c r="AE1230" s="319"/>
      <c r="AF1230" s="162" t="str">
        <f t="shared" si="102"/>
        <v/>
      </c>
      <c r="AG1230" s="162" t="str">
        <f t="shared" si="98"/>
        <v/>
      </c>
      <c r="AH1230" s="164">
        <f t="shared" si="103"/>
        <v>15.93</v>
      </c>
      <c r="AI1230" s="164">
        <f t="shared" si="104"/>
        <v>16</v>
      </c>
      <c r="AJ1230" s="369"/>
      <c r="AK1230" s="369"/>
      <c r="AL1230" s="369"/>
      <c r="AM1230" s="369"/>
      <c r="AN1230" s="369"/>
      <c r="AO1230" s="369"/>
      <c r="AP1230" s="368"/>
      <c r="AQ1230" s="368"/>
      <c r="AR1230" s="389"/>
      <c r="AS1230" s="263"/>
      <c r="AT1230" s="271"/>
      <c r="AU1230" s="389"/>
      <c r="AV1230" s="419"/>
      <c r="AW1230" s="436">
        <v>15.93</v>
      </c>
      <c r="AX1230" s="359">
        <v>7.0000000000000007E-2</v>
      </c>
      <c r="AY1230" s="359"/>
      <c r="AZ1230" s="359">
        <v>0.186</v>
      </c>
      <c r="BA1230" s="359"/>
      <c r="BB1230" s="359">
        <v>0.11600000000000001</v>
      </c>
      <c r="BC1230" s="426"/>
      <c r="BD1230" s="359"/>
      <c r="BE1230" s="359"/>
      <c r="BF1230" s="469">
        <f t="shared" si="100"/>
        <v>15.93</v>
      </c>
      <c r="BG1230" s="469">
        <f t="shared" si="105"/>
        <v>16.302</v>
      </c>
      <c r="BH1230" s="460"/>
      <c r="BI1230" s="461"/>
      <c r="BJ1230" s="505"/>
    </row>
    <row r="1231" spans="1:62" ht="17" thickBot="1" x14ac:dyDescent="0.25">
      <c r="A1231" s="176">
        <v>1232</v>
      </c>
      <c r="B1231" s="291">
        <v>1</v>
      </c>
      <c r="C1231" s="299" t="s">
        <v>398</v>
      </c>
      <c r="D1231" s="299" t="s">
        <v>3382</v>
      </c>
      <c r="E1231" s="299" t="s">
        <v>13</v>
      </c>
      <c r="F1231" s="299" t="s">
        <v>3382</v>
      </c>
      <c r="G1231" s="299" t="s">
        <v>15</v>
      </c>
      <c r="H1231" s="299" t="s">
        <v>42</v>
      </c>
      <c r="I1231" s="184">
        <v>2008</v>
      </c>
      <c r="J1231" s="306" t="s">
        <v>3372</v>
      </c>
      <c r="K1231" s="306" t="s">
        <v>116</v>
      </c>
      <c r="L1231" s="184" t="s">
        <v>104</v>
      </c>
      <c r="M1231" s="558" t="s">
        <v>4318</v>
      </c>
      <c r="N1231" s="317" t="s">
        <v>20</v>
      </c>
      <c r="O1231" s="317" t="s">
        <v>15</v>
      </c>
      <c r="P1231" s="317" t="s">
        <v>20</v>
      </c>
      <c r="Q1231" s="317" t="s">
        <v>20</v>
      </c>
      <c r="R1231" s="317" t="s">
        <v>20</v>
      </c>
      <c r="S1231" s="317" t="s">
        <v>20</v>
      </c>
      <c r="T1231" s="317" t="s">
        <v>20</v>
      </c>
      <c r="U1231" s="317" t="s">
        <v>15</v>
      </c>
      <c r="V1231" s="317" t="s">
        <v>15</v>
      </c>
      <c r="W1231" s="317" t="s">
        <v>15</v>
      </c>
      <c r="X1231" s="317" t="s">
        <v>15</v>
      </c>
      <c r="Y1231" s="317" t="s">
        <v>15</v>
      </c>
      <c r="Z1231" s="318" t="s">
        <v>15</v>
      </c>
      <c r="AA1231" s="234"/>
      <c r="AB1231" s="318"/>
      <c r="AC1231" s="318" t="s">
        <v>20</v>
      </c>
      <c r="AD1231" s="330" t="s">
        <v>3378</v>
      </c>
      <c r="AE1231" s="319"/>
      <c r="AF1231" s="162" t="str">
        <f t="shared" si="102"/>
        <v/>
      </c>
      <c r="AG1231" s="162" t="str">
        <f t="shared" si="98"/>
        <v/>
      </c>
      <c r="AH1231" s="164">
        <f t="shared" si="103"/>
        <v>0.45300000000000001</v>
      </c>
      <c r="AI1231" s="164">
        <f t="shared" si="104"/>
        <v>0.77300000000000002</v>
      </c>
      <c r="AJ1231" s="369"/>
      <c r="AK1231" s="369"/>
      <c r="AL1231" s="368"/>
      <c r="AM1231" s="369"/>
      <c r="AN1231" s="368"/>
      <c r="AO1231" s="369"/>
      <c r="AP1231" s="368"/>
      <c r="AQ1231" s="368"/>
      <c r="AR1231" s="389"/>
      <c r="AS1231" s="263"/>
      <c r="AT1231" s="271"/>
      <c r="AU1231" s="389"/>
      <c r="AV1231" s="419"/>
      <c r="AW1231" s="437">
        <v>0.45300000000000001</v>
      </c>
      <c r="AX1231" s="438">
        <v>0.08</v>
      </c>
      <c r="AY1231" s="438">
        <v>0.24</v>
      </c>
      <c r="AZ1231" s="438">
        <v>0.2</v>
      </c>
      <c r="BA1231" s="438">
        <v>2.7E-2</v>
      </c>
      <c r="BB1231" s="438">
        <v>9.2999999999999999E-2</v>
      </c>
      <c r="BC1231" s="426"/>
      <c r="BD1231" s="359"/>
      <c r="BE1231" s="359"/>
      <c r="BF1231" s="469">
        <f t="shared" si="100"/>
        <v>0.45300000000000001</v>
      </c>
      <c r="BG1231" s="469">
        <f t="shared" si="105"/>
        <v>1.093</v>
      </c>
      <c r="BH1231" s="460"/>
      <c r="BI1231" s="461"/>
      <c r="BJ1231" s="505"/>
    </row>
    <row r="1232" spans="1:62" ht="17" thickBot="1" x14ac:dyDescent="0.25">
      <c r="A1232" s="176">
        <v>1233</v>
      </c>
      <c r="B1232" s="291">
        <v>1</v>
      </c>
      <c r="C1232" s="167" t="s">
        <v>398</v>
      </c>
      <c r="D1232" s="299" t="s">
        <v>406</v>
      </c>
      <c r="E1232" s="299" t="s">
        <v>13</v>
      </c>
      <c r="F1232" s="299" t="s">
        <v>406</v>
      </c>
      <c r="G1232" s="299" t="s">
        <v>15</v>
      </c>
      <c r="H1232" s="299" t="s">
        <v>42</v>
      </c>
      <c r="I1232" s="184">
        <v>2008</v>
      </c>
      <c r="J1232" s="306" t="s">
        <v>3372</v>
      </c>
      <c r="K1232" s="306" t="s">
        <v>116</v>
      </c>
      <c r="L1232" s="184" t="s">
        <v>104</v>
      </c>
      <c r="M1232" s="558" t="s">
        <v>4318</v>
      </c>
      <c r="N1232" s="317" t="s">
        <v>20</v>
      </c>
      <c r="O1232" s="317" t="s">
        <v>15</v>
      </c>
      <c r="P1232" s="317" t="s">
        <v>20</v>
      </c>
      <c r="Q1232" s="317" t="s">
        <v>20</v>
      </c>
      <c r="R1232" s="317" t="s">
        <v>20</v>
      </c>
      <c r="S1232" s="317" t="s">
        <v>20</v>
      </c>
      <c r="T1232" s="317" t="s">
        <v>20</v>
      </c>
      <c r="U1232" s="317" t="s">
        <v>15</v>
      </c>
      <c r="V1232" s="317" t="s">
        <v>15</v>
      </c>
      <c r="W1232" s="317" t="s">
        <v>15</v>
      </c>
      <c r="X1232" s="317" t="s">
        <v>15</v>
      </c>
      <c r="Y1232" s="317" t="s">
        <v>15</v>
      </c>
      <c r="Z1232" s="318" t="s">
        <v>15</v>
      </c>
      <c r="AA1232" s="234"/>
      <c r="AB1232" s="318"/>
      <c r="AC1232" s="318" t="s">
        <v>20</v>
      </c>
      <c r="AD1232" s="330" t="s">
        <v>3378</v>
      </c>
      <c r="AE1232" s="319"/>
      <c r="AF1232" s="162" t="str">
        <f t="shared" si="102"/>
        <v/>
      </c>
      <c r="AG1232" s="162" t="str">
        <f t="shared" si="98"/>
        <v/>
      </c>
      <c r="AH1232" s="164">
        <f t="shared" si="103"/>
        <v>0.61</v>
      </c>
      <c r="AI1232" s="164">
        <f t="shared" si="104"/>
        <v>1.6639999999999999</v>
      </c>
      <c r="AJ1232" s="369"/>
      <c r="AK1232" s="369"/>
      <c r="AL1232" s="369"/>
      <c r="AM1232" s="369"/>
      <c r="AN1232" s="369"/>
      <c r="AO1232" s="369"/>
      <c r="AP1232" s="368"/>
      <c r="AQ1232" s="368"/>
      <c r="AR1232" s="389"/>
      <c r="AS1232" s="263"/>
      <c r="AT1232" s="271"/>
      <c r="AU1232" s="389"/>
      <c r="AV1232" s="419"/>
      <c r="AW1232" s="436">
        <v>0.61</v>
      </c>
      <c r="AX1232" s="359">
        <v>0.107</v>
      </c>
      <c r="AY1232" s="359">
        <v>0.94699999999999995</v>
      </c>
      <c r="AZ1232" s="359">
        <v>0.2</v>
      </c>
      <c r="BA1232" s="359">
        <v>2.7E-2</v>
      </c>
      <c r="BB1232" s="359">
        <v>9.2999999999999999E-2</v>
      </c>
      <c r="BC1232" s="426"/>
      <c r="BD1232" s="359"/>
      <c r="BE1232" s="359"/>
      <c r="BF1232" s="469">
        <f t="shared" si="100"/>
        <v>0.61</v>
      </c>
      <c r="BG1232" s="469">
        <f t="shared" si="105"/>
        <v>1.9839999999999998</v>
      </c>
      <c r="BH1232" s="460"/>
      <c r="BI1232" s="461"/>
      <c r="BJ1232" s="505"/>
    </row>
    <row r="1233" spans="1:62" ht="17" thickBot="1" x14ac:dyDescent="0.25">
      <c r="A1233" s="176">
        <v>1234</v>
      </c>
      <c r="B1233" s="291">
        <v>1</v>
      </c>
      <c r="C1233" s="167" t="s">
        <v>760</v>
      </c>
      <c r="D1233" s="299" t="s">
        <v>2335</v>
      </c>
      <c r="E1233" s="299" t="s">
        <v>13</v>
      </c>
      <c r="F1233" s="299" t="s">
        <v>2335</v>
      </c>
      <c r="G1233" s="299" t="s">
        <v>15</v>
      </c>
      <c r="H1233" s="299" t="s">
        <v>42</v>
      </c>
      <c r="I1233" s="184">
        <v>2008</v>
      </c>
      <c r="J1233" s="306" t="s">
        <v>3372</v>
      </c>
      <c r="K1233" s="306" t="s">
        <v>116</v>
      </c>
      <c r="L1233" s="184" t="s">
        <v>104</v>
      </c>
      <c r="M1233" s="558" t="s">
        <v>4318</v>
      </c>
      <c r="N1233" s="317" t="s">
        <v>20</v>
      </c>
      <c r="O1233" s="317" t="s">
        <v>15</v>
      </c>
      <c r="P1233" s="317" t="s">
        <v>20</v>
      </c>
      <c r="Q1233" s="317" t="s">
        <v>20</v>
      </c>
      <c r="R1233" s="317" t="s">
        <v>20</v>
      </c>
      <c r="S1233" s="317" t="s">
        <v>20</v>
      </c>
      <c r="T1233" s="317" t="s">
        <v>15</v>
      </c>
      <c r="U1233" s="317" t="s">
        <v>15</v>
      </c>
      <c r="V1233" s="317" t="s">
        <v>15</v>
      </c>
      <c r="W1233" s="317" t="s">
        <v>15</v>
      </c>
      <c r="X1233" s="317" t="s">
        <v>15</v>
      </c>
      <c r="Y1233" s="317" t="s">
        <v>15</v>
      </c>
      <c r="Z1233" s="318" t="s">
        <v>15</v>
      </c>
      <c r="AA1233" s="234"/>
      <c r="AB1233" s="318"/>
      <c r="AC1233" s="318" t="s">
        <v>20</v>
      </c>
      <c r="AD1233" s="330" t="s">
        <v>3378</v>
      </c>
      <c r="AE1233" s="319"/>
      <c r="AF1233" s="162" t="str">
        <f t="shared" si="102"/>
        <v/>
      </c>
      <c r="AG1233" s="162" t="str">
        <f t="shared" si="98"/>
        <v/>
      </c>
      <c r="AH1233" s="164">
        <f t="shared" si="103"/>
        <v>1.53</v>
      </c>
      <c r="AI1233" s="164">
        <f t="shared" si="104"/>
        <v>1.903</v>
      </c>
      <c r="AJ1233" s="369"/>
      <c r="AK1233" s="369"/>
      <c r="AL1233" s="369"/>
      <c r="AM1233" s="369"/>
      <c r="AN1233" s="369"/>
      <c r="AO1233" s="369"/>
      <c r="AP1233" s="368"/>
      <c r="AQ1233" s="368"/>
      <c r="AR1233" s="389"/>
      <c r="AS1233" s="263"/>
      <c r="AT1233" s="271"/>
      <c r="AU1233" s="389"/>
      <c r="AV1233" s="419"/>
      <c r="AW1233" s="436">
        <v>1.53</v>
      </c>
      <c r="AX1233" s="359">
        <v>9.2999999999999999E-2</v>
      </c>
      <c r="AY1233" s="359">
        <v>0.28000000000000003</v>
      </c>
      <c r="AZ1233" s="359">
        <v>0.21299999999999999</v>
      </c>
      <c r="BA1233" s="359">
        <v>1.2999999999999999E-2</v>
      </c>
      <c r="BB1233" s="359"/>
      <c r="BC1233" s="426"/>
      <c r="BD1233" s="359"/>
      <c r="BE1233" s="359"/>
      <c r="BF1233" s="469">
        <f t="shared" si="100"/>
        <v>1.53</v>
      </c>
      <c r="BG1233" s="469">
        <f t="shared" si="105"/>
        <v>2.129</v>
      </c>
      <c r="BH1233" s="460"/>
      <c r="BI1233" s="461"/>
      <c r="BJ1233" s="505"/>
    </row>
    <row r="1234" spans="1:62" ht="17" thickBot="1" x14ac:dyDescent="0.25">
      <c r="A1234" s="176">
        <v>1235</v>
      </c>
      <c r="B1234" s="291">
        <v>1</v>
      </c>
      <c r="C1234" s="167" t="s">
        <v>39</v>
      </c>
      <c r="D1234" s="299" t="s">
        <v>40</v>
      </c>
      <c r="E1234" s="299" t="s">
        <v>13</v>
      </c>
      <c r="F1234" s="299" t="s">
        <v>3383</v>
      </c>
      <c r="G1234" s="299" t="s">
        <v>15</v>
      </c>
      <c r="H1234" s="299" t="s">
        <v>42</v>
      </c>
      <c r="I1234" s="184">
        <v>2008</v>
      </c>
      <c r="J1234" s="306" t="s">
        <v>3372</v>
      </c>
      <c r="K1234" s="306" t="s">
        <v>116</v>
      </c>
      <c r="L1234" s="184" t="s">
        <v>104</v>
      </c>
      <c r="M1234" s="558" t="s">
        <v>4318</v>
      </c>
      <c r="N1234" s="317" t="s">
        <v>20</v>
      </c>
      <c r="O1234" s="317" t="s">
        <v>15</v>
      </c>
      <c r="P1234" s="317" t="s">
        <v>20</v>
      </c>
      <c r="Q1234" s="317" t="s">
        <v>20</v>
      </c>
      <c r="R1234" s="317" t="s">
        <v>20</v>
      </c>
      <c r="S1234" s="317" t="s">
        <v>20</v>
      </c>
      <c r="T1234" s="317" t="s">
        <v>15</v>
      </c>
      <c r="U1234" s="317" t="s">
        <v>15</v>
      </c>
      <c r="V1234" s="317" t="s">
        <v>15</v>
      </c>
      <c r="W1234" s="317" t="s">
        <v>15</v>
      </c>
      <c r="X1234" s="317" t="s">
        <v>15</v>
      </c>
      <c r="Y1234" s="317" t="s">
        <v>15</v>
      </c>
      <c r="Z1234" s="318" t="s">
        <v>15</v>
      </c>
      <c r="AA1234" s="234"/>
      <c r="AB1234" s="318"/>
      <c r="AC1234" s="318" t="s">
        <v>20</v>
      </c>
      <c r="AD1234" s="330" t="s">
        <v>3378</v>
      </c>
      <c r="AE1234" s="319"/>
      <c r="AF1234" s="162" t="str">
        <f t="shared" si="102"/>
        <v/>
      </c>
      <c r="AG1234" s="162" t="str">
        <f t="shared" si="98"/>
        <v/>
      </c>
      <c r="AH1234" s="164">
        <f t="shared" si="103"/>
        <v>1.7729999999999999</v>
      </c>
      <c r="AI1234" s="164">
        <f t="shared" si="104"/>
        <v>2.0529999999999999</v>
      </c>
      <c r="AJ1234" s="369"/>
      <c r="AK1234" s="369"/>
      <c r="AL1234" s="369"/>
      <c r="AM1234" s="369"/>
      <c r="AN1234" s="369"/>
      <c r="AO1234" s="369"/>
      <c r="AP1234" s="368"/>
      <c r="AQ1234" s="368"/>
      <c r="AR1234" s="389"/>
      <c r="AS1234" s="263"/>
      <c r="AT1234" s="271"/>
      <c r="AU1234" s="389"/>
      <c r="AV1234" s="418"/>
      <c r="AW1234" s="436">
        <v>1.7729999999999999</v>
      </c>
      <c r="AX1234" s="359">
        <v>0.14699999999999999</v>
      </c>
      <c r="AY1234" s="359">
        <v>0.13300000000000001</v>
      </c>
      <c r="AZ1234" s="359">
        <v>0.2</v>
      </c>
      <c r="BA1234" s="359">
        <v>1.2999999999999999E-2</v>
      </c>
      <c r="BB1234" s="359"/>
      <c r="BC1234" s="426"/>
      <c r="BD1234" s="359"/>
      <c r="BE1234" s="359"/>
      <c r="BF1234" s="469">
        <f t="shared" si="100"/>
        <v>1.7729999999999999</v>
      </c>
      <c r="BG1234" s="469">
        <f t="shared" si="105"/>
        <v>2.266</v>
      </c>
      <c r="BH1234" s="460"/>
      <c r="BI1234" s="461"/>
      <c r="BJ1234" s="505"/>
    </row>
    <row r="1235" spans="1:62" ht="17" thickBot="1" x14ac:dyDescent="0.25">
      <c r="A1235" s="176">
        <v>1236</v>
      </c>
      <c r="B1235" s="291">
        <v>1</v>
      </c>
      <c r="C1235" s="167" t="s">
        <v>760</v>
      </c>
      <c r="D1235" s="299" t="s">
        <v>1867</v>
      </c>
      <c r="E1235" s="299" t="s">
        <v>13</v>
      </c>
      <c r="F1235" s="299" t="s">
        <v>1867</v>
      </c>
      <c r="G1235" s="299" t="s">
        <v>15</v>
      </c>
      <c r="H1235" s="299" t="s">
        <v>42</v>
      </c>
      <c r="I1235" s="184">
        <v>2008</v>
      </c>
      <c r="J1235" s="306" t="s">
        <v>3372</v>
      </c>
      <c r="K1235" s="306" t="s">
        <v>116</v>
      </c>
      <c r="L1235" s="184" t="s">
        <v>104</v>
      </c>
      <c r="M1235" s="558" t="s">
        <v>4318</v>
      </c>
      <c r="N1235" s="317" t="s">
        <v>20</v>
      </c>
      <c r="O1235" s="317" t="s">
        <v>15</v>
      </c>
      <c r="P1235" s="317" t="s">
        <v>20</v>
      </c>
      <c r="Q1235" s="317" t="s">
        <v>20</v>
      </c>
      <c r="R1235" s="317" t="s">
        <v>20</v>
      </c>
      <c r="S1235" s="317" t="s">
        <v>20</v>
      </c>
      <c r="T1235" s="317" t="s">
        <v>15</v>
      </c>
      <c r="U1235" s="317" t="s">
        <v>15</v>
      </c>
      <c r="V1235" s="317" t="s">
        <v>15</v>
      </c>
      <c r="W1235" s="317" t="s">
        <v>15</v>
      </c>
      <c r="X1235" s="317" t="s">
        <v>15</v>
      </c>
      <c r="Y1235" s="317" t="s">
        <v>15</v>
      </c>
      <c r="Z1235" s="318" t="s">
        <v>15</v>
      </c>
      <c r="AA1235" s="234"/>
      <c r="AB1235" s="318"/>
      <c r="AC1235" s="318" t="s">
        <v>20</v>
      </c>
      <c r="AD1235" s="330" t="s">
        <v>3378</v>
      </c>
      <c r="AE1235" s="319"/>
      <c r="AF1235" s="162" t="str">
        <f t="shared" si="102"/>
        <v/>
      </c>
      <c r="AG1235" s="162" t="str">
        <f t="shared" ref="AG1235:AG1298" si="106">IF(AND(SUM(AJ1235:AL1235)&lt;&gt;0,SUM(AJ1235:AL1235)&lt;&gt;AJ1235),SUM(AJ1235:AL1235),"")</f>
        <v/>
      </c>
      <c r="AH1235" s="164">
        <f t="shared" si="103"/>
        <v>1.867</v>
      </c>
      <c r="AI1235" s="164">
        <f t="shared" si="104"/>
        <v>2.053666666666667</v>
      </c>
      <c r="AJ1235" s="369"/>
      <c r="AK1235" s="369"/>
      <c r="AL1235" s="369"/>
      <c r="AM1235" s="369"/>
      <c r="AN1235" s="369"/>
      <c r="AO1235" s="369"/>
      <c r="AP1235" s="368"/>
      <c r="AQ1235" s="368"/>
      <c r="AR1235" s="389"/>
      <c r="AS1235" s="263"/>
      <c r="AT1235" s="274"/>
      <c r="AU1235" s="389"/>
      <c r="AV1235" s="419"/>
      <c r="AW1235" s="436">
        <v>1.867</v>
      </c>
      <c r="AX1235" s="359">
        <v>0.12</v>
      </c>
      <c r="AY1235" s="359">
        <v>6.6666666666666666E-2</v>
      </c>
      <c r="AZ1235" s="359">
        <v>0.2</v>
      </c>
      <c r="BA1235" s="359">
        <v>2.6666666666666668E-2</v>
      </c>
      <c r="BB1235" s="359"/>
      <c r="BC1235" s="426"/>
      <c r="BD1235" s="359"/>
      <c r="BE1235" s="359"/>
      <c r="BF1235" s="469">
        <f t="shared" si="100"/>
        <v>1.867</v>
      </c>
      <c r="BG1235" s="469">
        <f t="shared" si="105"/>
        <v>2.280333333333334</v>
      </c>
      <c r="BH1235" s="460"/>
      <c r="BI1235" s="461"/>
      <c r="BJ1235" s="505"/>
    </row>
    <row r="1236" spans="1:62" ht="17" thickBot="1" x14ac:dyDescent="0.25">
      <c r="A1236" s="176">
        <v>1237</v>
      </c>
      <c r="B1236" s="291">
        <v>1</v>
      </c>
      <c r="C1236" s="167" t="s">
        <v>398</v>
      </c>
      <c r="D1236" s="299" t="s">
        <v>411</v>
      </c>
      <c r="E1236" s="299" t="s">
        <v>13</v>
      </c>
      <c r="F1236" s="299" t="s">
        <v>411</v>
      </c>
      <c r="G1236" s="299" t="s">
        <v>15</v>
      </c>
      <c r="H1236" s="299" t="s">
        <v>42</v>
      </c>
      <c r="I1236" s="184">
        <v>2008</v>
      </c>
      <c r="J1236" s="306" t="s">
        <v>3372</v>
      </c>
      <c r="K1236" s="306" t="s">
        <v>116</v>
      </c>
      <c r="L1236" s="184" t="s">
        <v>104</v>
      </c>
      <c r="M1236" s="558" t="s">
        <v>4318</v>
      </c>
      <c r="N1236" s="317" t="s">
        <v>20</v>
      </c>
      <c r="O1236" s="317" t="s">
        <v>15</v>
      </c>
      <c r="P1236" s="317" t="s">
        <v>20</v>
      </c>
      <c r="Q1236" s="317" t="s">
        <v>20</v>
      </c>
      <c r="R1236" s="317" t="s">
        <v>20</v>
      </c>
      <c r="S1236" s="317" t="s">
        <v>20</v>
      </c>
      <c r="T1236" s="317" t="s">
        <v>20</v>
      </c>
      <c r="U1236" s="317" t="s">
        <v>15</v>
      </c>
      <c r="V1236" s="317" t="s">
        <v>15</v>
      </c>
      <c r="W1236" s="317" t="s">
        <v>15</v>
      </c>
      <c r="X1236" s="317" t="s">
        <v>15</v>
      </c>
      <c r="Y1236" s="317" t="s">
        <v>15</v>
      </c>
      <c r="Z1236" s="318" t="s">
        <v>15</v>
      </c>
      <c r="AA1236" s="234"/>
      <c r="AB1236" s="318"/>
      <c r="AC1236" s="318" t="s">
        <v>20</v>
      </c>
      <c r="AD1236" s="330" t="s">
        <v>3378</v>
      </c>
      <c r="AE1236" s="319"/>
      <c r="AF1236" s="162" t="str">
        <f t="shared" si="102"/>
        <v/>
      </c>
      <c r="AG1236" s="162" t="str">
        <f t="shared" si="106"/>
        <v/>
      </c>
      <c r="AH1236" s="164">
        <f t="shared" si="103"/>
        <v>3.573</v>
      </c>
      <c r="AI1236" s="164">
        <f t="shared" si="104"/>
        <v>5.9063333333333325</v>
      </c>
      <c r="AJ1236" s="369"/>
      <c r="AK1236" s="369"/>
      <c r="AL1236" s="369"/>
      <c r="AM1236" s="369"/>
      <c r="AN1236" s="369"/>
      <c r="AO1236" s="369"/>
      <c r="AP1236" s="368"/>
      <c r="AQ1236" s="368"/>
      <c r="AR1236" s="389"/>
      <c r="AS1236" s="263"/>
      <c r="AT1236" s="271"/>
      <c r="AU1236" s="389"/>
      <c r="AV1236" s="418"/>
      <c r="AW1236" s="436">
        <v>3.573</v>
      </c>
      <c r="AX1236" s="359">
        <v>5.3333333333333337E-2</v>
      </c>
      <c r="AY1236" s="359">
        <v>2.2799999999999998</v>
      </c>
      <c r="AZ1236" s="359">
        <v>0.2</v>
      </c>
      <c r="BA1236" s="359">
        <v>1.3333333333333334E-2</v>
      </c>
      <c r="BB1236" s="359">
        <v>0.10666666666666667</v>
      </c>
      <c r="BC1236" s="426"/>
      <c r="BD1236" s="359"/>
      <c r="BE1236" s="359"/>
      <c r="BF1236" s="469">
        <f t="shared" si="100"/>
        <v>3.573</v>
      </c>
      <c r="BG1236" s="469">
        <f t="shared" si="105"/>
        <v>6.2263333333333328</v>
      </c>
      <c r="BH1236" s="460"/>
      <c r="BI1236" s="461"/>
      <c r="BJ1236" s="505"/>
    </row>
    <row r="1237" spans="1:62" ht="17" thickBot="1" x14ac:dyDescent="0.25">
      <c r="A1237" s="176">
        <v>1238</v>
      </c>
      <c r="B1237" s="291">
        <v>1</v>
      </c>
      <c r="C1237" s="167" t="s">
        <v>11</v>
      </c>
      <c r="D1237" s="299" t="s">
        <v>426</v>
      </c>
      <c r="E1237" s="299" t="s">
        <v>13</v>
      </c>
      <c r="F1237" s="299" t="s">
        <v>3384</v>
      </c>
      <c r="G1237" s="299" t="s">
        <v>15</v>
      </c>
      <c r="H1237" s="299" t="s">
        <v>42</v>
      </c>
      <c r="I1237" s="184">
        <v>2008</v>
      </c>
      <c r="J1237" s="306" t="s">
        <v>3372</v>
      </c>
      <c r="K1237" s="306" t="s">
        <v>116</v>
      </c>
      <c r="L1237" s="184" t="s">
        <v>104</v>
      </c>
      <c r="M1237" s="558" t="s">
        <v>4318</v>
      </c>
      <c r="N1237" s="317" t="s">
        <v>20</v>
      </c>
      <c r="O1237" s="317" t="s">
        <v>15</v>
      </c>
      <c r="P1237" s="317" t="s">
        <v>20</v>
      </c>
      <c r="Q1237" s="317" t="s">
        <v>20</v>
      </c>
      <c r="R1237" s="317" t="s">
        <v>20</v>
      </c>
      <c r="S1237" s="317" t="s">
        <v>20</v>
      </c>
      <c r="T1237" s="317" t="s">
        <v>20</v>
      </c>
      <c r="U1237" s="317" t="s">
        <v>15</v>
      </c>
      <c r="V1237" s="317" t="s">
        <v>15</v>
      </c>
      <c r="W1237" s="317" t="s">
        <v>15</v>
      </c>
      <c r="X1237" s="317" t="s">
        <v>15</v>
      </c>
      <c r="Y1237" s="317" t="s">
        <v>15</v>
      </c>
      <c r="Z1237" s="318" t="s">
        <v>15</v>
      </c>
      <c r="AA1237" s="234"/>
      <c r="AB1237" s="318"/>
      <c r="AC1237" s="318" t="s">
        <v>20</v>
      </c>
      <c r="AD1237" s="330" t="s">
        <v>3378</v>
      </c>
      <c r="AE1237" s="319"/>
      <c r="AF1237" s="162" t="str">
        <f t="shared" si="102"/>
        <v/>
      </c>
      <c r="AG1237" s="162" t="str">
        <f t="shared" si="106"/>
        <v/>
      </c>
      <c r="AH1237" s="164">
        <f t="shared" si="103"/>
        <v>8.16</v>
      </c>
      <c r="AI1237" s="164">
        <f t="shared" si="104"/>
        <v>8.6533333333333342</v>
      </c>
      <c r="AJ1237" s="369"/>
      <c r="AK1237" s="369"/>
      <c r="AL1237" s="369"/>
      <c r="AM1237" s="369"/>
      <c r="AN1237" s="369"/>
      <c r="AO1237" s="369"/>
      <c r="AP1237" s="368"/>
      <c r="AQ1237" s="368"/>
      <c r="AR1237" s="389"/>
      <c r="AS1237" s="263"/>
      <c r="AT1237" s="271"/>
      <c r="AU1237" s="389"/>
      <c r="AV1237" s="419"/>
      <c r="AW1237" s="436">
        <v>8.16</v>
      </c>
      <c r="AX1237" s="359">
        <v>9.3333333333333338E-2</v>
      </c>
      <c r="AY1237" s="359">
        <v>0.4</v>
      </c>
      <c r="AZ1237" s="359">
        <v>0.18666666666666668</v>
      </c>
      <c r="BA1237" s="359">
        <v>2.6666666666666668E-2</v>
      </c>
      <c r="BB1237" s="359">
        <v>9.3333333333333338E-2</v>
      </c>
      <c r="BC1237" s="426"/>
      <c r="BD1237" s="359"/>
      <c r="BE1237" s="359"/>
      <c r="BF1237" s="469">
        <f t="shared" si="100"/>
        <v>8.16</v>
      </c>
      <c r="BG1237" s="469">
        <f t="shared" si="105"/>
        <v>8.9600000000000026</v>
      </c>
      <c r="BH1237" s="460"/>
      <c r="BI1237" s="461"/>
      <c r="BJ1237" s="505"/>
    </row>
    <row r="1238" spans="1:62" ht="17" thickBot="1" x14ac:dyDescent="0.25">
      <c r="A1238" s="176">
        <v>1239</v>
      </c>
      <c r="B1238" s="291">
        <v>1</v>
      </c>
      <c r="C1238" s="167" t="s">
        <v>596</v>
      </c>
      <c r="D1238" s="299" t="s">
        <v>2272</v>
      </c>
      <c r="E1238" s="299" t="s">
        <v>13</v>
      </c>
      <c r="F1238" s="299" t="s">
        <v>2857</v>
      </c>
      <c r="G1238" s="299" t="s">
        <v>15</v>
      </c>
      <c r="H1238" s="299" t="s">
        <v>42</v>
      </c>
      <c r="I1238" s="184">
        <v>2008</v>
      </c>
      <c r="J1238" s="306" t="s">
        <v>3372</v>
      </c>
      <c r="K1238" s="306" t="s">
        <v>116</v>
      </c>
      <c r="L1238" s="184" t="s">
        <v>104</v>
      </c>
      <c r="M1238" s="558" t="s">
        <v>4318</v>
      </c>
      <c r="N1238" s="317" t="s">
        <v>20</v>
      </c>
      <c r="O1238" s="317" t="s">
        <v>15</v>
      </c>
      <c r="P1238" s="317" t="s">
        <v>20</v>
      </c>
      <c r="Q1238" s="317" t="s">
        <v>20</v>
      </c>
      <c r="R1238" s="317" t="s">
        <v>20</v>
      </c>
      <c r="S1238" s="317" t="s">
        <v>20</v>
      </c>
      <c r="T1238" s="317" t="s">
        <v>20</v>
      </c>
      <c r="U1238" s="317" t="s">
        <v>15</v>
      </c>
      <c r="V1238" s="317" t="s">
        <v>15</v>
      </c>
      <c r="W1238" s="317" t="s">
        <v>15</v>
      </c>
      <c r="X1238" s="317" t="s">
        <v>15</v>
      </c>
      <c r="Y1238" s="317" t="s">
        <v>15</v>
      </c>
      <c r="Z1238" s="318" t="s">
        <v>15</v>
      </c>
      <c r="AA1238" s="234"/>
      <c r="AB1238" s="318"/>
      <c r="AC1238" s="318" t="s">
        <v>20</v>
      </c>
      <c r="AD1238" s="330" t="s">
        <v>3378</v>
      </c>
      <c r="AE1238" s="319"/>
      <c r="AF1238" s="162" t="str">
        <f t="shared" si="102"/>
        <v/>
      </c>
      <c r="AG1238" s="162" t="str">
        <f t="shared" si="106"/>
        <v/>
      </c>
      <c r="AH1238" s="164">
        <f t="shared" si="103"/>
        <v>9.2999999999999999E-2</v>
      </c>
      <c r="AI1238" s="164">
        <f t="shared" si="104"/>
        <v>0.45300000000000001</v>
      </c>
      <c r="AJ1238" s="370"/>
      <c r="AK1238" s="369"/>
      <c r="AL1238" s="369"/>
      <c r="AM1238" s="369"/>
      <c r="AN1238" s="369"/>
      <c r="AO1238" s="369"/>
      <c r="AP1238" s="369"/>
      <c r="AQ1238" s="368"/>
      <c r="AR1238" s="389"/>
      <c r="AS1238" s="265"/>
      <c r="AT1238" s="272"/>
      <c r="AU1238" s="389"/>
      <c r="AV1238" s="420"/>
      <c r="AW1238" s="436">
        <v>9.2999999999999999E-2</v>
      </c>
      <c r="AX1238" s="359">
        <v>0.10666666666666667</v>
      </c>
      <c r="AY1238" s="359">
        <v>0.25333333333333335</v>
      </c>
      <c r="AZ1238" s="359">
        <v>5.3333333333333337E-2</v>
      </c>
      <c r="BA1238" s="359">
        <v>2.6666666666666668E-2</v>
      </c>
      <c r="BB1238" s="359">
        <v>9.3333333333333338E-2</v>
      </c>
      <c r="BC1238" s="426"/>
      <c r="BD1238" s="359"/>
      <c r="BE1238" s="359"/>
      <c r="BF1238" s="469">
        <f t="shared" si="100"/>
        <v>9.2999999999999999E-2</v>
      </c>
      <c r="BG1238" s="469">
        <f t="shared" si="105"/>
        <v>0.6263333333333333</v>
      </c>
      <c r="BH1238" s="460"/>
      <c r="BI1238" s="461"/>
      <c r="BJ1238" s="505"/>
    </row>
    <row r="1239" spans="1:62" ht="17" thickBot="1" x14ac:dyDescent="0.25">
      <c r="A1239" s="176">
        <v>1240</v>
      </c>
      <c r="B1239" s="291">
        <v>1</v>
      </c>
      <c r="C1239" s="167" t="s">
        <v>11</v>
      </c>
      <c r="D1239" s="299" t="s">
        <v>12</v>
      </c>
      <c r="E1239" s="299" t="s">
        <v>13</v>
      </c>
      <c r="F1239" s="299" t="s">
        <v>3385</v>
      </c>
      <c r="G1239" s="299" t="s">
        <v>15</v>
      </c>
      <c r="H1239" s="299" t="s">
        <v>42</v>
      </c>
      <c r="I1239" s="184">
        <v>2008</v>
      </c>
      <c r="J1239" s="306" t="s">
        <v>3372</v>
      </c>
      <c r="K1239" s="306" t="s">
        <v>116</v>
      </c>
      <c r="L1239" s="184" t="s">
        <v>104</v>
      </c>
      <c r="M1239" s="558" t="s">
        <v>4318</v>
      </c>
      <c r="N1239" s="317" t="s">
        <v>20</v>
      </c>
      <c r="O1239" s="317" t="s">
        <v>15</v>
      </c>
      <c r="P1239" s="317" t="s">
        <v>20</v>
      </c>
      <c r="Q1239" s="317" t="s">
        <v>20</v>
      </c>
      <c r="R1239" s="317" t="s">
        <v>20</v>
      </c>
      <c r="S1239" s="317" t="s">
        <v>20</v>
      </c>
      <c r="T1239" s="317" t="s">
        <v>20</v>
      </c>
      <c r="U1239" s="317" t="s">
        <v>15</v>
      </c>
      <c r="V1239" s="317" t="s">
        <v>15</v>
      </c>
      <c r="W1239" s="317" t="s">
        <v>15</v>
      </c>
      <c r="X1239" s="317" t="s">
        <v>15</v>
      </c>
      <c r="Y1239" s="317" t="s">
        <v>15</v>
      </c>
      <c r="Z1239" s="318" t="s">
        <v>15</v>
      </c>
      <c r="AA1239" s="234"/>
      <c r="AB1239" s="318"/>
      <c r="AC1239" s="318" t="s">
        <v>20</v>
      </c>
      <c r="AD1239" s="330" t="s">
        <v>3378</v>
      </c>
      <c r="AE1239" s="319"/>
      <c r="AF1239" s="162" t="str">
        <f t="shared" si="102"/>
        <v/>
      </c>
      <c r="AG1239" s="162" t="str">
        <f t="shared" si="106"/>
        <v/>
      </c>
      <c r="AH1239" s="164">
        <f t="shared" si="103"/>
        <v>0.21299999999999999</v>
      </c>
      <c r="AI1239" s="164">
        <f t="shared" si="104"/>
        <v>1.0263333333333333</v>
      </c>
      <c r="AJ1239" s="370"/>
      <c r="AK1239" s="369"/>
      <c r="AL1239" s="369"/>
      <c r="AM1239" s="369"/>
      <c r="AN1239" s="369"/>
      <c r="AO1239" s="369"/>
      <c r="AP1239" s="369"/>
      <c r="AQ1239" s="368"/>
      <c r="AR1239" s="389"/>
      <c r="AS1239" s="265"/>
      <c r="AT1239" s="272"/>
      <c r="AU1239" s="389"/>
      <c r="AV1239" s="420"/>
      <c r="AW1239" s="436">
        <v>0.21299999999999999</v>
      </c>
      <c r="AX1239" s="359">
        <v>2.6666666666666668E-2</v>
      </c>
      <c r="AY1239" s="359">
        <v>0.78666666666666663</v>
      </c>
      <c r="AZ1239" s="359">
        <v>6.6666666666666666E-2</v>
      </c>
      <c r="BA1239" s="359">
        <v>2.6666666666666668E-2</v>
      </c>
      <c r="BB1239" s="359">
        <v>9.3333333333333338E-2</v>
      </c>
      <c r="BC1239" s="426"/>
      <c r="BD1239" s="359"/>
      <c r="BE1239" s="359"/>
      <c r="BF1239" s="469">
        <f t="shared" si="100"/>
        <v>0.21299999999999999</v>
      </c>
      <c r="BG1239" s="469">
        <f t="shared" si="105"/>
        <v>1.2129999999999999</v>
      </c>
      <c r="BH1239" s="460"/>
      <c r="BI1239" s="461"/>
      <c r="BJ1239" s="505"/>
    </row>
    <row r="1240" spans="1:62" ht="17" thickBot="1" x14ac:dyDescent="0.25">
      <c r="A1240" s="176">
        <v>1241</v>
      </c>
      <c r="B1240" s="291">
        <v>1</v>
      </c>
      <c r="C1240" s="167" t="s">
        <v>975</v>
      </c>
      <c r="D1240" s="299" t="s">
        <v>3057</v>
      </c>
      <c r="E1240" s="299" t="s">
        <v>13</v>
      </c>
      <c r="F1240" s="299" t="s">
        <v>3386</v>
      </c>
      <c r="G1240" s="299" t="s">
        <v>15</v>
      </c>
      <c r="H1240" s="299" t="s">
        <v>42</v>
      </c>
      <c r="I1240" s="184">
        <v>2008</v>
      </c>
      <c r="J1240" s="306" t="s">
        <v>3372</v>
      </c>
      <c r="K1240" s="306" t="s">
        <v>116</v>
      </c>
      <c r="L1240" s="184" t="s">
        <v>104</v>
      </c>
      <c r="M1240" s="558" t="s">
        <v>4318</v>
      </c>
      <c r="N1240" s="317" t="s">
        <v>15</v>
      </c>
      <c r="O1240" s="317" t="s">
        <v>15</v>
      </c>
      <c r="P1240" s="317" t="s">
        <v>20</v>
      </c>
      <c r="Q1240" s="317" t="s">
        <v>20</v>
      </c>
      <c r="R1240" s="317" t="s">
        <v>20</v>
      </c>
      <c r="S1240" s="317" t="s">
        <v>20</v>
      </c>
      <c r="T1240" s="317" t="s">
        <v>20</v>
      </c>
      <c r="U1240" s="317" t="s">
        <v>15</v>
      </c>
      <c r="V1240" s="317" t="s">
        <v>15</v>
      </c>
      <c r="W1240" s="317" t="s">
        <v>15</v>
      </c>
      <c r="X1240" s="317" t="s">
        <v>15</v>
      </c>
      <c r="Y1240" s="317" t="s">
        <v>15</v>
      </c>
      <c r="Z1240" s="318" t="s">
        <v>15</v>
      </c>
      <c r="AA1240" s="234"/>
      <c r="AB1240" s="318"/>
      <c r="AC1240" s="318" t="s">
        <v>20</v>
      </c>
      <c r="AD1240" s="330" t="s">
        <v>3378</v>
      </c>
      <c r="AE1240" s="319"/>
      <c r="AF1240" s="162" t="str">
        <f t="shared" si="102"/>
        <v/>
      </c>
      <c r="AG1240" s="162" t="str">
        <f t="shared" si="106"/>
        <v/>
      </c>
      <c r="AH1240" s="164" t="str">
        <f t="shared" si="103"/>
        <v/>
      </c>
      <c r="AI1240" s="164">
        <f t="shared" si="104"/>
        <v>0.62903225806451613</v>
      </c>
      <c r="AJ1240" s="370"/>
      <c r="AK1240" s="369"/>
      <c r="AL1240" s="369"/>
      <c r="AM1240" s="369"/>
      <c r="AN1240" s="369"/>
      <c r="AO1240" s="369"/>
      <c r="AP1240" s="369"/>
      <c r="AQ1240" s="368"/>
      <c r="AR1240" s="389"/>
      <c r="AS1240" s="265"/>
      <c r="AT1240" s="272"/>
      <c r="AU1240" s="389"/>
      <c r="AV1240" s="418"/>
      <c r="AW1240" s="436"/>
      <c r="AX1240" s="359">
        <v>3.2258064516129031E-2</v>
      </c>
      <c r="AY1240" s="359">
        <v>0.59677419354838712</v>
      </c>
      <c r="AZ1240" s="359">
        <v>0.17741935483870969</v>
      </c>
      <c r="BA1240" s="359">
        <v>1.6129032258064516E-2</v>
      </c>
      <c r="BB1240" s="359">
        <v>0.11290322580645161</v>
      </c>
      <c r="BC1240" s="426"/>
      <c r="BD1240" s="359"/>
      <c r="BE1240" s="359"/>
      <c r="BF1240" s="469">
        <f t="shared" si="100"/>
        <v>0</v>
      </c>
      <c r="BG1240" s="469">
        <f t="shared" si="105"/>
        <v>0.93548387096774188</v>
      </c>
      <c r="BH1240" s="460"/>
      <c r="BI1240" s="461"/>
      <c r="BJ1240" s="505"/>
    </row>
    <row r="1241" spans="1:62" ht="17" thickBot="1" x14ac:dyDescent="0.25">
      <c r="A1241" s="176">
        <v>1242</v>
      </c>
      <c r="B1241" s="291">
        <v>1</v>
      </c>
      <c r="C1241" s="167" t="s">
        <v>975</v>
      </c>
      <c r="D1241" s="299" t="s">
        <v>3057</v>
      </c>
      <c r="E1241" s="299" t="s">
        <v>13</v>
      </c>
      <c r="F1241" s="299" t="s">
        <v>3387</v>
      </c>
      <c r="G1241" s="299" t="s">
        <v>15</v>
      </c>
      <c r="H1241" s="299" t="s">
        <v>42</v>
      </c>
      <c r="I1241" s="184">
        <v>2008</v>
      </c>
      <c r="J1241" s="306" t="s">
        <v>3372</v>
      </c>
      <c r="K1241" s="306" t="s">
        <v>116</v>
      </c>
      <c r="L1241" s="184" t="s">
        <v>104</v>
      </c>
      <c r="M1241" s="558" t="s">
        <v>4318</v>
      </c>
      <c r="N1241" s="317" t="s">
        <v>3039</v>
      </c>
      <c r="O1241" s="317" t="s">
        <v>15</v>
      </c>
      <c r="P1241" s="317" t="s">
        <v>20</v>
      </c>
      <c r="Q1241" s="317" t="s">
        <v>20</v>
      </c>
      <c r="R1241" s="317" t="s">
        <v>20</v>
      </c>
      <c r="S1241" s="317" t="s">
        <v>20</v>
      </c>
      <c r="T1241" s="317" t="s">
        <v>20</v>
      </c>
      <c r="U1241" s="317" t="s">
        <v>15</v>
      </c>
      <c r="V1241" s="317" t="s">
        <v>15</v>
      </c>
      <c r="W1241" s="317" t="s">
        <v>15</v>
      </c>
      <c r="X1241" s="317" t="s">
        <v>15</v>
      </c>
      <c r="Y1241" s="317" t="s">
        <v>15</v>
      </c>
      <c r="Z1241" s="318" t="s">
        <v>15</v>
      </c>
      <c r="AA1241" s="234"/>
      <c r="AB1241" s="318"/>
      <c r="AC1241" s="318" t="s">
        <v>20</v>
      </c>
      <c r="AD1241" s="330" t="s">
        <v>3378</v>
      </c>
      <c r="AE1241" s="319"/>
      <c r="AF1241" s="162" t="str">
        <f t="shared" si="102"/>
        <v/>
      </c>
      <c r="AG1241" s="162" t="str">
        <f t="shared" si="106"/>
        <v/>
      </c>
      <c r="AH1241" s="164" t="str">
        <f t="shared" si="103"/>
        <v/>
      </c>
      <c r="AI1241" s="164">
        <f t="shared" si="104"/>
        <v>0.75806451612903225</v>
      </c>
      <c r="AJ1241" s="370"/>
      <c r="AK1241" s="369"/>
      <c r="AL1241" s="369"/>
      <c r="AM1241" s="369"/>
      <c r="AN1241" s="369"/>
      <c r="AO1241" s="369"/>
      <c r="AP1241" s="369"/>
      <c r="AQ1241" s="368"/>
      <c r="AR1241" s="389"/>
      <c r="AS1241" s="265"/>
      <c r="AT1241" s="272"/>
      <c r="AU1241" s="389"/>
      <c r="AV1241" s="418"/>
      <c r="AW1241" s="436"/>
      <c r="AX1241" s="359">
        <v>1.6129032258064516E-2</v>
      </c>
      <c r="AY1241" s="359">
        <v>0.74193548387096775</v>
      </c>
      <c r="AZ1241" s="359">
        <v>0.19354838709677419</v>
      </c>
      <c r="BA1241" s="359">
        <v>1.6129032258064516E-2</v>
      </c>
      <c r="BB1241" s="359">
        <v>0.11290322580645161</v>
      </c>
      <c r="BC1241" s="426"/>
      <c r="BD1241" s="359"/>
      <c r="BE1241" s="359"/>
      <c r="BF1241" s="469">
        <f t="shared" si="100"/>
        <v>0</v>
      </c>
      <c r="BG1241" s="469">
        <f t="shared" si="105"/>
        <v>1.0806451612903225</v>
      </c>
      <c r="BH1241" s="460"/>
      <c r="BI1241" s="461"/>
      <c r="BJ1241" s="505"/>
    </row>
    <row r="1242" spans="1:62" ht="17" thickBot="1" x14ac:dyDescent="0.25">
      <c r="A1242" s="176">
        <v>1243</v>
      </c>
      <c r="B1242" s="291">
        <v>1</v>
      </c>
      <c r="C1242" s="167" t="s">
        <v>975</v>
      </c>
      <c r="D1242" s="299" t="s">
        <v>3057</v>
      </c>
      <c r="E1242" s="299" t="s">
        <v>13</v>
      </c>
      <c r="F1242" s="299" t="s">
        <v>3388</v>
      </c>
      <c r="G1242" s="299" t="s">
        <v>15</v>
      </c>
      <c r="H1242" s="299" t="s">
        <v>42</v>
      </c>
      <c r="I1242" s="184">
        <v>2008</v>
      </c>
      <c r="J1242" s="306" t="s">
        <v>3372</v>
      </c>
      <c r="K1242" s="306" t="s">
        <v>116</v>
      </c>
      <c r="L1242" s="184" t="s">
        <v>104</v>
      </c>
      <c r="M1242" s="558" t="s">
        <v>4318</v>
      </c>
      <c r="N1242" s="317" t="s">
        <v>15</v>
      </c>
      <c r="O1242" s="317" t="s">
        <v>15</v>
      </c>
      <c r="P1242" s="317" t="s">
        <v>20</v>
      </c>
      <c r="Q1242" s="317" t="s">
        <v>20</v>
      </c>
      <c r="R1242" s="317" t="s">
        <v>20</v>
      </c>
      <c r="S1242" s="317" t="s">
        <v>20</v>
      </c>
      <c r="T1242" s="317" t="s">
        <v>20</v>
      </c>
      <c r="U1242" s="317" t="s">
        <v>15</v>
      </c>
      <c r="V1242" s="317" t="s">
        <v>15</v>
      </c>
      <c r="W1242" s="317" t="s">
        <v>15</v>
      </c>
      <c r="X1242" s="317" t="s">
        <v>15</v>
      </c>
      <c r="Y1242" s="317" t="s">
        <v>15</v>
      </c>
      <c r="Z1242" s="318" t="s">
        <v>15</v>
      </c>
      <c r="AA1242" s="234"/>
      <c r="AB1242" s="318"/>
      <c r="AC1242" s="318" t="s">
        <v>20</v>
      </c>
      <c r="AD1242" s="330" t="s">
        <v>3378</v>
      </c>
      <c r="AE1242" s="319"/>
      <c r="AF1242" s="162" t="str">
        <f t="shared" si="102"/>
        <v/>
      </c>
      <c r="AG1242" s="162" t="str">
        <f t="shared" si="106"/>
        <v/>
      </c>
      <c r="AH1242" s="164" t="str">
        <f t="shared" si="103"/>
        <v/>
      </c>
      <c r="AI1242" s="164">
        <f t="shared" si="104"/>
        <v>1.2741935483870968</v>
      </c>
      <c r="AJ1242" s="370"/>
      <c r="AK1242" s="369"/>
      <c r="AL1242" s="369"/>
      <c r="AM1242" s="369"/>
      <c r="AN1242" s="369"/>
      <c r="AO1242" s="369"/>
      <c r="AP1242" s="369"/>
      <c r="AQ1242" s="368"/>
      <c r="AR1242" s="389"/>
      <c r="AS1242" s="265"/>
      <c r="AT1242" s="272"/>
      <c r="AU1242" s="389"/>
      <c r="AV1242" s="419"/>
      <c r="AW1242" s="436"/>
      <c r="AX1242" s="359">
        <v>3.2258064516129031E-2</v>
      </c>
      <c r="AY1242" s="359">
        <v>1.2419354838709677</v>
      </c>
      <c r="AZ1242" s="359">
        <v>0.19354838709677419</v>
      </c>
      <c r="BA1242" s="359">
        <v>1.6129032258064516E-2</v>
      </c>
      <c r="BB1242" s="359">
        <v>0.12903225806451613</v>
      </c>
      <c r="BC1242" s="426"/>
      <c r="BD1242" s="359"/>
      <c r="BE1242" s="359"/>
      <c r="BF1242" s="469">
        <f t="shared" si="100"/>
        <v>0</v>
      </c>
      <c r="BG1242" s="469">
        <f t="shared" si="105"/>
        <v>1.6129032258064515</v>
      </c>
      <c r="BH1242" s="460"/>
      <c r="BI1242" s="461"/>
      <c r="BJ1242" s="505"/>
    </row>
    <row r="1243" spans="1:62" ht="17" thickBot="1" x14ac:dyDescent="0.25">
      <c r="A1243" s="176">
        <v>1244</v>
      </c>
      <c r="B1243" s="291">
        <v>1</v>
      </c>
      <c r="C1243" s="167" t="s">
        <v>975</v>
      </c>
      <c r="D1243" s="299" t="s">
        <v>3060</v>
      </c>
      <c r="E1243" s="299" t="s">
        <v>13</v>
      </c>
      <c r="F1243" s="299" t="s">
        <v>3389</v>
      </c>
      <c r="G1243" s="299" t="s">
        <v>15</v>
      </c>
      <c r="H1243" s="299" t="s">
        <v>42</v>
      </c>
      <c r="I1243" s="184">
        <v>2008</v>
      </c>
      <c r="J1243" s="306" t="s">
        <v>3372</v>
      </c>
      <c r="K1243" s="306" t="s">
        <v>116</v>
      </c>
      <c r="L1243" s="184" t="s">
        <v>104</v>
      </c>
      <c r="M1243" s="558" t="s">
        <v>4318</v>
      </c>
      <c r="N1243" s="317" t="s">
        <v>292</v>
      </c>
      <c r="O1243" s="317" t="s">
        <v>15</v>
      </c>
      <c r="P1243" s="317" t="s">
        <v>20</v>
      </c>
      <c r="Q1243" s="317" t="s">
        <v>20</v>
      </c>
      <c r="R1243" s="317" t="s">
        <v>20</v>
      </c>
      <c r="S1243" s="317" t="s">
        <v>20</v>
      </c>
      <c r="T1243" s="317" t="s">
        <v>20</v>
      </c>
      <c r="U1243" s="317" t="s">
        <v>15</v>
      </c>
      <c r="V1243" s="317" t="s">
        <v>15</v>
      </c>
      <c r="W1243" s="317" t="s">
        <v>15</v>
      </c>
      <c r="X1243" s="317" t="s">
        <v>15</v>
      </c>
      <c r="Y1243" s="317" t="s">
        <v>15</v>
      </c>
      <c r="Z1243" s="318" t="s">
        <v>15</v>
      </c>
      <c r="AA1243" s="234"/>
      <c r="AB1243" s="318"/>
      <c r="AC1243" s="318" t="s">
        <v>20</v>
      </c>
      <c r="AD1243" s="330" t="s">
        <v>3378</v>
      </c>
      <c r="AE1243" s="319"/>
      <c r="AF1243" s="162" t="str">
        <f t="shared" si="102"/>
        <v/>
      </c>
      <c r="AG1243" s="162" t="str">
        <f t="shared" si="106"/>
        <v/>
      </c>
      <c r="AH1243" s="164" t="str">
        <f t="shared" si="103"/>
        <v/>
      </c>
      <c r="AI1243" s="164">
        <f t="shared" si="104"/>
        <v>1.6129032258064515</v>
      </c>
      <c r="AJ1243" s="370"/>
      <c r="AK1243" s="369"/>
      <c r="AL1243" s="369"/>
      <c r="AM1243" s="369"/>
      <c r="AN1243" s="369"/>
      <c r="AO1243" s="369"/>
      <c r="AP1243" s="369"/>
      <c r="AQ1243" s="368"/>
      <c r="AR1243" s="389"/>
      <c r="AS1243" s="265"/>
      <c r="AT1243" s="272"/>
      <c r="AU1243" s="389"/>
      <c r="AV1243" s="419"/>
      <c r="AW1243" s="436"/>
      <c r="AX1243" s="359">
        <v>4.8387096774193547E-2</v>
      </c>
      <c r="AY1243" s="359">
        <v>1.564516129032258</v>
      </c>
      <c r="AZ1243" s="359">
        <v>0.19354838709677419</v>
      </c>
      <c r="BA1243" s="359">
        <v>1.6129032258064516E-2</v>
      </c>
      <c r="BB1243" s="359">
        <v>0.11290322580645161</v>
      </c>
      <c r="BC1243" s="426"/>
      <c r="BD1243" s="359"/>
      <c r="BE1243" s="359"/>
      <c r="BF1243" s="469">
        <f t="shared" si="100"/>
        <v>0</v>
      </c>
      <c r="BG1243" s="469">
        <f t="shared" si="105"/>
        <v>1.9354838709677418</v>
      </c>
      <c r="BH1243" s="460"/>
      <c r="BI1243" s="461"/>
      <c r="BJ1243" s="505"/>
    </row>
    <row r="1244" spans="1:62" ht="17" thickBot="1" x14ac:dyDescent="0.25">
      <c r="A1244" s="176">
        <v>1245</v>
      </c>
      <c r="B1244" s="291">
        <v>1</v>
      </c>
      <c r="C1244" s="167" t="s">
        <v>975</v>
      </c>
      <c r="D1244" s="299" t="s">
        <v>3057</v>
      </c>
      <c r="E1244" s="299" t="s">
        <v>13</v>
      </c>
      <c r="F1244" s="299" t="s">
        <v>3390</v>
      </c>
      <c r="G1244" s="299" t="s">
        <v>15</v>
      </c>
      <c r="H1244" s="299" t="s">
        <v>42</v>
      </c>
      <c r="I1244" s="184">
        <v>2008</v>
      </c>
      <c r="J1244" s="306" t="s">
        <v>3372</v>
      </c>
      <c r="K1244" s="306" t="s">
        <v>116</v>
      </c>
      <c r="L1244" s="184" t="s">
        <v>104</v>
      </c>
      <c r="M1244" s="558" t="s">
        <v>4318</v>
      </c>
      <c r="N1244" s="317" t="s">
        <v>20</v>
      </c>
      <c r="O1244" s="317" t="s">
        <v>15</v>
      </c>
      <c r="P1244" s="317" t="s">
        <v>20</v>
      </c>
      <c r="Q1244" s="317" t="s">
        <v>20</v>
      </c>
      <c r="R1244" s="317" t="s">
        <v>20</v>
      </c>
      <c r="S1244" s="317" t="s">
        <v>20</v>
      </c>
      <c r="T1244" s="317" t="s">
        <v>20</v>
      </c>
      <c r="U1244" s="317" t="s">
        <v>15</v>
      </c>
      <c r="V1244" s="317" t="s">
        <v>15</v>
      </c>
      <c r="W1244" s="317" t="s">
        <v>15</v>
      </c>
      <c r="X1244" s="317" t="s">
        <v>15</v>
      </c>
      <c r="Y1244" s="317" t="s">
        <v>15</v>
      </c>
      <c r="Z1244" s="318" t="s">
        <v>15</v>
      </c>
      <c r="AA1244" s="234"/>
      <c r="AB1244" s="318"/>
      <c r="AC1244" s="318" t="s">
        <v>20</v>
      </c>
      <c r="AD1244" s="330" t="s">
        <v>3378</v>
      </c>
      <c r="AE1244" s="319"/>
      <c r="AF1244" s="162" t="str">
        <f t="shared" si="102"/>
        <v/>
      </c>
      <c r="AG1244" s="162" t="str">
        <f t="shared" si="106"/>
        <v/>
      </c>
      <c r="AH1244" s="164">
        <f t="shared" si="103"/>
        <v>0.37096774193548387</v>
      </c>
      <c r="AI1244" s="164">
        <f t="shared" si="104"/>
        <v>1.7580645161290325</v>
      </c>
      <c r="AJ1244" s="370"/>
      <c r="AK1244" s="369"/>
      <c r="AL1244" s="369"/>
      <c r="AM1244" s="369"/>
      <c r="AN1244" s="369"/>
      <c r="AO1244" s="369"/>
      <c r="AP1244" s="369"/>
      <c r="AQ1244" s="368"/>
      <c r="AR1244" s="389"/>
      <c r="AS1244" s="265"/>
      <c r="AT1244" s="272"/>
      <c r="AU1244" s="389"/>
      <c r="AV1244" s="419"/>
      <c r="AW1244" s="436">
        <v>0.37096774193548387</v>
      </c>
      <c r="AX1244" s="359">
        <v>0.22580645161290322</v>
      </c>
      <c r="AY1244" s="359">
        <v>1.1612903225806452</v>
      </c>
      <c r="AZ1244" s="359">
        <v>0.19354838709677419</v>
      </c>
      <c r="BA1244" s="359">
        <v>1.6129032258064516E-2</v>
      </c>
      <c r="BB1244" s="359">
        <v>9.6774193548387094E-2</v>
      </c>
      <c r="BC1244" s="426"/>
      <c r="BD1244" s="359"/>
      <c r="BE1244" s="359"/>
      <c r="BF1244" s="469">
        <f t="shared" si="100"/>
        <v>0.37096774193548387</v>
      </c>
      <c r="BG1244" s="469">
        <f t="shared" si="105"/>
        <v>2.0645161290322585</v>
      </c>
      <c r="BH1244" s="460"/>
      <c r="BI1244" s="461"/>
      <c r="BJ1244" s="505"/>
    </row>
    <row r="1245" spans="1:62" ht="17" thickBot="1" x14ac:dyDescent="0.25">
      <c r="A1245" s="176">
        <v>1246</v>
      </c>
      <c r="B1245" s="291">
        <v>1</v>
      </c>
      <c r="C1245" s="167" t="s">
        <v>975</v>
      </c>
      <c r="D1245" s="299" t="s">
        <v>3057</v>
      </c>
      <c r="E1245" s="299" t="s">
        <v>13</v>
      </c>
      <c r="F1245" s="299" t="s">
        <v>3391</v>
      </c>
      <c r="G1245" s="299" t="s">
        <v>15</v>
      </c>
      <c r="H1245" s="299" t="s">
        <v>42</v>
      </c>
      <c r="I1245" s="184">
        <v>2008</v>
      </c>
      <c r="J1245" s="306" t="s">
        <v>3372</v>
      </c>
      <c r="K1245" s="306" t="s">
        <v>116</v>
      </c>
      <c r="L1245" s="184" t="s">
        <v>104</v>
      </c>
      <c r="M1245" s="558" t="s">
        <v>4318</v>
      </c>
      <c r="N1245" s="317" t="s">
        <v>15</v>
      </c>
      <c r="O1245" s="317" t="s">
        <v>15</v>
      </c>
      <c r="P1245" s="317" t="s">
        <v>20</v>
      </c>
      <c r="Q1245" s="317" t="s">
        <v>20</v>
      </c>
      <c r="R1245" s="317" t="s">
        <v>20</v>
      </c>
      <c r="S1245" s="317" t="s">
        <v>20</v>
      </c>
      <c r="T1245" s="317" t="s">
        <v>20</v>
      </c>
      <c r="U1245" s="317" t="s">
        <v>15</v>
      </c>
      <c r="V1245" s="317" t="s">
        <v>15</v>
      </c>
      <c r="W1245" s="317" t="s">
        <v>15</v>
      </c>
      <c r="X1245" s="317" t="s">
        <v>15</v>
      </c>
      <c r="Y1245" s="317" t="s">
        <v>15</v>
      </c>
      <c r="Z1245" s="318" t="s">
        <v>15</v>
      </c>
      <c r="AA1245" s="234"/>
      <c r="AB1245" s="318"/>
      <c r="AC1245" s="318" t="s">
        <v>20</v>
      </c>
      <c r="AD1245" s="330" t="s">
        <v>3378</v>
      </c>
      <c r="AE1245" s="319"/>
      <c r="AF1245" s="162" t="str">
        <f t="shared" si="102"/>
        <v/>
      </c>
      <c r="AG1245" s="162" t="str">
        <f t="shared" si="106"/>
        <v/>
      </c>
      <c r="AH1245" s="164" t="str">
        <f t="shared" si="103"/>
        <v/>
      </c>
      <c r="AI1245" s="164">
        <f t="shared" si="104"/>
        <v>3.0806451612903225</v>
      </c>
      <c r="AJ1245" s="370"/>
      <c r="AK1245" s="369"/>
      <c r="AL1245" s="369"/>
      <c r="AM1245" s="369"/>
      <c r="AN1245" s="369"/>
      <c r="AO1245" s="369"/>
      <c r="AP1245" s="369"/>
      <c r="AQ1245" s="368"/>
      <c r="AR1245" s="389"/>
      <c r="AS1245" s="265"/>
      <c r="AT1245" s="272"/>
      <c r="AU1245" s="389"/>
      <c r="AV1245" s="419"/>
      <c r="AW1245" s="436"/>
      <c r="AX1245" s="359">
        <v>3.2258064516129031E-2</v>
      </c>
      <c r="AY1245" s="359">
        <v>3.0483870967741935</v>
      </c>
      <c r="AZ1245" s="359">
        <v>0.19354838709677419</v>
      </c>
      <c r="BA1245" s="359">
        <v>1.6129032258064516E-2</v>
      </c>
      <c r="BB1245" s="359">
        <v>9.6774193548387094E-2</v>
      </c>
      <c r="BC1245" s="426"/>
      <c r="BD1245" s="359"/>
      <c r="BE1245" s="359"/>
      <c r="BF1245" s="469">
        <f t="shared" si="100"/>
        <v>0</v>
      </c>
      <c r="BG1245" s="469">
        <f t="shared" si="105"/>
        <v>3.387096774193548</v>
      </c>
      <c r="BH1245" s="460"/>
      <c r="BI1245" s="461"/>
      <c r="BJ1245" s="505"/>
    </row>
    <row r="1246" spans="1:62" ht="17" thickBot="1" x14ac:dyDescent="0.25">
      <c r="A1246" s="176">
        <v>1247</v>
      </c>
      <c r="B1246" s="291">
        <v>1</v>
      </c>
      <c r="C1246" s="167" t="s">
        <v>975</v>
      </c>
      <c r="D1246" s="299" t="s">
        <v>3059</v>
      </c>
      <c r="E1246" s="299" t="s">
        <v>13</v>
      </c>
      <c r="F1246" s="299" t="s">
        <v>3392</v>
      </c>
      <c r="G1246" s="299" t="s">
        <v>15</v>
      </c>
      <c r="H1246" s="299" t="s">
        <v>42</v>
      </c>
      <c r="I1246" s="184">
        <v>2008</v>
      </c>
      <c r="J1246" s="306" t="s">
        <v>3372</v>
      </c>
      <c r="K1246" s="306" t="s">
        <v>116</v>
      </c>
      <c r="L1246" s="184" t="s">
        <v>104</v>
      </c>
      <c r="M1246" s="558" t="s">
        <v>4318</v>
      </c>
      <c r="N1246" s="317" t="s">
        <v>15</v>
      </c>
      <c r="O1246" s="317" t="s">
        <v>15</v>
      </c>
      <c r="P1246" s="317" t="s">
        <v>20</v>
      </c>
      <c r="Q1246" s="317" t="s">
        <v>20</v>
      </c>
      <c r="R1246" s="317" t="s">
        <v>20</v>
      </c>
      <c r="S1246" s="317" t="s">
        <v>20</v>
      </c>
      <c r="T1246" s="317" t="s">
        <v>20</v>
      </c>
      <c r="U1246" s="317" t="s">
        <v>15</v>
      </c>
      <c r="V1246" s="317" t="s">
        <v>15</v>
      </c>
      <c r="W1246" s="317" t="s">
        <v>15</v>
      </c>
      <c r="X1246" s="317" t="s">
        <v>15</v>
      </c>
      <c r="Y1246" s="317" t="s">
        <v>15</v>
      </c>
      <c r="Z1246" s="318" t="s">
        <v>15</v>
      </c>
      <c r="AA1246" s="234"/>
      <c r="AB1246" s="318"/>
      <c r="AC1246" s="318" t="s">
        <v>20</v>
      </c>
      <c r="AD1246" s="330" t="s">
        <v>3378</v>
      </c>
      <c r="AE1246" s="319"/>
      <c r="AF1246" s="162" t="str">
        <f t="shared" si="102"/>
        <v/>
      </c>
      <c r="AG1246" s="162" t="str">
        <f t="shared" si="106"/>
        <v/>
      </c>
      <c r="AH1246" s="164" t="str">
        <f t="shared" si="103"/>
        <v/>
      </c>
      <c r="AI1246" s="164">
        <f t="shared" si="104"/>
        <v>6.096774193548387</v>
      </c>
      <c r="AJ1246" s="370"/>
      <c r="AK1246" s="369"/>
      <c r="AL1246" s="369"/>
      <c r="AM1246" s="369"/>
      <c r="AN1246" s="369"/>
      <c r="AO1246" s="369"/>
      <c r="AP1246" s="369"/>
      <c r="AQ1246" s="368"/>
      <c r="AR1246" s="389"/>
      <c r="AS1246" s="265"/>
      <c r="AT1246" s="272"/>
      <c r="AU1246" s="389"/>
      <c r="AV1246" s="419"/>
      <c r="AW1246" s="436"/>
      <c r="AX1246" s="359">
        <v>3.2258064516129031E-2</v>
      </c>
      <c r="AY1246" s="359">
        <v>6.064516129032258</v>
      </c>
      <c r="AZ1246" s="359">
        <v>0.19354838709677419</v>
      </c>
      <c r="BA1246" s="359">
        <v>1.6129032258064516E-2</v>
      </c>
      <c r="BB1246" s="359">
        <v>9.6774193548387094E-2</v>
      </c>
      <c r="BC1246" s="426"/>
      <c r="BD1246" s="359"/>
      <c r="BE1246" s="359"/>
      <c r="BF1246" s="469">
        <f t="shared" si="100"/>
        <v>0</v>
      </c>
      <c r="BG1246" s="469">
        <f t="shared" si="105"/>
        <v>6.403225806451613</v>
      </c>
      <c r="BH1246" s="460"/>
      <c r="BI1246" s="461"/>
      <c r="BJ1246" s="505"/>
    </row>
    <row r="1247" spans="1:62" ht="17" thickBot="1" x14ac:dyDescent="0.25">
      <c r="A1247" s="176">
        <v>1248</v>
      </c>
      <c r="B1247" s="291">
        <v>1</v>
      </c>
      <c r="C1247" s="167" t="s">
        <v>975</v>
      </c>
      <c r="D1247" s="299" t="s">
        <v>3059</v>
      </c>
      <c r="E1247" s="299" t="s">
        <v>13</v>
      </c>
      <c r="F1247" s="299" t="s">
        <v>3393</v>
      </c>
      <c r="G1247" s="299" t="s">
        <v>15</v>
      </c>
      <c r="H1247" s="299" t="s">
        <v>42</v>
      </c>
      <c r="I1247" s="184">
        <v>2008</v>
      </c>
      <c r="J1247" s="306" t="s">
        <v>3372</v>
      </c>
      <c r="K1247" s="306" t="s">
        <v>116</v>
      </c>
      <c r="L1247" s="184" t="s">
        <v>104</v>
      </c>
      <c r="M1247" s="558" t="s">
        <v>4318</v>
      </c>
      <c r="N1247" s="317" t="s">
        <v>15</v>
      </c>
      <c r="O1247" s="317" t="s">
        <v>15</v>
      </c>
      <c r="P1247" s="317" t="s">
        <v>20</v>
      </c>
      <c r="Q1247" s="317" t="s">
        <v>20</v>
      </c>
      <c r="R1247" s="317" t="s">
        <v>20</v>
      </c>
      <c r="S1247" s="317" t="s">
        <v>20</v>
      </c>
      <c r="T1247" s="317" t="s">
        <v>20</v>
      </c>
      <c r="U1247" s="317" t="s">
        <v>15</v>
      </c>
      <c r="V1247" s="317" t="s">
        <v>15</v>
      </c>
      <c r="W1247" s="317" t="s">
        <v>15</v>
      </c>
      <c r="X1247" s="317" t="s">
        <v>15</v>
      </c>
      <c r="Y1247" s="317" t="s">
        <v>15</v>
      </c>
      <c r="Z1247" s="318" t="s">
        <v>15</v>
      </c>
      <c r="AA1247" s="234"/>
      <c r="AB1247" s="318"/>
      <c r="AC1247" s="318" t="s">
        <v>20</v>
      </c>
      <c r="AD1247" s="330" t="s">
        <v>3378</v>
      </c>
      <c r="AE1247" s="319"/>
      <c r="AF1247" s="162" t="str">
        <f t="shared" si="102"/>
        <v/>
      </c>
      <c r="AG1247" s="162" t="str">
        <f t="shared" si="106"/>
        <v/>
      </c>
      <c r="AH1247" s="164" t="str">
        <f t="shared" si="103"/>
        <v/>
      </c>
      <c r="AI1247" s="164">
        <f t="shared" si="104"/>
        <v>9.5161290322580641</v>
      </c>
      <c r="AJ1247" s="370"/>
      <c r="AK1247" s="369"/>
      <c r="AL1247" s="369"/>
      <c r="AM1247" s="369"/>
      <c r="AN1247" s="369"/>
      <c r="AO1247" s="369"/>
      <c r="AP1247" s="369"/>
      <c r="AQ1247" s="368"/>
      <c r="AR1247" s="389"/>
      <c r="AS1247" s="265"/>
      <c r="AT1247" s="272"/>
      <c r="AU1247" s="389"/>
      <c r="AV1247" s="419"/>
      <c r="AW1247" s="436"/>
      <c r="AX1247" s="359">
        <v>1.6129032258064516E-2</v>
      </c>
      <c r="AY1247" s="359">
        <v>9.5</v>
      </c>
      <c r="AZ1247" s="359">
        <v>0.20967741935483872</v>
      </c>
      <c r="BA1247" s="359">
        <v>1.6129032258064516E-2</v>
      </c>
      <c r="BB1247" s="359">
        <v>0.11290322580645161</v>
      </c>
      <c r="BC1247" s="426"/>
      <c r="BD1247" s="359"/>
      <c r="BE1247" s="359"/>
      <c r="BF1247" s="469">
        <f t="shared" si="100"/>
        <v>0</v>
      </c>
      <c r="BG1247" s="469">
        <f t="shared" si="105"/>
        <v>9.8548387096774182</v>
      </c>
      <c r="BH1247" s="460"/>
      <c r="BI1247" s="461"/>
      <c r="BJ1247" s="505"/>
    </row>
    <row r="1248" spans="1:62" ht="17" thickBot="1" x14ac:dyDescent="0.25">
      <c r="A1248" s="176">
        <v>1249</v>
      </c>
      <c r="B1248" s="291">
        <v>1</v>
      </c>
      <c r="C1248" s="167" t="s">
        <v>760</v>
      </c>
      <c r="D1248" s="300" t="s">
        <v>3292</v>
      </c>
      <c r="E1248" s="299" t="s">
        <v>13</v>
      </c>
      <c r="F1248" s="299" t="s">
        <v>3394</v>
      </c>
      <c r="G1248" s="299" t="s">
        <v>20</v>
      </c>
      <c r="H1248" s="299" t="s">
        <v>633</v>
      </c>
      <c r="I1248" s="184">
        <v>2013</v>
      </c>
      <c r="J1248" s="306" t="s">
        <v>3395</v>
      </c>
      <c r="K1248" s="306" t="s">
        <v>3396</v>
      </c>
      <c r="L1248" s="184" t="s">
        <v>19</v>
      </c>
      <c r="M1248" s="558" t="s">
        <v>4319</v>
      </c>
      <c r="N1248" s="317" t="s">
        <v>20</v>
      </c>
      <c r="O1248" s="317" t="s">
        <v>15</v>
      </c>
      <c r="P1248" s="317" t="s">
        <v>15</v>
      </c>
      <c r="Q1248" s="317" t="s">
        <v>15</v>
      </c>
      <c r="R1248" s="317" t="s">
        <v>15</v>
      </c>
      <c r="S1248" s="317" t="s">
        <v>15</v>
      </c>
      <c r="T1248" s="317" t="s">
        <v>15</v>
      </c>
      <c r="U1248" s="317" t="s">
        <v>15</v>
      </c>
      <c r="V1248" s="317" t="s">
        <v>15</v>
      </c>
      <c r="W1248" s="317" t="s">
        <v>15</v>
      </c>
      <c r="X1248" s="317" t="s">
        <v>15</v>
      </c>
      <c r="Y1248" s="317" t="s">
        <v>15</v>
      </c>
      <c r="Z1248" s="318" t="s">
        <v>15</v>
      </c>
      <c r="AA1248" s="234"/>
      <c r="AB1248" s="318"/>
      <c r="AC1248" s="318" t="s">
        <v>15</v>
      </c>
      <c r="AD1248" s="330" t="s">
        <v>3397</v>
      </c>
      <c r="AE1248" s="319"/>
      <c r="AF1248" s="162" t="str">
        <f t="shared" si="102"/>
        <v/>
      </c>
      <c r="AG1248" s="162" t="str">
        <f t="shared" si="106"/>
        <v/>
      </c>
      <c r="AH1248" s="164">
        <f t="shared" si="103"/>
        <v>0.247</v>
      </c>
      <c r="AI1248" s="164" t="str">
        <f t="shared" si="104"/>
        <v/>
      </c>
      <c r="AJ1248" s="370"/>
      <c r="AK1248" s="369"/>
      <c r="AL1248" s="369"/>
      <c r="AM1248" s="369"/>
      <c r="AN1248" s="369"/>
      <c r="AO1248" s="369"/>
      <c r="AP1248" s="369"/>
      <c r="AQ1248" s="368"/>
      <c r="AR1248" s="389"/>
      <c r="AS1248" s="265"/>
      <c r="AT1248" s="272"/>
      <c r="AU1248" s="389"/>
      <c r="AV1248" s="419"/>
      <c r="AW1248" s="436">
        <v>0.247</v>
      </c>
      <c r="AX1248" s="359"/>
      <c r="AY1248" s="359"/>
      <c r="AZ1248" s="359"/>
      <c r="BA1248" s="359"/>
      <c r="BB1248" s="359"/>
      <c r="BC1248" s="426"/>
      <c r="BD1248" s="359"/>
      <c r="BE1248" s="359"/>
      <c r="BF1248" s="469">
        <f t="shared" si="100"/>
        <v>0.247</v>
      </c>
      <c r="BG1248" s="469"/>
      <c r="BH1248" s="460"/>
      <c r="BI1248" s="461"/>
      <c r="BJ1248" s="505"/>
    </row>
    <row r="1249" spans="1:62" ht="17" thickBot="1" x14ac:dyDescent="0.25">
      <c r="A1249" s="176">
        <v>1250</v>
      </c>
      <c r="B1249" s="291">
        <v>1</v>
      </c>
      <c r="C1249" s="167" t="s">
        <v>760</v>
      </c>
      <c r="D1249" s="300" t="s">
        <v>3292</v>
      </c>
      <c r="E1249" s="299" t="s">
        <v>13</v>
      </c>
      <c r="F1249" s="299" t="s">
        <v>3398</v>
      </c>
      <c r="G1249" s="299" t="s">
        <v>20</v>
      </c>
      <c r="H1249" s="299" t="s">
        <v>633</v>
      </c>
      <c r="I1249" s="184">
        <v>2013</v>
      </c>
      <c r="J1249" s="306" t="s">
        <v>3395</v>
      </c>
      <c r="K1249" s="306" t="s">
        <v>3396</v>
      </c>
      <c r="L1249" s="184" t="s">
        <v>19</v>
      </c>
      <c r="M1249" s="558" t="s">
        <v>4319</v>
      </c>
      <c r="N1249" s="317" t="s">
        <v>20</v>
      </c>
      <c r="O1249" s="317" t="s">
        <v>15</v>
      </c>
      <c r="P1249" s="317" t="s">
        <v>15</v>
      </c>
      <c r="Q1249" s="317" t="s">
        <v>15</v>
      </c>
      <c r="R1249" s="317" t="s">
        <v>15</v>
      </c>
      <c r="S1249" s="317" t="s">
        <v>15</v>
      </c>
      <c r="T1249" s="317" t="s">
        <v>15</v>
      </c>
      <c r="U1249" s="317" t="s">
        <v>15</v>
      </c>
      <c r="V1249" s="317" t="s">
        <v>15</v>
      </c>
      <c r="W1249" s="317" t="s">
        <v>15</v>
      </c>
      <c r="X1249" s="317" t="s">
        <v>15</v>
      </c>
      <c r="Y1249" s="317" t="s">
        <v>15</v>
      </c>
      <c r="Z1249" s="318" t="s">
        <v>15</v>
      </c>
      <c r="AA1249" s="234"/>
      <c r="AB1249" s="318"/>
      <c r="AC1249" s="318" t="s">
        <v>15</v>
      </c>
      <c r="AD1249" s="330" t="s">
        <v>3397</v>
      </c>
      <c r="AE1249" s="319"/>
      <c r="AF1249" s="162" t="str">
        <f t="shared" si="102"/>
        <v/>
      </c>
      <c r="AG1249" s="162" t="str">
        <f t="shared" si="106"/>
        <v/>
      </c>
      <c r="AH1249" s="164">
        <f t="shared" si="103"/>
        <v>0.127</v>
      </c>
      <c r="AI1249" s="164" t="str">
        <f t="shared" si="104"/>
        <v/>
      </c>
      <c r="AJ1249" s="370"/>
      <c r="AK1249" s="369"/>
      <c r="AL1249" s="369"/>
      <c r="AM1249" s="369"/>
      <c r="AN1249" s="369"/>
      <c r="AO1249" s="369"/>
      <c r="AP1249" s="369"/>
      <c r="AQ1249" s="368"/>
      <c r="AR1249" s="389"/>
      <c r="AS1249" s="265"/>
      <c r="AT1249" s="272"/>
      <c r="AU1249" s="389"/>
      <c r="AV1249" s="419"/>
      <c r="AW1249" s="436">
        <v>0.127</v>
      </c>
      <c r="AX1249" s="359"/>
      <c r="AY1249" s="359"/>
      <c r="AZ1249" s="359"/>
      <c r="BA1249" s="359"/>
      <c r="BB1249" s="359"/>
      <c r="BC1249" s="426"/>
      <c r="BD1249" s="359"/>
      <c r="BE1249" s="359"/>
      <c r="BF1249" s="469">
        <f t="shared" si="100"/>
        <v>0.127</v>
      </c>
      <c r="BG1249" s="469"/>
      <c r="BH1249" s="460"/>
      <c r="BI1249" s="461"/>
      <c r="BJ1249" s="505"/>
    </row>
    <row r="1250" spans="1:62" ht="17" thickBot="1" x14ac:dyDescent="0.25">
      <c r="A1250" s="176">
        <v>1251</v>
      </c>
      <c r="B1250" s="291">
        <v>1</v>
      </c>
      <c r="C1250" s="167" t="s">
        <v>760</v>
      </c>
      <c r="D1250" s="300" t="s">
        <v>3292</v>
      </c>
      <c r="E1250" s="299" t="s">
        <v>13</v>
      </c>
      <c r="F1250" s="299" t="s">
        <v>3399</v>
      </c>
      <c r="G1250" s="299" t="s">
        <v>20</v>
      </c>
      <c r="H1250" s="299" t="s">
        <v>633</v>
      </c>
      <c r="I1250" s="184">
        <v>2013</v>
      </c>
      <c r="J1250" s="306" t="s">
        <v>3395</v>
      </c>
      <c r="K1250" s="306" t="s">
        <v>3396</v>
      </c>
      <c r="L1250" s="184" t="s">
        <v>19</v>
      </c>
      <c r="M1250" s="558" t="s">
        <v>4319</v>
      </c>
      <c r="N1250" s="317" t="s">
        <v>20</v>
      </c>
      <c r="O1250" s="317" t="s">
        <v>15</v>
      </c>
      <c r="P1250" s="317" t="s">
        <v>15</v>
      </c>
      <c r="Q1250" s="317" t="s">
        <v>15</v>
      </c>
      <c r="R1250" s="317" t="s">
        <v>15</v>
      </c>
      <c r="S1250" s="317" t="s">
        <v>15</v>
      </c>
      <c r="T1250" s="317" t="s">
        <v>15</v>
      </c>
      <c r="U1250" s="317" t="s">
        <v>15</v>
      </c>
      <c r="V1250" s="317" t="s">
        <v>15</v>
      </c>
      <c r="W1250" s="317" t="s">
        <v>15</v>
      </c>
      <c r="X1250" s="317" t="s">
        <v>15</v>
      </c>
      <c r="Y1250" s="317" t="s">
        <v>15</v>
      </c>
      <c r="Z1250" s="318" t="s">
        <v>15</v>
      </c>
      <c r="AA1250" s="234"/>
      <c r="AB1250" s="318"/>
      <c r="AC1250" s="318" t="s">
        <v>15</v>
      </c>
      <c r="AD1250" s="330" t="s">
        <v>3397</v>
      </c>
      <c r="AE1250" s="319"/>
      <c r="AF1250" s="162" t="str">
        <f t="shared" si="102"/>
        <v/>
      </c>
      <c r="AG1250" s="162" t="str">
        <f t="shared" si="106"/>
        <v/>
      </c>
      <c r="AH1250" s="164">
        <f t="shared" si="103"/>
        <v>0.30299999999999999</v>
      </c>
      <c r="AI1250" s="164" t="str">
        <f t="shared" si="104"/>
        <v/>
      </c>
      <c r="AJ1250" s="370"/>
      <c r="AK1250" s="369"/>
      <c r="AL1250" s="369"/>
      <c r="AM1250" s="369"/>
      <c r="AN1250" s="369"/>
      <c r="AO1250" s="369"/>
      <c r="AP1250" s="369"/>
      <c r="AQ1250" s="368"/>
      <c r="AR1250" s="389"/>
      <c r="AS1250" s="265"/>
      <c r="AT1250" s="272"/>
      <c r="AU1250" s="389"/>
      <c r="AV1250" s="419"/>
      <c r="AW1250" s="437">
        <v>0.30299999999999999</v>
      </c>
      <c r="AX1250" s="359"/>
      <c r="AY1250" s="359"/>
      <c r="AZ1250" s="359"/>
      <c r="BA1250" s="359"/>
      <c r="BB1250" s="359"/>
      <c r="BC1250" s="426"/>
      <c r="BD1250" s="359"/>
      <c r="BE1250" s="359"/>
      <c r="BF1250" s="469">
        <f t="shared" si="100"/>
        <v>0.30299999999999999</v>
      </c>
      <c r="BG1250" s="469"/>
      <c r="BH1250" s="460"/>
      <c r="BI1250" s="461"/>
      <c r="BJ1250" s="505"/>
    </row>
    <row r="1251" spans="1:62" ht="17" thickBot="1" x14ac:dyDescent="0.25">
      <c r="A1251" s="176">
        <v>1252</v>
      </c>
      <c r="B1251" s="291">
        <v>1</v>
      </c>
      <c r="C1251" s="167" t="s">
        <v>760</v>
      </c>
      <c r="D1251" s="300" t="s">
        <v>3292</v>
      </c>
      <c r="E1251" s="299" t="s">
        <v>13</v>
      </c>
      <c r="F1251" s="167" t="s">
        <v>3400</v>
      </c>
      <c r="G1251" s="299" t="s">
        <v>20</v>
      </c>
      <c r="H1251" s="299" t="s">
        <v>633</v>
      </c>
      <c r="I1251" s="184">
        <v>2013</v>
      </c>
      <c r="J1251" s="306" t="s">
        <v>3395</v>
      </c>
      <c r="K1251" s="306" t="s">
        <v>3396</v>
      </c>
      <c r="L1251" s="184" t="s">
        <v>19</v>
      </c>
      <c r="M1251" s="558" t="s">
        <v>4319</v>
      </c>
      <c r="N1251" s="317" t="s">
        <v>20</v>
      </c>
      <c r="O1251" s="317" t="s">
        <v>15</v>
      </c>
      <c r="P1251" s="317" t="s">
        <v>15</v>
      </c>
      <c r="Q1251" s="317" t="s">
        <v>15</v>
      </c>
      <c r="R1251" s="317" t="s">
        <v>15</v>
      </c>
      <c r="S1251" s="317" t="s">
        <v>15</v>
      </c>
      <c r="T1251" s="317" t="s">
        <v>15</v>
      </c>
      <c r="U1251" s="317" t="s">
        <v>15</v>
      </c>
      <c r="V1251" s="317" t="s">
        <v>15</v>
      </c>
      <c r="W1251" s="317" t="s">
        <v>15</v>
      </c>
      <c r="X1251" s="317" t="s">
        <v>15</v>
      </c>
      <c r="Y1251" s="317" t="s">
        <v>15</v>
      </c>
      <c r="Z1251" s="318" t="s">
        <v>15</v>
      </c>
      <c r="AA1251" s="234"/>
      <c r="AB1251" s="318"/>
      <c r="AC1251" s="318" t="s">
        <v>15</v>
      </c>
      <c r="AD1251" s="330" t="s">
        <v>3397</v>
      </c>
      <c r="AE1251" s="319"/>
      <c r="AF1251" s="162" t="str">
        <f t="shared" si="102"/>
        <v/>
      </c>
      <c r="AG1251" s="162" t="str">
        <f t="shared" si="106"/>
        <v/>
      </c>
      <c r="AH1251" s="164">
        <f t="shared" si="103"/>
        <v>0.30199999999999999</v>
      </c>
      <c r="AI1251" s="164" t="str">
        <f t="shared" si="104"/>
        <v/>
      </c>
      <c r="AJ1251" s="368"/>
      <c r="AK1251" s="368"/>
      <c r="AL1251" s="368"/>
      <c r="AM1251" s="368"/>
      <c r="AN1251" s="368"/>
      <c r="AO1251" s="368"/>
      <c r="AP1251" s="368"/>
      <c r="AQ1251" s="368"/>
      <c r="AR1251" s="389"/>
      <c r="AS1251" s="263"/>
      <c r="AT1251" s="271"/>
      <c r="AU1251" s="389"/>
      <c r="AV1251" s="418"/>
      <c r="AW1251" s="436">
        <v>0.30199999999999999</v>
      </c>
      <c r="AX1251" s="359"/>
      <c r="AY1251" s="359"/>
      <c r="AZ1251" s="359"/>
      <c r="BA1251" s="359"/>
      <c r="BB1251" s="359"/>
      <c r="BC1251" s="426"/>
      <c r="BD1251" s="359"/>
      <c r="BE1251" s="359"/>
      <c r="BF1251" s="469">
        <f t="shared" ref="BF1251:BF1314" si="107">AW1251</f>
        <v>0.30199999999999999</v>
      </c>
      <c r="BG1251" s="469"/>
      <c r="BH1251" s="460"/>
      <c r="BI1251" s="461"/>
      <c r="BJ1251" s="505"/>
    </row>
    <row r="1252" spans="1:62" ht="17" thickBot="1" x14ac:dyDescent="0.25">
      <c r="A1252" s="176">
        <v>1253</v>
      </c>
      <c r="B1252" s="291">
        <v>1</v>
      </c>
      <c r="C1252" s="167" t="s">
        <v>760</v>
      </c>
      <c r="D1252" s="300" t="s">
        <v>3292</v>
      </c>
      <c r="E1252" s="299" t="s">
        <v>13</v>
      </c>
      <c r="F1252" s="167" t="s">
        <v>3401</v>
      </c>
      <c r="G1252" s="299" t="s">
        <v>20</v>
      </c>
      <c r="H1252" s="299" t="s">
        <v>633</v>
      </c>
      <c r="I1252" s="184">
        <v>2013</v>
      </c>
      <c r="J1252" s="306" t="s">
        <v>3395</v>
      </c>
      <c r="K1252" s="306" t="s">
        <v>3396</v>
      </c>
      <c r="L1252" s="184" t="s">
        <v>19</v>
      </c>
      <c r="M1252" s="558" t="s">
        <v>4319</v>
      </c>
      <c r="N1252" s="317" t="s">
        <v>20</v>
      </c>
      <c r="O1252" s="317" t="s">
        <v>15</v>
      </c>
      <c r="P1252" s="317" t="s">
        <v>15</v>
      </c>
      <c r="Q1252" s="317" t="s">
        <v>15</v>
      </c>
      <c r="R1252" s="317" t="s">
        <v>15</v>
      </c>
      <c r="S1252" s="317" t="s">
        <v>15</v>
      </c>
      <c r="T1252" s="317" t="s">
        <v>15</v>
      </c>
      <c r="U1252" s="317" t="s">
        <v>15</v>
      </c>
      <c r="V1252" s="317" t="s">
        <v>15</v>
      </c>
      <c r="W1252" s="317" t="s">
        <v>15</v>
      </c>
      <c r="X1252" s="317" t="s">
        <v>15</v>
      </c>
      <c r="Y1252" s="317" t="s">
        <v>15</v>
      </c>
      <c r="Z1252" s="318" t="s">
        <v>15</v>
      </c>
      <c r="AA1252" s="234"/>
      <c r="AB1252" s="318"/>
      <c r="AC1252" s="318" t="s">
        <v>15</v>
      </c>
      <c r="AD1252" s="330" t="s">
        <v>3397</v>
      </c>
      <c r="AE1252" s="319"/>
      <c r="AF1252" s="162" t="str">
        <f t="shared" si="102"/>
        <v/>
      </c>
      <c r="AG1252" s="162" t="str">
        <f t="shared" si="106"/>
        <v/>
      </c>
      <c r="AH1252" s="164">
        <f t="shared" si="103"/>
        <v>0.11799999999999999</v>
      </c>
      <c r="AI1252" s="164" t="str">
        <f t="shared" si="104"/>
        <v/>
      </c>
      <c r="AJ1252" s="368"/>
      <c r="AK1252" s="368"/>
      <c r="AL1252" s="368"/>
      <c r="AM1252" s="368"/>
      <c r="AN1252" s="368"/>
      <c r="AO1252" s="368"/>
      <c r="AP1252" s="368"/>
      <c r="AQ1252" s="368"/>
      <c r="AR1252" s="389"/>
      <c r="AS1252" s="263"/>
      <c r="AT1252" s="271"/>
      <c r="AU1252" s="389"/>
      <c r="AV1252" s="418"/>
      <c r="AW1252" s="436">
        <v>0.11799999999999999</v>
      </c>
      <c r="AX1252" s="359"/>
      <c r="AY1252" s="359"/>
      <c r="AZ1252" s="359"/>
      <c r="BA1252" s="359"/>
      <c r="BB1252" s="359"/>
      <c r="BC1252" s="426"/>
      <c r="BD1252" s="359"/>
      <c r="BE1252" s="359"/>
      <c r="BF1252" s="469">
        <f t="shared" si="107"/>
        <v>0.11799999999999999</v>
      </c>
      <c r="BG1252" s="469"/>
      <c r="BH1252" s="460"/>
      <c r="BI1252" s="461"/>
      <c r="BJ1252" s="505"/>
    </row>
    <row r="1253" spans="1:62" ht="17" thickBot="1" x14ac:dyDescent="0.25">
      <c r="A1253" s="176">
        <v>1254</v>
      </c>
      <c r="B1253" s="291">
        <v>1</v>
      </c>
      <c r="C1253" s="167" t="s">
        <v>760</v>
      </c>
      <c r="D1253" s="300" t="s">
        <v>3292</v>
      </c>
      <c r="E1253" s="299" t="s">
        <v>13</v>
      </c>
      <c r="F1253" s="167" t="s">
        <v>3402</v>
      </c>
      <c r="G1253" s="299" t="s">
        <v>20</v>
      </c>
      <c r="H1253" s="299" t="s">
        <v>633</v>
      </c>
      <c r="I1253" s="184">
        <v>2013</v>
      </c>
      <c r="J1253" s="306" t="s">
        <v>3395</v>
      </c>
      <c r="K1253" s="306" t="s">
        <v>3396</v>
      </c>
      <c r="L1253" s="184" t="s">
        <v>19</v>
      </c>
      <c r="M1253" s="558" t="s">
        <v>4319</v>
      </c>
      <c r="N1253" s="317" t="s">
        <v>20</v>
      </c>
      <c r="O1253" s="317" t="s">
        <v>15</v>
      </c>
      <c r="P1253" s="317" t="s">
        <v>15</v>
      </c>
      <c r="Q1253" s="317" t="s">
        <v>15</v>
      </c>
      <c r="R1253" s="317" t="s">
        <v>15</v>
      </c>
      <c r="S1253" s="317" t="s">
        <v>15</v>
      </c>
      <c r="T1253" s="317" t="s">
        <v>15</v>
      </c>
      <c r="U1253" s="317" t="s">
        <v>15</v>
      </c>
      <c r="V1253" s="317" t="s">
        <v>15</v>
      </c>
      <c r="W1253" s="317" t="s">
        <v>15</v>
      </c>
      <c r="X1253" s="317" t="s">
        <v>15</v>
      </c>
      <c r="Y1253" s="317" t="s">
        <v>15</v>
      </c>
      <c r="Z1253" s="318" t="s">
        <v>15</v>
      </c>
      <c r="AA1253" s="234"/>
      <c r="AB1253" s="318"/>
      <c r="AC1253" s="318" t="s">
        <v>15</v>
      </c>
      <c r="AD1253" s="330" t="s">
        <v>3397</v>
      </c>
      <c r="AE1253" s="319"/>
      <c r="AF1253" s="162" t="str">
        <f t="shared" si="102"/>
        <v/>
      </c>
      <c r="AG1253" s="162" t="str">
        <f t="shared" si="106"/>
        <v/>
      </c>
      <c r="AH1253" s="164">
        <f t="shared" si="103"/>
        <v>0.438</v>
      </c>
      <c r="AI1253" s="164" t="str">
        <f t="shared" si="104"/>
        <v/>
      </c>
      <c r="AJ1253" s="368"/>
      <c r="AK1253" s="368"/>
      <c r="AL1253" s="368"/>
      <c r="AM1253" s="368"/>
      <c r="AN1253" s="368"/>
      <c r="AO1253" s="368"/>
      <c r="AP1253" s="368"/>
      <c r="AQ1253" s="368"/>
      <c r="AR1253" s="389"/>
      <c r="AS1253" s="263"/>
      <c r="AT1253" s="271"/>
      <c r="AU1253" s="389"/>
      <c r="AV1253" s="418"/>
      <c r="AW1253" s="436">
        <v>0.438</v>
      </c>
      <c r="AX1253" s="359"/>
      <c r="AY1253" s="359"/>
      <c r="AZ1253" s="359"/>
      <c r="BA1253" s="359"/>
      <c r="BB1253" s="359"/>
      <c r="BC1253" s="426"/>
      <c r="BD1253" s="359"/>
      <c r="BE1253" s="359"/>
      <c r="BF1253" s="469">
        <f t="shared" si="107"/>
        <v>0.438</v>
      </c>
      <c r="BG1253" s="469"/>
      <c r="BH1253" s="460"/>
      <c r="BI1253" s="461"/>
      <c r="BJ1253" s="505"/>
    </row>
    <row r="1254" spans="1:62" ht="17" thickBot="1" x14ac:dyDescent="0.25">
      <c r="A1254" s="176">
        <v>1255</v>
      </c>
      <c r="B1254" s="291">
        <v>1</v>
      </c>
      <c r="C1254" s="167" t="s">
        <v>760</v>
      </c>
      <c r="D1254" s="300" t="s">
        <v>3292</v>
      </c>
      <c r="E1254" s="299" t="s">
        <v>13</v>
      </c>
      <c r="F1254" s="299" t="s">
        <v>3403</v>
      </c>
      <c r="G1254" s="299" t="s">
        <v>20</v>
      </c>
      <c r="H1254" s="299" t="s">
        <v>633</v>
      </c>
      <c r="I1254" s="184">
        <v>2013</v>
      </c>
      <c r="J1254" s="306" t="s">
        <v>3395</v>
      </c>
      <c r="K1254" s="306" t="s">
        <v>3396</v>
      </c>
      <c r="L1254" s="184" t="s">
        <v>19</v>
      </c>
      <c r="M1254" s="558" t="s">
        <v>4319</v>
      </c>
      <c r="N1254" s="317" t="s">
        <v>20</v>
      </c>
      <c r="O1254" s="317" t="s">
        <v>15</v>
      </c>
      <c r="P1254" s="317" t="s">
        <v>15</v>
      </c>
      <c r="Q1254" s="317" t="s">
        <v>15</v>
      </c>
      <c r="R1254" s="317" t="s">
        <v>15</v>
      </c>
      <c r="S1254" s="317" t="s">
        <v>15</v>
      </c>
      <c r="T1254" s="317" t="s">
        <v>15</v>
      </c>
      <c r="U1254" s="317" t="s">
        <v>15</v>
      </c>
      <c r="V1254" s="317" t="s">
        <v>15</v>
      </c>
      <c r="W1254" s="317" t="s">
        <v>15</v>
      </c>
      <c r="X1254" s="317" t="s">
        <v>15</v>
      </c>
      <c r="Y1254" s="317" t="s">
        <v>15</v>
      </c>
      <c r="Z1254" s="318" t="s">
        <v>15</v>
      </c>
      <c r="AA1254" s="234"/>
      <c r="AB1254" s="318"/>
      <c r="AC1254" s="318" t="s">
        <v>15</v>
      </c>
      <c r="AD1254" s="330" t="s">
        <v>3397</v>
      </c>
      <c r="AE1254" s="319"/>
      <c r="AF1254" s="162" t="str">
        <f t="shared" si="102"/>
        <v/>
      </c>
      <c r="AG1254" s="162" t="str">
        <f t="shared" si="106"/>
        <v/>
      </c>
      <c r="AH1254" s="164">
        <f t="shared" si="103"/>
        <v>8.6599999999999996E-2</v>
      </c>
      <c r="AI1254" s="164" t="str">
        <f t="shared" si="104"/>
        <v/>
      </c>
      <c r="AJ1254" s="368"/>
      <c r="AK1254" s="368"/>
      <c r="AL1254" s="368"/>
      <c r="AM1254" s="368"/>
      <c r="AN1254" s="368"/>
      <c r="AO1254" s="368"/>
      <c r="AP1254" s="368"/>
      <c r="AQ1254" s="368"/>
      <c r="AR1254" s="389"/>
      <c r="AS1254" s="263"/>
      <c r="AT1254" s="271"/>
      <c r="AU1254" s="389"/>
      <c r="AV1254" s="418"/>
      <c r="AW1254" s="436">
        <v>8.6599999999999996E-2</v>
      </c>
      <c r="AX1254" s="359"/>
      <c r="AY1254" s="359"/>
      <c r="AZ1254" s="359"/>
      <c r="BA1254" s="359"/>
      <c r="BB1254" s="359"/>
      <c r="BC1254" s="426"/>
      <c r="BD1254" s="359"/>
      <c r="BE1254" s="359"/>
      <c r="BF1254" s="469">
        <f t="shared" si="107"/>
        <v>8.6599999999999996E-2</v>
      </c>
      <c r="BG1254" s="469"/>
      <c r="BH1254" s="460"/>
      <c r="BI1254" s="461"/>
      <c r="BJ1254" s="505"/>
    </row>
    <row r="1255" spans="1:62" ht="17" thickBot="1" x14ac:dyDescent="0.25">
      <c r="A1255" s="176">
        <v>1256</v>
      </c>
      <c r="B1255" s="291">
        <v>1</v>
      </c>
      <c r="C1255" s="299" t="s">
        <v>24</v>
      </c>
      <c r="D1255" s="299" t="s">
        <v>283</v>
      </c>
      <c r="E1255" s="299" t="s">
        <v>13</v>
      </c>
      <c r="F1255" s="299" t="s">
        <v>3404</v>
      </c>
      <c r="G1255" s="299" t="s">
        <v>20</v>
      </c>
      <c r="H1255" s="299" t="s">
        <v>55</v>
      </c>
      <c r="I1255" s="184">
        <v>2012</v>
      </c>
      <c r="J1255" s="306" t="s">
        <v>3405</v>
      </c>
      <c r="K1255" s="306" t="s">
        <v>3406</v>
      </c>
      <c r="L1255" s="306" t="s">
        <v>19</v>
      </c>
      <c r="M1255" s="558" t="s">
        <v>4320</v>
      </c>
      <c r="N1255" s="317" t="s">
        <v>20</v>
      </c>
      <c r="O1255" s="317" t="s">
        <v>15</v>
      </c>
      <c r="P1255" s="317" t="s">
        <v>15</v>
      </c>
      <c r="Q1255" s="317" t="s">
        <v>15</v>
      </c>
      <c r="R1255" s="317" t="s">
        <v>15</v>
      </c>
      <c r="S1255" s="317" t="s">
        <v>15</v>
      </c>
      <c r="T1255" s="317" t="s">
        <v>15</v>
      </c>
      <c r="U1255" s="317" t="s">
        <v>15</v>
      </c>
      <c r="V1255" s="317" t="s">
        <v>15</v>
      </c>
      <c r="W1255" s="317" t="s">
        <v>15</v>
      </c>
      <c r="X1255" s="317" t="s">
        <v>15</v>
      </c>
      <c r="Y1255" s="317" t="s">
        <v>15</v>
      </c>
      <c r="Z1255" s="318" t="s">
        <v>15</v>
      </c>
      <c r="AA1255" s="234"/>
      <c r="AB1255" s="318"/>
      <c r="AC1255" s="318" t="s">
        <v>20</v>
      </c>
      <c r="AD1255" s="330" t="s">
        <v>3407</v>
      </c>
      <c r="AE1255" s="330" t="s">
        <v>485</v>
      </c>
      <c r="AF1255" s="162" t="str">
        <f t="shared" si="102"/>
        <v/>
      </c>
      <c r="AG1255" s="162" t="str">
        <f t="shared" si="106"/>
        <v/>
      </c>
      <c r="AH1255" s="164">
        <f t="shared" si="103"/>
        <v>3.7069999999999999</v>
      </c>
      <c r="AI1255" s="164" t="str">
        <f t="shared" si="104"/>
        <v/>
      </c>
      <c r="AJ1255" s="368"/>
      <c r="AK1255" s="368"/>
      <c r="AL1255" s="368"/>
      <c r="AM1255" s="368"/>
      <c r="AN1255" s="368"/>
      <c r="AO1255" s="368"/>
      <c r="AP1255" s="368"/>
      <c r="AQ1255" s="368"/>
      <c r="AR1255" s="389"/>
      <c r="AS1255" s="263"/>
      <c r="AT1255" s="271"/>
      <c r="AU1255" s="389"/>
      <c r="AV1255" s="418"/>
      <c r="AW1255" s="436">
        <v>3.7069999999999999</v>
      </c>
      <c r="AX1255" s="359"/>
      <c r="AY1255" s="359"/>
      <c r="AZ1255" s="359"/>
      <c r="BA1255" s="359"/>
      <c r="BB1255" s="359"/>
      <c r="BC1255" s="426"/>
      <c r="BD1255" s="359"/>
      <c r="BE1255" s="359"/>
      <c r="BF1255" s="469">
        <f t="shared" si="107"/>
        <v>3.7069999999999999</v>
      </c>
      <c r="BG1255" s="469"/>
      <c r="BH1255" s="460"/>
      <c r="BI1255" s="461"/>
      <c r="BJ1255" s="505"/>
    </row>
    <row r="1256" spans="1:62" ht="17" thickBot="1" x14ac:dyDescent="0.25">
      <c r="A1256" s="176">
        <v>1257</v>
      </c>
      <c r="B1256" s="291">
        <v>1</v>
      </c>
      <c r="C1256" s="299" t="s">
        <v>24</v>
      </c>
      <c r="D1256" s="299" t="s">
        <v>283</v>
      </c>
      <c r="E1256" s="299" t="s">
        <v>13</v>
      </c>
      <c r="F1256" s="299" t="s">
        <v>3408</v>
      </c>
      <c r="G1256" s="299" t="s">
        <v>20</v>
      </c>
      <c r="H1256" s="299" t="s">
        <v>55</v>
      </c>
      <c r="I1256" s="184">
        <v>2012</v>
      </c>
      <c r="J1256" s="306" t="s">
        <v>3405</v>
      </c>
      <c r="K1256" s="306" t="s">
        <v>3406</v>
      </c>
      <c r="L1256" s="306" t="s">
        <v>19</v>
      </c>
      <c r="M1256" s="558" t="s">
        <v>4320</v>
      </c>
      <c r="N1256" s="317" t="s">
        <v>20</v>
      </c>
      <c r="O1256" s="317" t="s">
        <v>15</v>
      </c>
      <c r="P1256" s="317" t="s">
        <v>15</v>
      </c>
      <c r="Q1256" s="317" t="s">
        <v>15</v>
      </c>
      <c r="R1256" s="317" t="s">
        <v>15</v>
      </c>
      <c r="S1256" s="317" t="s">
        <v>15</v>
      </c>
      <c r="T1256" s="317" t="s">
        <v>15</v>
      </c>
      <c r="U1256" s="317" t="s">
        <v>15</v>
      </c>
      <c r="V1256" s="317" t="s">
        <v>15</v>
      </c>
      <c r="W1256" s="317" t="s">
        <v>15</v>
      </c>
      <c r="X1256" s="317" t="s">
        <v>15</v>
      </c>
      <c r="Y1256" s="317" t="s">
        <v>15</v>
      </c>
      <c r="Z1256" s="318" t="s">
        <v>15</v>
      </c>
      <c r="AA1256" s="234"/>
      <c r="AB1256" s="318"/>
      <c r="AC1256" s="318" t="s">
        <v>20</v>
      </c>
      <c r="AD1256" s="330" t="s">
        <v>3407</v>
      </c>
      <c r="AE1256" s="330" t="s">
        <v>485</v>
      </c>
      <c r="AF1256" s="162" t="str">
        <f t="shared" si="102"/>
        <v/>
      </c>
      <c r="AG1256" s="162" t="str">
        <f t="shared" si="106"/>
        <v/>
      </c>
      <c r="AH1256" s="164">
        <f t="shared" si="103"/>
        <v>3.4460000000000002</v>
      </c>
      <c r="AI1256" s="164" t="str">
        <f t="shared" si="104"/>
        <v/>
      </c>
      <c r="AJ1256" s="368"/>
      <c r="AK1256" s="368"/>
      <c r="AL1256" s="368"/>
      <c r="AM1256" s="368"/>
      <c r="AN1256" s="368"/>
      <c r="AO1256" s="368"/>
      <c r="AP1256" s="368"/>
      <c r="AQ1256" s="368"/>
      <c r="AR1256" s="389"/>
      <c r="AS1256" s="263"/>
      <c r="AT1256" s="271"/>
      <c r="AU1256" s="389"/>
      <c r="AV1256" s="419"/>
      <c r="AW1256" s="436">
        <v>3.4460000000000002</v>
      </c>
      <c r="AX1256" s="359"/>
      <c r="AY1256" s="359"/>
      <c r="AZ1256" s="359"/>
      <c r="BA1256" s="359"/>
      <c r="BB1256" s="359"/>
      <c r="BC1256" s="426"/>
      <c r="BD1256" s="359"/>
      <c r="BE1256" s="359"/>
      <c r="BF1256" s="469">
        <f t="shared" si="107"/>
        <v>3.4460000000000002</v>
      </c>
      <c r="BG1256" s="469"/>
      <c r="BH1256" s="460"/>
      <c r="BI1256" s="461"/>
      <c r="BJ1256" s="505"/>
    </row>
    <row r="1257" spans="1:62" ht="17" thickBot="1" x14ac:dyDescent="0.25">
      <c r="A1257" s="176">
        <v>1258</v>
      </c>
      <c r="B1257" s="291">
        <v>1</v>
      </c>
      <c r="C1257" s="299" t="s">
        <v>24</v>
      </c>
      <c r="D1257" s="299" t="s">
        <v>283</v>
      </c>
      <c r="E1257" s="299" t="s">
        <v>13</v>
      </c>
      <c r="F1257" s="299" t="s">
        <v>3409</v>
      </c>
      <c r="G1257" s="299" t="s">
        <v>20</v>
      </c>
      <c r="H1257" s="299" t="s">
        <v>55</v>
      </c>
      <c r="I1257" s="184">
        <v>2012</v>
      </c>
      <c r="J1257" s="306" t="s">
        <v>3405</v>
      </c>
      <c r="K1257" s="306" t="s">
        <v>3406</v>
      </c>
      <c r="L1257" s="306" t="s">
        <v>19</v>
      </c>
      <c r="M1257" s="558" t="s">
        <v>4320</v>
      </c>
      <c r="N1257" s="317" t="s">
        <v>20</v>
      </c>
      <c r="O1257" s="317" t="s">
        <v>15</v>
      </c>
      <c r="P1257" s="317" t="s">
        <v>15</v>
      </c>
      <c r="Q1257" s="317" t="s">
        <v>15</v>
      </c>
      <c r="R1257" s="317" t="s">
        <v>15</v>
      </c>
      <c r="S1257" s="317" t="s">
        <v>15</v>
      </c>
      <c r="T1257" s="317" t="s">
        <v>15</v>
      </c>
      <c r="U1257" s="317" t="s">
        <v>15</v>
      </c>
      <c r="V1257" s="317" t="s">
        <v>15</v>
      </c>
      <c r="W1257" s="317" t="s">
        <v>15</v>
      </c>
      <c r="X1257" s="317" t="s">
        <v>15</v>
      </c>
      <c r="Y1257" s="317" t="s">
        <v>15</v>
      </c>
      <c r="Z1257" s="318" t="s">
        <v>15</v>
      </c>
      <c r="AA1257" s="234"/>
      <c r="AB1257" s="318"/>
      <c r="AC1257" s="318" t="s">
        <v>20</v>
      </c>
      <c r="AD1257" s="330" t="s">
        <v>3407</v>
      </c>
      <c r="AE1257" s="330" t="s">
        <v>485</v>
      </c>
      <c r="AF1257" s="162" t="str">
        <f t="shared" si="102"/>
        <v/>
      </c>
      <c r="AG1257" s="162" t="str">
        <f t="shared" si="106"/>
        <v/>
      </c>
      <c r="AH1257" s="164">
        <f t="shared" si="103"/>
        <v>9.9809999999999999</v>
      </c>
      <c r="AI1257" s="164" t="str">
        <f t="shared" si="104"/>
        <v/>
      </c>
      <c r="AJ1257" s="368"/>
      <c r="AK1257" s="368"/>
      <c r="AL1257" s="368"/>
      <c r="AM1257" s="368"/>
      <c r="AN1257" s="368"/>
      <c r="AO1257" s="368"/>
      <c r="AP1257" s="368"/>
      <c r="AQ1257" s="368"/>
      <c r="AR1257" s="389"/>
      <c r="AS1257" s="263"/>
      <c r="AT1257" s="271"/>
      <c r="AU1257" s="389"/>
      <c r="AV1257" s="418"/>
      <c r="AW1257" s="436">
        <v>9.9809999999999999</v>
      </c>
      <c r="AX1257" s="359"/>
      <c r="AY1257" s="359"/>
      <c r="AZ1257" s="359"/>
      <c r="BA1257" s="359"/>
      <c r="BB1257" s="359"/>
      <c r="BC1257" s="426"/>
      <c r="BD1257" s="359"/>
      <c r="BE1257" s="359"/>
      <c r="BF1257" s="469">
        <f t="shared" si="107"/>
        <v>9.9809999999999999</v>
      </c>
      <c r="BG1257" s="469"/>
      <c r="BH1257" s="460"/>
      <c r="BI1257" s="461"/>
      <c r="BJ1257" s="505"/>
    </row>
    <row r="1258" spans="1:62" ht="17" thickBot="1" x14ac:dyDescent="0.25">
      <c r="A1258" s="176">
        <v>1259</v>
      </c>
      <c r="B1258" s="291">
        <v>1</v>
      </c>
      <c r="C1258" s="299" t="s">
        <v>24</v>
      </c>
      <c r="D1258" s="299" t="s">
        <v>283</v>
      </c>
      <c r="E1258" s="299" t="s">
        <v>13</v>
      </c>
      <c r="F1258" s="299" t="s">
        <v>3410</v>
      </c>
      <c r="G1258" s="299" t="s">
        <v>20</v>
      </c>
      <c r="H1258" s="299" t="s">
        <v>55</v>
      </c>
      <c r="I1258" s="184">
        <v>2012</v>
      </c>
      <c r="J1258" s="306" t="s">
        <v>3405</v>
      </c>
      <c r="K1258" s="306" t="s">
        <v>3406</v>
      </c>
      <c r="L1258" s="306" t="s">
        <v>19</v>
      </c>
      <c r="M1258" s="558" t="s">
        <v>4320</v>
      </c>
      <c r="N1258" s="317" t="s">
        <v>20</v>
      </c>
      <c r="O1258" s="317" t="s">
        <v>15</v>
      </c>
      <c r="P1258" s="317" t="s">
        <v>15</v>
      </c>
      <c r="Q1258" s="317" t="s">
        <v>15</v>
      </c>
      <c r="R1258" s="317" t="s">
        <v>15</v>
      </c>
      <c r="S1258" s="317" t="s">
        <v>15</v>
      </c>
      <c r="T1258" s="317" t="s">
        <v>15</v>
      </c>
      <c r="U1258" s="317" t="s">
        <v>15</v>
      </c>
      <c r="V1258" s="317" t="s">
        <v>15</v>
      </c>
      <c r="W1258" s="317" t="s">
        <v>15</v>
      </c>
      <c r="X1258" s="317" t="s">
        <v>15</v>
      </c>
      <c r="Y1258" s="317" t="s">
        <v>15</v>
      </c>
      <c r="Z1258" s="318" t="s">
        <v>15</v>
      </c>
      <c r="AA1258" s="234"/>
      <c r="AB1258" s="318"/>
      <c r="AC1258" s="318" t="s">
        <v>20</v>
      </c>
      <c r="AD1258" s="330" t="s">
        <v>3407</v>
      </c>
      <c r="AE1258" s="330" t="s">
        <v>485</v>
      </c>
      <c r="AF1258" s="162" t="str">
        <f t="shared" si="102"/>
        <v/>
      </c>
      <c r="AG1258" s="162" t="str">
        <f t="shared" si="106"/>
        <v/>
      </c>
      <c r="AH1258" s="164">
        <f t="shared" si="103"/>
        <v>10.657</v>
      </c>
      <c r="AI1258" s="164" t="str">
        <f t="shared" si="104"/>
        <v/>
      </c>
      <c r="AJ1258" s="368"/>
      <c r="AK1258" s="368"/>
      <c r="AL1258" s="368"/>
      <c r="AM1258" s="368"/>
      <c r="AN1258" s="368"/>
      <c r="AO1258" s="368"/>
      <c r="AP1258" s="368"/>
      <c r="AQ1258" s="368"/>
      <c r="AR1258" s="389"/>
      <c r="AS1258" s="263"/>
      <c r="AT1258" s="271"/>
      <c r="AU1258" s="389"/>
      <c r="AV1258" s="418"/>
      <c r="AW1258" s="436">
        <v>10.657</v>
      </c>
      <c r="AX1258" s="359"/>
      <c r="AY1258" s="359"/>
      <c r="AZ1258" s="359"/>
      <c r="BA1258" s="359"/>
      <c r="BB1258" s="359"/>
      <c r="BC1258" s="426"/>
      <c r="BD1258" s="359"/>
      <c r="BE1258" s="359"/>
      <c r="BF1258" s="469">
        <f t="shared" si="107"/>
        <v>10.657</v>
      </c>
      <c r="BG1258" s="469"/>
      <c r="BH1258" s="460"/>
      <c r="BI1258" s="461"/>
      <c r="BJ1258" s="505"/>
    </row>
    <row r="1259" spans="1:62" ht="17" thickBot="1" x14ac:dyDescent="0.25">
      <c r="A1259" s="176">
        <v>1260</v>
      </c>
      <c r="B1259" s="291">
        <v>1</v>
      </c>
      <c r="C1259" s="167" t="s">
        <v>596</v>
      </c>
      <c r="D1259" s="299" t="s">
        <v>2020</v>
      </c>
      <c r="E1259" s="299" t="s">
        <v>13</v>
      </c>
      <c r="F1259" s="299" t="s">
        <v>3411</v>
      </c>
      <c r="G1259" s="299" t="s">
        <v>15</v>
      </c>
      <c r="H1259" s="299" t="s">
        <v>386</v>
      </c>
      <c r="I1259" s="184">
        <v>2012</v>
      </c>
      <c r="J1259" s="306" t="s">
        <v>3412</v>
      </c>
      <c r="K1259" s="306" t="s">
        <v>3413</v>
      </c>
      <c r="L1259" s="306" t="s">
        <v>19</v>
      </c>
      <c r="M1259" s="558" t="s">
        <v>4321</v>
      </c>
      <c r="N1259" s="317" t="s">
        <v>20</v>
      </c>
      <c r="O1259" s="317" t="s">
        <v>15</v>
      </c>
      <c r="P1259" s="317" t="s">
        <v>15</v>
      </c>
      <c r="Q1259" s="317" t="s">
        <v>15</v>
      </c>
      <c r="R1259" s="317" t="s">
        <v>20</v>
      </c>
      <c r="S1259" s="317" t="s">
        <v>15</v>
      </c>
      <c r="T1259" s="317" t="s">
        <v>20</v>
      </c>
      <c r="U1259" s="317" t="s">
        <v>15</v>
      </c>
      <c r="V1259" s="317" t="s">
        <v>15</v>
      </c>
      <c r="W1259" s="317" t="s">
        <v>15</v>
      </c>
      <c r="X1259" s="317" t="s">
        <v>15</v>
      </c>
      <c r="Y1259" s="317" t="s">
        <v>15</v>
      </c>
      <c r="Z1259" s="318" t="s">
        <v>15</v>
      </c>
      <c r="AA1259" s="234"/>
      <c r="AB1259" s="318"/>
      <c r="AC1259" s="318" t="s">
        <v>20</v>
      </c>
      <c r="AD1259" s="330" t="s">
        <v>3414</v>
      </c>
      <c r="AE1259" s="330" t="s">
        <v>628</v>
      </c>
      <c r="AF1259" s="162" t="str">
        <f t="shared" si="102"/>
        <v/>
      </c>
      <c r="AG1259" s="162" t="str">
        <f t="shared" si="106"/>
        <v/>
      </c>
      <c r="AH1259" s="164">
        <f t="shared" si="103"/>
        <v>0.5</v>
      </c>
      <c r="AI1259" s="164" t="str">
        <f t="shared" si="104"/>
        <v/>
      </c>
      <c r="AJ1259" s="368"/>
      <c r="AK1259" s="368"/>
      <c r="AL1259" s="368"/>
      <c r="AM1259" s="368"/>
      <c r="AN1259" s="368"/>
      <c r="AO1259" s="368"/>
      <c r="AP1259" s="368"/>
      <c r="AQ1259" s="368"/>
      <c r="AR1259" s="389"/>
      <c r="AS1259" s="263"/>
      <c r="AT1259" s="271"/>
      <c r="AU1259" s="389"/>
      <c r="AV1259" s="418"/>
      <c r="AW1259" s="436">
        <v>0.5</v>
      </c>
      <c r="AX1259" s="359"/>
      <c r="AY1259" s="359"/>
      <c r="AZ1259" s="359">
        <v>0.55000000000000004</v>
      </c>
      <c r="BA1259" s="359"/>
      <c r="BB1259" s="359">
        <v>0.45</v>
      </c>
      <c r="BC1259" s="426"/>
      <c r="BD1259" s="359"/>
      <c r="BE1259" s="359"/>
      <c r="BF1259" s="469">
        <f t="shared" si="107"/>
        <v>0.5</v>
      </c>
      <c r="BG1259" s="469">
        <f t="shared" ref="BG1259:BG1274" si="108">SUM(AW1259:BE1259)</f>
        <v>1.5</v>
      </c>
      <c r="BH1259" s="460"/>
      <c r="BI1259" s="462" t="s">
        <v>93</v>
      </c>
      <c r="BJ1259" s="505"/>
    </row>
    <row r="1260" spans="1:62" ht="17" thickBot="1" x14ac:dyDescent="0.25">
      <c r="A1260" s="176">
        <v>1261</v>
      </c>
      <c r="B1260" s="291">
        <v>1</v>
      </c>
      <c r="C1260" s="167" t="s">
        <v>596</v>
      </c>
      <c r="D1260" s="299" t="s">
        <v>1418</v>
      </c>
      <c r="E1260" s="299" t="s">
        <v>13</v>
      </c>
      <c r="F1260" s="299" t="s">
        <v>3415</v>
      </c>
      <c r="G1260" s="299" t="s">
        <v>15</v>
      </c>
      <c r="H1260" s="299" t="s">
        <v>386</v>
      </c>
      <c r="I1260" s="184">
        <v>2012</v>
      </c>
      <c r="J1260" s="306" t="s">
        <v>3412</v>
      </c>
      <c r="K1260" s="306" t="s">
        <v>3413</v>
      </c>
      <c r="L1260" s="306" t="s">
        <v>19</v>
      </c>
      <c r="M1260" s="558" t="s">
        <v>4321</v>
      </c>
      <c r="N1260" s="317" t="s">
        <v>20</v>
      </c>
      <c r="O1260" s="317" t="s">
        <v>15</v>
      </c>
      <c r="P1260" s="317" t="s">
        <v>15</v>
      </c>
      <c r="Q1260" s="317" t="s">
        <v>15</v>
      </c>
      <c r="R1260" s="317" t="s">
        <v>20</v>
      </c>
      <c r="S1260" s="317" t="s">
        <v>15</v>
      </c>
      <c r="T1260" s="317" t="s">
        <v>20</v>
      </c>
      <c r="U1260" s="317" t="s">
        <v>15</v>
      </c>
      <c r="V1260" s="317" t="s">
        <v>15</v>
      </c>
      <c r="W1260" s="317" t="s">
        <v>15</v>
      </c>
      <c r="X1260" s="317" t="s">
        <v>15</v>
      </c>
      <c r="Y1260" s="317" t="s">
        <v>15</v>
      </c>
      <c r="Z1260" s="318" t="s">
        <v>15</v>
      </c>
      <c r="AA1260" s="234"/>
      <c r="AB1260" s="318"/>
      <c r="AC1260" s="318" t="s">
        <v>20</v>
      </c>
      <c r="AD1260" s="330" t="s">
        <v>3414</v>
      </c>
      <c r="AE1260" s="330" t="s">
        <v>628</v>
      </c>
      <c r="AF1260" s="162" t="str">
        <f t="shared" si="102"/>
        <v/>
      </c>
      <c r="AG1260" s="162" t="str">
        <f t="shared" si="106"/>
        <v/>
      </c>
      <c r="AH1260" s="164">
        <f t="shared" si="103"/>
        <v>0.25</v>
      </c>
      <c r="AI1260" s="164" t="str">
        <f t="shared" si="104"/>
        <v/>
      </c>
      <c r="AJ1260" s="368"/>
      <c r="AK1260" s="368"/>
      <c r="AL1260" s="368"/>
      <c r="AM1260" s="368"/>
      <c r="AN1260" s="368"/>
      <c r="AO1260" s="368"/>
      <c r="AP1260" s="368"/>
      <c r="AQ1260" s="368"/>
      <c r="AR1260" s="389"/>
      <c r="AS1260" s="263"/>
      <c r="AT1260" s="271"/>
      <c r="AU1260" s="389"/>
      <c r="AV1260" s="418"/>
      <c r="AW1260" s="436">
        <v>0.25</v>
      </c>
      <c r="AX1260" s="359"/>
      <c r="AY1260" s="359"/>
      <c r="AZ1260" s="359">
        <v>0.67500000000000004</v>
      </c>
      <c r="BA1260" s="359"/>
      <c r="BB1260" s="359">
        <v>0.25</v>
      </c>
      <c r="BC1260" s="426"/>
      <c r="BD1260" s="359"/>
      <c r="BE1260" s="359"/>
      <c r="BF1260" s="469">
        <f t="shared" si="107"/>
        <v>0.25</v>
      </c>
      <c r="BG1260" s="469">
        <f t="shared" si="108"/>
        <v>1.175</v>
      </c>
      <c r="BH1260" s="460"/>
      <c r="BI1260" s="462" t="s">
        <v>93</v>
      </c>
      <c r="BJ1260" s="505"/>
    </row>
    <row r="1261" spans="1:62" ht="17" thickBot="1" x14ac:dyDescent="0.25">
      <c r="A1261" s="176">
        <v>1262</v>
      </c>
      <c r="B1261" s="291">
        <v>1</v>
      </c>
      <c r="C1261" s="167" t="s">
        <v>596</v>
      </c>
      <c r="D1261" s="299" t="s">
        <v>3416</v>
      </c>
      <c r="E1261" s="299" t="s">
        <v>13</v>
      </c>
      <c r="F1261" s="299" t="s">
        <v>3417</v>
      </c>
      <c r="G1261" s="299" t="s">
        <v>15</v>
      </c>
      <c r="H1261" s="299" t="s">
        <v>386</v>
      </c>
      <c r="I1261" s="184">
        <v>2012</v>
      </c>
      <c r="J1261" s="306" t="s">
        <v>3412</v>
      </c>
      <c r="K1261" s="306" t="s">
        <v>3413</v>
      </c>
      <c r="L1261" s="306" t="s">
        <v>19</v>
      </c>
      <c r="M1261" s="558" t="s">
        <v>4321</v>
      </c>
      <c r="N1261" s="317" t="s">
        <v>20</v>
      </c>
      <c r="O1261" s="317" t="s">
        <v>15</v>
      </c>
      <c r="P1261" s="317" t="s">
        <v>15</v>
      </c>
      <c r="Q1261" s="317" t="s">
        <v>15</v>
      </c>
      <c r="R1261" s="317" t="s">
        <v>20</v>
      </c>
      <c r="S1261" s="317" t="s">
        <v>20</v>
      </c>
      <c r="T1261" s="317" t="s">
        <v>20</v>
      </c>
      <c r="U1261" s="317" t="s">
        <v>15</v>
      </c>
      <c r="V1261" s="317" t="s">
        <v>15</v>
      </c>
      <c r="W1261" s="317" t="s">
        <v>15</v>
      </c>
      <c r="X1261" s="317" t="s">
        <v>15</v>
      </c>
      <c r="Y1261" s="317" t="s">
        <v>15</v>
      </c>
      <c r="Z1261" s="318" t="s">
        <v>15</v>
      </c>
      <c r="AA1261" s="234"/>
      <c r="AB1261" s="318"/>
      <c r="AC1261" s="318" t="s">
        <v>20</v>
      </c>
      <c r="AD1261" s="330" t="s">
        <v>3414</v>
      </c>
      <c r="AE1261" s="330" t="s">
        <v>628</v>
      </c>
      <c r="AF1261" s="162" t="str">
        <f t="shared" ref="AF1261:AF1324" si="109">IF(AS1261&lt;&gt;0,AS1261,"")</f>
        <v/>
      </c>
      <c r="AG1261" s="162" t="str">
        <f t="shared" si="106"/>
        <v/>
      </c>
      <c r="AH1261" s="164">
        <f t="shared" si="103"/>
        <v>0.67500000000000004</v>
      </c>
      <c r="AI1261" s="164" t="str">
        <f t="shared" si="104"/>
        <v/>
      </c>
      <c r="AJ1261" s="368"/>
      <c r="AK1261" s="368"/>
      <c r="AL1261" s="368"/>
      <c r="AM1261" s="368"/>
      <c r="AN1261" s="368"/>
      <c r="AO1261" s="368"/>
      <c r="AP1261" s="368"/>
      <c r="AQ1261" s="368"/>
      <c r="AR1261" s="389"/>
      <c r="AS1261" s="263"/>
      <c r="AT1261" s="271"/>
      <c r="AU1261" s="389"/>
      <c r="AV1261" s="418"/>
      <c r="AW1261" s="436">
        <v>0.67500000000000004</v>
      </c>
      <c r="AX1261" s="359"/>
      <c r="AY1261" s="359"/>
      <c r="AZ1261" s="359">
        <v>0.57999999999999996</v>
      </c>
      <c r="BA1261" s="359">
        <v>0.18</v>
      </c>
      <c r="BB1261" s="359">
        <v>0.81</v>
      </c>
      <c r="BC1261" s="426"/>
      <c r="BD1261" s="359"/>
      <c r="BE1261" s="359"/>
      <c r="BF1261" s="469">
        <f t="shared" si="107"/>
        <v>0.67500000000000004</v>
      </c>
      <c r="BG1261" s="469">
        <f t="shared" si="108"/>
        <v>2.2450000000000001</v>
      </c>
      <c r="BH1261" s="460"/>
      <c r="BI1261" s="462" t="s">
        <v>93</v>
      </c>
      <c r="BJ1261" s="505"/>
    </row>
    <row r="1262" spans="1:62" ht="17" thickBot="1" x14ac:dyDescent="0.25">
      <c r="A1262" s="176">
        <v>1263</v>
      </c>
      <c r="B1262" s="291">
        <v>1</v>
      </c>
      <c r="C1262" s="167" t="s">
        <v>162</v>
      </c>
      <c r="D1262" s="299" t="s">
        <v>2206</v>
      </c>
      <c r="E1262" s="299" t="s">
        <v>13</v>
      </c>
      <c r="F1262" s="299" t="s">
        <v>503</v>
      </c>
      <c r="G1262" s="299" t="s">
        <v>15</v>
      </c>
      <c r="H1262" s="299" t="s">
        <v>386</v>
      </c>
      <c r="I1262" s="184">
        <v>2012</v>
      </c>
      <c r="J1262" s="306" t="s">
        <v>3412</v>
      </c>
      <c r="K1262" s="306" t="s">
        <v>3413</v>
      </c>
      <c r="L1262" s="306" t="s">
        <v>19</v>
      </c>
      <c r="M1262" s="558" t="s">
        <v>4321</v>
      </c>
      <c r="N1262" s="317" t="s">
        <v>20</v>
      </c>
      <c r="O1262" s="317" t="s">
        <v>15</v>
      </c>
      <c r="P1262" s="317" t="s">
        <v>15</v>
      </c>
      <c r="Q1262" s="317" t="s">
        <v>15</v>
      </c>
      <c r="R1262" s="317" t="s">
        <v>20</v>
      </c>
      <c r="S1262" s="317" t="s">
        <v>20</v>
      </c>
      <c r="T1262" s="317" t="s">
        <v>20</v>
      </c>
      <c r="U1262" s="317" t="s">
        <v>15</v>
      </c>
      <c r="V1262" s="317" t="s">
        <v>15</v>
      </c>
      <c r="W1262" s="317" t="s">
        <v>15</v>
      </c>
      <c r="X1262" s="317" t="s">
        <v>15</v>
      </c>
      <c r="Y1262" s="317" t="s">
        <v>15</v>
      </c>
      <c r="Z1262" s="318" t="s">
        <v>15</v>
      </c>
      <c r="AA1262" s="234"/>
      <c r="AB1262" s="318"/>
      <c r="AC1262" s="318" t="s">
        <v>20</v>
      </c>
      <c r="AD1262" s="330" t="s">
        <v>3414</v>
      </c>
      <c r="AE1262" s="330" t="s">
        <v>628</v>
      </c>
      <c r="AF1262" s="162" t="str">
        <f t="shared" si="109"/>
        <v/>
      </c>
      <c r="AG1262" s="162" t="str">
        <f t="shared" si="106"/>
        <v/>
      </c>
      <c r="AH1262" s="164">
        <f t="shared" si="103"/>
        <v>0.21</v>
      </c>
      <c r="AI1262" s="164" t="str">
        <f t="shared" si="104"/>
        <v/>
      </c>
      <c r="AJ1262" s="368"/>
      <c r="AK1262" s="368"/>
      <c r="AL1262" s="368"/>
      <c r="AM1262" s="368"/>
      <c r="AN1262" s="368"/>
      <c r="AO1262" s="368"/>
      <c r="AP1262" s="368"/>
      <c r="AQ1262" s="368"/>
      <c r="AR1262" s="389"/>
      <c r="AS1262" s="263"/>
      <c r="AT1262" s="271"/>
      <c r="AU1262" s="389"/>
      <c r="AV1262" s="418"/>
      <c r="AW1262" s="436">
        <v>0.21</v>
      </c>
      <c r="AX1262" s="359"/>
      <c r="AY1262" s="359"/>
      <c r="AZ1262" s="359">
        <v>0.03</v>
      </c>
      <c r="BA1262" s="359">
        <v>0.08</v>
      </c>
      <c r="BB1262" s="359">
        <v>0.08</v>
      </c>
      <c r="BC1262" s="426"/>
      <c r="BD1262" s="359"/>
      <c r="BE1262" s="359"/>
      <c r="BF1262" s="469">
        <f t="shared" si="107"/>
        <v>0.21</v>
      </c>
      <c r="BG1262" s="469">
        <f t="shared" si="108"/>
        <v>0.4</v>
      </c>
      <c r="BH1262" s="460"/>
      <c r="BI1262" s="462" t="s">
        <v>93</v>
      </c>
      <c r="BJ1262" s="505"/>
    </row>
    <row r="1263" spans="1:62" ht="17" thickBot="1" x14ac:dyDescent="0.25">
      <c r="A1263" s="176">
        <v>1264</v>
      </c>
      <c r="B1263" s="291">
        <v>1</v>
      </c>
      <c r="C1263" s="167" t="s">
        <v>162</v>
      </c>
      <c r="D1263" s="299" t="s">
        <v>2311</v>
      </c>
      <c r="E1263" s="299" t="s">
        <v>13</v>
      </c>
      <c r="F1263" s="299" t="s">
        <v>163</v>
      </c>
      <c r="G1263" s="299" t="s">
        <v>15</v>
      </c>
      <c r="H1263" s="299" t="s">
        <v>386</v>
      </c>
      <c r="I1263" s="184">
        <v>2012</v>
      </c>
      <c r="J1263" s="306" t="s">
        <v>3412</v>
      </c>
      <c r="K1263" s="306" t="s">
        <v>3413</v>
      </c>
      <c r="L1263" s="306" t="s">
        <v>19</v>
      </c>
      <c r="M1263" s="558" t="s">
        <v>4321</v>
      </c>
      <c r="N1263" s="317" t="s">
        <v>20</v>
      </c>
      <c r="O1263" s="317" t="s">
        <v>15</v>
      </c>
      <c r="P1263" s="317" t="s">
        <v>15</v>
      </c>
      <c r="Q1263" s="317" t="s">
        <v>15</v>
      </c>
      <c r="R1263" s="317" t="s">
        <v>20</v>
      </c>
      <c r="S1263" s="317" t="s">
        <v>20</v>
      </c>
      <c r="T1263" s="317" t="s">
        <v>20</v>
      </c>
      <c r="U1263" s="317" t="s">
        <v>15</v>
      </c>
      <c r="V1263" s="317" t="s">
        <v>15</v>
      </c>
      <c r="W1263" s="317" t="s">
        <v>15</v>
      </c>
      <c r="X1263" s="317" t="s">
        <v>15</v>
      </c>
      <c r="Y1263" s="317" t="s">
        <v>15</v>
      </c>
      <c r="Z1263" s="318" t="s">
        <v>15</v>
      </c>
      <c r="AA1263" s="234"/>
      <c r="AB1263" s="318"/>
      <c r="AC1263" s="318" t="s">
        <v>20</v>
      </c>
      <c r="AD1263" s="330" t="s">
        <v>3414</v>
      </c>
      <c r="AE1263" s="330" t="s">
        <v>628</v>
      </c>
      <c r="AF1263" s="162" t="str">
        <f t="shared" si="109"/>
        <v/>
      </c>
      <c r="AG1263" s="162" t="str">
        <f t="shared" si="106"/>
        <v/>
      </c>
      <c r="AH1263" s="164">
        <f t="shared" si="103"/>
        <v>5.59</v>
      </c>
      <c r="AI1263" s="164" t="str">
        <f t="shared" si="104"/>
        <v/>
      </c>
      <c r="AJ1263" s="368"/>
      <c r="AK1263" s="368"/>
      <c r="AL1263" s="368"/>
      <c r="AM1263" s="368"/>
      <c r="AN1263" s="368"/>
      <c r="AO1263" s="368"/>
      <c r="AP1263" s="368"/>
      <c r="AQ1263" s="368"/>
      <c r="AR1263" s="389"/>
      <c r="AS1263" s="263"/>
      <c r="AT1263" s="271"/>
      <c r="AU1263" s="389"/>
      <c r="AV1263" s="418"/>
      <c r="AW1263" s="436">
        <v>5.59</v>
      </c>
      <c r="AX1263" s="359"/>
      <c r="AY1263" s="359"/>
      <c r="AZ1263" s="359">
        <v>0.22</v>
      </c>
      <c r="BA1263" s="359">
        <v>0.125</v>
      </c>
      <c r="BB1263" s="359">
        <v>0.22</v>
      </c>
      <c r="BC1263" s="426"/>
      <c r="BD1263" s="359"/>
      <c r="BE1263" s="359"/>
      <c r="BF1263" s="469">
        <f t="shared" si="107"/>
        <v>5.59</v>
      </c>
      <c r="BG1263" s="469">
        <f t="shared" si="108"/>
        <v>6.1549999999999994</v>
      </c>
      <c r="BH1263" s="460"/>
      <c r="BI1263" s="462" t="s">
        <v>93</v>
      </c>
      <c r="BJ1263" s="505"/>
    </row>
    <row r="1264" spans="1:62" ht="17" thickBot="1" x14ac:dyDescent="0.25">
      <c r="A1264" s="176">
        <v>1265</v>
      </c>
      <c r="B1264" s="291">
        <v>1</v>
      </c>
      <c r="C1264" s="167" t="s">
        <v>236</v>
      </c>
      <c r="D1264" s="299" t="s">
        <v>1739</v>
      </c>
      <c r="E1264" s="299" t="s">
        <v>13</v>
      </c>
      <c r="F1264" s="299" t="s">
        <v>688</v>
      </c>
      <c r="G1264" s="299" t="s">
        <v>15</v>
      </c>
      <c r="H1264" s="299" t="s">
        <v>386</v>
      </c>
      <c r="I1264" s="184">
        <v>2012</v>
      </c>
      <c r="J1264" s="306" t="s">
        <v>3412</v>
      </c>
      <c r="K1264" s="306" t="s">
        <v>3413</v>
      </c>
      <c r="L1264" s="306" t="s">
        <v>19</v>
      </c>
      <c r="M1264" s="558" t="s">
        <v>4321</v>
      </c>
      <c r="N1264" s="317" t="s">
        <v>20</v>
      </c>
      <c r="O1264" s="317" t="s">
        <v>15</v>
      </c>
      <c r="P1264" s="317" t="s">
        <v>15</v>
      </c>
      <c r="Q1264" s="317" t="s">
        <v>15</v>
      </c>
      <c r="R1264" s="317" t="s">
        <v>20</v>
      </c>
      <c r="S1264" s="317" t="s">
        <v>20</v>
      </c>
      <c r="T1264" s="317" t="s">
        <v>20</v>
      </c>
      <c r="U1264" s="317" t="s">
        <v>15</v>
      </c>
      <c r="V1264" s="317" t="s">
        <v>15</v>
      </c>
      <c r="W1264" s="317" t="s">
        <v>15</v>
      </c>
      <c r="X1264" s="317" t="s">
        <v>15</v>
      </c>
      <c r="Y1264" s="317" t="s">
        <v>15</v>
      </c>
      <c r="Z1264" s="318" t="s">
        <v>15</v>
      </c>
      <c r="AA1264" s="234"/>
      <c r="AB1264" s="318"/>
      <c r="AC1264" s="318" t="s">
        <v>20</v>
      </c>
      <c r="AD1264" s="330" t="s">
        <v>3414</v>
      </c>
      <c r="AE1264" s="330" t="s">
        <v>628</v>
      </c>
      <c r="AF1264" s="162" t="str">
        <f t="shared" si="109"/>
        <v/>
      </c>
      <c r="AG1264" s="162" t="str">
        <f t="shared" si="106"/>
        <v/>
      </c>
      <c r="AH1264" s="164">
        <f t="shared" si="103"/>
        <v>0.23</v>
      </c>
      <c r="AI1264" s="164" t="str">
        <f t="shared" si="104"/>
        <v/>
      </c>
      <c r="AJ1264" s="368"/>
      <c r="AK1264" s="368"/>
      <c r="AL1264" s="368"/>
      <c r="AM1264" s="368"/>
      <c r="AN1264" s="368"/>
      <c r="AO1264" s="368"/>
      <c r="AP1264" s="368"/>
      <c r="AQ1264" s="368"/>
      <c r="AR1264" s="389"/>
      <c r="AS1264" s="263"/>
      <c r="AT1264" s="271"/>
      <c r="AU1264" s="389"/>
      <c r="AV1264" s="418"/>
      <c r="AW1264" s="436">
        <v>0.23</v>
      </c>
      <c r="AX1264" s="359"/>
      <c r="AY1264" s="359"/>
      <c r="AZ1264" s="359">
        <v>0.02</v>
      </c>
      <c r="BA1264" s="359">
        <v>0.13500000000000001</v>
      </c>
      <c r="BB1264" s="359">
        <v>0.09</v>
      </c>
      <c r="BC1264" s="426"/>
      <c r="BD1264" s="359"/>
      <c r="BE1264" s="359"/>
      <c r="BF1264" s="469">
        <f t="shared" si="107"/>
        <v>0.23</v>
      </c>
      <c r="BG1264" s="469">
        <f t="shared" si="108"/>
        <v>0.47499999999999998</v>
      </c>
      <c r="BH1264" s="460"/>
      <c r="BI1264" s="462" t="s">
        <v>93</v>
      </c>
      <c r="BJ1264" s="505"/>
    </row>
    <row r="1265" spans="1:62" ht="17" thickBot="1" x14ac:dyDescent="0.25">
      <c r="A1265" s="176">
        <v>1266</v>
      </c>
      <c r="B1265" s="291">
        <v>1</v>
      </c>
      <c r="C1265" s="167" t="s">
        <v>236</v>
      </c>
      <c r="D1265" s="299" t="s">
        <v>1769</v>
      </c>
      <c r="E1265" s="299" t="s">
        <v>13</v>
      </c>
      <c r="F1265" s="299" t="s">
        <v>237</v>
      </c>
      <c r="G1265" s="299" t="s">
        <v>15</v>
      </c>
      <c r="H1265" s="299" t="s">
        <v>386</v>
      </c>
      <c r="I1265" s="184">
        <v>2012</v>
      </c>
      <c r="J1265" s="306" t="s">
        <v>3412</v>
      </c>
      <c r="K1265" s="306" t="s">
        <v>3413</v>
      </c>
      <c r="L1265" s="306" t="s">
        <v>19</v>
      </c>
      <c r="M1265" s="558" t="s">
        <v>4321</v>
      </c>
      <c r="N1265" s="317" t="s">
        <v>20</v>
      </c>
      <c r="O1265" s="317" t="s">
        <v>15</v>
      </c>
      <c r="P1265" s="317" t="s">
        <v>15</v>
      </c>
      <c r="Q1265" s="317" t="s">
        <v>15</v>
      </c>
      <c r="R1265" s="317" t="s">
        <v>20</v>
      </c>
      <c r="S1265" s="317" t="s">
        <v>20</v>
      </c>
      <c r="T1265" s="317" t="s">
        <v>20</v>
      </c>
      <c r="U1265" s="317" t="s">
        <v>15</v>
      </c>
      <c r="V1265" s="317" t="s">
        <v>15</v>
      </c>
      <c r="W1265" s="317" t="s">
        <v>15</v>
      </c>
      <c r="X1265" s="317" t="s">
        <v>15</v>
      </c>
      <c r="Y1265" s="317" t="s">
        <v>15</v>
      </c>
      <c r="Z1265" s="318" t="s">
        <v>15</v>
      </c>
      <c r="AA1265" s="234"/>
      <c r="AB1265" s="318"/>
      <c r="AC1265" s="318" t="s">
        <v>20</v>
      </c>
      <c r="AD1265" s="330" t="s">
        <v>3414</v>
      </c>
      <c r="AE1265" s="330" t="s">
        <v>628</v>
      </c>
      <c r="AF1265" s="162" t="str">
        <f t="shared" si="109"/>
        <v/>
      </c>
      <c r="AG1265" s="162" t="str">
        <f t="shared" si="106"/>
        <v/>
      </c>
      <c r="AH1265" s="164">
        <f t="shared" si="103"/>
        <v>0.31</v>
      </c>
      <c r="AI1265" s="164" t="str">
        <f t="shared" si="104"/>
        <v/>
      </c>
      <c r="AJ1265" s="368"/>
      <c r="AK1265" s="368"/>
      <c r="AL1265" s="368"/>
      <c r="AM1265" s="368"/>
      <c r="AN1265" s="368"/>
      <c r="AO1265" s="368"/>
      <c r="AP1265" s="368"/>
      <c r="AQ1265" s="368"/>
      <c r="AR1265" s="389"/>
      <c r="AS1265" s="263"/>
      <c r="AT1265" s="271"/>
      <c r="AU1265" s="389"/>
      <c r="AV1265" s="418"/>
      <c r="AW1265" s="436">
        <v>0.31</v>
      </c>
      <c r="AX1265" s="359"/>
      <c r="AY1265" s="359"/>
      <c r="AZ1265" s="359"/>
      <c r="BA1265" s="359">
        <v>0.09</v>
      </c>
      <c r="BB1265" s="359">
        <v>0.09</v>
      </c>
      <c r="BC1265" s="426"/>
      <c r="BD1265" s="359"/>
      <c r="BE1265" s="359"/>
      <c r="BF1265" s="469">
        <f t="shared" si="107"/>
        <v>0.31</v>
      </c>
      <c r="BG1265" s="469">
        <f t="shared" si="108"/>
        <v>0.49</v>
      </c>
      <c r="BH1265" s="460"/>
      <c r="BI1265" s="462" t="s">
        <v>93</v>
      </c>
      <c r="BJ1265" s="505"/>
    </row>
    <row r="1266" spans="1:62" ht="17" thickBot="1" x14ac:dyDescent="0.25">
      <c r="A1266" s="176">
        <v>1267</v>
      </c>
      <c r="B1266" s="291">
        <v>1</v>
      </c>
      <c r="C1266" s="167" t="s">
        <v>236</v>
      </c>
      <c r="D1266" s="299" t="s">
        <v>843</v>
      </c>
      <c r="E1266" s="299" t="s">
        <v>13</v>
      </c>
      <c r="F1266" s="299" t="s">
        <v>751</v>
      </c>
      <c r="G1266" s="299" t="s">
        <v>15</v>
      </c>
      <c r="H1266" s="299" t="s">
        <v>386</v>
      </c>
      <c r="I1266" s="184">
        <v>2012</v>
      </c>
      <c r="J1266" s="306" t="s">
        <v>3412</v>
      </c>
      <c r="K1266" s="306" t="s">
        <v>3413</v>
      </c>
      <c r="L1266" s="306" t="s">
        <v>19</v>
      </c>
      <c r="M1266" s="558" t="s">
        <v>4321</v>
      </c>
      <c r="N1266" s="317" t="s">
        <v>20</v>
      </c>
      <c r="O1266" s="317" t="s">
        <v>15</v>
      </c>
      <c r="P1266" s="317" t="s">
        <v>15</v>
      </c>
      <c r="Q1266" s="317" t="s">
        <v>15</v>
      </c>
      <c r="R1266" s="317" t="s">
        <v>20</v>
      </c>
      <c r="S1266" s="317" t="s">
        <v>20</v>
      </c>
      <c r="T1266" s="317" t="s">
        <v>20</v>
      </c>
      <c r="U1266" s="317" t="s">
        <v>15</v>
      </c>
      <c r="V1266" s="317" t="s">
        <v>15</v>
      </c>
      <c r="W1266" s="317" t="s">
        <v>15</v>
      </c>
      <c r="X1266" s="317" t="s">
        <v>15</v>
      </c>
      <c r="Y1266" s="317" t="s">
        <v>15</v>
      </c>
      <c r="Z1266" s="318" t="s">
        <v>15</v>
      </c>
      <c r="AA1266" s="234"/>
      <c r="AB1266" s="318"/>
      <c r="AC1266" s="318" t="s">
        <v>20</v>
      </c>
      <c r="AD1266" s="330" t="s">
        <v>3414</v>
      </c>
      <c r="AE1266" s="330" t="s">
        <v>628</v>
      </c>
      <c r="AF1266" s="162" t="str">
        <f t="shared" si="109"/>
        <v/>
      </c>
      <c r="AG1266" s="162" t="str">
        <f t="shared" si="106"/>
        <v/>
      </c>
      <c r="AH1266" s="164">
        <f t="shared" si="103"/>
        <v>0.11</v>
      </c>
      <c r="AI1266" s="164" t="str">
        <f t="shared" si="104"/>
        <v/>
      </c>
      <c r="AJ1266" s="368"/>
      <c r="AK1266" s="368"/>
      <c r="AL1266" s="368"/>
      <c r="AM1266" s="368"/>
      <c r="AN1266" s="368"/>
      <c r="AO1266" s="368"/>
      <c r="AP1266" s="368"/>
      <c r="AQ1266" s="368"/>
      <c r="AR1266" s="389"/>
      <c r="AS1266" s="263"/>
      <c r="AT1266" s="271"/>
      <c r="AU1266" s="389"/>
      <c r="AV1266" s="418"/>
      <c r="AW1266" s="436">
        <v>0.11</v>
      </c>
      <c r="AX1266" s="359"/>
      <c r="AY1266" s="359"/>
      <c r="AZ1266" s="359">
        <v>0.02</v>
      </c>
      <c r="BA1266" s="359">
        <v>0.17</v>
      </c>
      <c r="BB1266" s="359">
        <v>0.21</v>
      </c>
      <c r="BC1266" s="426"/>
      <c r="BD1266" s="359"/>
      <c r="BE1266" s="359"/>
      <c r="BF1266" s="469">
        <f t="shared" si="107"/>
        <v>0.11</v>
      </c>
      <c r="BG1266" s="469">
        <f t="shared" si="108"/>
        <v>0.51</v>
      </c>
      <c r="BH1266" s="460"/>
      <c r="BI1266" s="462" t="s">
        <v>93</v>
      </c>
      <c r="BJ1266" s="505"/>
    </row>
    <row r="1267" spans="1:62" ht="17" thickBot="1" x14ac:dyDescent="0.25">
      <c r="A1267" s="176">
        <v>1268</v>
      </c>
      <c r="B1267" s="291">
        <v>1</v>
      </c>
      <c r="C1267" s="167" t="s">
        <v>11</v>
      </c>
      <c r="D1267" s="299" t="s">
        <v>143</v>
      </c>
      <c r="E1267" s="299" t="s">
        <v>13</v>
      </c>
      <c r="F1267" s="299" t="s">
        <v>143</v>
      </c>
      <c r="G1267" s="299" t="s">
        <v>15</v>
      </c>
      <c r="H1267" s="299" t="s">
        <v>386</v>
      </c>
      <c r="I1267" s="184">
        <v>2012</v>
      </c>
      <c r="J1267" s="306" t="s">
        <v>3412</v>
      </c>
      <c r="K1267" s="306" t="s">
        <v>3413</v>
      </c>
      <c r="L1267" s="306" t="s">
        <v>19</v>
      </c>
      <c r="M1267" s="558" t="s">
        <v>4321</v>
      </c>
      <c r="N1267" s="317" t="s">
        <v>20</v>
      </c>
      <c r="O1267" s="317" t="s">
        <v>15</v>
      </c>
      <c r="P1267" s="317" t="s">
        <v>15</v>
      </c>
      <c r="Q1267" s="317" t="s">
        <v>15</v>
      </c>
      <c r="R1267" s="317" t="s">
        <v>20</v>
      </c>
      <c r="S1267" s="317" t="s">
        <v>20</v>
      </c>
      <c r="T1267" s="317" t="s">
        <v>20</v>
      </c>
      <c r="U1267" s="317" t="s">
        <v>15</v>
      </c>
      <c r="V1267" s="317" t="s">
        <v>15</v>
      </c>
      <c r="W1267" s="317" t="s">
        <v>15</v>
      </c>
      <c r="X1267" s="317" t="s">
        <v>15</v>
      </c>
      <c r="Y1267" s="317" t="s">
        <v>15</v>
      </c>
      <c r="Z1267" s="318" t="s">
        <v>15</v>
      </c>
      <c r="AA1267" s="234"/>
      <c r="AB1267" s="318"/>
      <c r="AC1267" s="318" t="s">
        <v>20</v>
      </c>
      <c r="AD1267" s="330" t="s">
        <v>3414</v>
      </c>
      <c r="AE1267" s="330" t="s">
        <v>628</v>
      </c>
      <c r="AF1267" s="162" t="str">
        <f t="shared" si="109"/>
        <v/>
      </c>
      <c r="AG1267" s="162" t="str">
        <f t="shared" si="106"/>
        <v/>
      </c>
      <c r="AH1267" s="164">
        <f t="shared" si="103"/>
        <v>2.2599999999999998</v>
      </c>
      <c r="AI1267" s="164">
        <f t="shared" si="104"/>
        <v>2.3499999999999996</v>
      </c>
      <c r="AJ1267" s="368"/>
      <c r="AK1267" s="368"/>
      <c r="AL1267" s="368"/>
      <c r="AM1267" s="368"/>
      <c r="AN1267" s="368"/>
      <c r="AO1267" s="368"/>
      <c r="AP1267" s="368"/>
      <c r="AQ1267" s="368"/>
      <c r="AR1267" s="389"/>
      <c r="AS1267" s="263"/>
      <c r="AT1267" s="271"/>
      <c r="AU1267" s="389"/>
      <c r="AV1267" s="418"/>
      <c r="AW1267" s="436">
        <v>2.2599999999999998</v>
      </c>
      <c r="AX1267" s="359"/>
      <c r="AY1267" s="359">
        <v>0.09</v>
      </c>
      <c r="AZ1267" s="359">
        <v>0.11</v>
      </c>
      <c r="BA1267" s="359">
        <v>0.19</v>
      </c>
      <c r="BB1267" s="359">
        <v>0.72</v>
      </c>
      <c r="BC1267" s="426"/>
      <c r="BD1267" s="359"/>
      <c r="BE1267" s="359"/>
      <c r="BF1267" s="469">
        <f t="shared" si="107"/>
        <v>2.2599999999999998</v>
      </c>
      <c r="BG1267" s="469">
        <f t="shared" si="108"/>
        <v>3.3699999999999992</v>
      </c>
      <c r="BH1267" s="460"/>
      <c r="BI1267" s="462" t="s">
        <v>93</v>
      </c>
      <c r="BJ1267" s="505"/>
    </row>
    <row r="1268" spans="1:62" ht="17" thickBot="1" x14ac:dyDescent="0.25">
      <c r="A1268" s="176">
        <v>1269</v>
      </c>
      <c r="B1268" s="291">
        <v>1</v>
      </c>
      <c r="C1268" s="167" t="s">
        <v>11</v>
      </c>
      <c r="D1268" s="299" t="s">
        <v>140</v>
      </c>
      <c r="E1268" s="299" t="s">
        <v>13</v>
      </c>
      <c r="F1268" s="299" t="s">
        <v>3418</v>
      </c>
      <c r="G1268" s="299" t="s">
        <v>15</v>
      </c>
      <c r="H1268" s="299" t="s">
        <v>386</v>
      </c>
      <c r="I1268" s="184">
        <v>2012</v>
      </c>
      <c r="J1268" s="306" t="s">
        <v>3412</v>
      </c>
      <c r="K1268" s="306" t="s">
        <v>3413</v>
      </c>
      <c r="L1268" s="306" t="s">
        <v>19</v>
      </c>
      <c r="M1268" s="558" t="s">
        <v>4321</v>
      </c>
      <c r="N1268" s="317" t="s">
        <v>20</v>
      </c>
      <c r="O1268" s="317" t="s">
        <v>15</v>
      </c>
      <c r="P1268" s="317" t="s">
        <v>15</v>
      </c>
      <c r="Q1268" s="317" t="s">
        <v>15</v>
      </c>
      <c r="R1268" s="317" t="s">
        <v>20</v>
      </c>
      <c r="S1268" s="317" t="s">
        <v>20</v>
      </c>
      <c r="T1268" s="317" t="s">
        <v>20</v>
      </c>
      <c r="U1268" s="317" t="s">
        <v>15</v>
      </c>
      <c r="V1268" s="317" t="s">
        <v>15</v>
      </c>
      <c r="W1268" s="317" t="s">
        <v>15</v>
      </c>
      <c r="X1268" s="317" t="s">
        <v>15</v>
      </c>
      <c r="Y1268" s="317" t="s">
        <v>15</v>
      </c>
      <c r="Z1268" s="318" t="s">
        <v>15</v>
      </c>
      <c r="AA1268" s="234"/>
      <c r="AB1268" s="318"/>
      <c r="AC1268" s="318" t="s">
        <v>20</v>
      </c>
      <c r="AD1268" s="330" t="s">
        <v>3414</v>
      </c>
      <c r="AE1268" s="330" t="s">
        <v>628</v>
      </c>
      <c r="AF1268" s="162" t="str">
        <f t="shared" si="109"/>
        <v/>
      </c>
      <c r="AG1268" s="162" t="str">
        <f t="shared" si="106"/>
        <v/>
      </c>
      <c r="AH1268" s="164">
        <f t="shared" si="103"/>
        <v>0.95</v>
      </c>
      <c r="AI1268" s="164">
        <f t="shared" si="104"/>
        <v>1.05</v>
      </c>
      <c r="AJ1268" s="369"/>
      <c r="AK1268" s="368"/>
      <c r="AL1268" s="369"/>
      <c r="AM1268" s="369"/>
      <c r="AN1268" s="368"/>
      <c r="AO1268" s="368"/>
      <c r="AP1268" s="368"/>
      <c r="AQ1268" s="368"/>
      <c r="AR1268" s="389"/>
      <c r="AS1268" s="265"/>
      <c r="AT1268" s="272"/>
      <c r="AU1268" s="389"/>
      <c r="AV1268" s="421"/>
      <c r="AW1268" s="436">
        <v>0.95</v>
      </c>
      <c r="AX1268" s="359"/>
      <c r="AY1268" s="359">
        <v>0.1</v>
      </c>
      <c r="AZ1268" s="359">
        <v>0.14000000000000001</v>
      </c>
      <c r="BA1268" s="359">
        <v>0.125</v>
      </c>
      <c r="BB1268" s="359">
        <v>0.67</v>
      </c>
      <c r="BC1268" s="426"/>
      <c r="BD1268" s="359"/>
      <c r="BE1268" s="359"/>
      <c r="BF1268" s="469">
        <f t="shared" si="107"/>
        <v>0.95</v>
      </c>
      <c r="BG1268" s="469">
        <f t="shared" si="108"/>
        <v>1.9849999999999999</v>
      </c>
      <c r="BH1268" s="460"/>
      <c r="BI1268" s="462" t="s">
        <v>93</v>
      </c>
      <c r="BJ1268" s="505"/>
    </row>
    <row r="1269" spans="1:62" ht="17" thickBot="1" x14ac:dyDescent="0.25">
      <c r="A1269" s="176">
        <v>1270</v>
      </c>
      <c r="B1269" s="291">
        <v>1</v>
      </c>
      <c r="C1269" s="167" t="s">
        <v>11</v>
      </c>
      <c r="D1269" s="299" t="s">
        <v>426</v>
      </c>
      <c r="E1269" s="299" t="s">
        <v>13</v>
      </c>
      <c r="F1269" s="299" t="s">
        <v>3384</v>
      </c>
      <c r="G1269" s="299" t="s">
        <v>15</v>
      </c>
      <c r="H1269" s="299" t="s">
        <v>386</v>
      </c>
      <c r="I1269" s="184">
        <v>2012</v>
      </c>
      <c r="J1269" s="306" t="s">
        <v>3412</v>
      </c>
      <c r="K1269" s="306" t="s">
        <v>3413</v>
      </c>
      <c r="L1269" s="306" t="s">
        <v>19</v>
      </c>
      <c r="M1269" s="558" t="s">
        <v>4321</v>
      </c>
      <c r="N1269" s="317" t="s">
        <v>20</v>
      </c>
      <c r="O1269" s="317" t="s">
        <v>15</v>
      </c>
      <c r="P1269" s="317" t="s">
        <v>15</v>
      </c>
      <c r="Q1269" s="317" t="s">
        <v>15</v>
      </c>
      <c r="R1269" s="317" t="s">
        <v>20</v>
      </c>
      <c r="S1269" s="317" t="s">
        <v>20</v>
      </c>
      <c r="T1269" s="317" t="s">
        <v>20</v>
      </c>
      <c r="U1269" s="317" t="s">
        <v>15</v>
      </c>
      <c r="V1269" s="317" t="s">
        <v>15</v>
      </c>
      <c r="W1269" s="317" t="s">
        <v>15</v>
      </c>
      <c r="X1269" s="317" t="s">
        <v>15</v>
      </c>
      <c r="Y1269" s="317" t="s">
        <v>15</v>
      </c>
      <c r="Z1269" s="318" t="s">
        <v>15</v>
      </c>
      <c r="AA1269" s="234"/>
      <c r="AB1269" s="318"/>
      <c r="AC1269" s="318" t="s">
        <v>20</v>
      </c>
      <c r="AD1269" s="330" t="s">
        <v>3414</v>
      </c>
      <c r="AE1269" s="330" t="s">
        <v>628</v>
      </c>
      <c r="AF1269" s="162" t="str">
        <f t="shared" si="109"/>
        <v/>
      </c>
      <c r="AG1269" s="162" t="str">
        <f t="shared" si="106"/>
        <v/>
      </c>
      <c r="AH1269" s="164">
        <f t="shared" si="103"/>
        <v>12.12</v>
      </c>
      <c r="AI1269" s="164">
        <f t="shared" si="104"/>
        <v>12.35</v>
      </c>
      <c r="AJ1269" s="369"/>
      <c r="AK1269" s="368"/>
      <c r="AL1269" s="369"/>
      <c r="AM1269" s="369"/>
      <c r="AN1269" s="368"/>
      <c r="AO1269" s="368"/>
      <c r="AP1269" s="368"/>
      <c r="AQ1269" s="368"/>
      <c r="AR1269" s="389"/>
      <c r="AS1269" s="265"/>
      <c r="AT1269" s="272"/>
      <c r="AU1269" s="389"/>
      <c r="AV1269" s="421"/>
      <c r="AW1269" s="436">
        <v>12.12</v>
      </c>
      <c r="AX1269" s="359"/>
      <c r="AY1269" s="359">
        <v>0.23</v>
      </c>
      <c r="AZ1269" s="359">
        <v>0.17</v>
      </c>
      <c r="BA1269" s="359">
        <v>0.15</v>
      </c>
      <c r="BB1269" s="359">
        <v>1.44</v>
      </c>
      <c r="BC1269" s="426"/>
      <c r="BD1269" s="359"/>
      <c r="BE1269" s="359"/>
      <c r="BF1269" s="469">
        <f t="shared" si="107"/>
        <v>12.12</v>
      </c>
      <c r="BG1269" s="469">
        <f t="shared" si="108"/>
        <v>14.11</v>
      </c>
      <c r="BH1269" s="460"/>
      <c r="BI1269" s="462" t="s">
        <v>93</v>
      </c>
      <c r="BJ1269" s="505"/>
    </row>
    <row r="1270" spans="1:62" ht="17" thickBot="1" x14ac:dyDescent="0.25">
      <c r="A1270" s="176">
        <v>1271</v>
      </c>
      <c r="B1270" s="291">
        <v>1</v>
      </c>
      <c r="C1270" s="166" t="s">
        <v>259</v>
      </c>
      <c r="D1270" s="299" t="s">
        <v>260</v>
      </c>
      <c r="E1270" s="299" t="s">
        <v>13</v>
      </c>
      <c r="F1270" s="299" t="s">
        <v>260</v>
      </c>
      <c r="G1270" s="299" t="s">
        <v>15</v>
      </c>
      <c r="H1270" s="299" t="s">
        <v>386</v>
      </c>
      <c r="I1270" s="184">
        <v>2012</v>
      </c>
      <c r="J1270" s="306" t="s">
        <v>3412</v>
      </c>
      <c r="K1270" s="306" t="s">
        <v>3413</v>
      </c>
      <c r="L1270" s="306" t="s">
        <v>19</v>
      </c>
      <c r="M1270" s="558" t="s">
        <v>4321</v>
      </c>
      <c r="N1270" s="317" t="s">
        <v>20</v>
      </c>
      <c r="O1270" s="317" t="s">
        <v>15</v>
      </c>
      <c r="P1270" s="317" t="s">
        <v>15</v>
      </c>
      <c r="Q1270" s="317" t="s">
        <v>15</v>
      </c>
      <c r="R1270" s="317" t="s">
        <v>20</v>
      </c>
      <c r="S1270" s="317" t="s">
        <v>20</v>
      </c>
      <c r="T1270" s="317" t="s">
        <v>20</v>
      </c>
      <c r="U1270" s="317" t="s">
        <v>15</v>
      </c>
      <c r="V1270" s="317" t="s">
        <v>15</v>
      </c>
      <c r="W1270" s="317" t="s">
        <v>15</v>
      </c>
      <c r="X1270" s="317" t="s">
        <v>15</v>
      </c>
      <c r="Y1270" s="317" t="s">
        <v>15</v>
      </c>
      <c r="Z1270" s="318" t="s">
        <v>15</v>
      </c>
      <c r="AA1270" s="234"/>
      <c r="AB1270" s="318"/>
      <c r="AC1270" s="318" t="s">
        <v>20</v>
      </c>
      <c r="AD1270" s="330" t="s">
        <v>3414</v>
      </c>
      <c r="AE1270" s="330" t="s">
        <v>628</v>
      </c>
      <c r="AF1270" s="162" t="str">
        <f t="shared" si="109"/>
        <v/>
      </c>
      <c r="AG1270" s="162" t="str">
        <f t="shared" si="106"/>
        <v/>
      </c>
      <c r="AH1270" s="164">
        <f t="shared" si="103"/>
        <v>0.72</v>
      </c>
      <c r="AI1270" s="164">
        <f t="shared" si="104"/>
        <v>0.91999999999999993</v>
      </c>
      <c r="AJ1270" s="369"/>
      <c r="AK1270" s="368"/>
      <c r="AL1270" s="369"/>
      <c r="AM1270" s="369"/>
      <c r="AN1270" s="368"/>
      <c r="AO1270" s="368"/>
      <c r="AP1270" s="368"/>
      <c r="AQ1270" s="368"/>
      <c r="AR1270" s="389"/>
      <c r="AS1270" s="265"/>
      <c r="AT1270" s="272"/>
      <c r="AU1270" s="389"/>
      <c r="AV1270" s="421"/>
      <c r="AW1270" s="436">
        <v>0.72</v>
      </c>
      <c r="AX1270" s="359"/>
      <c r="AY1270" s="359">
        <v>0.2</v>
      </c>
      <c r="AZ1270" s="359">
        <v>0.03</v>
      </c>
      <c r="BA1270" s="359">
        <v>0.16</v>
      </c>
      <c r="BB1270" s="359">
        <v>0.14000000000000001</v>
      </c>
      <c r="BC1270" s="426"/>
      <c r="BD1270" s="359"/>
      <c r="BE1270" s="359"/>
      <c r="BF1270" s="469">
        <f t="shared" si="107"/>
        <v>0.72</v>
      </c>
      <c r="BG1270" s="469">
        <f t="shared" si="108"/>
        <v>1.25</v>
      </c>
      <c r="BH1270" s="460"/>
      <c r="BI1270" s="462" t="s">
        <v>93</v>
      </c>
      <c r="BJ1270" s="505"/>
    </row>
    <row r="1271" spans="1:62" ht="17" thickBot="1" x14ac:dyDescent="0.25">
      <c r="A1271" s="176">
        <v>1272</v>
      </c>
      <c r="B1271" s="291">
        <v>1</v>
      </c>
      <c r="C1271" s="167" t="s">
        <v>1110</v>
      </c>
      <c r="D1271" s="299" t="s">
        <v>3419</v>
      </c>
      <c r="E1271" s="299" t="s">
        <v>13</v>
      </c>
      <c r="F1271" s="299" t="s">
        <v>3419</v>
      </c>
      <c r="G1271" s="299" t="s">
        <v>15</v>
      </c>
      <c r="H1271" s="299" t="s">
        <v>386</v>
      </c>
      <c r="I1271" s="184">
        <v>2012</v>
      </c>
      <c r="J1271" s="306" t="s">
        <v>3412</v>
      </c>
      <c r="K1271" s="306" t="s">
        <v>3413</v>
      </c>
      <c r="L1271" s="306" t="s">
        <v>19</v>
      </c>
      <c r="M1271" s="558" t="s">
        <v>4321</v>
      </c>
      <c r="N1271" s="317" t="s">
        <v>20</v>
      </c>
      <c r="O1271" s="317" t="s">
        <v>15</v>
      </c>
      <c r="P1271" s="317" t="s">
        <v>15</v>
      </c>
      <c r="Q1271" s="317" t="s">
        <v>15</v>
      </c>
      <c r="R1271" s="317" t="s">
        <v>20</v>
      </c>
      <c r="S1271" s="317" t="s">
        <v>15</v>
      </c>
      <c r="T1271" s="317" t="s">
        <v>20</v>
      </c>
      <c r="U1271" s="317" t="s">
        <v>15</v>
      </c>
      <c r="V1271" s="317" t="s">
        <v>15</v>
      </c>
      <c r="W1271" s="317" t="s">
        <v>15</v>
      </c>
      <c r="X1271" s="317" t="s">
        <v>15</v>
      </c>
      <c r="Y1271" s="317" t="s">
        <v>15</v>
      </c>
      <c r="Z1271" s="318" t="s">
        <v>15</v>
      </c>
      <c r="AA1271" s="234"/>
      <c r="AB1271" s="318"/>
      <c r="AC1271" s="318" t="s">
        <v>20</v>
      </c>
      <c r="AD1271" s="330" t="s">
        <v>3414</v>
      </c>
      <c r="AE1271" s="330" t="s">
        <v>628</v>
      </c>
      <c r="AF1271" s="162" t="str">
        <f t="shared" si="109"/>
        <v/>
      </c>
      <c r="AG1271" s="162" t="str">
        <f t="shared" si="106"/>
        <v/>
      </c>
      <c r="AH1271" s="164">
        <f t="shared" si="103"/>
        <v>0.375</v>
      </c>
      <c r="AI1271" s="164" t="str">
        <f t="shared" si="104"/>
        <v/>
      </c>
      <c r="AJ1271" s="369"/>
      <c r="AK1271" s="368"/>
      <c r="AL1271" s="369"/>
      <c r="AM1271" s="369"/>
      <c r="AN1271" s="368"/>
      <c r="AO1271" s="368"/>
      <c r="AP1271" s="368"/>
      <c r="AQ1271" s="368"/>
      <c r="AR1271" s="389"/>
      <c r="AS1271" s="265"/>
      <c r="AT1271" s="272"/>
      <c r="AU1271" s="389"/>
      <c r="AV1271" s="421"/>
      <c r="AW1271" s="436">
        <v>0.375</v>
      </c>
      <c r="AX1271" s="359"/>
      <c r="AY1271" s="359"/>
      <c r="AZ1271" s="359">
        <v>0.09</v>
      </c>
      <c r="BA1271" s="359"/>
      <c r="BB1271" s="359">
        <v>0.2</v>
      </c>
      <c r="BC1271" s="426"/>
      <c r="BD1271" s="359"/>
      <c r="BE1271" s="359"/>
      <c r="BF1271" s="469">
        <f t="shared" si="107"/>
        <v>0.375</v>
      </c>
      <c r="BG1271" s="469">
        <f t="shared" si="108"/>
        <v>0.66500000000000004</v>
      </c>
      <c r="BH1271" s="460"/>
      <c r="BI1271" s="462" t="s">
        <v>93</v>
      </c>
      <c r="BJ1271" s="505"/>
    </row>
    <row r="1272" spans="1:62" ht="17" thickBot="1" x14ac:dyDescent="0.25">
      <c r="A1272" s="176">
        <v>1273</v>
      </c>
      <c r="B1272" s="291">
        <v>1</v>
      </c>
      <c r="C1272" s="167" t="s">
        <v>259</v>
      </c>
      <c r="D1272" s="299" t="s">
        <v>2239</v>
      </c>
      <c r="E1272" s="299" t="s">
        <v>13</v>
      </c>
      <c r="F1272" s="299" t="s">
        <v>1228</v>
      </c>
      <c r="G1272" s="299" t="s">
        <v>15</v>
      </c>
      <c r="H1272" s="299" t="s">
        <v>386</v>
      </c>
      <c r="I1272" s="184">
        <v>2012</v>
      </c>
      <c r="J1272" s="306" t="s">
        <v>3412</v>
      </c>
      <c r="K1272" s="306" t="s">
        <v>3413</v>
      </c>
      <c r="L1272" s="306" t="s">
        <v>19</v>
      </c>
      <c r="M1272" s="558" t="s">
        <v>4321</v>
      </c>
      <c r="N1272" s="317" t="s">
        <v>20</v>
      </c>
      <c r="O1272" s="317" t="s">
        <v>15</v>
      </c>
      <c r="P1272" s="317" t="s">
        <v>15</v>
      </c>
      <c r="Q1272" s="317" t="s">
        <v>15</v>
      </c>
      <c r="R1272" s="317" t="s">
        <v>20</v>
      </c>
      <c r="S1272" s="317" t="s">
        <v>20</v>
      </c>
      <c r="T1272" s="317" t="s">
        <v>20</v>
      </c>
      <c r="U1272" s="317" t="s">
        <v>15</v>
      </c>
      <c r="V1272" s="317" t="s">
        <v>15</v>
      </c>
      <c r="W1272" s="317" t="s">
        <v>15</v>
      </c>
      <c r="X1272" s="317" t="s">
        <v>15</v>
      </c>
      <c r="Y1272" s="317" t="s">
        <v>15</v>
      </c>
      <c r="Z1272" s="318" t="s">
        <v>15</v>
      </c>
      <c r="AA1272" s="234"/>
      <c r="AB1272" s="318"/>
      <c r="AC1272" s="318" t="s">
        <v>20</v>
      </c>
      <c r="AD1272" s="330" t="s">
        <v>3414</v>
      </c>
      <c r="AE1272" s="319"/>
      <c r="AF1272" s="162" t="str">
        <f t="shared" si="109"/>
        <v/>
      </c>
      <c r="AG1272" s="162" t="str">
        <f t="shared" si="106"/>
        <v/>
      </c>
      <c r="AH1272" s="164">
        <f t="shared" si="103"/>
        <v>4.58</v>
      </c>
      <c r="AI1272" s="164">
        <f t="shared" si="104"/>
        <v>4.76</v>
      </c>
      <c r="AJ1272" s="369"/>
      <c r="AK1272" s="369"/>
      <c r="AL1272" s="369"/>
      <c r="AM1272" s="369"/>
      <c r="AN1272" s="368"/>
      <c r="AO1272" s="368"/>
      <c r="AP1272" s="368"/>
      <c r="AQ1272" s="368"/>
      <c r="AR1272" s="389"/>
      <c r="AS1272" s="265"/>
      <c r="AT1272" s="272"/>
      <c r="AU1272" s="389"/>
      <c r="AV1272" s="421"/>
      <c r="AW1272" s="436">
        <v>4.58</v>
      </c>
      <c r="AX1272" s="359"/>
      <c r="AY1272" s="359">
        <v>0.18</v>
      </c>
      <c r="AZ1272" s="359">
        <v>0.375</v>
      </c>
      <c r="BA1272" s="359">
        <v>1.23</v>
      </c>
      <c r="BB1272" s="359">
        <v>0.25</v>
      </c>
      <c r="BC1272" s="426"/>
      <c r="BD1272" s="359"/>
      <c r="BE1272" s="359"/>
      <c r="BF1272" s="469">
        <f t="shared" si="107"/>
        <v>4.58</v>
      </c>
      <c r="BG1272" s="469">
        <f t="shared" si="108"/>
        <v>6.6150000000000002</v>
      </c>
      <c r="BH1272" s="460"/>
      <c r="BI1272" s="462"/>
      <c r="BJ1272" s="505"/>
    </row>
    <row r="1273" spans="1:62" ht="17" thickBot="1" x14ac:dyDescent="0.25">
      <c r="A1273" s="176">
        <v>1274</v>
      </c>
      <c r="B1273" s="291">
        <v>1</v>
      </c>
      <c r="C1273" s="167" t="s">
        <v>39</v>
      </c>
      <c r="D1273" s="299" t="s">
        <v>40</v>
      </c>
      <c r="E1273" s="299" t="s">
        <v>13</v>
      </c>
      <c r="F1273" s="299" t="s">
        <v>39</v>
      </c>
      <c r="G1273" s="299" t="s">
        <v>15</v>
      </c>
      <c r="H1273" s="299" t="s">
        <v>386</v>
      </c>
      <c r="I1273" s="184">
        <v>2012</v>
      </c>
      <c r="J1273" s="306" t="s">
        <v>3412</v>
      </c>
      <c r="K1273" s="306" t="s">
        <v>3413</v>
      </c>
      <c r="L1273" s="306" t="s">
        <v>19</v>
      </c>
      <c r="M1273" s="558" t="s">
        <v>4321</v>
      </c>
      <c r="N1273" s="317" t="s">
        <v>20</v>
      </c>
      <c r="O1273" s="317" t="s">
        <v>15</v>
      </c>
      <c r="P1273" s="317" t="s">
        <v>15</v>
      </c>
      <c r="Q1273" s="317" t="s">
        <v>15</v>
      </c>
      <c r="R1273" s="317" t="s">
        <v>20</v>
      </c>
      <c r="S1273" s="317" t="s">
        <v>20</v>
      </c>
      <c r="T1273" s="317" t="s">
        <v>20</v>
      </c>
      <c r="U1273" s="317" t="s">
        <v>15</v>
      </c>
      <c r="V1273" s="317" t="s">
        <v>15</v>
      </c>
      <c r="W1273" s="317" t="s">
        <v>15</v>
      </c>
      <c r="X1273" s="317" t="s">
        <v>15</v>
      </c>
      <c r="Y1273" s="317" t="s">
        <v>15</v>
      </c>
      <c r="Z1273" s="318" t="s">
        <v>15</v>
      </c>
      <c r="AA1273" s="234"/>
      <c r="AB1273" s="318"/>
      <c r="AC1273" s="318" t="s">
        <v>20</v>
      </c>
      <c r="AD1273" s="330" t="s">
        <v>3414</v>
      </c>
      <c r="AE1273" s="319"/>
      <c r="AF1273" s="162" t="str">
        <f t="shared" si="109"/>
        <v/>
      </c>
      <c r="AG1273" s="162" t="str">
        <f t="shared" si="106"/>
        <v/>
      </c>
      <c r="AH1273" s="164">
        <f t="shared" si="103"/>
        <v>4.25</v>
      </c>
      <c r="AI1273" s="164" t="str">
        <f t="shared" si="104"/>
        <v/>
      </c>
      <c r="AJ1273" s="369"/>
      <c r="AK1273" s="369"/>
      <c r="AL1273" s="369"/>
      <c r="AM1273" s="369"/>
      <c r="AN1273" s="368"/>
      <c r="AO1273" s="368"/>
      <c r="AP1273" s="368"/>
      <c r="AQ1273" s="368"/>
      <c r="AR1273" s="389"/>
      <c r="AS1273" s="265"/>
      <c r="AT1273" s="272"/>
      <c r="AU1273" s="389"/>
      <c r="AV1273" s="421"/>
      <c r="AW1273" s="436">
        <v>4.25</v>
      </c>
      <c r="AX1273" s="359"/>
      <c r="AY1273" s="359"/>
      <c r="AZ1273" s="359">
        <v>0.23</v>
      </c>
      <c r="BA1273" s="359">
        <v>0.04</v>
      </c>
      <c r="BB1273" s="359">
        <v>0.21</v>
      </c>
      <c r="BC1273" s="426"/>
      <c r="BD1273" s="359"/>
      <c r="BE1273" s="359"/>
      <c r="BF1273" s="469">
        <f t="shared" si="107"/>
        <v>4.25</v>
      </c>
      <c r="BG1273" s="469">
        <f t="shared" si="108"/>
        <v>4.7300000000000004</v>
      </c>
      <c r="BH1273" s="460"/>
      <c r="BI1273" s="461"/>
      <c r="BJ1273" s="505"/>
    </row>
    <row r="1274" spans="1:62" ht="17" thickBot="1" x14ac:dyDescent="0.25">
      <c r="A1274" s="176">
        <v>1275</v>
      </c>
      <c r="B1274" s="291">
        <v>1</v>
      </c>
      <c r="C1274" s="167" t="s">
        <v>11</v>
      </c>
      <c r="D1274" s="299" t="s">
        <v>426</v>
      </c>
      <c r="E1274" s="299" t="s">
        <v>13</v>
      </c>
      <c r="F1274" s="299" t="s">
        <v>3420</v>
      </c>
      <c r="G1274" s="299" t="s">
        <v>15</v>
      </c>
      <c r="H1274" s="299" t="s">
        <v>3421</v>
      </c>
      <c r="I1274" s="184">
        <v>2011</v>
      </c>
      <c r="J1274" s="306" t="s">
        <v>3422</v>
      </c>
      <c r="K1274" s="306" t="s">
        <v>3423</v>
      </c>
      <c r="L1274" s="306" t="s">
        <v>9</v>
      </c>
      <c r="M1274" s="558" t="s">
        <v>4322</v>
      </c>
      <c r="N1274" s="317" t="s">
        <v>20</v>
      </c>
      <c r="O1274" s="317" t="s">
        <v>15</v>
      </c>
      <c r="P1274" s="317" t="s">
        <v>20</v>
      </c>
      <c r="Q1274" s="317" t="s">
        <v>20</v>
      </c>
      <c r="R1274" s="317" t="s">
        <v>15</v>
      </c>
      <c r="S1274" s="317" t="s">
        <v>20</v>
      </c>
      <c r="T1274" s="317" t="s">
        <v>15</v>
      </c>
      <c r="U1274" s="317" t="s">
        <v>15</v>
      </c>
      <c r="V1274" s="317" t="s">
        <v>15</v>
      </c>
      <c r="W1274" s="317" t="s">
        <v>15</v>
      </c>
      <c r="X1274" s="317" t="s">
        <v>15</v>
      </c>
      <c r="Y1274" s="317" t="s">
        <v>15</v>
      </c>
      <c r="Z1274" s="318" t="s">
        <v>15</v>
      </c>
      <c r="AA1274" s="234"/>
      <c r="AB1274" s="234"/>
      <c r="AC1274" s="318" t="s">
        <v>20</v>
      </c>
      <c r="AD1274" s="330" t="s">
        <v>3424</v>
      </c>
      <c r="AE1274" s="319"/>
      <c r="AF1274" s="162" t="str">
        <f t="shared" si="109"/>
        <v/>
      </c>
      <c r="AG1274" s="162" t="str">
        <f t="shared" si="106"/>
        <v/>
      </c>
      <c r="AH1274" s="164">
        <f t="shared" si="103"/>
        <v>1.2</v>
      </c>
      <c r="AI1274" s="164">
        <f t="shared" si="104"/>
        <v>8.3000000000000007</v>
      </c>
      <c r="AJ1274" s="369"/>
      <c r="AK1274" s="369"/>
      <c r="AL1274" s="369"/>
      <c r="AM1274" s="369"/>
      <c r="AN1274" s="368"/>
      <c r="AO1274" s="368"/>
      <c r="AP1274" s="368"/>
      <c r="AQ1274" s="368"/>
      <c r="AR1274" s="389"/>
      <c r="AS1274" s="265"/>
      <c r="AT1274" s="272"/>
      <c r="AU1274" s="389"/>
      <c r="AV1274" s="421"/>
      <c r="AW1274" s="436">
        <v>1.2</v>
      </c>
      <c r="AX1274" s="359">
        <v>3.0000000000000001E-3</v>
      </c>
      <c r="AY1274" s="359">
        <f>8.3-AX1274-AW1274</f>
        <v>7.0970000000000004</v>
      </c>
      <c r="AZ1274" s="359"/>
      <c r="BA1274" s="359">
        <v>7.6999999999999999E-2</v>
      </c>
      <c r="BB1274" s="359"/>
      <c r="BC1274" s="426"/>
      <c r="BD1274" s="359"/>
      <c r="BE1274" s="359"/>
      <c r="BF1274" s="469">
        <f t="shared" si="107"/>
        <v>1.2</v>
      </c>
      <c r="BG1274" s="469">
        <f t="shared" si="108"/>
        <v>8.3770000000000007</v>
      </c>
      <c r="BH1274" s="460"/>
      <c r="BI1274" s="461"/>
      <c r="BJ1274" s="505"/>
    </row>
    <row r="1275" spans="1:62" ht="17" thickBot="1" x14ac:dyDescent="0.25">
      <c r="A1275" s="176">
        <v>1276</v>
      </c>
      <c r="B1275" s="291">
        <v>1</v>
      </c>
      <c r="C1275" s="299" t="s">
        <v>11</v>
      </c>
      <c r="D1275" s="299" t="s">
        <v>12</v>
      </c>
      <c r="E1275" s="299" t="s">
        <v>13</v>
      </c>
      <c r="F1275" s="299" t="s">
        <v>3425</v>
      </c>
      <c r="G1275" s="299" t="s">
        <v>15</v>
      </c>
      <c r="H1275" s="299" t="s">
        <v>1406</v>
      </c>
      <c r="I1275" s="184">
        <v>2011</v>
      </c>
      <c r="J1275" s="306" t="s">
        <v>3426</v>
      </c>
      <c r="K1275" s="306" t="s">
        <v>3427</v>
      </c>
      <c r="L1275" s="306" t="s">
        <v>19</v>
      </c>
      <c r="M1275" s="558" t="s">
        <v>4323</v>
      </c>
      <c r="N1275" s="317" t="s">
        <v>20</v>
      </c>
      <c r="O1275" s="317" t="s">
        <v>15</v>
      </c>
      <c r="P1275" s="317" t="s">
        <v>15</v>
      </c>
      <c r="Q1275" s="317" t="s">
        <v>15</v>
      </c>
      <c r="R1275" s="317" t="s">
        <v>15</v>
      </c>
      <c r="S1275" s="317" t="s">
        <v>15</v>
      </c>
      <c r="T1275" s="317" t="s">
        <v>15</v>
      </c>
      <c r="U1275" s="317" t="s">
        <v>15</v>
      </c>
      <c r="V1275" s="317" t="s">
        <v>15</v>
      </c>
      <c r="W1275" s="317" t="s">
        <v>15</v>
      </c>
      <c r="X1275" s="317" t="s">
        <v>15</v>
      </c>
      <c r="Y1275" s="317" t="s">
        <v>15</v>
      </c>
      <c r="Z1275" s="318" t="s">
        <v>15</v>
      </c>
      <c r="AA1275" s="234"/>
      <c r="AB1275" s="234"/>
      <c r="AC1275" s="318" t="s">
        <v>15</v>
      </c>
      <c r="AD1275" s="330" t="s">
        <v>3428</v>
      </c>
      <c r="AE1275" s="319"/>
      <c r="AF1275" s="162" t="str">
        <f t="shared" si="109"/>
        <v/>
      </c>
      <c r="AG1275" s="162" t="str">
        <f t="shared" si="106"/>
        <v/>
      </c>
      <c r="AH1275" s="164">
        <f t="shared" si="103"/>
        <v>13.78</v>
      </c>
      <c r="AI1275" s="164" t="str">
        <f t="shared" si="104"/>
        <v/>
      </c>
      <c r="AJ1275" s="369"/>
      <c r="AK1275" s="368"/>
      <c r="AL1275" s="369"/>
      <c r="AM1275" s="369"/>
      <c r="AN1275" s="368"/>
      <c r="AO1275" s="368"/>
      <c r="AP1275" s="368"/>
      <c r="AQ1275" s="368"/>
      <c r="AR1275" s="389"/>
      <c r="AS1275" s="265"/>
      <c r="AT1275" s="272"/>
      <c r="AU1275" s="389"/>
      <c r="AV1275" s="421"/>
      <c r="AW1275" s="436">
        <f>13.78</f>
        <v>13.78</v>
      </c>
      <c r="AX1275" s="359"/>
      <c r="AY1275" s="359"/>
      <c r="AZ1275" s="359"/>
      <c r="BA1275" s="359"/>
      <c r="BB1275" s="359"/>
      <c r="BC1275" s="426"/>
      <c r="BD1275" s="359"/>
      <c r="BE1275" s="359"/>
      <c r="BF1275" s="469">
        <f t="shared" si="107"/>
        <v>13.78</v>
      </c>
      <c r="BG1275" s="469"/>
      <c r="BH1275" s="460"/>
      <c r="BI1275" s="461"/>
      <c r="BJ1275" s="505"/>
    </row>
    <row r="1276" spans="1:62" ht="17" thickBot="1" x14ac:dyDescent="0.25">
      <c r="A1276" s="176">
        <v>1277</v>
      </c>
      <c r="B1276" s="291">
        <v>1</v>
      </c>
      <c r="C1276" s="299" t="s">
        <v>11</v>
      </c>
      <c r="D1276" s="299" t="s">
        <v>12</v>
      </c>
      <c r="E1276" s="299" t="s">
        <v>13</v>
      </c>
      <c r="F1276" s="299" t="s">
        <v>3429</v>
      </c>
      <c r="G1276" s="299" t="s">
        <v>15</v>
      </c>
      <c r="H1276" s="299" t="s">
        <v>1406</v>
      </c>
      <c r="I1276" s="184">
        <v>2011</v>
      </c>
      <c r="J1276" s="306" t="s">
        <v>3426</v>
      </c>
      <c r="K1276" s="306" t="s">
        <v>3427</v>
      </c>
      <c r="L1276" s="306" t="s">
        <v>19</v>
      </c>
      <c r="M1276" s="558" t="s">
        <v>4323</v>
      </c>
      <c r="N1276" s="317" t="s">
        <v>20</v>
      </c>
      <c r="O1276" s="317" t="s">
        <v>15</v>
      </c>
      <c r="P1276" s="317" t="s">
        <v>15</v>
      </c>
      <c r="Q1276" s="317" t="s">
        <v>15</v>
      </c>
      <c r="R1276" s="317" t="s">
        <v>15</v>
      </c>
      <c r="S1276" s="317" t="s">
        <v>15</v>
      </c>
      <c r="T1276" s="317" t="s">
        <v>15</v>
      </c>
      <c r="U1276" s="317" t="s">
        <v>15</v>
      </c>
      <c r="V1276" s="317" t="s">
        <v>15</v>
      </c>
      <c r="W1276" s="317" t="s">
        <v>15</v>
      </c>
      <c r="X1276" s="317" t="s">
        <v>15</v>
      </c>
      <c r="Y1276" s="317" t="s">
        <v>15</v>
      </c>
      <c r="Z1276" s="318" t="s">
        <v>15</v>
      </c>
      <c r="AA1276" s="234"/>
      <c r="AB1276" s="234"/>
      <c r="AC1276" s="318" t="s">
        <v>15</v>
      </c>
      <c r="AD1276" s="330" t="s">
        <v>3428</v>
      </c>
      <c r="AE1276" s="319"/>
      <c r="AF1276" s="162" t="str">
        <f t="shared" si="109"/>
        <v/>
      </c>
      <c r="AG1276" s="162" t="str">
        <f t="shared" si="106"/>
        <v/>
      </c>
      <c r="AH1276" s="164">
        <f t="shared" si="103"/>
        <v>3.18</v>
      </c>
      <c r="AI1276" s="164" t="str">
        <f t="shared" si="104"/>
        <v/>
      </c>
      <c r="AJ1276" s="369"/>
      <c r="AK1276" s="368"/>
      <c r="AL1276" s="369"/>
      <c r="AM1276" s="369"/>
      <c r="AN1276" s="368"/>
      <c r="AO1276" s="368"/>
      <c r="AP1276" s="368"/>
      <c r="AQ1276" s="368"/>
      <c r="AR1276" s="389"/>
      <c r="AS1276" s="265"/>
      <c r="AT1276" s="272"/>
      <c r="AU1276" s="389"/>
      <c r="AV1276" s="421"/>
      <c r="AW1276" s="436">
        <v>3.18</v>
      </c>
      <c r="AX1276" s="359"/>
      <c r="AY1276" s="359"/>
      <c r="AZ1276" s="359"/>
      <c r="BA1276" s="359"/>
      <c r="BB1276" s="359"/>
      <c r="BC1276" s="426"/>
      <c r="BD1276" s="359"/>
      <c r="BE1276" s="359"/>
      <c r="BF1276" s="469">
        <f t="shared" si="107"/>
        <v>3.18</v>
      </c>
      <c r="BG1276" s="469"/>
      <c r="BH1276" s="460"/>
      <c r="BI1276" s="461"/>
      <c r="BJ1276" s="505"/>
    </row>
    <row r="1277" spans="1:62" ht="17" thickBot="1" x14ac:dyDescent="0.25">
      <c r="A1277" s="176">
        <v>1278</v>
      </c>
      <c r="B1277" s="291">
        <v>1</v>
      </c>
      <c r="C1277" s="167" t="s">
        <v>11</v>
      </c>
      <c r="D1277" s="167" t="s">
        <v>12</v>
      </c>
      <c r="E1277" s="167" t="s">
        <v>13</v>
      </c>
      <c r="F1277" s="167" t="s">
        <v>3430</v>
      </c>
      <c r="G1277" s="167" t="s">
        <v>15</v>
      </c>
      <c r="H1277" s="167" t="s">
        <v>700</v>
      </c>
      <c r="I1277" s="184">
        <v>2009</v>
      </c>
      <c r="J1277" s="184" t="s">
        <v>3431</v>
      </c>
      <c r="K1277" s="184" t="s">
        <v>3432</v>
      </c>
      <c r="L1277" s="184" t="s">
        <v>19</v>
      </c>
      <c r="M1277" s="558" t="s">
        <v>4324</v>
      </c>
      <c r="N1277" s="214" t="s">
        <v>20</v>
      </c>
      <c r="O1277" s="214" t="s">
        <v>15</v>
      </c>
      <c r="P1277" s="214" t="s">
        <v>15</v>
      </c>
      <c r="Q1277" s="214" t="s">
        <v>15</v>
      </c>
      <c r="R1277" s="214" t="s">
        <v>15</v>
      </c>
      <c r="S1277" s="214" t="s">
        <v>15</v>
      </c>
      <c r="T1277" s="214" t="s">
        <v>15</v>
      </c>
      <c r="U1277" s="214" t="s">
        <v>15</v>
      </c>
      <c r="V1277" s="214" t="s">
        <v>15</v>
      </c>
      <c r="W1277" s="214" t="s">
        <v>15</v>
      </c>
      <c r="X1277" s="214" t="s">
        <v>15</v>
      </c>
      <c r="Y1277" s="214" t="s">
        <v>15</v>
      </c>
      <c r="Z1277" s="214" t="s">
        <v>15</v>
      </c>
      <c r="AA1277" s="234"/>
      <c r="AB1277" s="234"/>
      <c r="AC1277" s="214" t="s">
        <v>15</v>
      </c>
      <c r="AD1277" s="319" t="s">
        <v>3433</v>
      </c>
      <c r="AE1277" s="319"/>
      <c r="AF1277" s="162">
        <f t="shared" si="109"/>
        <v>1.51</v>
      </c>
      <c r="AG1277" s="162" t="str">
        <f t="shared" si="106"/>
        <v/>
      </c>
      <c r="AH1277" s="164">
        <f t="shared" si="103"/>
        <v>0.93300000000000005</v>
      </c>
      <c r="AI1277" s="164" t="str">
        <f t="shared" si="104"/>
        <v/>
      </c>
      <c r="AJ1277" s="369">
        <v>1.51</v>
      </c>
      <c r="AK1277" s="368"/>
      <c r="AL1277" s="369"/>
      <c r="AM1277" s="369"/>
      <c r="AN1277" s="368"/>
      <c r="AO1277" s="368"/>
      <c r="AP1277" s="368"/>
      <c r="AQ1277" s="368"/>
      <c r="AR1277" s="389"/>
      <c r="AS1277" s="265">
        <f>AJ1277</f>
        <v>1.51</v>
      </c>
      <c r="AT1277" s="272"/>
      <c r="AU1277" s="389"/>
      <c r="AV1277" s="421"/>
      <c r="AW1277" s="436">
        <v>0.93300000000000005</v>
      </c>
      <c r="AX1277" s="359"/>
      <c r="AY1277" s="359"/>
      <c r="AZ1277" s="359"/>
      <c r="BA1277" s="359"/>
      <c r="BB1277" s="359"/>
      <c r="BC1277" s="426"/>
      <c r="BD1277" s="359"/>
      <c r="BE1277" s="359"/>
      <c r="BF1277" s="469">
        <f t="shared" si="107"/>
        <v>0.93300000000000005</v>
      </c>
      <c r="BG1277" s="469"/>
      <c r="BH1277" s="460"/>
      <c r="BI1277" s="461"/>
      <c r="BJ1277" s="505"/>
    </row>
    <row r="1278" spans="1:62" ht="17" thickBot="1" x14ac:dyDescent="0.25">
      <c r="A1278" s="176">
        <v>1279</v>
      </c>
      <c r="B1278" s="291">
        <v>1</v>
      </c>
      <c r="C1278" s="167" t="s">
        <v>11</v>
      </c>
      <c r="D1278" s="167" t="s">
        <v>12</v>
      </c>
      <c r="E1278" s="167" t="s">
        <v>13</v>
      </c>
      <c r="F1278" s="167" t="s">
        <v>3434</v>
      </c>
      <c r="G1278" s="167" t="s">
        <v>15</v>
      </c>
      <c r="H1278" s="167" t="s">
        <v>700</v>
      </c>
      <c r="I1278" s="184">
        <v>2009</v>
      </c>
      <c r="J1278" s="184" t="s">
        <v>3431</v>
      </c>
      <c r="K1278" s="184" t="s">
        <v>3432</v>
      </c>
      <c r="L1278" s="184" t="s">
        <v>19</v>
      </c>
      <c r="M1278" s="558" t="s">
        <v>4324</v>
      </c>
      <c r="N1278" s="214" t="s">
        <v>20</v>
      </c>
      <c r="O1278" s="214" t="s">
        <v>15</v>
      </c>
      <c r="P1278" s="214" t="s">
        <v>15</v>
      </c>
      <c r="Q1278" s="214" t="s">
        <v>15</v>
      </c>
      <c r="R1278" s="214" t="s">
        <v>15</v>
      </c>
      <c r="S1278" s="214" t="s">
        <v>15</v>
      </c>
      <c r="T1278" s="214" t="s">
        <v>15</v>
      </c>
      <c r="U1278" s="214" t="s">
        <v>15</v>
      </c>
      <c r="V1278" s="214" t="s">
        <v>15</v>
      </c>
      <c r="W1278" s="214" t="s">
        <v>15</v>
      </c>
      <c r="X1278" s="214" t="s">
        <v>15</v>
      </c>
      <c r="Y1278" s="214" t="s">
        <v>15</v>
      </c>
      <c r="Z1278" s="214" t="s">
        <v>15</v>
      </c>
      <c r="AA1278" s="234"/>
      <c r="AB1278" s="234"/>
      <c r="AC1278" s="214" t="s">
        <v>15</v>
      </c>
      <c r="AD1278" s="319" t="s">
        <v>3433</v>
      </c>
      <c r="AE1278" s="319"/>
      <c r="AF1278" s="162">
        <f t="shared" si="109"/>
        <v>0.55000000000000004</v>
      </c>
      <c r="AG1278" s="162" t="str">
        <f t="shared" si="106"/>
        <v/>
      </c>
      <c r="AH1278" s="164">
        <f t="shared" si="103"/>
        <v>0.64600000000000002</v>
      </c>
      <c r="AI1278" s="164" t="str">
        <f t="shared" si="104"/>
        <v/>
      </c>
      <c r="AJ1278" s="368">
        <v>0.55000000000000004</v>
      </c>
      <c r="AK1278" s="368"/>
      <c r="AL1278" s="369"/>
      <c r="AM1278" s="369"/>
      <c r="AN1278" s="368"/>
      <c r="AO1278" s="368"/>
      <c r="AP1278" s="368"/>
      <c r="AQ1278" s="368"/>
      <c r="AR1278" s="389"/>
      <c r="AS1278" s="265">
        <f>AJ1278</f>
        <v>0.55000000000000004</v>
      </c>
      <c r="AT1278" s="272"/>
      <c r="AU1278" s="389"/>
      <c r="AV1278" s="421"/>
      <c r="AW1278" s="436">
        <v>0.64600000000000002</v>
      </c>
      <c r="AX1278" s="359"/>
      <c r="AY1278" s="359"/>
      <c r="AZ1278" s="359"/>
      <c r="BA1278" s="359"/>
      <c r="BB1278" s="359"/>
      <c r="BC1278" s="426"/>
      <c r="BD1278" s="359"/>
      <c r="BE1278" s="359"/>
      <c r="BF1278" s="469">
        <f t="shared" si="107"/>
        <v>0.64600000000000002</v>
      </c>
      <c r="BG1278" s="469"/>
      <c r="BH1278" s="460"/>
      <c r="BI1278" s="461"/>
      <c r="BJ1278" s="505"/>
    </row>
    <row r="1279" spans="1:62" ht="17" thickBot="1" x14ac:dyDescent="0.25">
      <c r="A1279" s="176">
        <v>1280</v>
      </c>
      <c r="B1279" s="291">
        <v>1</v>
      </c>
      <c r="C1279" s="167" t="s">
        <v>11</v>
      </c>
      <c r="D1279" s="167" t="s">
        <v>12</v>
      </c>
      <c r="E1279" s="167" t="s">
        <v>13</v>
      </c>
      <c r="F1279" s="167" t="s">
        <v>3435</v>
      </c>
      <c r="G1279" s="167" t="s">
        <v>15</v>
      </c>
      <c r="H1279" s="167" t="s">
        <v>700</v>
      </c>
      <c r="I1279" s="184">
        <v>2009</v>
      </c>
      <c r="J1279" s="184" t="s">
        <v>3431</v>
      </c>
      <c r="K1279" s="184" t="s">
        <v>3432</v>
      </c>
      <c r="L1279" s="184" t="s">
        <v>19</v>
      </c>
      <c r="M1279" s="558" t="s">
        <v>4324</v>
      </c>
      <c r="N1279" s="214" t="s">
        <v>20</v>
      </c>
      <c r="O1279" s="214" t="s">
        <v>15</v>
      </c>
      <c r="P1279" s="214" t="s">
        <v>15</v>
      </c>
      <c r="Q1279" s="214" t="s">
        <v>15</v>
      </c>
      <c r="R1279" s="214" t="s">
        <v>15</v>
      </c>
      <c r="S1279" s="214" t="s">
        <v>15</v>
      </c>
      <c r="T1279" s="214" t="s">
        <v>15</v>
      </c>
      <c r="U1279" s="214" t="s">
        <v>15</v>
      </c>
      <c r="V1279" s="214" t="s">
        <v>15</v>
      </c>
      <c r="W1279" s="214" t="s">
        <v>15</v>
      </c>
      <c r="X1279" s="214" t="s">
        <v>15</v>
      </c>
      <c r="Y1279" s="214" t="s">
        <v>15</v>
      </c>
      <c r="Z1279" s="214" t="s">
        <v>15</v>
      </c>
      <c r="AA1279" s="234"/>
      <c r="AB1279" s="234"/>
      <c r="AC1279" s="214" t="s">
        <v>15</v>
      </c>
      <c r="AD1279" s="319" t="s">
        <v>3433</v>
      </c>
      <c r="AE1279" s="319"/>
      <c r="AF1279" s="162">
        <f t="shared" si="109"/>
        <v>1.1299999999999999</v>
      </c>
      <c r="AG1279" s="162" t="str">
        <f t="shared" si="106"/>
        <v/>
      </c>
      <c r="AH1279" s="164">
        <f t="shared" si="103"/>
        <v>0.76200000000000001</v>
      </c>
      <c r="AI1279" s="164" t="str">
        <f t="shared" si="104"/>
        <v/>
      </c>
      <c r="AJ1279" s="369">
        <v>1.1299999999999999</v>
      </c>
      <c r="AK1279" s="368"/>
      <c r="AL1279" s="369"/>
      <c r="AM1279" s="369"/>
      <c r="AN1279" s="368"/>
      <c r="AO1279" s="368"/>
      <c r="AP1279" s="368"/>
      <c r="AQ1279" s="368"/>
      <c r="AR1279" s="389"/>
      <c r="AS1279" s="265">
        <f>AJ1279</f>
        <v>1.1299999999999999</v>
      </c>
      <c r="AT1279" s="272"/>
      <c r="AU1279" s="389"/>
      <c r="AV1279" s="421"/>
      <c r="AW1279" s="436">
        <v>0.76200000000000001</v>
      </c>
      <c r="AX1279" s="359"/>
      <c r="AY1279" s="359"/>
      <c r="AZ1279" s="359"/>
      <c r="BA1279" s="359"/>
      <c r="BB1279" s="359"/>
      <c r="BC1279" s="426"/>
      <c r="BD1279" s="359"/>
      <c r="BE1279" s="359"/>
      <c r="BF1279" s="469">
        <f t="shared" si="107"/>
        <v>0.76200000000000001</v>
      </c>
      <c r="BG1279" s="469"/>
      <c r="BH1279" s="460"/>
      <c r="BI1279" s="461"/>
      <c r="BJ1279" s="505"/>
    </row>
    <row r="1280" spans="1:62" ht="17" thickBot="1" x14ac:dyDescent="0.25">
      <c r="A1280" s="176">
        <v>1281</v>
      </c>
      <c r="B1280" s="291">
        <v>1</v>
      </c>
      <c r="C1280" s="167" t="s">
        <v>11</v>
      </c>
      <c r="D1280" s="167" t="s">
        <v>12</v>
      </c>
      <c r="E1280" s="167" t="s">
        <v>13</v>
      </c>
      <c r="F1280" s="167" t="s">
        <v>3436</v>
      </c>
      <c r="G1280" s="167" t="s">
        <v>15</v>
      </c>
      <c r="H1280" s="167" t="s">
        <v>700</v>
      </c>
      <c r="I1280" s="184">
        <v>2009</v>
      </c>
      <c r="J1280" s="184" t="s">
        <v>3431</v>
      </c>
      <c r="K1280" s="184" t="s">
        <v>3432</v>
      </c>
      <c r="L1280" s="184" t="s">
        <v>19</v>
      </c>
      <c r="M1280" s="558" t="s">
        <v>4324</v>
      </c>
      <c r="N1280" s="214" t="s">
        <v>20</v>
      </c>
      <c r="O1280" s="214" t="s">
        <v>15</v>
      </c>
      <c r="P1280" s="214" t="s">
        <v>15</v>
      </c>
      <c r="Q1280" s="214" t="s">
        <v>15</v>
      </c>
      <c r="R1280" s="214" t="s">
        <v>15</v>
      </c>
      <c r="S1280" s="214" t="s">
        <v>15</v>
      </c>
      <c r="T1280" s="214" t="s">
        <v>15</v>
      </c>
      <c r="U1280" s="214" t="s">
        <v>15</v>
      </c>
      <c r="V1280" s="214" t="s">
        <v>15</v>
      </c>
      <c r="W1280" s="214" t="s">
        <v>15</v>
      </c>
      <c r="X1280" s="214" t="s">
        <v>15</v>
      </c>
      <c r="Y1280" s="214" t="s">
        <v>15</v>
      </c>
      <c r="Z1280" s="214" t="s">
        <v>15</v>
      </c>
      <c r="AA1280" s="234"/>
      <c r="AB1280" s="234"/>
      <c r="AC1280" s="214" t="s">
        <v>15</v>
      </c>
      <c r="AD1280" s="319" t="s">
        <v>3433</v>
      </c>
      <c r="AE1280" s="319"/>
      <c r="AF1280" s="162">
        <f t="shared" si="109"/>
        <v>1.55</v>
      </c>
      <c r="AG1280" s="162" t="str">
        <f t="shared" si="106"/>
        <v/>
      </c>
      <c r="AH1280" s="164">
        <f t="shared" si="103"/>
        <v>0.754</v>
      </c>
      <c r="AI1280" s="164" t="str">
        <f t="shared" si="104"/>
        <v/>
      </c>
      <c r="AJ1280" s="369">
        <v>1.55</v>
      </c>
      <c r="AK1280" s="368"/>
      <c r="AL1280" s="369"/>
      <c r="AM1280" s="369"/>
      <c r="AN1280" s="368"/>
      <c r="AO1280" s="368"/>
      <c r="AP1280" s="368"/>
      <c r="AQ1280" s="368"/>
      <c r="AR1280" s="389"/>
      <c r="AS1280" s="265">
        <f>AJ1280</f>
        <v>1.55</v>
      </c>
      <c r="AT1280" s="272"/>
      <c r="AU1280" s="389"/>
      <c r="AV1280" s="421"/>
      <c r="AW1280" s="436">
        <v>0.754</v>
      </c>
      <c r="AX1280" s="359"/>
      <c r="AY1280" s="359"/>
      <c r="AZ1280" s="359"/>
      <c r="BA1280" s="359"/>
      <c r="BB1280" s="359"/>
      <c r="BC1280" s="426"/>
      <c r="BD1280" s="359"/>
      <c r="BE1280" s="359"/>
      <c r="BF1280" s="469">
        <f t="shared" si="107"/>
        <v>0.754</v>
      </c>
      <c r="BG1280" s="469"/>
      <c r="BH1280" s="460"/>
      <c r="BI1280" s="461"/>
      <c r="BJ1280" s="505"/>
    </row>
    <row r="1281" spans="1:62" ht="17" thickBot="1" x14ac:dyDescent="0.25">
      <c r="A1281" s="176">
        <v>1282</v>
      </c>
      <c r="B1281" s="291">
        <v>1</v>
      </c>
      <c r="C1281" s="167" t="s">
        <v>162</v>
      </c>
      <c r="D1281" s="167" t="s">
        <v>2746</v>
      </c>
      <c r="E1281" s="167" t="s">
        <v>13</v>
      </c>
      <c r="F1281" s="167" t="s">
        <v>3438</v>
      </c>
      <c r="G1281" s="167" t="s">
        <v>122</v>
      </c>
      <c r="H1281" s="167" t="s">
        <v>258</v>
      </c>
      <c r="I1281" s="184">
        <v>2012</v>
      </c>
      <c r="J1281" s="184" t="s">
        <v>3439</v>
      </c>
      <c r="K1281" s="181" t="s">
        <v>3440</v>
      </c>
      <c r="L1281" s="184" t="s">
        <v>168</v>
      </c>
      <c r="M1281" s="556" t="s">
        <v>4325</v>
      </c>
      <c r="N1281" s="214" t="s">
        <v>122</v>
      </c>
      <c r="O1281" s="214" t="s">
        <v>122</v>
      </c>
      <c r="P1281" s="214" t="s">
        <v>292</v>
      </c>
      <c r="Q1281" s="214" t="s">
        <v>292</v>
      </c>
      <c r="R1281" s="214" t="s">
        <v>292</v>
      </c>
      <c r="S1281" s="214" t="s">
        <v>122</v>
      </c>
      <c r="T1281" s="214" t="s">
        <v>122</v>
      </c>
      <c r="U1281" s="214" t="s">
        <v>122</v>
      </c>
      <c r="V1281" s="214" t="s">
        <v>292</v>
      </c>
      <c r="W1281" s="214" t="s">
        <v>292</v>
      </c>
      <c r="X1281" s="214" t="s">
        <v>292</v>
      </c>
      <c r="Y1281" s="214" t="s">
        <v>292</v>
      </c>
      <c r="Z1281" s="234"/>
      <c r="AA1281" s="234"/>
      <c r="AB1281" s="234" t="s">
        <v>292</v>
      </c>
      <c r="AC1281" s="234" t="s">
        <v>292</v>
      </c>
      <c r="AD1281" s="319" t="s">
        <v>3441</v>
      </c>
      <c r="AE1281" s="319"/>
      <c r="AF1281" s="162" t="str">
        <f t="shared" si="109"/>
        <v/>
      </c>
      <c r="AG1281" s="162" t="str">
        <f t="shared" si="106"/>
        <v/>
      </c>
      <c r="AH1281" s="164">
        <f t="shared" si="103"/>
        <v>3.5799999999999998E-2</v>
      </c>
      <c r="AI1281" s="164" t="str">
        <f t="shared" si="104"/>
        <v/>
      </c>
      <c r="AJ1281" s="369"/>
      <c r="AK1281" s="368"/>
      <c r="AL1281" s="369"/>
      <c r="AM1281" s="369"/>
      <c r="AN1281" s="368"/>
      <c r="AO1281" s="368"/>
      <c r="AP1281" s="368"/>
      <c r="AQ1281" s="368"/>
      <c r="AR1281" s="389"/>
      <c r="AS1281" s="275"/>
      <c r="AT1281" s="274"/>
      <c r="AU1281" s="389"/>
      <c r="AV1281" s="419"/>
      <c r="AW1281" s="436">
        <v>3.5799999999999998E-2</v>
      </c>
      <c r="AX1281" s="359"/>
      <c r="AY1281" s="359"/>
      <c r="AZ1281" s="359"/>
      <c r="BA1281" s="359"/>
      <c r="BB1281" s="359"/>
      <c r="BC1281" s="426"/>
      <c r="BD1281" s="359"/>
      <c r="BE1281" s="359"/>
      <c r="BF1281" s="469">
        <f t="shared" si="107"/>
        <v>3.5799999999999998E-2</v>
      </c>
      <c r="BG1281" s="469">
        <v>0.68100000000000005</v>
      </c>
      <c r="BH1281" s="460"/>
      <c r="BI1281" s="461"/>
      <c r="BJ1281" s="505"/>
    </row>
    <row r="1282" spans="1:62" ht="15" customHeight="1" thickBot="1" x14ac:dyDescent="0.25">
      <c r="A1282" s="176">
        <v>1283</v>
      </c>
      <c r="B1282" s="291">
        <v>1</v>
      </c>
      <c r="C1282" s="167" t="s">
        <v>162</v>
      </c>
      <c r="D1282" s="167" t="s">
        <v>2746</v>
      </c>
      <c r="E1282" s="167" t="s">
        <v>13</v>
      </c>
      <c r="F1282" s="167" t="s">
        <v>3442</v>
      </c>
      <c r="G1282" s="167" t="s">
        <v>122</v>
      </c>
      <c r="H1282" s="167" t="s">
        <v>258</v>
      </c>
      <c r="I1282" s="184">
        <v>2012</v>
      </c>
      <c r="J1282" s="184" t="s">
        <v>3439</v>
      </c>
      <c r="K1282" s="181" t="s">
        <v>3440</v>
      </c>
      <c r="L1282" s="184" t="s">
        <v>168</v>
      </c>
      <c r="M1282" s="556" t="s">
        <v>4325</v>
      </c>
      <c r="N1282" s="214" t="s">
        <v>122</v>
      </c>
      <c r="O1282" s="214" t="s">
        <v>122</v>
      </c>
      <c r="P1282" s="214" t="s">
        <v>292</v>
      </c>
      <c r="Q1282" s="214" t="s">
        <v>292</v>
      </c>
      <c r="R1282" s="214" t="s">
        <v>292</v>
      </c>
      <c r="S1282" s="214" t="s">
        <v>122</v>
      </c>
      <c r="T1282" s="214" t="s">
        <v>122</v>
      </c>
      <c r="U1282" s="214" t="s">
        <v>122</v>
      </c>
      <c r="V1282" s="214" t="s">
        <v>292</v>
      </c>
      <c r="W1282" s="214" t="s">
        <v>292</v>
      </c>
      <c r="X1282" s="214" t="s">
        <v>292</v>
      </c>
      <c r="Y1282" s="214" t="s">
        <v>292</v>
      </c>
      <c r="Z1282" s="234"/>
      <c r="AA1282" s="234"/>
      <c r="AB1282" s="234" t="s">
        <v>292</v>
      </c>
      <c r="AC1282" s="234" t="s">
        <v>292</v>
      </c>
      <c r="AD1282" s="319" t="s">
        <v>3441</v>
      </c>
      <c r="AE1282" s="319"/>
      <c r="AF1282" s="162" t="str">
        <f t="shared" si="109"/>
        <v/>
      </c>
      <c r="AG1282" s="162" t="str">
        <f t="shared" si="106"/>
        <v/>
      </c>
      <c r="AH1282" s="164">
        <f t="shared" ref="AH1282:AH1345" si="110">IF(BF1282&lt;&gt;0,BF1282,"")</f>
        <v>4.1300000000000003E-2</v>
      </c>
      <c r="AI1282" s="164" t="str">
        <f t="shared" ref="AI1282:AI1345" si="111">IF(AND(SUM(AW1282:AY1282)&lt;&gt;0,SUM(AW1282:AY1282)&lt;&gt;AW1282),SUM(AW1282:AY1282),"")</f>
        <v/>
      </c>
      <c r="AJ1282" s="369"/>
      <c r="AK1282" s="368"/>
      <c r="AL1282" s="369"/>
      <c r="AM1282" s="369"/>
      <c r="AN1282" s="368"/>
      <c r="AO1282" s="368"/>
      <c r="AP1282" s="368"/>
      <c r="AQ1282" s="368"/>
      <c r="AR1282" s="389"/>
      <c r="AS1282" s="275"/>
      <c r="AT1282" s="274"/>
      <c r="AU1282" s="389"/>
      <c r="AV1282" s="419"/>
      <c r="AW1282" s="436">
        <v>4.1300000000000003E-2</v>
      </c>
      <c r="AX1282" s="359"/>
      <c r="AY1282" s="359"/>
      <c r="AZ1282" s="359"/>
      <c r="BA1282" s="359"/>
      <c r="BB1282" s="359"/>
      <c r="BC1282" s="426"/>
      <c r="BD1282" s="359"/>
      <c r="BE1282" s="359"/>
      <c r="BF1282" s="469">
        <f t="shared" si="107"/>
        <v>4.1300000000000003E-2</v>
      </c>
      <c r="BG1282" s="469">
        <v>0.68600000000000005</v>
      </c>
      <c r="BH1282" s="460"/>
      <c r="BI1282" s="461"/>
      <c r="BJ1282" s="505"/>
    </row>
    <row r="1283" spans="1:62" ht="15" customHeight="1" thickBot="1" x14ac:dyDescent="0.25">
      <c r="A1283" s="176">
        <v>1284</v>
      </c>
      <c r="B1283" s="291">
        <v>1</v>
      </c>
      <c r="C1283" s="167" t="s">
        <v>162</v>
      </c>
      <c r="D1283" s="167" t="s">
        <v>2746</v>
      </c>
      <c r="E1283" s="167" t="s">
        <v>13</v>
      </c>
      <c r="F1283" s="167" t="s">
        <v>3443</v>
      </c>
      <c r="G1283" s="167" t="s">
        <v>122</v>
      </c>
      <c r="H1283" s="167" t="s">
        <v>258</v>
      </c>
      <c r="I1283" s="184">
        <v>2012</v>
      </c>
      <c r="J1283" s="184" t="s">
        <v>3439</v>
      </c>
      <c r="K1283" s="181" t="s">
        <v>3440</v>
      </c>
      <c r="L1283" s="184" t="s">
        <v>168</v>
      </c>
      <c r="M1283" s="556" t="s">
        <v>4325</v>
      </c>
      <c r="N1283" s="214" t="s">
        <v>122</v>
      </c>
      <c r="O1283" s="214" t="s">
        <v>122</v>
      </c>
      <c r="P1283" s="214" t="s">
        <v>292</v>
      </c>
      <c r="Q1283" s="214" t="s">
        <v>292</v>
      </c>
      <c r="R1283" s="214" t="s">
        <v>292</v>
      </c>
      <c r="S1283" s="214" t="s">
        <v>122</v>
      </c>
      <c r="T1283" s="214" t="s">
        <v>122</v>
      </c>
      <c r="U1283" s="214" t="s">
        <v>122</v>
      </c>
      <c r="V1283" s="214" t="s">
        <v>292</v>
      </c>
      <c r="W1283" s="214" t="s">
        <v>292</v>
      </c>
      <c r="X1283" s="214" t="s">
        <v>292</v>
      </c>
      <c r="Y1283" s="214" t="s">
        <v>292</v>
      </c>
      <c r="Z1283" s="234"/>
      <c r="AA1283" s="234"/>
      <c r="AB1283" s="234" t="s">
        <v>292</v>
      </c>
      <c r="AC1283" s="234" t="s">
        <v>292</v>
      </c>
      <c r="AD1283" s="319" t="s">
        <v>3441</v>
      </c>
      <c r="AE1283" s="319"/>
      <c r="AF1283" s="162" t="str">
        <f t="shared" si="109"/>
        <v/>
      </c>
      <c r="AG1283" s="162" t="str">
        <f t="shared" si="106"/>
        <v/>
      </c>
      <c r="AH1283" s="164">
        <f t="shared" si="110"/>
        <v>1.46E-2</v>
      </c>
      <c r="AI1283" s="164" t="str">
        <f t="shared" si="111"/>
        <v/>
      </c>
      <c r="AJ1283" s="369"/>
      <c r="AK1283" s="368"/>
      <c r="AL1283" s="369"/>
      <c r="AM1283" s="369"/>
      <c r="AN1283" s="368"/>
      <c r="AO1283" s="368"/>
      <c r="AP1283" s="368"/>
      <c r="AQ1283" s="368"/>
      <c r="AR1283" s="389"/>
      <c r="AS1283" s="275"/>
      <c r="AT1283" s="274"/>
      <c r="AU1283" s="389"/>
      <c r="AV1283" s="419"/>
      <c r="AW1283" s="436">
        <v>1.46E-2</v>
      </c>
      <c r="AX1283" s="359"/>
      <c r="AY1283" s="359"/>
      <c r="AZ1283" s="359"/>
      <c r="BA1283" s="359"/>
      <c r="BB1283" s="359"/>
      <c r="BC1283" s="426"/>
      <c r="BD1283" s="359"/>
      <c r="BE1283" s="359"/>
      <c r="BF1283" s="469">
        <f t="shared" si="107"/>
        <v>1.46E-2</v>
      </c>
      <c r="BG1283" s="469">
        <v>0.104</v>
      </c>
      <c r="BH1283" s="460"/>
      <c r="BI1283" s="461"/>
      <c r="BJ1283" s="505"/>
    </row>
    <row r="1284" spans="1:62" ht="15" customHeight="1" thickBot="1" x14ac:dyDescent="0.25">
      <c r="A1284" s="176">
        <v>1285</v>
      </c>
      <c r="B1284" s="291">
        <v>1</v>
      </c>
      <c r="C1284" s="167" t="s">
        <v>162</v>
      </c>
      <c r="D1284" s="167" t="s">
        <v>2746</v>
      </c>
      <c r="E1284" s="167" t="s">
        <v>13</v>
      </c>
      <c r="F1284" s="167" t="s">
        <v>3444</v>
      </c>
      <c r="G1284" s="167" t="s">
        <v>122</v>
      </c>
      <c r="H1284" s="167" t="s">
        <v>369</v>
      </c>
      <c r="I1284" s="184">
        <v>2012</v>
      </c>
      <c r="J1284" s="184" t="s">
        <v>3439</v>
      </c>
      <c r="K1284" s="181" t="s">
        <v>3440</v>
      </c>
      <c r="L1284" s="184" t="s">
        <v>168</v>
      </c>
      <c r="M1284" s="556" t="s">
        <v>4325</v>
      </c>
      <c r="N1284" s="214" t="s">
        <v>122</v>
      </c>
      <c r="O1284" s="214" t="s">
        <v>122</v>
      </c>
      <c r="P1284" s="214" t="s">
        <v>292</v>
      </c>
      <c r="Q1284" s="214" t="s">
        <v>292</v>
      </c>
      <c r="R1284" s="214" t="s">
        <v>292</v>
      </c>
      <c r="S1284" s="214" t="s">
        <v>122</v>
      </c>
      <c r="T1284" s="214" t="s">
        <v>122</v>
      </c>
      <c r="U1284" s="214" t="s">
        <v>122</v>
      </c>
      <c r="V1284" s="214" t="s">
        <v>292</v>
      </c>
      <c r="W1284" s="214" t="s">
        <v>292</v>
      </c>
      <c r="X1284" s="214" t="s">
        <v>292</v>
      </c>
      <c r="Y1284" s="214" t="s">
        <v>292</v>
      </c>
      <c r="Z1284" s="234"/>
      <c r="AA1284" s="234"/>
      <c r="AB1284" s="234" t="s">
        <v>292</v>
      </c>
      <c r="AC1284" s="234" t="s">
        <v>292</v>
      </c>
      <c r="AD1284" s="319" t="s">
        <v>3441</v>
      </c>
      <c r="AE1284" s="319"/>
      <c r="AF1284" s="162" t="str">
        <f t="shared" si="109"/>
        <v/>
      </c>
      <c r="AG1284" s="162" t="str">
        <f t="shared" si="106"/>
        <v/>
      </c>
      <c r="AH1284" s="164">
        <f t="shared" si="110"/>
        <v>4.1300000000000003E-2</v>
      </c>
      <c r="AI1284" s="164" t="str">
        <f t="shared" si="111"/>
        <v/>
      </c>
      <c r="AJ1284" s="369"/>
      <c r="AK1284" s="368"/>
      <c r="AL1284" s="369"/>
      <c r="AM1284" s="369"/>
      <c r="AN1284" s="368"/>
      <c r="AO1284" s="368"/>
      <c r="AP1284" s="368"/>
      <c r="AQ1284" s="368"/>
      <c r="AR1284" s="389"/>
      <c r="AS1284" s="275"/>
      <c r="AT1284" s="274"/>
      <c r="AU1284" s="389"/>
      <c r="AV1284" s="419"/>
      <c r="AW1284" s="436">
        <v>4.1300000000000003E-2</v>
      </c>
      <c r="AX1284" s="359"/>
      <c r="AY1284" s="359"/>
      <c r="AZ1284" s="359"/>
      <c r="BA1284" s="359"/>
      <c r="BB1284" s="359"/>
      <c r="BC1284" s="426"/>
      <c r="BD1284" s="359"/>
      <c r="BE1284" s="359"/>
      <c r="BF1284" s="469">
        <f t="shared" si="107"/>
        <v>4.1300000000000003E-2</v>
      </c>
      <c r="BG1284" s="469">
        <v>0.20499999999999999</v>
      </c>
      <c r="BH1284" s="460"/>
      <c r="BI1284" s="461"/>
      <c r="BJ1284" s="505"/>
    </row>
    <row r="1285" spans="1:62" ht="15" customHeight="1" thickBot="1" x14ac:dyDescent="0.25">
      <c r="A1285" s="176">
        <v>1286</v>
      </c>
      <c r="B1285" s="291">
        <v>1</v>
      </c>
      <c r="C1285" s="167" t="s">
        <v>162</v>
      </c>
      <c r="D1285" s="167" t="s">
        <v>828</v>
      </c>
      <c r="E1285" s="167" t="s">
        <v>13</v>
      </c>
      <c r="F1285" s="167"/>
      <c r="G1285" s="167"/>
      <c r="H1285" s="167" t="s">
        <v>3445</v>
      </c>
      <c r="I1285" s="184">
        <v>2012</v>
      </c>
      <c r="J1285" s="184" t="s">
        <v>3439</v>
      </c>
      <c r="K1285" s="181" t="s">
        <v>3440</v>
      </c>
      <c r="L1285" s="184" t="s">
        <v>168</v>
      </c>
      <c r="M1285" s="556" t="s">
        <v>4325</v>
      </c>
      <c r="N1285" s="214" t="s">
        <v>122</v>
      </c>
      <c r="O1285" s="214" t="s">
        <v>122</v>
      </c>
      <c r="P1285" s="214" t="s">
        <v>292</v>
      </c>
      <c r="Q1285" s="214" t="s">
        <v>292</v>
      </c>
      <c r="R1285" s="214" t="s">
        <v>292</v>
      </c>
      <c r="S1285" s="214" t="s">
        <v>122</v>
      </c>
      <c r="T1285" s="214" t="s">
        <v>122</v>
      </c>
      <c r="U1285" s="214" t="s">
        <v>122</v>
      </c>
      <c r="V1285" s="214" t="s">
        <v>292</v>
      </c>
      <c r="W1285" s="214" t="s">
        <v>292</v>
      </c>
      <c r="X1285" s="214" t="s">
        <v>292</v>
      </c>
      <c r="Y1285" s="214" t="s">
        <v>292</v>
      </c>
      <c r="Z1285" s="234"/>
      <c r="AA1285" s="234"/>
      <c r="AB1285" s="234" t="s">
        <v>292</v>
      </c>
      <c r="AC1285" s="234" t="s">
        <v>292</v>
      </c>
      <c r="AD1285" s="319" t="s">
        <v>3441</v>
      </c>
      <c r="AE1285" s="319"/>
      <c r="AF1285" s="162" t="str">
        <f t="shared" si="109"/>
        <v/>
      </c>
      <c r="AG1285" s="162" t="str">
        <f t="shared" si="106"/>
        <v/>
      </c>
      <c r="AH1285" s="164">
        <f t="shared" si="110"/>
        <v>0.315</v>
      </c>
      <c r="AI1285" s="164">
        <f t="shared" si="111"/>
        <v>0.40100000000000002</v>
      </c>
      <c r="AJ1285" s="368"/>
      <c r="AK1285" s="368"/>
      <c r="AL1285" s="368"/>
      <c r="AM1285" s="368"/>
      <c r="AN1285" s="368"/>
      <c r="AO1285" s="368"/>
      <c r="AP1285" s="368"/>
      <c r="AQ1285" s="368"/>
      <c r="AR1285" s="389"/>
      <c r="AS1285" s="275"/>
      <c r="AT1285" s="271"/>
      <c r="AU1285" s="389"/>
      <c r="AV1285" s="418"/>
      <c r="AW1285" s="436">
        <v>0.315</v>
      </c>
      <c r="AX1285" s="359"/>
      <c r="AY1285" s="359">
        <v>8.5999999999999993E-2</v>
      </c>
      <c r="AZ1285" s="359"/>
      <c r="BA1285" s="359">
        <v>9.6000000000000002E-2</v>
      </c>
      <c r="BB1285" s="359"/>
      <c r="BC1285" s="426">
        <v>0.30399999999999999</v>
      </c>
      <c r="BD1285" s="359"/>
      <c r="BE1285" s="359"/>
      <c r="BF1285" s="469">
        <f t="shared" si="107"/>
        <v>0.315</v>
      </c>
      <c r="BG1285" s="469">
        <f>SUM(AW1285:BC1285)</f>
        <v>0.80099999999999993</v>
      </c>
      <c r="BH1285" s="460"/>
      <c r="BI1285" s="461"/>
      <c r="BJ1285" s="505"/>
    </row>
    <row r="1286" spans="1:62" ht="15" customHeight="1" thickBot="1" x14ac:dyDescent="0.25">
      <c r="A1286" s="176">
        <v>1287</v>
      </c>
      <c r="B1286" s="291">
        <v>1</v>
      </c>
      <c r="C1286" s="167" t="s">
        <v>236</v>
      </c>
      <c r="D1286" s="167" t="s">
        <v>866</v>
      </c>
      <c r="E1286" s="167" t="s">
        <v>13</v>
      </c>
      <c r="F1286" s="167" t="s">
        <v>3446</v>
      </c>
      <c r="G1286" s="167"/>
      <c r="H1286" s="167" t="s">
        <v>73</v>
      </c>
      <c r="I1286" s="189">
        <v>2013</v>
      </c>
      <c r="J1286" s="189" t="s">
        <v>3184</v>
      </c>
      <c r="L1286" s="189" t="s">
        <v>19</v>
      </c>
      <c r="M1286" s="556" t="s">
        <v>4306</v>
      </c>
      <c r="N1286" s="214" t="s">
        <v>122</v>
      </c>
      <c r="O1286" s="214"/>
      <c r="P1286" s="214"/>
      <c r="Q1286" s="214" t="s">
        <v>122</v>
      </c>
      <c r="R1286" s="214" t="s">
        <v>122</v>
      </c>
      <c r="S1286" s="214" t="s">
        <v>122</v>
      </c>
      <c r="T1286" s="214"/>
      <c r="U1286" s="214"/>
      <c r="V1286" s="214"/>
      <c r="W1286" s="214"/>
      <c r="X1286" s="214"/>
      <c r="Y1286" s="214"/>
      <c r="Z1286" s="234"/>
      <c r="AA1286" s="234"/>
      <c r="AB1286" s="234"/>
      <c r="AC1286" s="234"/>
      <c r="AD1286" s="319" t="s">
        <v>3447</v>
      </c>
      <c r="AE1286" s="319"/>
      <c r="AF1286" s="162">
        <f t="shared" si="109"/>
        <v>8.3000000000000007</v>
      </c>
      <c r="AG1286" s="162" t="str">
        <f t="shared" si="106"/>
        <v/>
      </c>
      <c r="AH1286" s="164">
        <f t="shared" si="110"/>
        <v>0.3</v>
      </c>
      <c r="AI1286" s="164" t="str">
        <f t="shared" si="111"/>
        <v/>
      </c>
      <c r="AJ1286" s="368">
        <v>8.3000000000000007</v>
      </c>
      <c r="AK1286" s="368"/>
      <c r="AL1286" s="368"/>
      <c r="AM1286" s="368"/>
      <c r="AN1286" s="368">
        <v>3</v>
      </c>
      <c r="AO1286" s="368"/>
      <c r="AP1286" s="368"/>
      <c r="AQ1286" s="368"/>
      <c r="AR1286" s="389"/>
      <c r="AS1286" s="275">
        <f t="shared" ref="AS1286:AS1298" si="112">AJ1286</f>
        <v>8.3000000000000007</v>
      </c>
      <c r="AT1286" s="271">
        <v>13.3</v>
      </c>
      <c r="AU1286" s="389"/>
      <c r="AV1286" s="418"/>
      <c r="AW1286" s="436">
        <v>0.3</v>
      </c>
      <c r="AX1286" s="359"/>
      <c r="AY1286" s="359"/>
      <c r="AZ1286" s="359"/>
      <c r="BA1286" s="359">
        <v>0.3</v>
      </c>
      <c r="BB1286" s="359"/>
      <c r="BC1286" s="426"/>
      <c r="BD1286" s="359"/>
      <c r="BE1286" s="359"/>
      <c r="BF1286" s="469">
        <f t="shared" si="107"/>
        <v>0.3</v>
      </c>
      <c r="BG1286" s="469">
        <v>0.9</v>
      </c>
      <c r="BH1286" s="460"/>
      <c r="BI1286" s="461"/>
      <c r="BJ1286" s="505"/>
    </row>
    <row r="1287" spans="1:62" ht="15" customHeight="1" thickBot="1" x14ac:dyDescent="0.25">
      <c r="A1287" s="176">
        <v>1288</v>
      </c>
      <c r="B1287" s="291">
        <v>1</v>
      </c>
      <c r="C1287" s="167" t="s">
        <v>236</v>
      </c>
      <c r="D1287" s="167" t="s">
        <v>866</v>
      </c>
      <c r="E1287" s="167" t="s">
        <v>13</v>
      </c>
      <c r="F1287" s="167"/>
      <c r="G1287" s="167"/>
      <c r="H1287" s="167" t="s">
        <v>108</v>
      </c>
      <c r="I1287" s="189">
        <v>2013</v>
      </c>
      <c r="J1287" s="189" t="s">
        <v>3184</v>
      </c>
      <c r="L1287" s="189" t="s">
        <v>19</v>
      </c>
      <c r="M1287" s="556" t="s">
        <v>4306</v>
      </c>
      <c r="N1287" s="214"/>
      <c r="O1287" s="214"/>
      <c r="P1287" s="214"/>
      <c r="Q1287" s="214"/>
      <c r="R1287" s="214"/>
      <c r="S1287" s="214"/>
      <c r="T1287" s="214"/>
      <c r="U1287" s="214"/>
      <c r="V1287" s="214"/>
      <c r="W1287" s="214"/>
      <c r="X1287" s="214"/>
      <c r="Y1287" s="214"/>
      <c r="Z1287" s="234"/>
      <c r="AA1287" s="234"/>
      <c r="AB1287" s="234"/>
      <c r="AC1287" s="234"/>
      <c r="AD1287" s="319" t="s">
        <v>3447</v>
      </c>
      <c r="AE1287" s="319"/>
      <c r="AF1287" s="162">
        <f t="shared" si="109"/>
        <v>12.9</v>
      </c>
      <c r="AG1287" s="162" t="str">
        <f t="shared" si="106"/>
        <v/>
      </c>
      <c r="AH1287" s="164">
        <f t="shared" si="110"/>
        <v>0.8</v>
      </c>
      <c r="AI1287" s="164" t="str">
        <f t="shared" si="111"/>
        <v/>
      </c>
      <c r="AJ1287" s="368">
        <v>12.9</v>
      </c>
      <c r="AK1287" s="368"/>
      <c r="AL1287" s="368"/>
      <c r="AM1287" s="368"/>
      <c r="AN1287" s="368"/>
      <c r="AO1287" s="368"/>
      <c r="AP1287" s="368"/>
      <c r="AQ1287" s="368"/>
      <c r="AR1287" s="389"/>
      <c r="AS1287" s="275">
        <f t="shared" si="112"/>
        <v>12.9</v>
      </c>
      <c r="AT1287" s="271">
        <v>14.6</v>
      </c>
      <c r="AU1287" s="389"/>
      <c r="AV1287" s="418"/>
      <c r="AW1287" s="436">
        <v>0.8</v>
      </c>
      <c r="AX1287" s="359"/>
      <c r="AY1287" s="359"/>
      <c r="AZ1287" s="359"/>
      <c r="BA1287" s="359"/>
      <c r="BB1287" s="359"/>
      <c r="BC1287" s="426"/>
      <c r="BD1287" s="359"/>
      <c r="BE1287" s="359"/>
      <c r="BF1287" s="469">
        <f t="shared" si="107"/>
        <v>0.8</v>
      </c>
      <c r="BG1287" s="469">
        <v>1</v>
      </c>
      <c r="BH1287" s="460"/>
      <c r="BI1287" s="461"/>
      <c r="BJ1287" s="505"/>
    </row>
    <row r="1288" spans="1:62" ht="15" customHeight="1" thickBot="1" x14ac:dyDescent="0.25">
      <c r="A1288" s="176">
        <v>1289</v>
      </c>
      <c r="B1288" s="291">
        <v>1</v>
      </c>
      <c r="C1288" s="167" t="s">
        <v>162</v>
      </c>
      <c r="D1288" s="167" t="s">
        <v>2206</v>
      </c>
      <c r="E1288" s="167" t="s">
        <v>13</v>
      </c>
      <c r="F1288" s="167"/>
      <c r="G1288" s="167"/>
      <c r="H1288" s="167" t="s">
        <v>108</v>
      </c>
      <c r="I1288" s="189">
        <v>2013</v>
      </c>
      <c r="J1288" s="189" t="s">
        <v>3184</v>
      </c>
      <c r="L1288" s="189" t="s">
        <v>19</v>
      </c>
      <c r="M1288" s="556" t="s">
        <v>4306</v>
      </c>
      <c r="N1288" s="214" t="s">
        <v>122</v>
      </c>
      <c r="O1288" s="214"/>
      <c r="P1288" s="214"/>
      <c r="Q1288" s="214" t="s">
        <v>122</v>
      </c>
      <c r="R1288" s="214" t="s">
        <v>122</v>
      </c>
      <c r="S1288" s="214" t="s">
        <v>122</v>
      </c>
      <c r="T1288" s="214"/>
      <c r="U1288" s="214"/>
      <c r="V1288" s="214"/>
      <c r="W1288" s="214"/>
      <c r="X1288" s="214"/>
      <c r="Y1288" s="214"/>
      <c r="Z1288" s="234"/>
      <c r="AA1288" s="234"/>
      <c r="AB1288" s="234"/>
      <c r="AC1288" s="234"/>
      <c r="AD1288" s="319" t="s">
        <v>3447</v>
      </c>
      <c r="AE1288" s="319"/>
      <c r="AF1288" s="162">
        <f t="shared" si="109"/>
        <v>1.5</v>
      </c>
      <c r="AG1288" s="162" t="str">
        <f t="shared" si="106"/>
        <v/>
      </c>
      <c r="AH1288" s="164">
        <f t="shared" si="110"/>
        <v>0.2</v>
      </c>
      <c r="AI1288" s="164" t="str">
        <f t="shared" si="111"/>
        <v/>
      </c>
      <c r="AJ1288" s="368">
        <v>1.5</v>
      </c>
      <c r="AK1288" s="368"/>
      <c r="AL1288" s="368"/>
      <c r="AM1288" s="368"/>
      <c r="AN1288" s="368"/>
      <c r="AO1288" s="368"/>
      <c r="AP1288" s="368"/>
      <c r="AQ1288" s="368"/>
      <c r="AR1288" s="389"/>
      <c r="AS1288" s="275">
        <f t="shared" si="112"/>
        <v>1.5</v>
      </c>
      <c r="AT1288" s="271">
        <v>2.8</v>
      </c>
      <c r="AU1288" s="389"/>
      <c r="AV1288" s="418"/>
      <c r="AW1288" s="436">
        <v>0.2</v>
      </c>
      <c r="AX1288" s="359"/>
      <c r="AY1288" s="359"/>
      <c r="AZ1288" s="359"/>
      <c r="BA1288" s="359"/>
      <c r="BB1288" s="359"/>
      <c r="BC1288" s="426"/>
      <c r="BD1288" s="359"/>
      <c r="BE1288" s="359"/>
      <c r="BF1288" s="469">
        <f t="shared" si="107"/>
        <v>0.2</v>
      </c>
      <c r="BG1288" s="469">
        <v>0.3</v>
      </c>
      <c r="BH1288" s="460"/>
      <c r="BI1288" s="461"/>
      <c r="BJ1288" s="505"/>
    </row>
    <row r="1289" spans="1:62" ht="15" customHeight="1" thickBot="1" x14ac:dyDescent="0.25">
      <c r="A1289" s="176">
        <v>1290</v>
      </c>
      <c r="B1289" s="291">
        <v>1</v>
      </c>
      <c r="C1289" s="167" t="s">
        <v>162</v>
      </c>
      <c r="D1289" s="167" t="s">
        <v>2206</v>
      </c>
      <c r="E1289" s="167" t="s">
        <v>13</v>
      </c>
      <c r="F1289" s="167" t="s">
        <v>3448</v>
      </c>
      <c r="G1289" s="167"/>
      <c r="H1289" s="167" t="s">
        <v>3449</v>
      </c>
      <c r="I1289" s="189">
        <v>2013</v>
      </c>
      <c r="J1289" s="189" t="s">
        <v>3184</v>
      </c>
      <c r="L1289" s="189" t="s">
        <v>19</v>
      </c>
      <c r="M1289" s="556" t="s">
        <v>4306</v>
      </c>
      <c r="N1289" s="214" t="s">
        <v>122</v>
      </c>
      <c r="O1289" s="214"/>
      <c r="P1289" s="214"/>
      <c r="Q1289" s="214" t="s">
        <v>122</v>
      </c>
      <c r="R1289" s="214" t="s">
        <v>122</v>
      </c>
      <c r="S1289" s="214" t="s">
        <v>122</v>
      </c>
      <c r="T1289" s="214"/>
      <c r="U1289" s="214"/>
      <c r="V1289" s="214"/>
      <c r="W1289" s="214"/>
      <c r="X1289" s="214"/>
      <c r="Y1289" s="214"/>
      <c r="Z1289" s="234"/>
      <c r="AA1289" s="234"/>
      <c r="AB1289" s="234"/>
      <c r="AC1289" s="234"/>
      <c r="AD1289" s="319" t="s">
        <v>3447</v>
      </c>
      <c r="AE1289" s="319"/>
      <c r="AF1289" s="162">
        <f t="shared" si="109"/>
        <v>1.9</v>
      </c>
      <c r="AG1289" s="162" t="str">
        <f t="shared" si="106"/>
        <v/>
      </c>
      <c r="AH1289" s="164">
        <f t="shared" si="110"/>
        <v>0.2</v>
      </c>
      <c r="AI1289" s="164" t="str">
        <f t="shared" si="111"/>
        <v/>
      </c>
      <c r="AJ1289" s="368">
        <v>1.9</v>
      </c>
      <c r="AK1289" s="368"/>
      <c r="AL1289" s="368"/>
      <c r="AM1289" s="368"/>
      <c r="AN1289" s="368">
        <v>8.6</v>
      </c>
      <c r="AO1289" s="368"/>
      <c r="AP1289" s="368"/>
      <c r="AQ1289" s="368"/>
      <c r="AR1289" s="389"/>
      <c r="AS1289" s="275">
        <f t="shared" si="112"/>
        <v>1.9</v>
      </c>
      <c r="AT1289" s="271">
        <v>10.5</v>
      </c>
      <c r="AU1289" s="389"/>
      <c r="AV1289" s="418"/>
      <c r="AW1289" s="436">
        <v>0.2</v>
      </c>
      <c r="AX1289" s="359"/>
      <c r="AY1289" s="359"/>
      <c r="AZ1289" s="359"/>
      <c r="BA1289" s="359">
        <v>0.3</v>
      </c>
      <c r="BB1289" s="359"/>
      <c r="BC1289" s="426"/>
      <c r="BD1289" s="359"/>
      <c r="BE1289" s="359"/>
      <c r="BF1289" s="469">
        <f t="shared" si="107"/>
        <v>0.2</v>
      </c>
      <c r="BG1289" s="469">
        <v>0.5</v>
      </c>
      <c r="BH1289" s="460"/>
      <c r="BI1289" s="461"/>
      <c r="BJ1289" s="505"/>
    </row>
    <row r="1290" spans="1:62" ht="15" customHeight="1" thickBot="1" x14ac:dyDescent="0.25">
      <c r="A1290" s="176">
        <v>1291</v>
      </c>
      <c r="B1290" s="291">
        <v>1</v>
      </c>
      <c r="C1290" s="167" t="s">
        <v>3450</v>
      </c>
      <c r="D1290" s="167" t="s">
        <v>1739</v>
      </c>
      <c r="E1290" s="167" t="s">
        <v>13</v>
      </c>
      <c r="F1290" s="167"/>
      <c r="G1290" s="167"/>
      <c r="H1290" s="167" t="s">
        <v>108</v>
      </c>
      <c r="I1290" s="189">
        <v>2013</v>
      </c>
      <c r="J1290" s="189" t="s">
        <v>3184</v>
      </c>
      <c r="L1290" s="189" t="s">
        <v>19</v>
      </c>
      <c r="M1290" s="556" t="s">
        <v>4306</v>
      </c>
      <c r="N1290" s="214" t="s">
        <v>122</v>
      </c>
      <c r="O1290" s="214"/>
      <c r="P1290" s="214"/>
      <c r="Q1290" s="214" t="s">
        <v>122</v>
      </c>
      <c r="R1290" s="214" t="s">
        <v>122</v>
      </c>
      <c r="S1290" s="214" t="s">
        <v>122</v>
      </c>
      <c r="T1290" s="214"/>
      <c r="U1290" s="214"/>
      <c r="V1290" s="214"/>
      <c r="W1290" s="214"/>
      <c r="X1290" s="214"/>
      <c r="Y1290" s="214"/>
      <c r="Z1290" s="234"/>
      <c r="AA1290" s="234"/>
      <c r="AB1290" s="234"/>
      <c r="AC1290" s="234"/>
      <c r="AD1290" s="319" t="s">
        <v>3447</v>
      </c>
      <c r="AE1290" s="319"/>
      <c r="AF1290" s="162">
        <f t="shared" si="109"/>
        <v>2.1</v>
      </c>
      <c r="AG1290" s="162" t="str">
        <f t="shared" si="106"/>
        <v/>
      </c>
      <c r="AH1290" s="164">
        <f t="shared" si="110"/>
        <v>0.2</v>
      </c>
      <c r="AI1290" s="164" t="str">
        <f t="shared" si="111"/>
        <v/>
      </c>
      <c r="AJ1290" s="368">
        <v>2.1</v>
      </c>
      <c r="AK1290" s="368"/>
      <c r="AL1290" s="368"/>
      <c r="AM1290" s="368"/>
      <c r="AN1290" s="368"/>
      <c r="AO1290" s="368"/>
      <c r="AP1290" s="368"/>
      <c r="AQ1290" s="368"/>
      <c r="AR1290" s="389"/>
      <c r="AS1290" s="275">
        <f t="shared" si="112"/>
        <v>2.1</v>
      </c>
      <c r="AT1290" s="271">
        <v>5.0999999999999996</v>
      </c>
      <c r="AU1290" s="389"/>
      <c r="AV1290" s="418"/>
      <c r="AW1290" s="436">
        <v>0.2</v>
      </c>
      <c r="AX1290" s="359"/>
      <c r="AY1290" s="359"/>
      <c r="AZ1290" s="359"/>
      <c r="BA1290" s="359"/>
      <c r="BB1290" s="359"/>
      <c r="BC1290" s="426"/>
      <c r="BD1290" s="359"/>
      <c r="BE1290" s="359"/>
      <c r="BF1290" s="469">
        <f t="shared" si="107"/>
        <v>0.2</v>
      </c>
      <c r="BG1290" s="469">
        <v>0.4</v>
      </c>
      <c r="BH1290" s="460"/>
      <c r="BI1290" s="461"/>
      <c r="BJ1290" s="505"/>
    </row>
    <row r="1291" spans="1:62" ht="15" customHeight="1" thickBot="1" x14ac:dyDescent="0.25">
      <c r="A1291" s="176">
        <v>1292</v>
      </c>
      <c r="B1291" s="291">
        <v>1</v>
      </c>
      <c r="C1291" s="167" t="s">
        <v>3450</v>
      </c>
      <c r="D1291" s="167" t="s">
        <v>1739</v>
      </c>
      <c r="E1291" s="167" t="s">
        <v>13</v>
      </c>
      <c r="F1291" s="167" t="s">
        <v>3448</v>
      </c>
      <c r="G1291" s="167"/>
      <c r="H1291" s="167" t="s">
        <v>700</v>
      </c>
      <c r="I1291" s="189">
        <v>2013</v>
      </c>
      <c r="J1291" s="189" t="s">
        <v>3184</v>
      </c>
      <c r="L1291" s="189" t="s">
        <v>19</v>
      </c>
      <c r="M1291" s="556" t="s">
        <v>4306</v>
      </c>
      <c r="N1291" s="214" t="s">
        <v>122</v>
      </c>
      <c r="O1291" s="214"/>
      <c r="P1291" s="214"/>
      <c r="Q1291" s="214" t="s">
        <v>122</v>
      </c>
      <c r="R1291" s="214" t="s">
        <v>122</v>
      </c>
      <c r="S1291" s="214" t="s">
        <v>122</v>
      </c>
      <c r="T1291" s="214"/>
      <c r="U1291" s="214"/>
      <c r="V1291" s="214"/>
      <c r="W1291" s="214"/>
      <c r="X1291" s="214"/>
      <c r="Y1291" s="214"/>
      <c r="Z1291" s="234"/>
      <c r="AA1291" s="234"/>
      <c r="AB1291" s="234"/>
      <c r="AC1291" s="234"/>
      <c r="AD1291" s="319" t="s">
        <v>3447</v>
      </c>
      <c r="AE1291" s="319"/>
      <c r="AF1291" s="162">
        <f t="shared" si="109"/>
        <v>1.2</v>
      </c>
      <c r="AG1291" s="162" t="str">
        <f t="shared" si="106"/>
        <v/>
      </c>
      <c r="AH1291" s="164">
        <f t="shared" si="110"/>
        <v>0.1</v>
      </c>
      <c r="AI1291" s="164" t="str">
        <f t="shared" si="111"/>
        <v/>
      </c>
      <c r="AJ1291" s="368">
        <v>1.2</v>
      </c>
      <c r="AK1291" s="368"/>
      <c r="AL1291" s="368"/>
      <c r="AM1291" s="368"/>
      <c r="AN1291" s="369">
        <v>7.5</v>
      </c>
      <c r="AO1291" s="368"/>
      <c r="AP1291" s="368"/>
      <c r="AQ1291" s="368"/>
      <c r="AR1291" s="389"/>
      <c r="AS1291" s="275">
        <f t="shared" si="112"/>
        <v>1.2</v>
      </c>
      <c r="AT1291" s="271">
        <v>11.2</v>
      </c>
      <c r="AU1291" s="389"/>
      <c r="AV1291" s="418"/>
      <c r="AW1291" s="436">
        <v>0.1</v>
      </c>
      <c r="AX1291" s="359"/>
      <c r="AY1291" s="359"/>
      <c r="AZ1291" s="359"/>
      <c r="BA1291" s="359">
        <v>0.7</v>
      </c>
      <c r="BB1291" s="359"/>
      <c r="BC1291" s="426"/>
      <c r="BD1291" s="359"/>
      <c r="BE1291" s="359"/>
      <c r="BF1291" s="469">
        <f t="shared" si="107"/>
        <v>0.1</v>
      </c>
      <c r="BG1291" s="469">
        <v>0.9</v>
      </c>
      <c r="BH1291" s="460"/>
      <c r="BI1291" s="461"/>
      <c r="BJ1291" s="505"/>
    </row>
    <row r="1292" spans="1:62" ht="15" customHeight="1" thickBot="1" x14ac:dyDescent="0.25">
      <c r="A1292" s="176">
        <v>1293</v>
      </c>
      <c r="B1292" s="291">
        <v>1</v>
      </c>
      <c r="C1292" s="167" t="s">
        <v>24</v>
      </c>
      <c r="D1292" s="167" t="s">
        <v>3451</v>
      </c>
      <c r="E1292" s="167" t="s">
        <v>1068</v>
      </c>
      <c r="F1292" s="167"/>
      <c r="G1292" s="167"/>
      <c r="H1292" s="167" t="s">
        <v>108</v>
      </c>
      <c r="I1292" s="189">
        <v>2013</v>
      </c>
      <c r="J1292" s="189" t="s">
        <v>3184</v>
      </c>
      <c r="L1292" s="189" t="s">
        <v>19</v>
      </c>
      <c r="M1292" s="556" t="s">
        <v>4306</v>
      </c>
      <c r="N1292" s="214" t="s">
        <v>122</v>
      </c>
      <c r="O1292" s="214"/>
      <c r="P1292" s="214"/>
      <c r="Q1292" s="214" t="s">
        <v>122</v>
      </c>
      <c r="R1292" s="214" t="s">
        <v>122</v>
      </c>
      <c r="S1292" s="214" t="s">
        <v>122</v>
      </c>
      <c r="T1292" s="214"/>
      <c r="U1292" s="214"/>
      <c r="V1292" s="214"/>
      <c r="W1292" s="214"/>
      <c r="X1292" s="214"/>
      <c r="Y1292" s="214"/>
      <c r="Z1292" s="234"/>
      <c r="AA1292" s="234"/>
      <c r="AB1292" s="234"/>
      <c r="AC1292" s="234"/>
      <c r="AD1292" s="319" t="s">
        <v>3452</v>
      </c>
      <c r="AE1292" s="319"/>
      <c r="AF1292" s="162">
        <f t="shared" si="109"/>
        <v>17.899999999999999</v>
      </c>
      <c r="AG1292" s="162" t="str">
        <f t="shared" si="106"/>
        <v/>
      </c>
      <c r="AH1292" s="164">
        <f t="shared" si="110"/>
        <v>13.5</v>
      </c>
      <c r="AI1292" s="164" t="str">
        <f t="shared" si="111"/>
        <v/>
      </c>
      <c r="AJ1292" s="368">
        <v>17.899999999999999</v>
      </c>
      <c r="AK1292" s="368"/>
      <c r="AL1292" s="368"/>
      <c r="AM1292" s="368"/>
      <c r="AN1292" s="368"/>
      <c r="AO1292" s="368"/>
      <c r="AP1292" s="368"/>
      <c r="AQ1292" s="368"/>
      <c r="AR1292" s="389"/>
      <c r="AS1292" s="275">
        <f t="shared" si="112"/>
        <v>17.899999999999999</v>
      </c>
      <c r="AT1292" s="271">
        <v>30.7</v>
      </c>
      <c r="AU1292" s="389"/>
      <c r="AV1292" s="418"/>
      <c r="AW1292" s="436">
        <v>13.5</v>
      </c>
      <c r="AX1292" s="359"/>
      <c r="AY1292" s="359"/>
      <c r="AZ1292" s="359"/>
      <c r="BA1292" s="359"/>
      <c r="BB1292" s="359"/>
      <c r="BC1292" s="426"/>
      <c r="BD1292" s="359"/>
      <c r="BE1292" s="359"/>
      <c r="BF1292" s="469">
        <f t="shared" si="107"/>
        <v>13.5</v>
      </c>
      <c r="BG1292" s="469">
        <v>14.1</v>
      </c>
      <c r="BH1292" s="460"/>
      <c r="BI1292" s="461"/>
      <c r="BJ1292" s="505"/>
    </row>
    <row r="1293" spans="1:62" ht="15" customHeight="1" thickBot="1" x14ac:dyDescent="0.25">
      <c r="A1293" s="176">
        <v>1294</v>
      </c>
      <c r="B1293" s="291">
        <v>1</v>
      </c>
      <c r="C1293" s="167" t="s">
        <v>24</v>
      </c>
      <c r="D1293" s="167" t="s">
        <v>3451</v>
      </c>
      <c r="E1293" s="167" t="s">
        <v>1068</v>
      </c>
      <c r="F1293" s="166" t="s">
        <v>3448</v>
      </c>
      <c r="G1293" s="167"/>
      <c r="H1293" s="167" t="s">
        <v>700</v>
      </c>
      <c r="I1293" s="189">
        <v>2013</v>
      </c>
      <c r="J1293" s="189" t="s">
        <v>3184</v>
      </c>
      <c r="L1293" s="189" t="s">
        <v>19</v>
      </c>
      <c r="M1293" s="556" t="s">
        <v>4306</v>
      </c>
      <c r="N1293" s="214" t="s">
        <v>122</v>
      </c>
      <c r="O1293" s="214"/>
      <c r="P1293" s="214"/>
      <c r="Q1293" s="214" t="s">
        <v>122</v>
      </c>
      <c r="R1293" s="214" t="s">
        <v>122</v>
      </c>
      <c r="S1293" s="214" t="s">
        <v>122</v>
      </c>
      <c r="T1293" s="214"/>
      <c r="U1293" s="214"/>
      <c r="V1293" s="214"/>
      <c r="W1293" s="214"/>
      <c r="X1293" s="214"/>
      <c r="Y1293" s="214"/>
      <c r="Z1293" s="234"/>
      <c r="AA1293" s="234"/>
      <c r="AB1293" s="234"/>
      <c r="AC1293" s="234"/>
      <c r="AD1293" s="319" t="s">
        <v>3452</v>
      </c>
      <c r="AE1293" s="319"/>
      <c r="AF1293" s="162">
        <f t="shared" si="109"/>
        <v>12.2</v>
      </c>
      <c r="AG1293" s="162" t="str">
        <f t="shared" si="106"/>
        <v/>
      </c>
      <c r="AH1293" s="164">
        <f t="shared" si="110"/>
        <v>9.6999999999999993</v>
      </c>
      <c r="AI1293" s="164" t="str">
        <f t="shared" si="111"/>
        <v/>
      </c>
      <c r="AJ1293" s="368">
        <v>12.2</v>
      </c>
      <c r="AK1293" s="368"/>
      <c r="AL1293" s="368"/>
      <c r="AM1293" s="368"/>
      <c r="AN1293" s="368">
        <v>7.5</v>
      </c>
      <c r="AO1293" s="368"/>
      <c r="AP1293" s="368"/>
      <c r="AQ1293" s="368"/>
      <c r="AR1293" s="389"/>
      <c r="AS1293" s="275">
        <f t="shared" si="112"/>
        <v>12.2</v>
      </c>
      <c r="AT1293" s="271">
        <v>37</v>
      </c>
      <c r="AU1293" s="389"/>
      <c r="AV1293" s="418"/>
      <c r="AW1293" s="436">
        <v>9.6999999999999993</v>
      </c>
      <c r="AX1293" s="359"/>
      <c r="AY1293" s="359"/>
      <c r="AZ1293" s="359"/>
      <c r="BA1293" s="359">
        <v>0.6</v>
      </c>
      <c r="BB1293" s="359"/>
      <c r="BC1293" s="426"/>
      <c r="BD1293" s="359"/>
      <c r="BE1293" s="359"/>
      <c r="BF1293" s="469">
        <f t="shared" si="107"/>
        <v>9.6999999999999993</v>
      </c>
      <c r="BG1293" s="469">
        <v>11.6</v>
      </c>
      <c r="BH1293" s="460"/>
      <c r="BI1293" s="461"/>
      <c r="BJ1293" s="505"/>
    </row>
    <row r="1294" spans="1:62" ht="15" customHeight="1" thickBot="1" x14ac:dyDescent="0.25">
      <c r="A1294" s="176">
        <v>1295</v>
      </c>
      <c r="B1294" s="291">
        <v>1</v>
      </c>
      <c r="C1294" s="167" t="s">
        <v>24</v>
      </c>
      <c r="D1294" s="278" t="s">
        <v>4010</v>
      </c>
      <c r="E1294" s="167" t="s">
        <v>1068</v>
      </c>
      <c r="F1294" s="167"/>
      <c r="G1294" s="167"/>
      <c r="H1294" s="167" t="s">
        <v>108</v>
      </c>
      <c r="I1294" s="189">
        <v>2013</v>
      </c>
      <c r="J1294" s="189" t="s">
        <v>3184</v>
      </c>
      <c r="L1294" s="189" t="s">
        <v>19</v>
      </c>
      <c r="M1294" s="556" t="s">
        <v>4306</v>
      </c>
      <c r="N1294" s="214" t="s">
        <v>122</v>
      </c>
      <c r="O1294" s="214"/>
      <c r="P1294" s="214"/>
      <c r="Q1294" s="214" t="s">
        <v>122</v>
      </c>
      <c r="R1294" s="214" t="s">
        <v>122</v>
      </c>
      <c r="S1294" s="214" t="s">
        <v>122</v>
      </c>
      <c r="T1294" s="214"/>
      <c r="U1294" s="214"/>
      <c r="V1294" s="214"/>
      <c r="W1294" s="214"/>
      <c r="X1294" s="214"/>
      <c r="Y1294" s="214"/>
      <c r="Z1294" s="234"/>
      <c r="AA1294" s="234"/>
      <c r="AB1294" s="234"/>
      <c r="AC1294" s="234"/>
      <c r="AD1294" s="319" t="s">
        <v>3452</v>
      </c>
      <c r="AE1294" s="319"/>
      <c r="AF1294" s="162">
        <f t="shared" si="109"/>
        <v>15.9</v>
      </c>
      <c r="AG1294" s="162" t="str">
        <f t="shared" si="106"/>
        <v/>
      </c>
      <c r="AH1294" s="164">
        <f t="shared" si="110"/>
        <v>2.5</v>
      </c>
      <c r="AI1294" s="164" t="str">
        <f t="shared" si="111"/>
        <v/>
      </c>
      <c r="AJ1294" s="368">
        <v>15.9</v>
      </c>
      <c r="AK1294" s="368"/>
      <c r="AL1294" s="368"/>
      <c r="AM1294" s="368"/>
      <c r="AN1294" s="368"/>
      <c r="AO1294" s="368"/>
      <c r="AP1294" s="368"/>
      <c r="AQ1294" s="368"/>
      <c r="AR1294" s="389"/>
      <c r="AS1294" s="275">
        <f t="shared" si="112"/>
        <v>15.9</v>
      </c>
      <c r="AT1294" s="271">
        <v>21.1</v>
      </c>
      <c r="AU1294" s="389"/>
      <c r="AV1294" s="418"/>
      <c r="AW1294" s="436">
        <v>2.5</v>
      </c>
      <c r="AX1294" s="359"/>
      <c r="AY1294" s="359"/>
      <c r="AZ1294" s="359"/>
      <c r="BA1294" s="359"/>
      <c r="BB1294" s="359"/>
      <c r="BC1294" s="426"/>
      <c r="BD1294" s="359"/>
      <c r="BE1294" s="359"/>
      <c r="BF1294" s="469">
        <f t="shared" si="107"/>
        <v>2.5</v>
      </c>
      <c r="BG1294" s="469">
        <v>2.8</v>
      </c>
      <c r="BH1294" s="460"/>
      <c r="BI1294" s="461"/>
      <c r="BJ1294" s="505"/>
    </row>
    <row r="1295" spans="1:62" ht="15" customHeight="1" thickBot="1" x14ac:dyDescent="0.25">
      <c r="A1295" s="176">
        <v>1296</v>
      </c>
      <c r="B1295" s="291">
        <v>1</v>
      </c>
      <c r="C1295" s="167" t="s">
        <v>24</v>
      </c>
      <c r="D1295" s="278" t="s">
        <v>4010</v>
      </c>
      <c r="E1295" s="167" t="s">
        <v>1068</v>
      </c>
      <c r="F1295" s="166" t="s">
        <v>3448</v>
      </c>
      <c r="G1295" s="167"/>
      <c r="H1295" s="167" t="s">
        <v>375</v>
      </c>
      <c r="I1295" s="189">
        <v>2013</v>
      </c>
      <c r="J1295" s="189" t="s">
        <v>3184</v>
      </c>
      <c r="L1295" s="189" t="s">
        <v>19</v>
      </c>
      <c r="M1295" s="556" t="s">
        <v>4306</v>
      </c>
      <c r="N1295" s="214" t="s">
        <v>122</v>
      </c>
      <c r="O1295" s="214"/>
      <c r="P1295" s="214"/>
      <c r="Q1295" s="214" t="s">
        <v>122</v>
      </c>
      <c r="R1295" s="214" t="s">
        <v>122</v>
      </c>
      <c r="S1295" s="214" t="s">
        <v>122</v>
      </c>
      <c r="T1295" s="214"/>
      <c r="U1295" s="214"/>
      <c r="V1295" s="214"/>
      <c r="W1295" s="214"/>
      <c r="X1295" s="214"/>
      <c r="Y1295" s="214"/>
      <c r="Z1295" s="234"/>
      <c r="AA1295" s="234"/>
      <c r="AB1295" s="234"/>
      <c r="AC1295" s="234"/>
      <c r="AD1295" s="319" t="s">
        <v>3452</v>
      </c>
      <c r="AE1295" s="319"/>
      <c r="AF1295" s="162">
        <f t="shared" si="109"/>
        <v>12.2</v>
      </c>
      <c r="AG1295" s="162" t="str">
        <f t="shared" si="106"/>
        <v/>
      </c>
      <c r="AH1295" s="164">
        <f t="shared" si="110"/>
        <v>2.1</v>
      </c>
      <c r="AI1295" s="164" t="str">
        <f t="shared" si="111"/>
        <v/>
      </c>
      <c r="AJ1295" s="368">
        <v>12.2</v>
      </c>
      <c r="AK1295" s="368"/>
      <c r="AL1295" s="368"/>
      <c r="AM1295" s="368"/>
      <c r="AN1295" s="368">
        <v>4.0999999999999996</v>
      </c>
      <c r="AO1295" s="368"/>
      <c r="AP1295" s="368"/>
      <c r="AQ1295" s="368"/>
      <c r="AR1295" s="389"/>
      <c r="AS1295" s="264">
        <f t="shared" si="112"/>
        <v>12.2</v>
      </c>
      <c r="AT1295" s="271">
        <v>24.7</v>
      </c>
      <c r="AU1295" s="389"/>
      <c r="AV1295" s="419"/>
      <c r="AW1295" s="436">
        <v>2.1</v>
      </c>
      <c r="AX1295" s="359"/>
      <c r="AY1295" s="359"/>
      <c r="AZ1295" s="359"/>
      <c r="BA1295" s="359">
        <v>0.4</v>
      </c>
      <c r="BB1295" s="359"/>
      <c r="BC1295" s="426"/>
      <c r="BD1295" s="359"/>
      <c r="BE1295" s="359"/>
      <c r="BF1295" s="469">
        <f t="shared" si="107"/>
        <v>2.1</v>
      </c>
      <c r="BG1295" s="469">
        <v>2.6</v>
      </c>
      <c r="BH1295" s="460"/>
      <c r="BI1295" s="461"/>
      <c r="BJ1295" s="505"/>
    </row>
    <row r="1296" spans="1:62" ht="15" customHeight="1" thickBot="1" x14ac:dyDescent="0.25">
      <c r="A1296" s="176">
        <v>1297</v>
      </c>
      <c r="B1296" s="291">
        <v>1</v>
      </c>
      <c r="C1296" s="167" t="s">
        <v>24</v>
      </c>
      <c r="D1296" s="167" t="s">
        <v>2745</v>
      </c>
      <c r="E1296" s="167" t="s">
        <v>1068</v>
      </c>
      <c r="F1296" s="167"/>
      <c r="G1296" s="167"/>
      <c r="H1296" s="167" t="s">
        <v>108</v>
      </c>
      <c r="I1296" s="189">
        <v>2013</v>
      </c>
      <c r="J1296" s="189" t="s">
        <v>3184</v>
      </c>
      <c r="L1296" s="189" t="s">
        <v>19</v>
      </c>
      <c r="M1296" s="556" t="s">
        <v>4306</v>
      </c>
      <c r="N1296" s="214" t="s">
        <v>122</v>
      </c>
      <c r="O1296" s="214"/>
      <c r="P1296" s="214"/>
      <c r="Q1296" s="214" t="s">
        <v>122</v>
      </c>
      <c r="R1296" s="214" t="s">
        <v>122</v>
      </c>
      <c r="S1296" s="214" t="s">
        <v>122</v>
      </c>
      <c r="T1296" s="214"/>
      <c r="U1296" s="214"/>
      <c r="V1296" s="214"/>
      <c r="W1296" s="214"/>
      <c r="X1296" s="214"/>
      <c r="Y1296" s="214"/>
      <c r="Z1296" s="234"/>
      <c r="AA1296" s="234"/>
      <c r="AB1296" s="234"/>
      <c r="AC1296" s="234"/>
      <c r="AD1296" s="319" t="s">
        <v>3452</v>
      </c>
      <c r="AE1296" s="319"/>
      <c r="AF1296" s="162">
        <f t="shared" si="109"/>
        <v>41.3</v>
      </c>
      <c r="AG1296" s="162" t="str">
        <f t="shared" si="106"/>
        <v/>
      </c>
      <c r="AH1296" s="164">
        <f t="shared" si="110"/>
        <v>23.8</v>
      </c>
      <c r="AI1296" s="164" t="str">
        <f t="shared" si="111"/>
        <v/>
      </c>
      <c r="AJ1296" s="368">
        <v>41.3</v>
      </c>
      <c r="AK1296" s="368"/>
      <c r="AL1296" s="368"/>
      <c r="AM1296" s="368"/>
      <c r="AN1296" s="368"/>
      <c r="AO1296" s="368"/>
      <c r="AP1296" s="368"/>
      <c r="AQ1296" s="368"/>
      <c r="AR1296" s="389"/>
      <c r="AS1296" s="264">
        <f t="shared" si="112"/>
        <v>41.3</v>
      </c>
      <c r="AT1296" s="272">
        <v>44.4</v>
      </c>
      <c r="AU1296" s="389"/>
      <c r="AV1296" s="419"/>
      <c r="AW1296" s="436">
        <v>23.8</v>
      </c>
      <c r="AX1296" s="359"/>
      <c r="AY1296" s="359"/>
      <c r="AZ1296" s="359"/>
      <c r="BA1296" s="359"/>
      <c r="BB1296" s="359"/>
      <c r="BC1296" s="426"/>
      <c r="BD1296" s="359"/>
      <c r="BE1296" s="359"/>
      <c r="BF1296" s="469">
        <f t="shared" si="107"/>
        <v>23.8</v>
      </c>
      <c r="BG1296" s="469">
        <v>24</v>
      </c>
      <c r="BH1296" s="460"/>
      <c r="BI1296" s="461"/>
      <c r="BJ1296" s="505"/>
    </row>
    <row r="1297" spans="1:62" ht="15" customHeight="1" thickBot="1" x14ac:dyDescent="0.25">
      <c r="A1297" s="176">
        <v>1298</v>
      </c>
      <c r="B1297" s="291">
        <v>1</v>
      </c>
      <c r="C1297" s="167" t="s">
        <v>24</v>
      </c>
      <c r="D1297" s="167" t="s">
        <v>2745</v>
      </c>
      <c r="E1297" s="167" t="s">
        <v>1068</v>
      </c>
      <c r="F1297" s="166" t="s">
        <v>3448</v>
      </c>
      <c r="G1297" s="167"/>
      <c r="H1297" s="167" t="s">
        <v>375</v>
      </c>
      <c r="I1297" s="189">
        <v>2013</v>
      </c>
      <c r="J1297" s="189" t="s">
        <v>3184</v>
      </c>
      <c r="L1297" s="189" t="s">
        <v>19</v>
      </c>
      <c r="M1297" s="556" t="s">
        <v>4306</v>
      </c>
      <c r="N1297" s="214" t="s">
        <v>122</v>
      </c>
      <c r="O1297" s="214"/>
      <c r="P1297" s="214"/>
      <c r="Q1297" s="214" t="s">
        <v>122</v>
      </c>
      <c r="R1297" s="214" t="s">
        <v>122</v>
      </c>
      <c r="S1297" s="214" t="s">
        <v>122</v>
      </c>
      <c r="T1297" s="214"/>
      <c r="U1297" s="214"/>
      <c r="V1297" s="214"/>
      <c r="W1297" s="214"/>
      <c r="X1297" s="214"/>
      <c r="Y1297" s="214"/>
      <c r="Z1297" s="234"/>
      <c r="AA1297" s="234"/>
      <c r="AB1297" s="234"/>
      <c r="AC1297" s="234"/>
      <c r="AD1297" s="319" t="s">
        <v>3452</v>
      </c>
      <c r="AE1297" s="319"/>
      <c r="AF1297" s="162">
        <f t="shared" si="109"/>
        <v>7.8</v>
      </c>
      <c r="AG1297" s="162" t="str">
        <f t="shared" si="106"/>
        <v/>
      </c>
      <c r="AH1297" s="164">
        <f t="shared" si="110"/>
        <v>31.7</v>
      </c>
      <c r="AI1297" s="164" t="str">
        <f t="shared" si="111"/>
        <v/>
      </c>
      <c r="AJ1297" s="368">
        <v>7.8</v>
      </c>
      <c r="AK1297" s="368"/>
      <c r="AL1297" s="368"/>
      <c r="AM1297" s="368"/>
      <c r="AN1297" s="368">
        <v>4</v>
      </c>
      <c r="AO1297" s="368"/>
      <c r="AP1297" s="368"/>
      <c r="AQ1297" s="368"/>
      <c r="AR1297" s="389"/>
      <c r="AS1297" s="264">
        <f t="shared" si="112"/>
        <v>7.8</v>
      </c>
      <c r="AT1297" s="272">
        <v>17.100000000000001</v>
      </c>
      <c r="AU1297" s="389"/>
      <c r="AV1297" s="419"/>
      <c r="AW1297" s="436">
        <v>31.7</v>
      </c>
      <c r="AX1297" s="359"/>
      <c r="AY1297" s="359"/>
      <c r="AZ1297" s="359"/>
      <c r="BA1297" s="359">
        <v>0.3</v>
      </c>
      <c r="BB1297" s="359"/>
      <c r="BC1297" s="426"/>
      <c r="BD1297" s="359"/>
      <c r="BE1297" s="359"/>
      <c r="BF1297" s="469">
        <f t="shared" si="107"/>
        <v>31.7</v>
      </c>
      <c r="BG1297" s="469">
        <v>32.200000000000003</v>
      </c>
      <c r="BH1297" s="460"/>
      <c r="BI1297" s="461"/>
      <c r="BJ1297" s="505"/>
    </row>
    <row r="1298" spans="1:62" ht="15" customHeight="1" thickBot="1" x14ac:dyDescent="0.25">
      <c r="A1298" s="176">
        <v>1299</v>
      </c>
      <c r="B1298" s="291">
        <v>1</v>
      </c>
      <c r="C1298" s="167" t="s">
        <v>162</v>
      </c>
      <c r="D1298" s="167" t="s">
        <v>1755</v>
      </c>
      <c r="E1298" s="167" t="s">
        <v>13</v>
      </c>
      <c r="F1298" s="167"/>
      <c r="G1298" s="167"/>
      <c r="H1298" s="167" t="s">
        <v>566</v>
      </c>
      <c r="I1298" s="184">
        <v>2014</v>
      </c>
      <c r="J1298" s="184" t="s">
        <v>3453</v>
      </c>
      <c r="K1298" s="184"/>
      <c r="L1298" s="184" t="s">
        <v>19</v>
      </c>
      <c r="M1298" s="556" t="s">
        <v>4262</v>
      </c>
      <c r="N1298" s="214" t="s">
        <v>122</v>
      </c>
      <c r="O1298" s="214"/>
      <c r="P1298" s="214"/>
      <c r="Q1298" s="214"/>
      <c r="R1298" s="214"/>
      <c r="S1298" s="214"/>
      <c r="T1298" s="214"/>
      <c r="U1298" s="214"/>
      <c r="V1298" s="214"/>
      <c r="W1298" s="214"/>
      <c r="X1298" s="214"/>
      <c r="Y1298" s="214"/>
      <c r="Z1298" s="234"/>
      <c r="AA1298" s="234"/>
      <c r="AB1298" s="234"/>
      <c r="AC1298" s="234"/>
      <c r="AD1298" s="319" t="s">
        <v>3454</v>
      </c>
      <c r="AE1298" s="319"/>
      <c r="AF1298" s="162">
        <f t="shared" si="109"/>
        <v>6.77</v>
      </c>
      <c r="AG1298" s="162" t="str">
        <f t="shared" si="106"/>
        <v/>
      </c>
      <c r="AH1298" s="164">
        <f t="shared" si="110"/>
        <v>0.1968</v>
      </c>
      <c r="AI1298" s="164" t="str">
        <f t="shared" si="111"/>
        <v/>
      </c>
      <c r="AJ1298" s="368">
        <v>6.77</v>
      </c>
      <c r="AK1298" s="368"/>
      <c r="AL1298" s="368"/>
      <c r="AM1298" s="368"/>
      <c r="AN1298" s="368"/>
      <c r="AO1298" s="368"/>
      <c r="AP1298" s="368"/>
      <c r="AQ1298" s="368"/>
      <c r="AR1298" s="389"/>
      <c r="AS1298" s="264">
        <f t="shared" si="112"/>
        <v>6.77</v>
      </c>
      <c r="AT1298" s="272"/>
      <c r="AU1298" s="389"/>
      <c r="AV1298" s="419"/>
      <c r="AW1298" s="436">
        <v>0.1968</v>
      </c>
      <c r="AX1298" s="359"/>
      <c r="AY1298" s="359"/>
      <c r="AZ1298" s="359"/>
      <c r="BA1298" s="359"/>
      <c r="BB1298" s="359"/>
      <c r="BC1298" s="426"/>
      <c r="BD1298" s="359"/>
      <c r="BE1298" s="359"/>
      <c r="BF1298" s="469">
        <f t="shared" si="107"/>
        <v>0.1968</v>
      </c>
      <c r="BG1298" s="469"/>
      <c r="BH1298" s="460"/>
      <c r="BI1298" s="461"/>
      <c r="BJ1298" s="505"/>
    </row>
    <row r="1299" spans="1:62" ht="15" customHeight="1" thickBot="1" x14ac:dyDescent="0.25">
      <c r="A1299" s="176">
        <v>1300</v>
      </c>
      <c r="B1299" s="291">
        <v>1</v>
      </c>
      <c r="C1299" s="167" t="s">
        <v>162</v>
      </c>
      <c r="D1299" s="167" t="s">
        <v>868</v>
      </c>
      <c r="E1299" s="167" t="s">
        <v>13</v>
      </c>
      <c r="F1299" s="167" t="s">
        <v>3455</v>
      </c>
      <c r="G1299" s="167" t="s">
        <v>122</v>
      </c>
      <c r="H1299" s="167" t="s">
        <v>909</v>
      </c>
      <c r="I1299" s="184">
        <v>2009</v>
      </c>
      <c r="J1299" s="181" t="s">
        <v>3456</v>
      </c>
      <c r="K1299" s="184"/>
      <c r="L1299" s="184" t="s">
        <v>19</v>
      </c>
      <c r="M1299" s="556" t="s">
        <v>4326</v>
      </c>
      <c r="N1299" s="214" t="s">
        <v>122</v>
      </c>
      <c r="O1299" s="214"/>
      <c r="P1299" s="214"/>
      <c r="Q1299" s="214"/>
      <c r="R1299" s="214"/>
      <c r="S1299" s="214"/>
      <c r="T1299" s="214"/>
      <c r="U1299" s="214"/>
      <c r="V1299" s="214"/>
      <c r="W1299" s="214"/>
      <c r="X1299" s="214"/>
      <c r="Y1299" s="214"/>
      <c r="Z1299" s="234"/>
      <c r="AA1299" s="234"/>
      <c r="AB1299" s="234"/>
      <c r="AC1299" s="234"/>
      <c r="AD1299" s="319" t="s">
        <v>3457</v>
      </c>
      <c r="AE1299" s="319"/>
      <c r="AF1299" s="162" t="str">
        <f t="shared" si="109"/>
        <v/>
      </c>
      <c r="AG1299" s="162" t="str">
        <f t="shared" ref="AG1299:AG1362" si="113">IF(AND(SUM(AJ1299:AL1299)&lt;&gt;0,SUM(AJ1299:AL1299)&lt;&gt;AJ1299),SUM(AJ1299:AL1299),"")</f>
        <v/>
      </c>
      <c r="AH1299" s="164">
        <f t="shared" si="110"/>
        <v>9.4E-2</v>
      </c>
      <c r="AI1299" s="164" t="str">
        <f t="shared" si="111"/>
        <v/>
      </c>
      <c r="AJ1299" s="368"/>
      <c r="AK1299" s="368"/>
      <c r="AL1299" s="368"/>
      <c r="AM1299" s="368"/>
      <c r="AN1299" s="368"/>
      <c r="AO1299" s="368"/>
      <c r="AP1299" s="368"/>
      <c r="AQ1299" s="368"/>
      <c r="AR1299" s="389"/>
      <c r="AS1299" s="264"/>
      <c r="AT1299" s="272"/>
      <c r="AU1299" s="389"/>
      <c r="AV1299" s="419"/>
      <c r="AW1299" s="436">
        <v>9.4E-2</v>
      </c>
      <c r="AX1299" s="359"/>
      <c r="AY1299" s="359"/>
      <c r="AZ1299" s="359"/>
      <c r="BA1299" s="359"/>
      <c r="BB1299" s="359"/>
      <c r="BC1299" s="426"/>
      <c r="BD1299" s="359"/>
      <c r="BE1299" s="359"/>
      <c r="BF1299" s="469">
        <f t="shared" si="107"/>
        <v>9.4E-2</v>
      </c>
      <c r="BG1299" s="469"/>
      <c r="BH1299" s="460"/>
      <c r="BI1299" s="461"/>
      <c r="BJ1299" s="505"/>
    </row>
    <row r="1300" spans="1:62" ht="15" customHeight="1" thickBot="1" x14ac:dyDescent="0.25">
      <c r="A1300" s="176">
        <v>1301</v>
      </c>
      <c r="B1300" s="291">
        <v>1</v>
      </c>
      <c r="C1300" s="167" t="s">
        <v>162</v>
      </c>
      <c r="D1300" s="167" t="s">
        <v>868</v>
      </c>
      <c r="E1300" s="167" t="s">
        <v>13</v>
      </c>
      <c r="F1300" s="167" t="s">
        <v>3458</v>
      </c>
      <c r="G1300" s="167" t="s">
        <v>122</v>
      </c>
      <c r="H1300" s="167" t="s">
        <v>909</v>
      </c>
      <c r="I1300" s="184">
        <v>2009</v>
      </c>
      <c r="J1300" s="181" t="s">
        <v>3456</v>
      </c>
      <c r="K1300" s="184"/>
      <c r="L1300" s="184" t="s">
        <v>19</v>
      </c>
      <c r="M1300" s="556" t="s">
        <v>4326</v>
      </c>
      <c r="N1300" s="214" t="s">
        <v>122</v>
      </c>
      <c r="O1300" s="214"/>
      <c r="P1300" s="214"/>
      <c r="Q1300" s="214"/>
      <c r="R1300" s="214"/>
      <c r="S1300" s="214"/>
      <c r="T1300" s="214"/>
      <c r="U1300" s="214"/>
      <c r="V1300" s="214"/>
      <c r="W1300" s="214"/>
      <c r="X1300" s="214"/>
      <c r="Y1300" s="214"/>
      <c r="Z1300" s="234"/>
      <c r="AA1300" s="234"/>
      <c r="AB1300" s="234"/>
      <c r="AC1300" s="234"/>
      <c r="AD1300" s="319" t="s">
        <v>3457</v>
      </c>
      <c r="AE1300" s="319"/>
      <c r="AF1300" s="162" t="str">
        <f t="shared" si="109"/>
        <v/>
      </c>
      <c r="AG1300" s="162" t="str">
        <f t="shared" si="113"/>
        <v/>
      </c>
      <c r="AH1300" s="164">
        <f t="shared" si="110"/>
        <v>4.3999999999999997E-2</v>
      </c>
      <c r="AI1300" s="164" t="str">
        <f t="shared" si="111"/>
        <v/>
      </c>
      <c r="AJ1300" s="368"/>
      <c r="AK1300" s="368"/>
      <c r="AL1300" s="368"/>
      <c r="AM1300" s="368"/>
      <c r="AN1300" s="368"/>
      <c r="AO1300" s="368"/>
      <c r="AP1300" s="368"/>
      <c r="AQ1300" s="368"/>
      <c r="AR1300" s="389"/>
      <c r="AS1300" s="264"/>
      <c r="AT1300" s="272"/>
      <c r="AU1300" s="389"/>
      <c r="AV1300" s="419"/>
      <c r="AW1300" s="436">
        <v>4.3999999999999997E-2</v>
      </c>
      <c r="AX1300" s="359"/>
      <c r="AY1300" s="359"/>
      <c r="AZ1300" s="359"/>
      <c r="BA1300" s="359"/>
      <c r="BB1300" s="359"/>
      <c r="BC1300" s="426"/>
      <c r="BD1300" s="359"/>
      <c r="BE1300" s="359"/>
      <c r="BF1300" s="469">
        <f t="shared" si="107"/>
        <v>4.3999999999999997E-2</v>
      </c>
      <c r="BG1300" s="469"/>
      <c r="BH1300" s="460"/>
      <c r="BI1300" s="461"/>
      <c r="BJ1300" s="505"/>
    </row>
    <row r="1301" spans="1:62" ht="15" customHeight="1" thickBot="1" x14ac:dyDescent="0.25">
      <c r="A1301" s="176">
        <v>1302</v>
      </c>
      <c r="B1301" s="291">
        <v>1</v>
      </c>
      <c r="C1301" s="167" t="s">
        <v>162</v>
      </c>
      <c r="D1301" s="167" t="s">
        <v>1805</v>
      </c>
      <c r="E1301" s="167" t="s">
        <v>13</v>
      </c>
      <c r="F1301" s="167" t="s">
        <v>3459</v>
      </c>
      <c r="G1301" s="167"/>
      <c r="H1301" s="167" t="s">
        <v>73</v>
      </c>
      <c r="I1301" s="184">
        <v>2012</v>
      </c>
      <c r="J1301" s="184" t="s">
        <v>3460</v>
      </c>
      <c r="K1301" s="184"/>
      <c r="L1301" s="184" t="s">
        <v>19</v>
      </c>
      <c r="M1301" s="556" t="s">
        <v>4327</v>
      </c>
      <c r="N1301" s="214" t="s">
        <v>122</v>
      </c>
      <c r="O1301" s="214"/>
      <c r="P1301" s="214"/>
      <c r="Q1301" s="214"/>
      <c r="R1301" s="214"/>
      <c r="S1301" s="214"/>
      <c r="T1301" s="214"/>
      <c r="U1301" s="214"/>
      <c r="V1301" s="214"/>
      <c r="W1301" s="214"/>
      <c r="X1301" s="214"/>
      <c r="Y1301" s="214"/>
      <c r="Z1301" s="234"/>
      <c r="AA1301" s="234"/>
      <c r="AB1301" s="234"/>
      <c r="AC1301" s="234"/>
      <c r="AD1301" s="319" t="s">
        <v>3461</v>
      </c>
      <c r="AE1301" s="319"/>
      <c r="AF1301" s="162" t="str">
        <f t="shared" si="109"/>
        <v/>
      </c>
      <c r="AG1301" s="162" t="str">
        <f t="shared" si="113"/>
        <v/>
      </c>
      <c r="AH1301" s="164">
        <f t="shared" si="110"/>
        <v>0.13600000000000001</v>
      </c>
      <c r="AI1301" s="164" t="str">
        <f t="shared" si="111"/>
        <v/>
      </c>
      <c r="AJ1301" s="368"/>
      <c r="AK1301" s="368"/>
      <c r="AL1301" s="368"/>
      <c r="AM1301" s="368"/>
      <c r="AN1301" s="368"/>
      <c r="AO1301" s="368"/>
      <c r="AP1301" s="368"/>
      <c r="AQ1301" s="368"/>
      <c r="AR1301" s="389"/>
      <c r="AS1301" s="264"/>
      <c r="AT1301" s="272"/>
      <c r="AU1301" s="389"/>
      <c r="AV1301" s="419"/>
      <c r="AW1301" s="436">
        <v>0.13600000000000001</v>
      </c>
      <c r="AX1301" s="359"/>
      <c r="AY1301" s="359"/>
      <c r="AZ1301" s="359"/>
      <c r="BA1301" s="359"/>
      <c r="BB1301" s="359"/>
      <c r="BC1301" s="426"/>
      <c r="BD1301" s="359"/>
      <c r="BE1301" s="359"/>
      <c r="BF1301" s="469">
        <f t="shared" si="107"/>
        <v>0.13600000000000001</v>
      </c>
      <c r="BG1301" s="469"/>
      <c r="BH1301" s="460"/>
      <c r="BI1301" s="461"/>
      <c r="BJ1301" s="505"/>
    </row>
    <row r="1302" spans="1:62" ht="15" customHeight="1" thickBot="1" x14ac:dyDescent="0.25">
      <c r="A1302" s="176">
        <v>1303</v>
      </c>
      <c r="B1302" s="291">
        <v>1</v>
      </c>
      <c r="C1302" s="167" t="s">
        <v>162</v>
      </c>
      <c r="D1302" s="167" t="s">
        <v>1805</v>
      </c>
      <c r="E1302" s="167" t="s">
        <v>13</v>
      </c>
      <c r="F1302" s="167" t="s">
        <v>3462</v>
      </c>
      <c r="G1302" s="167"/>
      <c r="H1302" s="167" t="s">
        <v>73</v>
      </c>
      <c r="I1302" s="184">
        <v>2012</v>
      </c>
      <c r="J1302" s="184" t="s">
        <v>3460</v>
      </c>
      <c r="K1302" s="184"/>
      <c r="L1302" s="184" t="s">
        <v>19</v>
      </c>
      <c r="M1302" s="556" t="s">
        <v>4327</v>
      </c>
      <c r="N1302" s="214" t="s">
        <v>122</v>
      </c>
      <c r="O1302" s="214"/>
      <c r="P1302" s="214"/>
      <c r="Q1302" s="214"/>
      <c r="R1302" s="214"/>
      <c r="S1302" s="214"/>
      <c r="T1302" s="214"/>
      <c r="U1302" s="214"/>
      <c r="V1302" s="214"/>
      <c r="W1302" s="214"/>
      <c r="X1302" s="214"/>
      <c r="Y1302" s="214"/>
      <c r="Z1302" s="234"/>
      <c r="AA1302" s="234"/>
      <c r="AB1302" s="234"/>
      <c r="AC1302" s="234"/>
      <c r="AD1302" s="319" t="s">
        <v>3461</v>
      </c>
      <c r="AE1302" s="319"/>
      <c r="AF1302" s="162" t="str">
        <f t="shared" si="109"/>
        <v/>
      </c>
      <c r="AG1302" s="162" t="str">
        <f t="shared" si="113"/>
        <v/>
      </c>
      <c r="AH1302" s="164">
        <f t="shared" si="110"/>
        <v>0.35599999999999998</v>
      </c>
      <c r="AI1302" s="164" t="str">
        <f t="shared" si="111"/>
        <v/>
      </c>
      <c r="AJ1302" s="372"/>
      <c r="AK1302" s="372"/>
      <c r="AL1302" s="372"/>
      <c r="AM1302" s="372"/>
      <c r="AN1302" s="372"/>
      <c r="AO1302" s="372"/>
      <c r="AP1302" s="372"/>
      <c r="AQ1302" s="372"/>
      <c r="AR1302" s="523"/>
      <c r="AS1302" s="263"/>
      <c r="AT1302" s="271"/>
      <c r="AU1302" s="523"/>
      <c r="AV1302" s="418"/>
      <c r="AW1302" s="436">
        <v>0.35599999999999998</v>
      </c>
      <c r="AX1302" s="359"/>
      <c r="AY1302" s="359"/>
      <c r="AZ1302" s="359"/>
      <c r="BA1302" s="359"/>
      <c r="BB1302" s="359"/>
      <c r="BC1302" s="426"/>
      <c r="BD1302" s="359"/>
      <c r="BE1302" s="359"/>
      <c r="BF1302" s="469">
        <f t="shared" si="107"/>
        <v>0.35599999999999998</v>
      </c>
      <c r="BG1302" s="469"/>
      <c r="BH1302" s="460"/>
      <c r="BI1302" s="461"/>
      <c r="BJ1302" s="505"/>
    </row>
    <row r="1303" spans="1:62" ht="15" customHeight="1" thickBot="1" x14ac:dyDescent="0.25">
      <c r="A1303" s="176">
        <v>1304</v>
      </c>
      <c r="B1303" s="291">
        <v>1</v>
      </c>
      <c r="C1303" s="167" t="s">
        <v>162</v>
      </c>
      <c r="D1303" s="167" t="s">
        <v>1805</v>
      </c>
      <c r="E1303" s="167" t="s">
        <v>13</v>
      </c>
      <c r="F1303" s="167" t="s">
        <v>3463</v>
      </c>
      <c r="G1303" s="167"/>
      <c r="H1303" s="167" t="s">
        <v>73</v>
      </c>
      <c r="I1303" s="184">
        <v>2012</v>
      </c>
      <c r="J1303" s="184" t="s">
        <v>3460</v>
      </c>
      <c r="K1303" s="184"/>
      <c r="L1303" s="184" t="s">
        <v>19</v>
      </c>
      <c r="M1303" s="556" t="s">
        <v>4327</v>
      </c>
      <c r="N1303" s="214" t="s">
        <v>122</v>
      </c>
      <c r="O1303" s="214"/>
      <c r="P1303" s="214"/>
      <c r="Q1303" s="214"/>
      <c r="R1303" s="214"/>
      <c r="S1303" s="214"/>
      <c r="T1303" s="214"/>
      <c r="U1303" s="214"/>
      <c r="V1303" s="214"/>
      <c r="W1303" s="214"/>
      <c r="X1303" s="214"/>
      <c r="Y1303" s="214"/>
      <c r="Z1303" s="234"/>
      <c r="AA1303" s="234"/>
      <c r="AB1303" s="234"/>
      <c r="AC1303" s="234"/>
      <c r="AD1303" s="319" t="s">
        <v>3461</v>
      </c>
      <c r="AE1303" s="319"/>
      <c r="AF1303" s="162" t="str">
        <f t="shared" si="109"/>
        <v/>
      </c>
      <c r="AG1303" s="162" t="str">
        <f t="shared" si="113"/>
        <v/>
      </c>
      <c r="AH1303" s="164">
        <f t="shared" si="110"/>
        <v>0.10199999999999999</v>
      </c>
      <c r="AI1303" s="164" t="str">
        <f t="shared" si="111"/>
        <v/>
      </c>
      <c r="AJ1303" s="368"/>
      <c r="AK1303" s="368"/>
      <c r="AL1303" s="368"/>
      <c r="AM1303" s="368"/>
      <c r="AN1303" s="368"/>
      <c r="AO1303" s="368"/>
      <c r="AP1303" s="368"/>
      <c r="AQ1303" s="368"/>
      <c r="AR1303" s="389"/>
      <c r="AS1303" s="263"/>
      <c r="AT1303" s="271"/>
      <c r="AU1303" s="389"/>
      <c r="AV1303" s="418"/>
      <c r="AW1303" s="436">
        <v>0.10199999999999999</v>
      </c>
      <c r="AX1303" s="359"/>
      <c r="AY1303" s="359"/>
      <c r="AZ1303" s="359"/>
      <c r="BA1303" s="359"/>
      <c r="BB1303" s="359"/>
      <c r="BC1303" s="426"/>
      <c r="BD1303" s="359"/>
      <c r="BE1303" s="359"/>
      <c r="BF1303" s="469">
        <f t="shared" si="107"/>
        <v>0.10199999999999999</v>
      </c>
      <c r="BG1303" s="469"/>
      <c r="BH1303" s="460"/>
      <c r="BI1303" s="461"/>
      <c r="BJ1303" s="505"/>
    </row>
    <row r="1304" spans="1:62" ht="15" customHeight="1" thickBot="1" x14ac:dyDescent="0.25">
      <c r="A1304" s="176">
        <v>1305</v>
      </c>
      <c r="B1304" s="291">
        <v>1</v>
      </c>
      <c r="C1304" s="167" t="s">
        <v>162</v>
      </c>
      <c r="D1304" s="167" t="s">
        <v>1805</v>
      </c>
      <c r="E1304" s="167" t="s">
        <v>13</v>
      </c>
      <c r="F1304" s="167" t="s">
        <v>3464</v>
      </c>
      <c r="G1304" s="167"/>
      <c r="H1304" s="167" t="s">
        <v>73</v>
      </c>
      <c r="I1304" s="184">
        <v>2012</v>
      </c>
      <c r="J1304" s="184" t="s">
        <v>3460</v>
      </c>
      <c r="K1304" s="184"/>
      <c r="L1304" s="184" t="s">
        <v>19</v>
      </c>
      <c r="M1304" s="556" t="s">
        <v>4327</v>
      </c>
      <c r="N1304" s="214" t="s">
        <v>122</v>
      </c>
      <c r="O1304" s="214"/>
      <c r="P1304" s="214"/>
      <c r="Q1304" s="214"/>
      <c r="R1304" s="214"/>
      <c r="S1304" s="214"/>
      <c r="T1304" s="214"/>
      <c r="U1304" s="214"/>
      <c r="V1304" s="214"/>
      <c r="W1304" s="214"/>
      <c r="X1304" s="214"/>
      <c r="Y1304" s="214"/>
      <c r="Z1304" s="234"/>
      <c r="AA1304" s="234"/>
      <c r="AB1304" s="234"/>
      <c r="AC1304" s="234"/>
      <c r="AD1304" s="319" t="s">
        <v>3461</v>
      </c>
      <c r="AE1304" s="319"/>
      <c r="AF1304" s="162" t="str">
        <f t="shared" si="109"/>
        <v/>
      </c>
      <c r="AG1304" s="162" t="str">
        <f t="shared" si="113"/>
        <v/>
      </c>
      <c r="AH1304" s="164">
        <f t="shared" si="110"/>
        <v>0.16900000000000001</v>
      </c>
      <c r="AI1304" s="164" t="str">
        <f t="shared" si="111"/>
        <v/>
      </c>
      <c r="AJ1304" s="368"/>
      <c r="AK1304" s="368"/>
      <c r="AL1304" s="368"/>
      <c r="AM1304" s="368"/>
      <c r="AN1304" s="368"/>
      <c r="AO1304" s="368"/>
      <c r="AP1304" s="368"/>
      <c r="AQ1304" s="368"/>
      <c r="AR1304" s="389"/>
      <c r="AS1304" s="263"/>
      <c r="AT1304" s="271"/>
      <c r="AU1304" s="389"/>
      <c r="AV1304" s="418"/>
      <c r="AW1304" s="436">
        <v>0.16900000000000001</v>
      </c>
      <c r="AX1304" s="359"/>
      <c r="AY1304" s="359"/>
      <c r="AZ1304" s="359"/>
      <c r="BA1304" s="359"/>
      <c r="BB1304" s="359"/>
      <c r="BC1304" s="426"/>
      <c r="BD1304" s="359"/>
      <c r="BE1304" s="359"/>
      <c r="BF1304" s="469">
        <f t="shared" si="107"/>
        <v>0.16900000000000001</v>
      </c>
      <c r="BG1304" s="469"/>
      <c r="BH1304" s="460"/>
      <c r="BI1304" s="461"/>
      <c r="BJ1304" s="505"/>
    </row>
    <row r="1305" spans="1:62" ht="15" customHeight="1" thickBot="1" x14ac:dyDescent="0.25">
      <c r="A1305" s="176">
        <v>1306</v>
      </c>
      <c r="B1305" s="291">
        <v>1</v>
      </c>
      <c r="C1305" s="167" t="s">
        <v>162</v>
      </c>
      <c r="D1305" s="167" t="s">
        <v>1805</v>
      </c>
      <c r="E1305" s="167" t="s">
        <v>13</v>
      </c>
      <c r="F1305" s="167" t="s">
        <v>3465</v>
      </c>
      <c r="G1305" s="167"/>
      <c r="H1305" s="167" t="s">
        <v>73</v>
      </c>
      <c r="I1305" s="184">
        <v>2012</v>
      </c>
      <c r="J1305" s="184" t="s">
        <v>3460</v>
      </c>
      <c r="K1305" s="184"/>
      <c r="L1305" s="184" t="s">
        <v>19</v>
      </c>
      <c r="M1305" s="556" t="s">
        <v>4327</v>
      </c>
      <c r="N1305" s="214" t="s">
        <v>122</v>
      </c>
      <c r="O1305" s="214"/>
      <c r="P1305" s="214"/>
      <c r="Q1305" s="214"/>
      <c r="R1305" s="214"/>
      <c r="S1305" s="214"/>
      <c r="T1305" s="214"/>
      <c r="U1305" s="214"/>
      <c r="V1305" s="214"/>
      <c r="W1305" s="214"/>
      <c r="X1305" s="214"/>
      <c r="Y1305" s="214"/>
      <c r="Z1305" s="234"/>
      <c r="AA1305" s="234"/>
      <c r="AB1305" s="234"/>
      <c r="AC1305" s="234"/>
      <c r="AD1305" s="319" t="s">
        <v>3461</v>
      </c>
      <c r="AE1305" s="319"/>
      <c r="AF1305" s="162" t="str">
        <f t="shared" si="109"/>
        <v/>
      </c>
      <c r="AG1305" s="162" t="str">
        <f t="shared" si="113"/>
        <v/>
      </c>
      <c r="AH1305" s="164">
        <f t="shared" si="110"/>
        <v>0.10100000000000001</v>
      </c>
      <c r="AI1305" s="164" t="str">
        <f t="shared" si="111"/>
        <v/>
      </c>
      <c r="AJ1305" s="368"/>
      <c r="AK1305" s="368"/>
      <c r="AL1305" s="368"/>
      <c r="AM1305" s="368"/>
      <c r="AN1305" s="368"/>
      <c r="AO1305" s="368"/>
      <c r="AP1305" s="368"/>
      <c r="AQ1305" s="368"/>
      <c r="AR1305" s="389"/>
      <c r="AS1305" s="263"/>
      <c r="AT1305" s="271"/>
      <c r="AU1305" s="389"/>
      <c r="AV1305" s="418"/>
      <c r="AW1305" s="436">
        <v>0.10100000000000001</v>
      </c>
      <c r="AX1305" s="358"/>
      <c r="AY1305" s="359"/>
      <c r="AZ1305" s="359"/>
      <c r="BA1305" s="359"/>
      <c r="BB1305" s="359"/>
      <c r="BC1305" s="426"/>
      <c r="BD1305" s="359"/>
      <c r="BE1305" s="359"/>
      <c r="BF1305" s="469">
        <f t="shared" si="107"/>
        <v>0.10100000000000001</v>
      </c>
      <c r="BG1305" s="469"/>
      <c r="BH1305" s="460"/>
      <c r="BI1305" s="461"/>
      <c r="BJ1305" s="505"/>
    </row>
    <row r="1306" spans="1:62" ht="15" customHeight="1" thickBot="1" x14ac:dyDescent="0.25">
      <c r="A1306" s="176">
        <v>1307</v>
      </c>
      <c r="B1306" s="291">
        <v>1</v>
      </c>
      <c r="C1306" s="167" t="s">
        <v>162</v>
      </c>
      <c r="D1306" s="167" t="s">
        <v>1805</v>
      </c>
      <c r="E1306" s="167" t="s">
        <v>13</v>
      </c>
      <c r="F1306" s="167" t="s">
        <v>3466</v>
      </c>
      <c r="G1306" s="167"/>
      <c r="H1306" s="167" t="s">
        <v>73</v>
      </c>
      <c r="I1306" s="184">
        <v>2012</v>
      </c>
      <c r="J1306" s="184" t="s">
        <v>3460</v>
      </c>
      <c r="K1306" s="184"/>
      <c r="L1306" s="184" t="s">
        <v>19</v>
      </c>
      <c r="M1306" s="556" t="s">
        <v>4327</v>
      </c>
      <c r="N1306" s="214" t="s">
        <v>122</v>
      </c>
      <c r="O1306" s="214"/>
      <c r="P1306" s="214"/>
      <c r="Q1306" s="214"/>
      <c r="R1306" s="214"/>
      <c r="S1306" s="214"/>
      <c r="T1306" s="214"/>
      <c r="U1306" s="214"/>
      <c r="V1306" s="214"/>
      <c r="W1306" s="214"/>
      <c r="X1306" s="214"/>
      <c r="Y1306" s="214"/>
      <c r="Z1306" s="234"/>
      <c r="AA1306" s="234"/>
      <c r="AB1306" s="234"/>
      <c r="AC1306" s="234"/>
      <c r="AD1306" s="319" t="s">
        <v>3461</v>
      </c>
      <c r="AE1306" s="319"/>
      <c r="AF1306" s="162" t="str">
        <f t="shared" si="109"/>
        <v/>
      </c>
      <c r="AG1306" s="162" t="str">
        <f t="shared" si="113"/>
        <v/>
      </c>
      <c r="AH1306" s="164">
        <f t="shared" si="110"/>
        <v>2.89</v>
      </c>
      <c r="AI1306" s="164" t="str">
        <f t="shared" si="111"/>
        <v/>
      </c>
      <c r="AJ1306" s="368"/>
      <c r="AK1306" s="368"/>
      <c r="AL1306" s="368"/>
      <c r="AM1306" s="368"/>
      <c r="AN1306" s="368"/>
      <c r="AO1306" s="368"/>
      <c r="AP1306" s="368"/>
      <c r="AQ1306" s="368"/>
      <c r="AR1306" s="389"/>
      <c r="AS1306" s="263"/>
      <c r="AT1306" s="271"/>
      <c r="AU1306" s="389"/>
      <c r="AV1306" s="418"/>
      <c r="AW1306" s="439">
        <v>2.89</v>
      </c>
      <c r="AX1306" s="335"/>
      <c r="AY1306" s="436"/>
      <c r="AZ1306" s="359"/>
      <c r="BA1306" s="359"/>
      <c r="BB1306" s="359"/>
      <c r="BC1306" s="426"/>
      <c r="BD1306" s="359"/>
      <c r="BE1306" s="359"/>
      <c r="BF1306" s="469">
        <f t="shared" si="107"/>
        <v>2.89</v>
      </c>
      <c r="BG1306" s="469"/>
      <c r="BH1306" s="460"/>
      <c r="BI1306" s="461"/>
      <c r="BJ1306" s="505"/>
    </row>
    <row r="1307" spans="1:62" ht="15" customHeight="1" thickBot="1" x14ac:dyDescent="0.25">
      <c r="A1307" s="176">
        <v>1308</v>
      </c>
      <c r="B1307" s="291">
        <v>1</v>
      </c>
      <c r="C1307" s="167" t="s">
        <v>259</v>
      </c>
      <c r="D1307" s="167" t="s">
        <v>3832</v>
      </c>
      <c r="E1307" s="167" t="s">
        <v>13</v>
      </c>
      <c r="F1307" s="167"/>
      <c r="G1307" s="167"/>
      <c r="H1307" s="167" t="s">
        <v>351</v>
      </c>
      <c r="I1307" s="184">
        <v>2014</v>
      </c>
      <c r="J1307" s="184" t="s">
        <v>3467</v>
      </c>
      <c r="K1307" s="184"/>
      <c r="L1307" s="184" t="s">
        <v>19</v>
      </c>
      <c r="M1307" s="556" t="s">
        <v>4328</v>
      </c>
      <c r="N1307" s="214" t="s">
        <v>122</v>
      </c>
      <c r="O1307" s="214"/>
      <c r="P1307" s="214"/>
      <c r="Q1307" s="214" t="s">
        <v>122</v>
      </c>
      <c r="R1307" s="214" t="s">
        <v>122</v>
      </c>
      <c r="S1307" s="214" t="s">
        <v>122</v>
      </c>
      <c r="T1307" s="214" t="s">
        <v>122</v>
      </c>
      <c r="U1307" s="214" t="s">
        <v>122</v>
      </c>
      <c r="V1307" s="214" t="s">
        <v>122</v>
      </c>
      <c r="W1307" s="214" t="s">
        <v>122</v>
      </c>
      <c r="X1307" s="214" t="s">
        <v>292</v>
      </c>
      <c r="Y1307" s="214" t="s">
        <v>292</v>
      </c>
      <c r="Z1307" s="234"/>
      <c r="AA1307" s="234"/>
      <c r="AB1307" s="234"/>
      <c r="AC1307" s="234"/>
      <c r="AD1307" s="319"/>
      <c r="AE1307" s="319"/>
      <c r="AF1307" s="162" t="str">
        <f t="shared" si="109"/>
        <v/>
      </c>
      <c r="AG1307" s="162" t="str">
        <f t="shared" si="113"/>
        <v/>
      </c>
      <c r="AH1307" s="164">
        <f t="shared" si="110"/>
        <v>0.3</v>
      </c>
      <c r="AI1307" s="164">
        <f t="shared" si="111"/>
        <v>0.52</v>
      </c>
      <c r="AJ1307" s="368"/>
      <c r="AK1307" s="368"/>
      <c r="AL1307" s="368"/>
      <c r="AM1307" s="368"/>
      <c r="AN1307" s="368"/>
      <c r="AO1307" s="368"/>
      <c r="AP1307" s="368"/>
      <c r="AQ1307" s="368"/>
      <c r="AR1307" s="389"/>
      <c r="AS1307" s="263"/>
      <c r="AT1307" s="271"/>
      <c r="AU1307" s="389"/>
      <c r="AV1307" s="418"/>
      <c r="AW1307" s="440">
        <v>0.3</v>
      </c>
      <c r="AX1307" s="335"/>
      <c r="AY1307" s="436">
        <v>0.22</v>
      </c>
      <c r="AZ1307" s="359">
        <v>0.17</v>
      </c>
      <c r="BA1307" s="359">
        <v>4.2999999999999997E-2</v>
      </c>
      <c r="BB1307" s="359">
        <v>4.3999999999999997E-2</v>
      </c>
      <c r="BC1307" s="426">
        <f>0.23+0.054</f>
        <v>0.28400000000000003</v>
      </c>
      <c r="BD1307" s="359"/>
      <c r="BE1307" s="359"/>
      <c r="BF1307" s="469">
        <f t="shared" si="107"/>
        <v>0.3</v>
      </c>
      <c r="BG1307" s="469">
        <f>SUM(AW1307:BE1307)</f>
        <v>1.0610000000000002</v>
      </c>
      <c r="BH1307" s="463" t="s">
        <v>3468</v>
      </c>
      <c r="BI1307" s="461"/>
      <c r="BJ1307" s="505"/>
    </row>
    <row r="1308" spans="1:62" ht="15" customHeight="1" thickBot="1" x14ac:dyDescent="0.25">
      <c r="A1308" s="176">
        <v>1309</v>
      </c>
      <c r="B1308" s="291">
        <v>1</v>
      </c>
      <c r="C1308" s="167" t="s">
        <v>24</v>
      </c>
      <c r="D1308" s="167" t="s">
        <v>2745</v>
      </c>
      <c r="E1308" s="167" t="s">
        <v>13</v>
      </c>
      <c r="F1308" s="167"/>
      <c r="G1308" s="167"/>
      <c r="H1308" s="167" t="s">
        <v>351</v>
      </c>
      <c r="I1308" s="184">
        <v>2014</v>
      </c>
      <c r="J1308" s="184" t="s">
        <v>3467</v>
      </c>
      <c r="K1308" s="184"/>
      <c r="L1308" s="184" t="s">
        <v>19</v>
      </c>
      <c r="M1308" s="556" t="s">
        <v>4328</v>
      </c>
      <c r="N1308" s="214" t="s">
        <v>122</v>
      </c>
      <c r="O1308" s="214"/>
      <c r="P1308" s="214"/>
      <c r="Q1308" s="214" t="s">
        <v>122</v>
      </c>
      <c r="R1308" s="214" t="s">
        <v>122</v>
      </c>
      <c r="S1308" s="214" t="s">
        <v>122</v>
      </c>
      <c r="T1308" s="214" t="s">
        <v>122</v>
      </c>
      <c r="U1308" s="214" t="s">
        <v>122</v>
      </c>
      <c r="V1308" s="214" t="s">
        <v>122</v>
      </c>
      <c r="W1308" s="214" t="s">
        <v>122</v>
      </c>
      <c r="X1308" s="214" t="s">
        <v>292</v>
      </c>
      <c r="Y1308" s="214" t="s">
        <v>292</v>
      </c>
      <c r="Z1308" s="234"/>
      <c r="AA1308" s="234"/>
      <c r="AB1308" s="234"/>
      <c r="AC1308" s="234"/>
      <c r="AD1308" s="319" t="s">
        <v>3469</v>
      </c>
      <c r="AE1308" s="319" t="s">
        <v>276</v>
      </c>
      <c r="AF1308" s="162" t="str">
        <f t="shared" si="109"/>
        <v/>
      </c>
      <c r="AG1308" s="162" t="str">
        <f t="shared" si="113"/>
        <v/>
      </c>
      <c r="AH1308" s="164">
        <f t="shared" si="110"/>
        <v>37.037037037037038</v>
      </c>
      <c r="AI1308" s="164">
        <f t="shared" si="111"/>
        <v>37.338820301783265</v>
      </c>
      <c r="AJ1308" s="368"/>
      <c r="AK1308" s="368"/>
      <c r="AL1308" s="368"/>
      <c r="AM1308" s="368"/>
      <c r="AN1308" s="368"/>
      <c r="AO1308" s="368"/>
      <c r="AP1308" s="368"/>
      <c r="AQ1308" s="368"/>
      <c r="AR1308" s="389"/>
      <c r="AS1308" s="263"/>
      <c r="AT1308" s="271"/>
      <c r="AU1308" s="389"/>
      <c r="AV1308" s="418"/>
      <c r="AW1308" s="439">
        <f>27/0.729</f>
        <v>37.037037037037038</v>
      </c>
      <c r="AX1308" s="335"/>
      <c r="AY1308" s="436">
        <f>0.22/0.729</f>
        <v>0.30178326474622774</v>
      </c>
      <c r="AZ1308" s="359">
        <f>0.17/0.729</f>
        <v>0.23319615912208508</v>
      </c>
      <c r="BA1308" s="359">
        <f>0.93/0.729</f>
        <v>1.2757201646090537</v>
      </c>
      <c r="BB1308" s="359">
        <f>0.34/0.729</f>
        <v>0.46639231824417016</v>
      </c>
      <c r="BC1308" s="426">
        <f>(1.74+0.42)/0.729</f>
        <v>2.9629629629629632</v>
      </c>
      <c r="BD1308" s="359"/>
      <c r="BE1308" s="359"/>
      <c r="BF1308" s="469">
        <f t="shared" si="107"/>
        <v>37.037037037037038</v>
      </c>
      <c r="BG1308" s="469">
        <f>SUM(AW1308:BE1308)</f>
        <v>42.277091906721537</v>
      </c>
      <c r="BH1308" s="463" t="s">
        <v>3470</v>
      </c>
      <c r="BI1308" s="461"/>
      <c r="BJ1308" s="505"/>
    </row>
    <row r="1309" spans="1:62" ht="15" customHeight="1" thickBot="1" x14ac:dyDescent="0.25">
      <c r="A1309" s="176">
        <v>1310</v>
      </c>
      <c r="B1309" s="291">
        <v>1</v>
      </c>
      <c r="C1309" s="167" t="s">
        <v>760</v>
      </c>
      <c r="D1309" s="167" t="s">
        <v>3471</v>
      </c>
      <c r="E1309" s="167" t="s">
        <v>13</v>
      </c>
      <c r="F1309" s="167" t="s">
        <v>3472</v>
      </c>
      <c r="G1309" s="167"/>
      <c r="H1309" s="167" t="s">
        <v>1247</v>
      </c>
      <c r="I1309" s="184">
        <v>2015</v>
      </c>
      <c r="J1309" s="184" t="s">
        <v>3473</v>
      </c>
      <c r="K1309" s="184"/>
      <c r="L1309" s="184" t="s">
        <v>168</v>
      </c>
      <c r="M1309" s="556" t="s">
        <v>4329</v>
      </c>
      <c r="N1309" s="214" t="s">
        <v>122</v>
      </c>
      <c r="O1309" s="214" t="s">
        <v>292</v>
      </c>
      <c r="P1309" s="214" t="s">
        <v>122</v>
      </c>
      <c r="Q1309" s="214" t="s">
        <v>122</v>
      </c>
      <c r="R1309" s="214" t="s">
        <v>292</v>
      </c>
      <c r="S1309" s="214" t="s">
        <v>292</v>
      </c>
      <c r="T1309" s="214" t="s">
        <v>292</v>
      </c>
      <c r="U1309" s="214" t="s">
        <v>292</v>
      </c>
      <c r="V1309" s="214" t="s">
        <v>292</v>
      </c>
      <c r="W1309" s="214" t="s">
        <v>292</v>
      </c>
      <c r="X1309" s="214" t="s">
        <v>292</v>
      </c>
      <c r="Y1309" s="214" t="s">
        <v>292</v>
      </c>
      <c r="Z1309" s="234"/>
      <c r="AA1309" s="234"/>
      <c r="AB1309" s="234"/>
      <c r="AC1309" s="234"/>
      <c r="AD1309" s="319" t="s">
        <v>3474</v>
      </c>
      <c r="AE1309" s="319"/>
      <c r="AF1309" s="162" t="str">
        <f t="shared" si="109"/>
        <v/>
      </c>
      <c r="AG1309" s="162" t="str">
        <f t="shared" si="113"/>
        <v/>
      </c>
      <c r="AH1309" s="164">
        <f t="shared" si="110"/>
        <v>1.32</v>
      </c>
      <c r="AI1309" s="164">
        <f t="shared" si="111"/>
        <v>1.37</v>
      </c>
      <c r="AJ1309" s="368"/>
      <c r="AK1309" s="368"/>
      <c r="AL1309" s="368"/>
      <c r="AM1309" s="368"/>
      <c r="AN1309" s="368"/>
      <c r="AO1309" s="368"/>
      <c r="AP1309" s="368"/>
      <c r="AQ1309" s="368"/>
      <c r="AR1309" s="389"/>
      <c r="AS1309" s="263"/>
      <c r="AT1309" s="271"/>
      <c r="AU1309" s="389"/>
      <c r="AV1309" s="418"/>
      <c r="AW1309" s="439">
        <v>1.32</v>
      </c>
      <c r="AX1309" s="334"/>
      <c r="AY1309" s="436">
        <v>0.05</v>
      </c>
      <c r="AZ1309" s="359"/>
      <c r="BA1309" s="359"/>
      <c r="BB1309" s="359"/>
      <c r="BC1309" s="426"/>
      <c r="BD1309" s="359"/>
      <c r="BE1309" s="359"/>
      <c r="BF1309" s="469">
        <f t="shared" si="107"/>
        <v>1.32</v>
      </c>
      <c r="BG1309" s="469">
        <f>SUM(AW1309:BE1309)</f>
        <v>1.37</v>
      </c>
      <c r="BH1309" s="460"/>
      <c r="BI1309" s="461"/>
      <c r="BJ1309" s="505" t="s">
        <v>3475</v>
      </c>
    </row>
    <row r="1310" spans="1:62" ht="15" customHeight="1" thickBot="1" x14ac:dyDescent="0.25">
      <c r="A1310" s="176">
        <v>1311</v>
      </c>
      <c r="B1310" s="291">
        <v>1</v>
      </c>
      <c r="C1310" s="167" t="s">
        <v>760</v>
      </c>
      <c r="D1310" s="167" t="s">
        <v>3471</v>
      </c>
      <c r="E1310" s="167" t="s">
        <v>778</v>
      </c>
      <c r="F1310" s="167" t="s">
        <v>1068</v>
      </c>
      <c r="G1310" s="167"/>
      <c r="H1310" s="167" t="s">
        <v>1247</v>
      </c>
      <c r="I1310" s="184">
        <v>2015</v>
      </c>
      <c r="J1310" s="184" t="s">
        <v>3473</v>
      </c>
      <c r="K1310" s="184"/>
      <c r="L1310" s="184" t="s">
        <v>168</v>
      </c>
      <c r="M1310" s="556" t="s">
        <v>4329</v>
      </c>
      <c r="N1310" s="214" t="s">
        <v>122</v>
      </c>
      <c r="O1310" s="214" t="s">
        <v>292</v>
      </c>
      <c r="P1310" s="214" t="s">
        <v>122</v>
      </c>
      <c r="Q1310" s="214" t="s">
        <v>122</v>
      </c>
      <c r="R1310" s="214" t="s">
        <v>292</v>
      </c>
      <c r="S1310" s="214" t="s">
        <v>292</v>
      </c>
      <c r="T1310" s="214" t="s">
        <v>292</v>
      </c>
      <c r="U1310" s="214" t="s">
        <v>292</v>
      </c>
      <c r="V1310" s="214" t="s">
        <v>292</v>
      </c>
      <c r="W1310" s="214" t="s">
        <v>292</v>
      </c>
      <c r="X1310" s="214" t="s">
        <v>292</v>
      </c>
      <c r="Y1310" s="214" t="s">
        <v>292</v>
      </c>
      <c r="Z1310" s="234"/>
      <c r="AA1310" s="234"/>
      <c r="AB1310" s="234"/>
      <c r="AC1310" s="234"/>
      <c r="AD1310" s="319" t="s">
        <v>3474</v>
      </c>
      <c r="AE1310" s="319"/>
      <c r="AF1310" s="162" t="str">
        <f t="shared" si="109"/>
        <v/>
      </c>
      <c r="AG1310" s="162" t="str">
        <f t="shared" si="113"/>
        <v/>
      </c>
      <c r="AH1310" s="164">
        <f t="shared" si="110"/>
        <v>1.32</v>
      </c>
      <c r="AI1310" s="164">
        <f t="shared" si="111"/>
        <v>1.55</v>
      </c>
      <c r="AJ1310" s="368"/>
      <c r="AK1310" s="368"/>
      <c r="AL1310" s="368"/>
      <c r="AM1310" s="368"/>
      <c r="AN1310" s="368"/>
      <c r="AO1310" s="368"/>
      <c r="AP1310" s="368"/>
      <c r="AQ1310" s="368"/>
      <c r="AR1310" s="389"/>
      <c r="AS1310" s="263"/>
      <c r="AT1310" s="271"/>
      <c r="AU1310" s="389"/>
      <c r="AV1310" s="418"/>
      <c r="AW1310" s="440">
        <v>1.32</v>
      </c>
      <c r="AX1310" s="334"/>
      <c r="AY1310" s="436">
        <v>0.23</v>
      </c>
      <c r="AZ1310" s="359"/>
      <c r="BA1310" s="359"/>
      <c r="BB1310" s="359"/>
      <c r="BC1310" s="426"/>
      <c r="BD1310" s="359"/>
      <c r="BE1310" s="359"/>
      <c r="BF1310" s="469">
        <f t="shared" si="107"/>
        <v>1.32</v>
      </c>
      <c r="BG1310" s="469">
        <f>SUM(AW1310:BE1310)</f>
        <v>1.55</v>
      </c>
      <c r="BH1310" s="460"/>
      <c r="BI1310" s="461"/>
      <c r="BJ1310" s="505" t="s">
        <v>3475</v>
      </c>
    </row>
    <row r="1311" spans="1:62" ht="15" customHeight="1" thickBot="1" x14ac:dyDescent="0.25">
      <c r="A1311" s="176">
        <v>1312</v>
      </c>
      <c r="B1311" s="291">
        <v>1</v>
      </c>
      <c r="C1311" s="167" t="s">
        <v>3450</v>
      </c>
      <c r="D1311" s="167" t="s">
        <v>2769</v>
      </c>
      <c r="E1311" s="167" t="s">
        <v>13</v>
      </c>
      <c r="F1311" s="296" t="s">
        <v>3476</v>
      </c>
      <c r="G1311" s="167"/>
      <c r="H1311" s="167" t="s">
        <v>73</v>
      </c>
      <c r="I1311" s="184">
        <v>2005</v>
      </c>
      <c r="J1311" s="184" t="s">
        <v>3477</v>
      </c>
      <c r="K1311" s="184"/>
      <c r="L1311" s="184" t="s">
        <v>19</v>
      </c>
      <c r="M1311" s="556" t="s">
        <v>4330</v>
      </c>
      <c r="N1311" s="214" t="s">
        <v>122</v>
      </c>
      <c r="O1311" s="214"/>
      <c r="P1311" s="214"/>
      <c r="Q1311" s="214"/>
      <c r="R1311" s="214"/>
      <c r="S1311" s="214"/>
      <c r="T1311" s="214"/>
      <c r="U1311" s="214"/>
      <c r="V1311" s="214"/>
      <c r="W1311" s="214"/>
      <c r="X1311" s="214"/>
      <c r="Y1311" s="214"/>
      <c r="Z1311" s="234"/>
      <c r="AA1311" s="234"/>
      <c r="AB1311" s="234"/>
      <c r="AC1311" s="234"/>
      <c r="AD1311" s="319"/>
      <c r="AE1311" s="319"/>
      <c r="AF1311" s="162" t="str">
        <f t="shared" si="109"/>
        <v/>
      </c>
      <c r="AG1311" s="162" t="str">
        <f t="shared" si="113"/>
        <v/>
      </c>
      <c r="AH1311" s="164">
        <f t="shared" si="110"/>
        <v>0.22799310938845826</v>
      </c>
      <c r="AI1311" s="164" t="str">
        <f t="shared" si="111"/>
        <v/>
      </c>
      <c r="AJ1311" s="368"/>
      <c r="AK1311" s="368"/>
      <c r="AL1311" s="368"/>
      <c r="AM1311" s="368"/>
      <c r="AN1311" s="368"/>
      <c r="AO1311" s="368"/>
      <c r="AP1311" s="368"/>
      <c r="AQ1311" s="368"/>
      <c r="AR1311" s="389"/>
      <c r="AS1311" s="263"/>
      <c r="AT1311" s="271"/>
      <c r="AU1311" s="389"/>
      <c r="AV1311" s="418"/>
      <c r="AW1311" s="440">
        <v>0.22799310938845826</v>
      </c>
      <c r="AX1311" s="335"/>
      <c r="AY1311" s="436"/>
      <c r="AZ1311" s="359"/>
      <c r="BA1311" s="359"/>
      <c r="BB1311" s="359"/>
      <c r="BC1311" s="426"/>
      <c r="BD1311" s="359"/>
      <c r="BE1311" s="359"/>
      <c r="BF1311" s="469">
        <f t="shared" si="107"/>
        <v>0.22799310938845826</v>
      </c>
      <c r="BG1311" s="469"/>
      <c r="BH1311" s="460"/>
      <c r="BI1311" s="461"/>
      <c r="BJ1311" s="505"/>
    </row>
    <row r="1312" spans="1:62" ht="15" customHeight="1" thickBot="1" x14ac:dyDescent="0.25">
      <c r="A1312" s="176">
        <v>1313</v>
      </c>
      <c r="B1312" s="291">
        <v>1</v>
      </c>
      <c r="C1312" s="167" t="s">
        <v>3450</v>
      </c>
      <c r="D1312" s="167" t="s">
        <v>2769</v>
      </c>
      <c r="E1312" s="167" t="s">
        <v>13</v>
      </c>
      <c r="F1312" s="296" t="s">
        <v>3478</v>
      </c>
      <c r="G1312" s="167"/>
      <c r="H1312" s="167" t="s">
        <v>73</v>
      </c>
      <c r="I1312" s="184">
        <v>2005</v>
      </c>
      <c r="J1312" s="184" t="s">
        <v>3477</v>
      </c>
      <c r="K1312" s="184"/>
      <c r="L1312" s="184" t="s">
        <v>19</v>
      </c>
      <c r="M1312" s="556" t="s">
        <v>4330</v>
      </c>
      <c r="N1312" s="214" t="s">
        <v>122</v>
      </c>
      <c r="O1312" s="214"/>
      <c r="P1312" s="214"/>
      <c r="Q1312" s="214"/>
      <c r="R1312" s="214"/>
      <c r="S1312" s="214"/>
      <c r="T1312" s="214"/>
      <c r="U1312" s="214"/>
      <c r="V1312" s="214"/>
      <c r="W1312" s="214"/>
      <c r="X1312" s="214"/>
      <c r="Y1312" s="214"/>
      <c r="Z1312" s="234"/>
      <c r="AA1312" s="234"/>
      <c r="AB1312" s="234"/>
      <c r="AC1312" s="234"/>
      <c r="AD1312" s="319"/>
      <c r="AE1312" s="319"/>
      <c r="AF1312" s="162" t="str">
        <f t="shared" si="109"/>
        <v/>
      </c>
      <c r="AG1312" s="162" t="str">
        <f t="shared" si="113"/>
        <v/>
      </c>
      <c r="AH1312" s="164">
        <f t="shared" si="110"/>
        <v>0.27168389319552111</v>
      </c>
      <c r="AI1312" s="164" t="str">
        <f t="shared" si="111"/>
        <v/>
      </c>
      <c r="AJ1312" s="368"/>
      <c r="AK1312" s="368"/>
      <c r="AL1312" s="368"/>
      <c r="AM1312" s="368"/>
      <c r="AN1312" s="368"/>
      <c r="AO1312" s="368"/>
      <c r="AP1312" s="368"/>
      <c r="AQ1312" s="368"/>
      <c r="AR1312" s="389"/>
      <c r="AS1312" s="263"/>
      <c r="AT1312" s="271"/>
      <c r="AU1312" s="389"/>
      <c r="AV1312" s="418"/>
      <c r="AW1312" s="436">
        <v>0.27168389319552111</v>
      </c>
      <c r="AX1312" s="359"/>
      <c r="AY1312" s="359"/>
      <c r="AZ1312" s="359"/>
      <c r="BA1312" s="359"/>
      <c r="BB1312" s="359"/>
      <c r="BC1312" s="426"/>
      <c r="BD1312" s="359"/>
      <c r="BE1312" s="359"/>
      <c r="BF1312" s="469">
        <f t="shared" si="107"/>
        <v>0.27168389319552111</v>
      </c>
      <c r="BG1312" s="469"/>
      <c r="BH1312" s="460"/>
      <c r="BI1312" s="461"/>
      <c r="BJ1312" s="505"/>
    </row>
    <row r="1313" spans="1:62" ht="15" customHeight="1" thickBot="1" x14ac:dyDescent="0.25">
      <c r="A1313" s="176">
        <v>1314</v>
      </c>
      <c r="B1313" s="291">
        <v>1</v>
      </c>
      <c r="C1313" s="167" t="s">
        <v>3450</v>
      </c>
      <c r="D1313" s="167" t="s">
        <v>2769</v>
      </c>
      <c r="E1313" s="167" t="s">
        <v>13</v>
      </c>
      <c r="F1313" s="296" t="s">
        <v>3479</v>
      </c>
      <c r="G1313" s="167"/>
      <c r="H1313" s="167" t="s">
        <v>73</v>
      </c>
      <c r="I1313" s="184">
        <v>2005</v>
      </c>
      <c r="J1313" s="184" t="s">
        <v>3477</v>
      </c>
      <c r="K1313" s="184"/>
      <c r="L1313" s="184" t="s">
        <v>19</v>
      </c>
      <c r="M1313" s="556" t="s">
        <v>4330</v>
      </c>
      <c r="N1313" s="214" t="s">
        <v>122</v>
      </c>
      <c r="O1313" s="214"/>
      <c r="P1313" s="214"/>
      <c r="Q1313" s="214"/>
      <c r="R1313" s="214"/>
      <c r="S1313" s="214"/>
      <c r="T1313" s="214"/>
      <c r="U1313" s="214"/>
      <c r="V1313" s="214"/>
      <c r="W1313" s="214"/>
      <c r="X1313" s="214"/>
      <c r="Y1313" s="214"/>
      <c r="Z1313" s="234"/>
      <c r="AA1313" s="234"/>
      <c r="AB1313" s="234"/>
      <c r="AC1313" s="234"/>
      <c r="AD1313" s="319"/>
      <c r="AE1313" s="319"/>
      <c r="AF1313" s="162" t="str">
        <f t="shared" si="109"/>
        <v/>
      </c>
      <c r="AG1313" s="162" t="str">
        <f t="shared" si="113"/>
        <v/>
      </c>
      <c r="AH1313" s="164">
        <f t="shared" si="110"/>
        <v>0.22198535745047376</v>
      </c>
      <c r="AI1313" s="164" t="str">
        <f t="shared" si="111"/>
        <v/>
      </c>
      <c r="AJ1313" s="368"/>
      <c r="AK1313" s="368"/>
      <c r="AL1313" s="368"/>
      <c r="AM1313" s="368"/>
      <c r="AN1313" s="368"/>
      <c r="AO1313" s="368"/>
      <c r="AP1313" s="368"/>
      <c r="AQ1313" s="368"/>
      <c r="AR1313" s="389"/>
      <c r="AS1313" s="263"/>
      <c r="AT1313" s="271"/>
      <c r="AU1313" s="389"/>
      <c r="AV1313" s="418"/>
      <c r="AW1313" s="436">
        <v>0.22198535745047376</v>
      </c>
      <c r="AX1313" s="359"/>
      <c r="AY1313" s="359"/>
      <c r="AZ1313" s="359"/>
      <c r="BA1313" s="359"/>
      <c r="BB1313" s="359"/>
      <c r="BC1313" s="426"/>
      <c r="BD1313" s="359"/>
      <c r="BE1313" s="359"/>
      <c r="BF1313" s="469">
        <f t="shared" si="107"/>
        <v>0.22198535745047376</v>
      </c>
      <c r="BG1313" s="469"/>
      <c r="BH1313" s="460"/>
      <c r="BI1313" s="461"/>
      <c r="BJ1313" s="505"/>
    </row>
    <row r="1314" spans="1:62" ht="15" customHeight="1" thickBot="1" x14ac:dyDescent="0.25">
      <c r="A1314" s="176">
        <v>1315</v>
      </c>
      <c r="B1314" s="291">
        <v>1</v>
      </c>
      <c r="C1314" s="167" t="s">
        <v>3450</v>
      </c>
      <c r="D1314" s="167" t="s">
        <v>2769</v>
      </c>
      <c r="E1314" s="167" t="s">
        <v>13</v>
      </c>
      <c r="F1314" s="296" t="s">
        <v>3480</v>
      </c>
      <c r="G1314" s="167"/>
      <c r="H1314" s="167" t="s">
        <v>73</v>
      </c>
      <c r="I1314" s="184">
        <v>2005</v>
      </c>
      <c r="J1314" s="184" t="s">
        <v>3477</v>
      </c>
      <c r="K1314" s="184"/>
      <c r="L1314" s="184" t="s">
        <v>19</v>
      </c>
      <c r="M1314" s="556" t="s">
        <v>4330</v>
      </c>
      <c r="N1314" s="214" t="s">
        <v>122</v>
      </c>
      <c r="O1314" s="214"/>
      <c r="P1314" s="214"/>
      <c r="Q1314" s="214"/>
      <c r="R1314" s="214"/>
      <c r="S1314" s="214"/>
      <c r="T1314" s="214"/>
      <c r="U1314" s="214"/>
      <c r="V1314" s="214"/>
      <c r="W1314" s="214"/>
      <c r="X1314" s="214"/>
      <c r="Y1314" s="214"/>
      <c r="Z1314" s="234"/>
      <c r="AA1314" s="234"/>
      <c r="AB1314" s="234"/>
      <c r="AC1314" s="234"/>
      <c r="AD1314" s="319"/>
      <c r="AE1314" s="319"/>
      <c r="AF1314" s="162" t="str">
        <f t="shared" si="109"/>
        <v/>
      </c>
      <c r="AG1314" s="162" t="str">
        <f t="shared" si="113"/>
        <v/>
      </c>
      <c r="AH1314" s="164">
        <f t="shared" si="110"/>
        <v>0.26401808785529723</v>
      </c>
      <c r="AI1314" s="164" t="str">
        <f t="shared" si="111"/>
        <v/>
      </c>
      <c r="AJ1314" s="368"/>
      <c r="AK1314" s="368"/>
      <c r="AL1314" s="368"/>
      <c r="AM1314" s="368"/>
      <c r="AN1314" s="368"/>
      <c r="AO1314" s="368"/>
      <c r="AP1314" s="368"/>
      <c r="AQ1314" s="368"/>
      <c r="AR1314" s="389"/>
      <c r="AS1314" s="263"/>
      <c r="AT1314" s="271"/>
      <c r="AU1314" s="389"/>
      <c r="AV1314" s="418"/>
      <c r="AW1314" s="436">
        <v>0.26401808785529723</v>
      </c>
      <c r="AX1314" s="359"/>
      <c r="AY1314" s="359"/>
      <c r="AZ1314" s="359"/>
      <c r="BA1314" s="359"/>
      <c r="BB1314" s="359"/>
      <c r="BC1314" s="426"/>
      <c r="BD1314" s="359"/>
      <c r="BE1314" s="359"/>
      <c r="BF1314" s="469">
        <f t="shared" si="107"/>
        <v>0.26401808785529723</v>
      </c>
      <c r="BG1314" s="469"/>
      <c r="BH1314" s="460"/>
      <c r="BI1314" s="461"/>
      <c r="BJ1314" s="505"/>
    </row>
    <row r="1315" spans="1:62" ht="15" customHeight="1" thickBot="1" x14ac:dyDescent="0.25">
      <c r="A1315" s="176">
        <v>1316</v>
      </c>
      <c r="B1315" s="291">
        <v>1</v>
      </c>
      <c r="C1315" s="167" t="s">
        <v>3450</v>
      </c>
      <c r="D1315" s="167" t="s">
        <v>2769</v>
      </c>
      <c r="E1315" s="167" t="s">
        <v>13</v>
      </c>
      <c r="F1315" s="296" t="s">
        <v>3481</v>
      </c>
      <c r="G1315" s="167"/>
      <c r="H1315" s="167" t="s">
        <v>73</v>
      </c>
      <c r="I1315" s="184">
        <v>2005</v>
      </c>
      <c r="J1315" s="184" t="s">
        <v>3477</v>
      </c>
      <c r="K1315" s="184"/>
      <c r="L1315" s="184" t="s">
        <v>19</v>
      </c>
      <c r="M1315" s="556" t="s">
        <v>4330</v>
      </c>
      <c r="N1315" s="214" t="s">
        <v>122</v>
      </c>
      <c r="O1315" s="214"/>
      <c r="P1315" s="214"/>
      <c r="Q1315" s="214"/>
      <c r="R1315" s="214"/>
      <c r="S1315" s="214"/>
      <c r="T1315" s="214"/>
      <c r="U1315" s="214"/>
      <c r="V1315" s="214"/>
      <c r="W1315" s="214"/>
      <c r="X1315" s="214"/>
      <c r="Y1315" s="214"/>
      <c r="Z1315" s="234"/>
      <c r="AA1315" s="234"/>
      <c r="AB1315" s="234"/>
      <c r="AC1315" s="234"/>
      <c r="AD1315" s="319"/>
      <c r="AE1315" s="319"/>
      <c r="AF1315" s="162" t="str">
        <f t="shared" si="109"/>
        <v/>
      </c>
      <c r="AG1315" s="162" t="str">
        <f t="shared" si="113"/>
        <v/>
      </c>
      <c r="AH1315" s="164">
        <f t="shared" si="110"/>
        <v>0.24414298018949185</v>
      </c>
      <c r="AI1315" s="164" t="str">
        <f t="shared" si="111"/>
        <v/>
      </c>
      <c r="AJ1315" s="368"/>
      <c r="AK1315" s="368"/>
      <c r="AL1315" s="368"/>
      <c r="AM1315" s="368"/>
      <c r="AN1315" s="368"/>
      <c r="AO1315" s="368"/>
      <c r="AP1315" s="368"/>
      <c r="AQ1315" s="368"/>
      <c r="AR1315" s="389"/>
      <c r="AS1315" s="263"/>
      <c r="AT1315" s="271"/>
      <c r="AU1315" s="389"/>
      <c r="AV1315" s="418"/>
      <c r="AW1315" s="436">
        <v>0.24414298018949185</v>
      </c>
      <c r="AX1315" s="359"/>
      <c r="AY1315" s="359"/>
      <c r="AZ1315" s="359"/>
      <c r="BA1315" s="359"/>
      <c r="BB1315" s="359"/>
      <c r="BC1315" s="426"/>
      <c r="BD1315" s="359"/>
      <c r="BE1315" s="359"/>
      <c r="BF1315" s="469">
        <f t="shared" ref="BF1315:BF1378" si="114">AW1315</f>
        <v>0.24414298018949185</v>
      </c>
      <c r="BG1315" s="469"/>
      <c r="BH1315" s="460"/>
      <c r="BI1315" s="461"/>
      <c r="BJ1315" s="505"/>
    </row>
    <row r="1316" spans="1:62" ht="15" customHeight="1" thickBot="1" x14ac:dyDescent="0.25">
      <c r="A1316" s="176">
        <v>1317</v>
      </c>
      <c r="B1316" s="291">
        <v>1</v>
      </c>
      <c r="C1316" s="167" t="s">
        <v>3450</v>
      </c>
      <c r="D1316" s="167" t="s">
        <v>2769</v>
      </c>
      <c r="E1316" s="167" t="s">
        <v>13</v>
      </c>
      <c r="F1316" s="296" t="s">
        <v>3482</v>
      </c>
      <c r="G1316" s="167"/>
      <c r="H1316" s="167" t="s">
        <v>73</v>
      </c>
      <c r="I1316" s="184">
        <v>2005</v>
      </c>
      <c r="J1316" s="184" t="s">
        <v>3477</v>
      </c>
      <c r="K1316" s="184"/>
      <c r="L1316" s="184" t="s">
        <v>19</v>
      </c>
      <c r="M1316" s="556" t="s">
        <v>4330</v>
      </c>
      <c r="N1316" s="214" t="s">
        <v>122</v>
      </c>
      <c r="O1316" s="214"/>
      <c r="P1316" s="214"/>
      <c r="Q1316" s="214"/>
      <c r="R1316" s="214"/>
      <c r="S1316" s="214"/>
      <c r="T1316" s="214"/>
      <c r="U1316" s="214"/>
      <c r="V1316" s="214"/>
      <c r="W1316" s="214"/>
      <c r="X1316" s="214"/>
      <c r="Y1316" s="214"/>
      <c r="Z1316" s="234"/>
      <c r="AA1316" s="234"/>
      <c r="AB1316" s="234"/>
      <c r="AC1316" s="234"/>
      <c r="AD1316" s="319"/>
      <c r="AE1316" s="319"/>
      <c r="AF1316" s="162" t="str">
        <f t="shared" si="109"/>
        <v/>
      </c>
      <c r="AG1316" s="162" t="str">
        <f t="shared" si="113"/>
        <v/>
      </c>
      <c r="AH1316" s="164">
        <f t="shared" si="110"/>
        <v>0.28847975882859606</v>
      </c>
      <c r="AI1316" s="164" t="str">
        <f t="shared" si="111"/>
        <v/>
      </c>
      <c r="AJ1316" s="368"/>
      <c r="AK1316" s="368"/>
      <c r="AL1316" s="368"/>
      <c r="AM1316" s="368"/>
      <c r="AN1316" s="368"/>
      <c r="AO1316" s="368"/>
      <c r="AP1316" s="368"/>
      <c r="AQ1316" s="368"/>
      <c r="AR1316" s="389"/>
      <c r="AS1316" s="263"/>
      <c r="AT1316" s="271"/>
      <c r="AU1316" s="389"/>
      <c r="AV1316" s="418"/>
      <c r="AW1316" s="436">
        <v>0.28847975882859606</v>
      </c>
      <c r="AX1316" s="359"/>
      <c r="AY1316" s="359"/>
      <c r="AZ1316" s="359"/>
      <c r="BA1316" s="359"/>
      <c r="BB1316" s="359"/>
      <c r="BC1316" s="426"/>
      <c r="BD1316" s="359"/>
      <c r="BE1316" s="359"/>
      <c r="BF1316" s="469">
        <f t="shared" si="114"/>
        <v>0.28847975882859606</v>
      </c>
      <c r="BG1316" s="469"/>
      <c r="BH1316" s="460"/>
      <c r="BI1316" s="461"/>
      <c r="BJ1316" s="505"/>
    </row>
    <row r="1317" spans="1:62" ht="15" customHeight="1" thickBot="1" x14ac:dyDescent="0.25">
      <c r="A1317" s="176">
        <v>1318</v>
      </c>
      <c r="B1317" s="291">
        <v>1</v>
      </c>
      <c r="C1317" s="167" t="s">
        <v>3450</v>
      </c>
      <c r="D1317" s="167" t="s">
        <v>2769</v>
      </c>
      <c r="E1317" s="167" t="s">
        <v>13</v>
      </c>
      <c r="F1317" s="296" t="s">
        <v>3483</v>
      </c>
      <c r="G1317" s="167"/>
      <c r="H1317" s="167" t="s">
        <v>73</v>
      </c>
      <c r="I1317" s="184">
        <v>2005</v>
      </c>
      <c r="J1317" s="184" t="s">
        <v>3477</v>
      </c>
      <c r="K1317" s="184"/>
      <c r="L1317" s="184" t="s">
        <v>19</v>
      </c>
      <c r="M1317" s="556" t="s">
        <v>4330</v>
      </c>
      <c r="N1317" s="214" t="s">
        <v>122</v>
      </c>
      <c r="O1317" s="214"/>
      <c r="P1317" s="214"/>
      <c r="Q1317" s="214"/>
      <c r="R1317" s="214"/>
      <c r="S1317" s="214"/>
      <c r="T1317" s="214"/>
      <c r="U1317" s="214"/>
      <c r="V1317" s="214"/>
      <c r="W1317" s="214"/>
      <c r="X1317" s="214"/>
      <c r="Y1317" s="214"/>
      <c r="Z1317" s="234"/>
      <c r="AA1317" s="234"/>
      <c r="AB1317" s="234"/>
      <c r="AC1317" s="234"/>
      <c r="AD1317" s="319"/>
      <c r="AE1317" s="319"/>
      <c r="AF1317" s="162" t="str">
        <f t="shared" si="109"/>
        <v/>
      </c>
      <c r="AG1317" s="162" t="str">
        <f t="shared" si="113"/>
        <v/>
      </c>
      <c r="AH1317" s="164">
        <f t="shared" si="110"/>
        <v>0.23858742463393631</v>
      </c>
      <c r="AI1317" s="164" t="str">
        <f t="shared" si="111"/>
        <v/>
      </c>
      <c r="AJ1317" s="368"/>
      <c r="AK1317" s="368"/>
      <c r="AL1317" s="368"/>
      <c r="AM1317" s="368"/>
      <c r="AN1317" s="368"/>
      <c r="AO1317" s="368"/>
      <c r="AP1317" s="368"/>
      <c r="AQ1317" s="368"/>
      <c r="AR1317" s="389"/>
      <c r="AS1317" s="263"/>
      <c r="AT1317" s="271"/>
      <c r="AU1317" s="389"/>
      <c r="AV1317" s="418"/>
      <c r="AW1317" s="436">
        <v>0.23858742463393631</v>
      </c>
      <c r="AX1317" s="359"/>
      <c r="AY1317" s="359"/>
      <c r="AZ1317" s="359"/>
      <c r="BA1317" s="359"/>
      <c r="BB1317" s="359"/>
      <c r="BC1317" s="426"/>
      <c r="BD1317" s="359"/>
      <c r="BE1317" s="359"/>
      <c r="BF1317" s="469">
        <f t="shared" si="114"/>
        <v>0.23858742463393631</v>
      </c>
      <c r="BG1317" s="469"/>
      <c r="BH1317" s="460"/>
      <c r="BI1317" s="461"/>
      <c r="BJ1317" s="505"/>
    </row>
    <row r="1318" spans="1:62" ht="15" customHeight="1" thickBot="1" x14ac:dyDescent="0.25">
      <c r="A1318" s="176">
        <v>1319</v>
      </c>
      <c r="B1318" s="291">
        <v>1</v>
      </c>
      <c r="C1318" s="167" t="s">
        <v>3450</v>
      </c>
      <c r="D1318" s="167" t="s">
        <v>2769</v>
      </c>
      <c r="E1318" s="167" t="s">
        <v>13</v>
      </c>
      <c r="F1318" s="296" t="s">
        <v>3484</v>
      </c>
      <c r="G1318" s="167"/>
      <c r="H1318" s="167" t="s">
        <v>73</v>
      </c>
      <c r="I1318" s="184">
        <v>2005</v>
      </c>
      <c r="J1318" s="184" t="s">
        <v>3477</v>
      </c>
      <c r="K1318" s="184"/>
      <c r="L1318" s="184" t="s">
        <v>19</v>
      </c>
      <c r="M1318" s="556" t="s">
        <v>4330</v>
      </c>
      <c r="N1318" s="214" t="s">
        <v>122</v>
      </c>
      <c r="O1318" s="214"/>
      <c r="P1318" s="214"/>
      <c r="Q1318" s="214"/>
      <c r="R1318" s="214"/>
      <c r="S1318" s="214"/>
      <c r="T1318" s="214"/>
      <c r="U1318" s="214"/>
      <c r="V1318" s="214"/>
      <c r="W1318" s="214"/>
      <c r="X1318" s="214"/>
      <c r="Y1318" s="214"/>
      <c r="Z1318" s="234"/>
      <c r="AA1318" s="234"/>
      <c r="AB1318" s="234"/>
      <c r="AC1318" s="234"/>
      <c r="AD1318" s="319"/>
      <c r="AE1318" s="319"/>
      <c r="AF1318" s="162" t="str">
        <f t="shared" si="109"/>
        <v/>
      </c>
      <c r="AG1318" s="162" t="str">
        <f t="shared" si="113"/>
        <v/>
      </c>
      <c r="AH1318" s="164">
        <f t="shared" si="110"/>
        <v>0.28277347114556417</v>
      </c>
      <c r="AI1318" s="164" t="str">
        <f t="shared" si="111"/>
        <v/>
      </c>
      <c r="AJ1318" s="368"/>
      <c r="AK1318" s="368"/>
      <c r="AL1318" s="368"/>
      <c r="AM1318" s="368"/>
      <c r="AN1318" s="368"/>
      <c r="AO1318" s="368"/>
      <c r="AP1318" s="368"/>
      <c r="AQ1318" s="368"/>
      <c r="AR1318" s="389"/>
      <c r="AS1318" s="263"/>
      <c r="AT1318" s="271"/>
      <c r="AU1318" s="389"/>
      <c r="AV1318" s="418"/>
      <c r="AW1318" s="436">
        <v>0.28277347114556417</v>
      </c>
      <c r="AX1318" s="359"/>
      <c r="AY1318" s="359"/>
      <c r="AZ1318" s="359"/>
      <c r="BA1318" s="359"/>
      <c r="BB1318" s="359"/>
      <c r="BC1318" s="426"/>
      <c r="BD1318" s="359"/>
      <c r="BE1318" s="359"/>
      <c r="BF1318" s="469">
        <f t="shared" si="114"/>
        <v>0.28277347114556417</v>
      </c>
      <c r="BG1318" s="469"/>
      <c r="BH1318" s="460"/>
      <c r="BI1318" s="461"/>
      <c r="BJ1318" s="505"/>
    </row>
    <row r="1319" spans="1:62" ht="15" customHeight="1" thickBot="1" x14ac:dyDescent="0.25">
      <c r="A1319" s="176">
        <v>1320</v>
      </c>
      <c r="B1319" s="291">
        <v>1</v>
      </c>
      <c r="C1319" s="167" t="s">
        <v>2933</v>
      </c>
      <c r="D1319" s="167" t="s">
        <v>2745</v>
      </c>
      <c r="E1319" s="167"/>
      <c r="F1319" s="167" t="s">
        <v>3485</v>
      </c>
      <c r="G1319" s="167"/>
      <c r="H1319" s="171" t="s">
        <v>3156</v>
      </c>
      <c r="I1319" s="189">
        <v>2011</v>
      </c>
      <c r="J1319" s="189" t="s">
        <v>3173</v>
      </c>
      <c r="K1319" s="189" t="s">
        <v>3174</v>
      </c>
      <c r="L1319" s="189" t="s">
        <v>19</v>
      </c>
      <c r="M1319" s="556" t="s">
        <v>4303</v>
      </c>
      <c r="N1319" s="214" t="s">
        <v>122</v>
      </c>
      <c r="O1319" s="214" t="s">
        <v>292</v>
      </c>
      <c r="P1319" s="214"/>
      <c r="Q1319" s="214"/>
      <c r="R1319" s="214"/>
      <c r="S1319" s="214"/>
      <c r="T1319" s="214"/>
      <c r="U1319" s="214"/>
      <c r="V1319" s="214"/>
      <c r="W1319" s="214"/>
      <c r="X1319" s="214"/>
      <c r="Y1319" s="214"/>
      <c r="Z1319" s="234"/>
      <c r="AA1319" s="234" t="s">
        <v>3106</v>
      </c>
      <c r="AB1319" s="234"/>
      <c r="AC1319" s="234"/>
      <c r="AD1319" s="319" t="s">
        <v>3486</v>
      </c>
      <c r="AE1319" s="319"/>
      <c r="AF1319" s="162" t="str">
        <f t="shared" si="109"/>
        <v/>
      </c>
      <c r="AG1319" s="162" t="str">
        <f t="shared" si="113"/>
        <v/>
      </c>
      <c r="AH1319" s="164">
        <f t="shared" si="110"/>
        <v>22.6</v>
      </c>
      <c r="AI1319" s="164" t="str">
        <f t="shared" si="111"/>
        <v/>
      </c>
      <c r="AJ1319" s="368"/>
      <c r="AK1319" s="368"/>
      <c r="AL1319" s="368"/>
      <c r="AM1319" s="368"/>
      <c r="AN1319" s="368"/>
      <c r="AO1319" s="368"/>
      <c r="AP1319" s="368"/>
      <c r="AQ1319" s="368"/>
      <c r="AR1319" s="389"/>
      <c r="AS1319" s="263"/>
      <c r="AT1319" s="271"/>
      <c r="AU1319" s="389"/>
      <c r="AV1319" s="418"/>
      <c r="AW1319" s="436">
        <v>22.6</v>
      </c>
      <c r="AX1319" s="359"/>
      <c r="AY1319" s="359"/>
      <c r="AZ1319" s="359"/>
      <c r="BA1319" s="359"/>
      <c r="BB1319" s="359"/>
      <c r="BC1319" s="426"/>
      <c r="BD1319" s="359"/>
      <c r="BE1319" s="359"/>
      <c r="BF1319" s="469">
        <f t="shared" si="114"/>
        <v>22.6</v>
      </c>
      <c r="BG1319" s="469"/>
      <c r="BH1319" s="460"/>
      <c r="BI1319" s="461"/>
      <c r="BJ1319" s="505"/>
    </row>
    <row r="1320" spans="1:62" ht="15" customHeight="1" thickBot="1" x14ac:dyDescent="0.25">
      <c r="A1320" s="176">
        <v>1321</v>
      </c>
      <c r="B1320" s="291">
        <v>1</v>
      </c>
      <c r="C1320" s="167" t="s">
        <v>2933</v>
      </c>
      <c r="D1320" s="278" t="s">
        <v>4010</v>
      </c>
      <c r="E1320" s="167"/>
      <c r="F1320" s="167" t="s">
        <v>3485</v>
      </c>
      <c r="G1320" s="167"/>
      <c r="H1320" s="171" t="s">
        <v>3156</v>
      </c>
      <c r="I1320" s="189">
        <v>2011</v>
      </c>
      <c r="J1320" s="189" t="s">
        <v>3173</v>
      </c>
      <c r="K1320" s="189" t="s">
        <v>3174</v>
      </c>
      <c r="L1320" s="189" t="s">
        <v>19</v>
      </c>
      <c r="M1320" s="556" t="s">
        <v>4303</v>
      </c>
      <c r="N1320" s="214" t="s">
        <v>122</v>
      </c>
      <c r="O1320" s="214" t="s">
        <v>292</v>
      </c>
      <c r="P1320" s="214"/>
      <c r="Q1320" s="214"/>
      <c r="R1320" s="214"/>
      <c r="S1320" s="214"/>
      <c r="T1320" s="214"/>
      <c r="U1320" s="214"/>
      <c r="V1320" s="214"/>
      <c r="W1320" s="214"/>
      <c r="X1320" s="214"/>
      <c r="Y1320" s="214"/>
      <c r="Z1320" s="234"/>
      <c r="AA1320" s="234" t="s">
        <v>3106</v>
      </c>
      <c r="AB1320" s="234"/>
      <c r="AC1320" s="234"/>
      <c r="AD1320" s="319" t="s">
        <v>3486</v>
      </c>
      <c r="AE1320" s="319"/>
      <c r="AF1320" s="162" t="str">
        <f t="shared" si="109"/>
        <v/>
      </c>
      <c r="AG1320" s="162" t="str">
        <f t="shared" si="113"/>
        <v/>
      </c>
      <c r="AH1320" s="164">
        <f t="shared" si="110"/>
        <v>1.6</v>
      </c>
      <c r="AI1320" s="164" t="str">
        <f t="shared" si="111"/>
        <v/>
      </c>
      <c r="AJ1320" s="368"/>
      <c r="AK1320" s="368"/>
      <c r="AL1320" s="368"/>
      <c r="AM1320" s="368"/>
      <c r="AN1320" s="368"/>
      <c r="AO1320" s="368"/>
      <c r="AP1320" s="368"/>
      <c r="AQ1320" s="368"/>
      <c r="AR1320" s="389"/>
      <c r="AS1320" s="263"/>
      <c r="AT1320" s="271"/>
      <c r="AU1320" s="389"/>
      <c r="AV1320" s="418"/>
      <c r="AW1320" s="436">
        <v>1.6</v>
      </c>
      <c r="AX1320" s="359"/>
      <c r="AY1320" s="359"/>
      <c r="AZ1320" s="359"/>
      <c r="BA1320" s="359"/>
      <c r="BB1320" s="359"/>
      <c r="BC1320" s="426"/>
      <c r="BD1320" s="359"/>
      <c r="BE1320" s="359"/>
      <c r="BF1320" s="469">
        <f t="shared" si="114"/>
        <v>1.6</v>
      </c>
      <c r="BG1320" s="469"/>
      <c r="BH1320" s="460"/>
      <c r="BI1320" s="461"/>
      <c r="BJ1320" s="505"/>
    </row>
    <row r="1321" spans="1:62" ht="15" customHeight="1" thickBot="1" x14ac:dyDescent="0.25">
      <c r="A1321" s="176">
        <v>1322</v>
      </c>
      <c r="B1321" s="291">
        <v>1</v>
      </c>
      <c r="C1321" s="167" t="s">
        <v>39</v>
      </c>
      <c r="D1321" s="167" t="s">
        <v>40</v>
      </c>
      <c r="E1321" s="167"/>
      <c r="F1321" s="167" t="s">
        <v>3485</v>
      </c>
      <c r="G1321" s="167"/>
      <c r="H1321" s="171" t="s">
        <v>3156</v>
      </c>
      <c r="I1321" s="189">
        <v>2011</v>
      </c>
      <c r="J1321" s="189" t="s">
        <v>3173</v>
      </c>
      <c r="K1321" s="189" t="s">
        <v>3174</v>
      </c>
      <c r="L1321" s="189" t="s">
        <v>19</v>
      </c>
      <c r="M1321" s="556" t="s">
        <v>4303</v>
      </c>
      <c r="N1321" s="214" t="s">
        <v>122</v>
      </c>
      <c r="O1321" s="214" t="s">
        <v>292</v>
      </c>
      <c r="P1321" s="214"/>
      <c r="Q1321" s="214"/>
      <c r="R1321" s="214"/>
      <c r="S1321" s="214"/>
      <c r="T1321" s="214"/>
      <c r="U1321" s="214"/>
      <c r="V1321" s="214"/>
      <c r="W1321" s="214"/>
      <c r="X1321" s="214"/>
      <c r="Y1321" s="214"/>
      <c r="Z1321" s="234"/>
      <c r="AA1321" s="234" t="s">
        <v>3106</v>
      </c>
      <c r="AB1321" s="234"/>
      <c r="AC1321" s="234"/>
      <c r="AD1321" s="319" t="s">
        <v>3487</v>
      </c>
      <c r="AE1321" s="319"/>
      <c r="AF1321" s="162" t="str">
        <f t="shared" si="109"/>
        <v/>
      </c>
      <c r="AG1321" s="162" t="str">
        <f t="shared" si="113"/>
        <v/>
      </c>
      <c r="AH1321" s="164">
        <f t="shared" si="110"/>
        <v>1.7</v>
      </c>
      <c r="AI1321" s="164" t="str">
        <f t="shared" si="111"/>
        <v/>
      </c>
      <c r="AJ1321" s="368"/>
      <c r="AK1321" s="368"/>
      <c r="AL1321" s="368"/>
      <c r="AM1321" s="368"/>
      <c r="AN1321" s="368"/>
      <c r="AO1321" s="368"/>
      <c r="AP1321" s="368"/>
      <c r="AQ1321" s="368"/>
      <c r="AR1321" s="389"/>
      <c r="AS1321" s="263"/>
      <c r="AT1321" s="271"/>
      <c r="AU1321" s="389"/>
      <c r="AV1321" s="418"/>
      <c r="AW1321" s="436">
        <v>1.7</v>
      </c>
      <c r="AX1321" s="359"/>
      <c r="AY1321" s="359"/>
      <c r="AZ1321" s="359"/>
      <c r="BA1321" s="359"/>
      <c r="BB1321" s="359"/>
      <c r="BC1321" s="426"/>
      <c r="BD1321" s="359"/>
      <c r="BE1321" s="359"/>
      <c r="BF1321" s="469">
        <f t="shared" si="114"/>
        <v>1.7</v>
      </c>
      <c r="BG1321" s="469"/>
      <c r="BH1321" s="460"/>
      <c r="BI1321" s="461"/>
      <c r="BJ1321" s="505"/>
    </row>
    <row r="1322" spans="1:62" ht="15" customHeight="1" thickBot="1" x14ac:dyDescent="0.25">
      <c r="A1322" s="176">
        <v>1323</v>
      </c>
      <c r="B1322" s="291">
        <v>1</v>
      </c>
      <c r="C1322" s="167" t="s">
        <v>11</v>
      </c>
      <c r="D1322" s="167" t="s">
        <v>12</v>
      </c>
      <c r="E1322" s="167"/>
      <c r="F1322" s="167" t="s">
        <v>3485</v>
      </c>
      <c r="G1322" s="167"/>
      <c r="H1322" s="171" t="s">
        <v>3156</v>
      </c>
      <c r="I1322" s="189">
        <v>2011</v>
      </c>
      <c r="J1322" s="189" t="s">
        <v>3173</v>
      </c>
      <c r="K1322" s="189" t="s">
        <v>3174</v>
      </c>
      <c r="L1322" s="189" t="s">
        <v>19</v>
      </c>
      <c r="M1322" s="556" t="s">
        <v>4303</v>
      </c>
      <c r="N1322" s="214" t="s">
        <v>122</v>
      </c>
      <c r="O1322" s="214" t="s">
        <v>292</v>
      </c>
      <c r="P1322" s="214"/>
      <c r="Q1322" s="214"/>
      <c r="R1322" s="214"/>
      <c r="S1322" s="214"/>
      <c r="T1322" s="214"/>
      <c r="U1322" s="214"/>
      <c r="V1322" s="214"/>
      <c r="W1322" s="214"/>
      <c r="X1322" s="214"/>
      <c r="Y1322" s="214"/>
      <c r="Z1322" s="234"/>
      <c r="AA1322" s="234" t="s">
        <v>3106</v>
      </c>
      <c r="AB1322" s="234"/>
      <c r="AC1322" s="234"/>
      <c r="AD1322" s="319" t="s">
        <v>3488</v>
      </c>
      <c r="AE1322" s="319"/>
      <c r="AF1322" s="162" t="str">
        <f t="shared" si="109"/>
        <v/>
      </c>
      <c r="AG1322" s="162" t="str">
        <f t="shared" si="113"/>
        <v/>
      </c>
      <c r="AH1322" s="164">
        <f t="shared" si="110"/>
        <v>14.3</v>
      </c>
      <c r="AI1322" s="164" t="str">
        <f t="shared" si="111"/>
        <v/>
      </c>
      <c r="AJ1322" s="368"/>
      <c r="AK1322" s="368"/>
      <c r="AL1322" s="368"/>
      <c r="AM1322" s="368"/>
      <c r="AN1322" s="368"/>
      <c r="AO1322" s="368"/>
      <c r="AP1322" s="368"/>
      <c r="AQ1322" s="368"/>
      <c r="AR1322" s="389"/>
      <c r="AS1322" s="263"/>
      <c r="AT1322" s="271"/>
      <c r="AU1322" s="389"/>
      <c r="AV1322" s="418"/>
      <c r="AW1322" s="436">
        <v>14.3</v>
      </c>
      <c r="AX1322" s="359"/>
      <c r="AY1322" s="359"/>
      <c r="AZ1322" s="359"/>
      <c r="BA1322" s="359"/>
      <c r="BB1322" s="359"/>
      <c r="BC1322" s="426"/>
      <c r="BD1322" s="359"/>
      <c r="BE1322" s="359"/>
      <c r="BF1322" s="469">
        <f t="shared" si="114"/>
        <v>14.3</v>
      </c>
      <c r="BG1322" s="469"/>
      <c r="BH1322" s="460"/>
      <c r="BI1322" s="461"/>
      <c r="BJ1322" s="505"/>
    </row>
    <row r="1323" spans="1:62" ht="15" customHeight="1" thickBot="1" x14ac:dyDescent="0.25">
      <c r="A1323" s="176">
        <v>1324</v>
      </c>
      <c r="B1323" s="291">
        <v>1</v>
      </c>
      <c r="C1323" s="167" t="s">
        <v>11</v>
      </c>
      <c r="D1323" s="167" t="s">
        <v>12</v>
      </c>
      <c r="E1323" s="167"/>
      <c r="F1323" s="167" t="s">
        <v>3489</v>
      </c>
      <c r="G1323" s="167"/>
      <c r="H1323" s="167" t="s">
        <v>42</v>
      </c>
      <c r="I1323" s="184">
        <v>2005</v>
      </c>
      <c r="J1323" s="181" t="s">
        <v>3490</v>
      </c>
      <c r="K1323" s="184" t="s">
        <v>3491</v>
      </c>
      <c r="L1323" s="184" t="s">
        <v>19</v>
      </c>
      <c r="M1323" s="556" t="s">
        <v>4331</v>
      </c>
      <c r="N1323" s="214" t="s">
        <v>122</v>
      </c>
      <c r="O1323" s="214" t="s">
        <v>292</v>
      </c>
      <c r="P1323" s="214"/>
      <c r="Q1323" s="214"/>
      <c r="R1323" s="214"/>
      <c r="S1323" s="214"/>
      <c r="T1323" s="214"/>
      <c r="U1323" s="214"/>
      <c r="V1323" s="214"/>
      <c r="W1323" s="214"/>
      <c r="X1323" s="214"/>
      <c r="Y1323" s="214"/>
      <c r="Z1323" s="234"/>
      <c r="AA1323" s="234" t="s">
        <v>3106</v>
      </c>
      <c r="AB1323" s="234"/>
      <c r="AC1323" s="234"/>
      <c r="AD1323" s="319" t="s">
        <v>343</v>
      </c>
      <c r="AE1323" s="319"/>
      <c r="AF1323" s="162">
        <f t="shared" si="109"/>
        <v>2.48</v>
      </c>
      <c r="AG1323" s="162" t="str">
        <f t="shared" si="113"/>
        <v/>
      </c>
      <c r="AH1323" s="164">
        <f t="shared" si="110"/>
        <v>1.81</v>
      </c>
      <c r="AI1323" s="164" t="str">
        <f t="shared" si="111"/>
        <v/>
      </c>
      <c r="AJ1323" s="368">
        <v>2.48</v>
      </c>
      <c r="AK1323" s="368"/>
      <c r="AL1323" s="368"/>
      <c r="AM1323" s="368"/>
      <c r="AN1323" s="368"/>
      <c r="AO1323" s="368"/>
      <c r="AP1323" s="368"/>
      <c r="AQ1323" s="368"/>
      <c r="AR1323" s="389"/>
      <c r="AS1323" s="263">
        <f>AJ1323</f>
        <v>2.48</v>
      </c>
      <c r="AT1323" s="271"/>
      <c r="AU1323" s="389"/>
      <c r="AV1323" s="418" t="s">
        <v>3492</v>
      </c>
      <c r="AW1323" s="436">
        <v>1.81</v>
      </c>
      <c r="AX1323" s="359"/>
      <c r="AY1323" s="359"/>
      <c r="AZ1323" s="359"/>
      <c r="BA1323" s="359"/>
      <c r="BB1323" s="359"/>
      <c r="BC1323" s="426"/>
      <c r="BD1323" s="359"/>
      <c r="BE1323" s="359"/>
      <c r="BF1323" s="469">
        <f t="shared" si="114"/>
        <v>1.81</v>
      </c>
      <c r="BG1323" s="469"/>
      <c r="BH1323" s="460" t="s">
        <v>3493</v>
      </c>
      <c r="BI1323" s="461"/>
      <c r="BJ1323" s="505"/>
    </row>
    <row r="1324" spans="1:62" ht="15" customHeight="1" thickBot="1" x14ac:dyDescent="0.25">
      <c r="A1324" s="176">
        <v>1325</v>
      </c>
      <c r="B1324" s="291">
        <v>1</v>
      </c>
      <c r="C1324" s="167" t="s">
        <v>2933</v>
      </c>
      <c r="D1324" s="167" t="s">
        <v>2745</v>
      </c>
      <c r="E1324" s="167"/>
      <c r="F1324" s="167" t="s">
        <v>3494</v>
      </c>
      <c r="G1324" s="167"/>
      <c r="H1324" s="167" t="s">
        <v>376</v>
      </c>
      <c r="I1324" s="184">
        <v>2006</v>
      </c>
      <c r="J1324" s="181" t="s">
        <v>3495</v>
      </c>
      <c r="K1324" s="184" t="s">
        <v>3496</v>
      </c>
      <c r="L1324" s="184" t="s">
        <v>19</v>
      </c>
      <c r="M1324" s="556" t="s">
        <v>4332</v>
      </c>
      <c r="N1324" s="214" t="s">
        <v>122</v>
      </c>
      <c r="O1324" s="214" t="s">
        <v>292</v>
      </c>
      <c r="P1324" s="214"/>
      <c r="Q1324" s="214"/>
      <c r="R1324" s="214"/>
      <c r="S1324" s="214"/>
      <c r="T1324" s="214"/>
      <c r="U1324" s="214"/>
      <c r="V1324" s="214"/>
      <c r="W1324" s="214"/>
      <c r="X1324" s="214"/>
      <c r="Y1324" s="214"/>
      <c r="Z1324" s="234"/>
      <c r="AA1324" s="234" t="s">
        <v>3106</v>
      </c>
      <c r="AB1324" s="234"/>
      <c r="AC1324" s="234"/>
      <c r="AD1324" s="319" t="s">
        <v>3497</v>
      </c>
      <c r="AE1324" s="319" t="s">
        <v>305</v>
      </c>
      <c r="AF1324" s="162" t="str">
        <f t="shared" si="109"/>
        <v/>
      </c>
      <c r="AG1324" s="162" t="str">
        <f t="shared" si="113"/>
        <v/>
      </c>
      <c r="AH1324" s="164">
        <f t="shared" si="110"/>
        <v>28.04245717672725</v>
      </c>
      <c r="AI1324" s="164" t="str">
        <f t="shared" si="111"/>
        <v/>
      </c>
      <c r="AJ1324" s="370"/>
      <c r="AK1324" s="368"/>
      <c r="AL1324" s="370"/>
      <c r="AM1324" s="368"/>
      <c r="AN1324" s="368"/>
      <c r="AO1324" s="370"/>
      <c r="AP1324" s="370"/>
      <c r="AQ1324" s="368"/>
      <c r="AR1324" s="389"/>
      <c r="AS1324" s="265"/>
      <c r="AT1324" s="272"/>
      <c r="AU1324" s="389"/>
      <c r="AV1324" s="421"/>
      <c r="AW1324" s="436">
        <f>11.26/0.667/0.602</f>
        <v>28.04245717672725</v>
      </c>
      <c r="AX1324" s="359"/>
      <c r="AY1324" s="359"/>
      <c r="AZ1324" s="359"/>
      <c r="BA1324" s="359"/>
      <c r="BB1324" s="359"/>
      <c r="BC1324" s="426"/>
      <c r="BD1324" s="359"/>
      <c r="BE1324" s="359"/>
      <c r="BF1324" s="469">
        <f t="shared" si="114"/>
        <v>28.04245717672725</v>
      </c>
      <c r="BG1324" s="469"/>
      <c r="BH1324" s="460"/>
      <c r="BI1324" s="461"/>
      <c r="BJ1324" s="505"/>
    </row>
    <row r="1325" spans="1:62" ht="15" customHeight="1" thickBot="1" x14ac:dyDescent="0.25">
      <c r="A1325" s="176">
        <v>1326</v>
      </c>
      <c r="B1325" s="291">
        <v>1</v>
      </c>
      <c r="C1325" s="167" t="s">
        <v>2933</v>
      </c>
      <c r="D1325" s="167" t="s">
        <v>2745</v>
      </c>
      <c r="E1325" s="167"/>
      <c r="F1325" s="167" t="s">
        <v>3498</v>
      </c>
      <c r="G1325" s="167"/>
      <c r="H1325" s="167" t="s">
        <v>376</v>
      </c>
      <c r="I1325" s="184">
        <v>2006</v>
      </c>
      <c r="J1325" s="181" t="s">
        <v>3495</v>
      </c>
      <c r="K1325" s="184" t="s">
        <v>3496</v>
      </c>
      <c r="L1325" s="184" t="s">
        <v>19</v>
      </c>
      <c r="M1325" s="556" t="s">
        <v>4332</v>
      </c>
      <c r="N1325" s="214" t="s">
        <v>122</v>
      </c>
      <c r="O1325" s="214" t="s">
        <v>292</v>
      </c>
      <c r="P1325" s="214"/>
      <c r="Q1325" s="214"/>
      <c r="R1325" s="214"/>
      <c r="S1325" s="214"/>
      <c r="T1325" s="214"/>
      <c r="U1325" s="214"/>
      <c r="V1325" s="214"/>
      <c r="W1325" s="214"/>
      <c r="X1325" s="214"/>
      <c r="Y1325" s="214"/>
      <c r="Z1325" s="234"/>
      <c r="AA1325" s="234" t="s">
        <v>3106</v>
      </c>
      <c r="AB1325" s="234"/>
      <c r="AC1325" s="234"/>
      <c r="AD1325" s="319" t="s">
        <v>3497</v>
      </c>
      <c r="AE1325" s="319" t="s">
        <v>305</v>
      </c>
      <c r="AF1325" s="162" t="str">
        <f t="shared" ref="AF1325:AF1388" si="115">IF(AS1325&lt;&gt;0,AS1325,"")</f>
        <v/>
      </c>
      <c r="AG1325" s="162" t="str">
        <f t="shared" si="113"/>
        <v/>
      </c>
      <c r="AH1325" s="164">
        <f t="shared" si="110"/>
        <v>27.718698790139815</v>
      </c>
      <c r="AI1325" s="164" t="str">
        <f t="shared" si="111"/>
        <v/>
      </c>
      <c r="AJ1325" s="370"/>
      <c r="AK1325" s="368"/>
      <c r="AL1325" s="370"/>
      <c r="AM1325" s="368"/>
      <c r="AN1325" s="368"/>
      <c r="AO1325" s="370"/>
      <c r="AP1325" s="370"/>
      <c r="AQ1325" s="368"/>
      <c r="AR1325" s="389"/>
      <c r="AS1325" s="265"/>
      <c r="AT1325" s="272"/>
      <c r="AU1325" s="389"/>
      <c r="AV1325" s="418"/>
      <c r="AW1325" s="436">
        <f>11.13/0.667/0.602</f>
        <v>27.718698790139815</v>
      </c>
      <c r="AX1325" s="359"/>
      <c r="AY1325" s="359"/>
      <c r="AZ1325" s="359"/>
      <c r="BA1325" s="359"/>
      <c r="BB1325" s="359"/>
      <c r="BC1325" s="426"/>
      <c r="BD1325" s="359"/>
      <c r="BE1325" s="359"/>
      <c r="BF1325" s="469">
        <f t="shared" si="114"/>
        <v>27.718698790139815</v>
      </c>
      <c r="BG1325" s="469"/>
      <c r="BH1325" s="460"/>
      <c r="BI1325" s="461"/>
      <c r="BJ1325" s="505"/>
    </row>
    <row r="1326" spans="1:62" ht="15" customHeight="1" thickBot="1" x14ac:dyDescent="0.25">
      <c r="A1326" s="176">
        <v>1327</v>
      </c>
      <c r="B1326" s="291">
        <v>1</v>
      </c>
      <c r="C1326" s="167" t="s">
        <v>2933</v>
      </c>
      <c r="D1326" s="167" t="s">
        <v>2745</v>
      </c>
      <c r="E1326" s="167"/>
      <c r="F1326" s="167" t="s">
        <v>3499</v>
      </c>
      <c r="G1326" s="167"/>
      <c r="H1326" s="167" t="s">
        <v>376</v>
      </c>
      <c r="I1326" s="184">
        <v>2006</v>
      </c>
      <c r="J1326" s="181" t="s">
        <v>3495</v>
      </c>
      <c r="K1326" s="184" t="s">
        <v>3496</v>
      </c>
      <c r="L1326" s="184" t="s">
        <v>19</v>
      </c>
      <c r="M1326" s="556" t="s">
        <v>4332</v>
      </c>
      <c r="N1326" s="214" t="s">
        <v>122</v>
      </c>
      <c r="O1326" s="214" t="s">
        <v>292</v>
      </c>
      <c r="P1326" s="214"/>
      <c r="Q1326" s="214"/>
      <c r="R1326" s="214"/>
      <c r="S1326" s="214"/>
      <c r="T1326" s="214"/>
      <c r="U1326" s="214"/>
      <c r="V1326" s="214"/>
      <c r="W1326" s="214"/>
      <c r="X1326" s="214"/>
      <c r="Y1326" s="214"/>
      <c r="Z1326" s="234"/>
      <c r="AA1326" s="234" t="s">
        <v>3106</v>
      </c>
      <c r="AB1326" s="234"/>
      <c r="AC1326" s="234"/>
      <c r="AD1326" s="319" t="s">
        <v>3497</v>
      </c>
      <c r="AE1326" s="319" t="s">
        <v>305</v>
      </c>
      <c r="AF1326" s="162" t="str">
        <f t="shared" si="115"/>
        <v/>
      </c>
      <c r="AG1326" s="162" t="str">
        <f t="shared" si="113"/>
        <v/>
      </c>
      <c r="AH1326" s="164">
        <f t="shared" si="110"/>
        <v>27.4945583686562</v>
      </c>
      <c r="AI1326" s="164" t="str">
        <f t="shared" si="111"/>
        <v/>
      </c>
      <c r="AJ1326" s="370"/>
      <c r="AK1326" s="368"/>
      <c r="AL1326" s="370"/>
      <c r="AM1326" s="368"/>
      <c r="AN1326" s="368"/>
      <c r="AO1326" s="370"/>
      <c r="AP1326" s="370"/>
      <c r="AQ1326" s="368"/>
      <c r="AR1326" s="389"/>
      <c r="AS1326" s="265"/>
      <c r="AT1326" s="272"/>
      <c r="AU1326" s="389"/>
      <c r="AV1326" s="418"/>
      <c r="AW1326" s="436">
        <f>11.04/0.667/0.602</f>
        <v>27.4945583686562</v>
      </c>
      <c r="AX1326" s="359"/>
      <c r="AY1326" s="359"/>
      <c r="AZ1326" s="359"/>
      <c r="BA1326" s="359"/>
      <c r="BB1326" s="359"/>
      <c r="BC1326" s="426"/>
      <c r="BD1326" s="359"/>
      <c r="BE1326" s="359"/>
      <c r="BF1326" s="469">
        <f t="shared" si="114"/>
        <v>27.4945583686562</v>
      </c>
      <c r="BG1326" s="469"/>
      <c r="BH1326" s="460"/>
      <c r="BI1326" s="461"/>
      <c r="BJ1326" s="505"/>
    </row>
    <row r="1327" spans="1:62" ht="15" customHeight="1" thickBot="1" x14ac:dyDescent="0.25">
      <c r="A1327" s="176">
        <v>1328</v>
      </c>
      <c r="B1327" s="291">
        <v>1</v>
      </c>
      <c r="C1327" s="167" t="s">
        <v>2933</v>
      </c>
      <c r="D1327" s="167" t="s">
        <v>2745</v>
      </c>
      <c r="E1327" s="167"/>
      <c r="F1327" s="167" t="s">
        <v>3500</v>
      </c>
      <c r="G1327" s="167"/>
      <c r="H1327" s="167" t="s">
        <v>376</v>
      </c>
      <c r="I1327" s="184">
        <v>2006</v>
      </c>
      <c r="J1327" s="181" t="s">
        <v>3495</v>
      </c>
      <c r="K1327" s="184" t="s">
        <v>3496</v>
      </c>
      <c r="L1327" s="184" t="s">
        <v>19</v>
      </c>
      <c r="M1327" s="556" t="s">
        <v>4332</v>
      </c>
      <c r="N1327" s="214" t="s">
        <v>122</v>
      </c>
      <c r="O1327" s="214" t="s">
        <v>292</v>
      </c>
      <c r="P1327" s="214"/>
      <c r="Q1327" s="214"/>
      <c r="R1327" s="214"/>
      <c r="S1327" s="214"/>
      <c r="T1327" s="214"/>
      <c r="U1327" s="214"/>
      <c r="V1327" s="214"/>
      <c r="W1327" s="214"/>
      <c r="X1327" s="214"/>
      <c r="Y1327" s="214"/>
      <c r="Z1327" s="234"/>
      <c r="AA1327" s="234" t="s">
        <v>3106</v>
      </c>
      <c r="AB1327" s="234"/>
      <c r="AC1327" s="234"/>
      <c r="AD1327" s="319" t="s">
        <v>3497</v>
      </c>
      <c r="AE1327" s="319" t="s">
        <v>305</v>
      </c>
      <c r="AF1327" s="162" t="str">
        <f t="shared" si="115"/>
        <v/>
      </c>
      <c r="AG1327" s="162" t="str">
        <f t="shared" si="113"/>
        <v/>
      </c>
      <c r="AH1327" s="164">
        <f t="shared" si="110"/>
        <v>25.925575418270931</v>
      </c>
      <c r="AI1327" s="164" t="str">
        <f t="shared" si="111"/>
        <v/>
      </c>
      <c r="AJ1327" s="370"/>
      <c r="AK1327" s="368"/>
      <c r="AL1327" s="370"/>
      <c r="AM1327" s="368"/>
      <c r="AN1327" s="368"/>
      <c r="AO1327" s="370"/>
      <c r="AP1327" s="370"/>
      <c r="AQ1327" s="368"/>
      <c r="AR1327" s="389"/>
      <c r="AS1327" s="265"/>
      <c r="AT1327" s="272"/>
      <c r="AU1327" s="389"/>
      <c r="AV1327" s="418"/>
      <c r="AW1327" s="436">
        <f>10.41/0.667/0.602</f>
        <v>25.925575418270931</v>
      </c>
      <c r="AX1327" s="359"/>
      <c r="AY1327" s="359"/>
      <c r="AZ1327" s="359"/>
      <c r="BA1327" s="359"/>
      <c r="BB1327" s="359"/>
      <c r="BC1327" s="426"/>
      <c r="BD1327" s="359"/>
      <c r="BE1327" s="359"/>
      <c r="BF1327" s="469">
        <f t="shared" si="114"/>
        <v>25.925575418270931</v>
      </c>
      <c r="BG1327" s="469"/>
      <c r="BH1327" s="460"/>
      <c r="BI1327" s="461"/>
      <c r="BJ1327" s="505"/>
    </row>
    <row r="1328" spans="1:62" ht="15" customHeight="1" thickBot="1" x14ac:dyDescent="0.25">
      <c r="A1328" s="176">
        <v>1329</v>
      </c>
      <c r="B1328" s="291">
        <v>1</v>
      </c>
      <c r="C1328" s="167" t="s">
        <v>2933</v>
      </c>
      <c r="D1328" s="167" t="s">
        <v>2745</v>
      </c>
      <c r="E1328" s="167"/>
      <c r="F1328" s="167" t="s">
        <v>3501</v>
      </c>
      <c r="G1328" s="167"/>
      <c r="H1328" s="167" t="s">
        <v>376</v>
      </c>
      <c r="I1328" s="184">
        <v>2006</v>
      </c>
      <c r="J1328" s="181" t="s">
        <v>3495</v>
      </c>
      <c r="K1328" s="184" t="s">
        <v>3496</v>
      </c>
      <c r="L1328" s="184" t="s">
        <v>19</v>
      </c>
      <c r="M1328" s="556" t="s">
        <v>4332</v>
      </c>
      <c r="N1328" s="214" t="s">
        <v>122</v>
      </c>
      <c r="O1328" s="214" t="s">
        <v>292</v>
      </c>
      <c r="P1328" s="214"/>
      <c r="Q1328" s="214"/>
      <c r="R1328" s="214"/>
      <c r="S1328" s="214"/>
      <c r="T1328" s="214"/>
      <c r="U1328" s="214"/>
      <c r="V1328" s="214"/>
      <c r="W1328" s="214"/>
      <c r="X1328" s="214"/>
      <c r="Y1328" s="214"/>
      <c r="Z1328" s="234"/>
      <c r="AA1328" s="234" t="s">
        <v>3106</v>
      </c>
      <c r="AB1328" s="234"/>
      <c r="AC1328" s="234"/>
      <c r="AD1328" s="319" t="s">
        <v>3497</v>
      </c>
      <c r="AE1328" s="319" t="s">
        <v>305</v>
      </c>
      <c r="AF1328" s="162" t="str">
        <f t="shared" si="115"/>
        <v/>
      </c>
      <c r="AG1328" s="162" t="str">
        <f t="shared" si="113"/>
        <v/>
      </c>
      <c r="AH1328" s="164">
        <f t="shared" si="110"/>
        <v>26.99646854313707</v>
      </c>
      <c r="AI1328" s="164" t="str">
        <f t="shared" si="111"/>
        <v/>
      </c>
      <c r="AJ1328" s="368"/>
      <c r="AK1328" s="368"/>
      <c r="AL1328" s="368"/>
      <c r="AM1328" s="368"/>
      <c r="AN1328" s="368"/>
      <c r="AO1328" s="368"/>
      <c r="AP1328" s="368"/>
      <c r="AQ1328" s="368"/>
      <c r="AR1328" s="389"/>
      <c r="AS1328" s="263"/>
      <c r="AT1328" s="271"/>
      <c r="AU1328" s="389"/>
      <c r="AV1328" s="418"/>
      <c r="AW1328" s="436">
        <f>10.84/0.667/0.602</f>
        <v>26.99646854313707</v>
      </c>
      <c r="AX1328" s="359"/>
      <c r="AY1328" s="359"/>
      <c r="AZ1328" s="359"/>
      <c r="BA1328" s="359"/>
      <c r="BB1328" s="359"/>
      <c r="BC1328" s="426"/>
      <c r="BD1328" s="359"/>
      <c r="BE1328" s="359"/>
      <c r="BF1328" s="469">
        <f t="shared" si="114"/>
        <v>26.99646854313707</v>
      </c>
      <c r="BG1328" s="469"/>
      <c r="BH1328" s="460"/>
      <c r="BI1328" s="461"/>
      <c r="BJ1328" s="505"/>
    </row>
    <row r="1329" spans="1:62" ht="15" customHeight="1" thickBot="1" x14ac:dyDescent="0.25">
      <c r="A1329" s="176">
        <v>1330</v>
      </c>
      <c r="B1329" s="291">
        <v>1</v>
      </c>
      <c r="C1329" s="167" t="s">
        <v>2933</v>
      </c>
      <c r="D1329" s="167" t="s">
        <v>2745</v>
      </c>
      <c r="E1329" s="167"/>
      <c r="F1329" s="167" t="s">
        <v>3502</v>
      </c>
      <c r="G1329" s="167"/>
      <c r="H1329" s="167" t="s">
        <v>376</v>
      </c>
      <c r="I1329" s="184">
        <v>2006</v>
      </c>
      <c r="J1329" s="181" t="s">
        <v>3495</v>
      </c>
      <c r="K1329" s="184" t="s">
        <v>3496</v>
      </c>
      <c r="L1329" s="184" t="s">
        <v>19</v>
      </c>
      <c r="M1329" s="556" t="s">
        <v>4332</v>
      </c>
      <c r="N1329" s="214" t="s">
        <v>122</v>
      </c>
      <c r="O1329" s="214" t="s">
        <v>292</v>
      </c>
      <c r="P1329" s="214"/>
      <c r="Q1329" s="214"/>
      <c r="R1329" s="214"/>
      <c r="S1329" s="214"/>
      <c r="T1329" s="214"/>
      <c r="U1329" s="214"/>
      <c r="V1329" s="214"/>
      <c r="W1329" s="214"/>
      <c r="X1329" s="214"/>
      <c r="Y1329" s="214"/>
      <c r="Z1329" s="234"/>
      <c r="AA1329" s="234" t="s">
        <v>3106</v>
      </c>
      <c r="AB1329" s="234"/>
      <c r="AC1329" s="234"/>
      <c r="AD1329" s="319" t="s">
        <v>3497</v>
      </c>
      <c r="AE1329" s="319" t="s">
        <v>305</v>
      </c>
      <c r="AF1329" s="162" t="str">
        <f t="shared" si="115"/>
        <v/>
      </c>
      <c r="AG1329" s="162" t="str">
        <f t="shared" si="113"/>
        <v/>
      </c>
      <c r="AH1329" s="164">
        <f t="shared" si="110"/>
        <v>24.281878994057788</v>
      </c>
      <c r="AI1329" s="164" t="str">
        <f t="shared" si="111"/>
        <v/>
      </c>
      <c r="AJ1329" s="368"/>
      <c r="AK1329" s="368"/>
      <c r="AL1329" s="368"/>
      <c r="AM1329" s="368"/>
      <c r="AN1329" s="368"/>
      <c r="AO1329" s="368"/>
      <c r="AP1329" s="368"/>
      <c r="AQ1329" s="368"/>
      <c r="AR1329" s="389"/>
      <c r="AS1329" s="263"/>
      <c r="AT1329" s="271"/>
      <c r="AU1329" s="389"/>
      <c r="AV1329" s="418"/>
      <c r="AW1329" s="436">
        <f>9.75/0.667/0.602</f>
        <v>24.281878994057788</v>
      </c>
      <c r="AX1329" s="359"/>
      <c r="AY1329" s="359"/>
      <c r="AZ1329" s="359"/>
      <c r="BA1329" s="359"/>
      <c r="BB1329" s="359"/>
      <c r="BC1329" s="426"/>
      <c r="BD1329" s="359"/>
      <c r="BE1329" s="359"/>
      <c r="BF1329" s="469">
        <f t="shared" si="114"/>
        <v>24.281878994057788</v>
      </c>
      <c r="BG1329" s="469"/>
      <c r="BH1329" s="460"/>
      <c r="BI1329" s="461"/>
      <c r="BJ1329" s="505"/>
    </row>
    <row r="1330" spans="1:62" ht="15" customHeight="1" thickBot="1" x14ac:dyDescent="0.25">
      <c r="A1330" s="176">
        <v>1331</v>
      </c>
      <c r="B1330" s="291">
        <v>1</v>
      </c>
      <c r="C1330" s="167" t="s">
        <v>2933</v>
      </c>
      <c r="D1330" s="167" t="s">
        <v>2745</v>
      </c>
      <c r="E1330" s="167"/>
      <c r="F1330" s="167" t="s">
        <v>3503</v>
      </c>
      <c r="G1330" s="167"/>
      <c r="H1330" s="167" t="s">
        <v>376</v>
      </c>
      <c r="I1330" s="184">
        <v>2006</v>
      </c>
      <c r="J1330" s="181" t="s">
        <v>3495</v>
      </c>
      <c r="K1330" s="184" t="s">
        <v>3496</v>
      </c>
      <c r="L1330" s="184" t="s">
        <v>19</v>
      </c>
      <c r="M1330" s="556" t="s">
        <v>4332</v>
      </c>
      <c r="N1330" s="214" t="s">
        <v>122</v>
      </c>
      <c r="O1330" s="214" t="s">
        <v>292</v>
      </c>
      <c r="P1330" s="214"/>
      <c r="Q1330" s="214"/>
      <c r="R1330" s="214"/>
      <c r="S1330" s="214"/>
      <c r="T1330" s="214"/>
      <c r="U1330" s="214"/>
      <c r="V1330" s="214"/>
      <c r="W1330" s="214"/>
      <c r="X1330" s="214"/>
      <c r="Y1330" s="214"/>
      <c r="Z1330" s="234"/>
      <c r="AA1330" s="234" t="s">
        <v>3106</v>
      </c>
      <c r="AB1330" s="234"/>
      <c r="AC1330" s="234"/>
      <c r="AD1330" s="319" t="s">
        <v>3497</v>
      </c>
      <c r="AE1330" s="319" t="s">
        <v>305</v>
      </c>
      <c r="AF1330" s="162" t="str">
        <f t="shared" si="115"/>
        <v/>
      </c>
      <c r="AG1330" s="162" t="str">
        <f t="shared" si="113"/>
        <v/>
      </c>
      <c r="AH1330" s="164">
        <f t="shared" si="110"/>
        <v>22.787609517500389</v>
      </c>
      <c r="AI1330" s="164" t="str">
        <f t="shared" si="111"/>
        <v/>
      </c>
      <c r="AJ1330" s="368"/>
      <c r="AK1330" s="368"/>
      <c r="AL1330" s="368"/>
      <c r="AM1330" s="368"/>
      <c r="AN1330" s="368"/>
      <c r="AO1330" s="368"/>
      <c r="AP1330" s="368"/>
      <c r="AQ1330" s="368"/>
      <c r="AR1330" s="389"/>
      <c r="AS1330" s="263"/>
      <c r="AT1330" s="271"/>
      <c r="AU1330" s="389"/>
      <c r="AV1330" s="418"/>
      <c r="AW1330" s="436">
        <f>9.15/0.667/0.602</f>
        <v>22.787609517500389</v>
      </c>
      <c r="AX1330" s="359"/>
      <c r="AY1330" s="359"/>
      <c r="AZ1330" s="359"/>
      <c r="BA1330" s="359"/>
      <c r="BB1330" s="359"/>
      <c r="BC1330" s="426"/>
      <c r="BD1330" s="359"/>
      <c r="BE1330" s="359"/>
      <c r="BF1330" s="469">
        <f t="shared" si="114"/>
        <v>22.787609517500389</v>
      </c>
      <c r="BG1330" s="469"/>
      <c r="BH1330" s="460"/>
      <c r="BI1330" s="461"/>
      <c r="BJ1330" s="505"/>
    </row>
    <row r="1331" spans="1:62" ht="15" customHeight="1" thickBot="1" x14ac:dyDescent="0.25">
      <c r="A1331" s="176">
        <v>1332</v>
      </c>
      <c r="B1331" s="291">
        <v>1</v>
      </c>
      <c r="C1331" s="167" t="s">
        <v>2933</v>
      </c>
      <c r="D1331" s="167" t="s">
        <v>2745</v>
      </c>
      <c r="E1331" s="167"/>
      <c r="F1331" s="167" t="s">
        <v>3504</v>
      </c>
      <c r="G1331" s="167"/>
      <c r="H1331" s="167" t="s">
        <v>376</v>
      </c>
      <c r="I1331" s="184">
        <v>2006</v>
      </c>
      <c r="J1331" s="181" t="s">
        <v>3495</v>
      </c>
      <c r="K1331" s="184" t="s">
        <v>3496</v>
      </c>
      <c r="L1331" s="184" t="s">
        <v>19</v>
      </c>
      <c r="M1331" s="556" t="s">
        <v>4332</v>
      </c>
      <c r="N1331" s="214" t="s">
        <v>122</v>
      </c>
      <c r="O1331" s="214" t="s">
        <v>292</v>
      </c>
      <c r="P1331" s="214"/>
      <c r="Q1331" s="214"/>
      <c r="R1331" s="214"/>
      <c r="S1331" s="214"/>
      <c r="T1331" s="214"/>
      <c r="U1331" s="214"/>
      <c r="V1331" s="214"/>
      <c r="W1331" s="214"/>
      <c r="X1331" s="214"/>
      <c r="Y1331" s="214"/>
      <c r="Z1331" s="234"/>
      <c r="AA1331" s="234" t="s">
        <v>3106</v>
      </c>
      <c r="AB1331" s="234"/>
      <c r="AC1331" s="234"/>
      <c r="AD1331" s="319" t="s">
        <v>3497</v>
      </c>
      <c r="AE1331" s="319" t="s">
        <v>305</v>
      </c>
      <c r="AF1331" s="162" t="str">
        <f t="shared" si="115"/>
        <v/>
      </c>
      <c r="AG1331" s="162" t="str">
        <f t="shared" si="113"/>
        <v/>
      </c>
      <c r="AH1331" s="164">
        <f t="shared" si="110"/>
        <v>22.563469096016778</v>
      </c>
      <c r="AI1331" s="164" t="str">
        <f t="shared" si="111"/>
        <v/>
      </c>
      <c r="AJ1331" s="368"/>
      <c r="AK1331" s="368"/>
      <c r="AL1331" s="368"/>
      <c r="AM1331" s="368"/>
      <c r="AN1331" s="368"/>
      <c r="AO1331" s="368"/>
      <c r="AP1331" s="368"/>
      <c r="AQ1331" s="368"/>
      <c r="AR1331" s="389"/>
      <c r="AS1331" s="263"/>
      <c r="AT1331" s="271"/>
      <c r="AU1331" s="389"/>
      <c r="AV1331" s="418"/>
      <c r="AW1331" s="436">
        <f>9.06/0.667/0.602</f>
        <v>22.563469096016778</v>
      </c>
      <c r="AX1331" s="359"/>
      <c r="AY1331" s="359"/>
      <c r="AZ1331" s="359"/>
      <c r="BA1331" s="359"/>
      <c r="BB1331" s="359"/>
      <c r="BC1331" s="426"/>
      <c r="BD1331" s="359"/>
      <c r="BE1331" s="359"/>
      <c r="BF1331" s="469">
        <f t="shared" si="114"/>
        <v>22.563469096016778</v>
      </c>
      <c r="BG1331" s="469"/>
      <c r="BH1331" s="460"/>
      <c r="BI1331" s="461"/>
      <c r="BJ1331" s="505"/>
    </row>
    <row r="1332" spans="1:62" ht="15" customHeight="1" thickBot="1" x14ac:dyDescent="0.25">
      <c r="A1332" s="176">
        <v>1333</v>
      </c>
      <c r="B1332" s="291">
        <v>1</v>
      </c>
      <c r="C1332" s="167" t="s">
        <v>2933</v>
      </c>
      <c r="D1332" s="167" t="s">
        <v>2745</v>
      </c>
      <c r="E1332" s="167"/>
      <c r="F1332" s="167" t="s">
        <v>3505</v>
      </c>
      <c r="G1332" s="167"/>
      <c r="H1332" s="167" t="s">
        <v>376</v>
      </c>
      <c r="I1332" s="184">
        <v>2006</v>
      </c>
      <c r="J1332" s="181" t="s">
        <v>3495</v>
      </c>
      <c r="K1332" s="184" t="s">
        <v>3496</v>
      </c>
      <c r="L1332" s="184" t="s">
        <v>19</v>
      </c>
      <c r="M1332" s="556" t="s">
        <v>4332</v>
      </c>
      <c r="N1332" s="214" t="s">
        <v>122</v>
      </c>
      <c r="O1332" s="214" t="s">
        <v>292</v>
      </c>
      <c r="P1332" s="214"/>
      <c r="Q1332" s="214"/>
      <c r="R1332" s="214"/>
      <c r="S1332" s="214"/>
      <c r="T1332" s="214"/>
      <c r="U1332" s="214"/>
      <c r="V1332" s="214"/>
      <c r="W1332" s="214"/>
      <c r="X1332" s="214"/>
      <c r="Y1332" s="214"/>
      <c r="Z1332" s="234"/>
      <c r="AA1332" s="234" t="s">
        <v>3106</v>
      </c>
      <c r="AB1332" s="234"/>
      <c r="AC1332" s="234"/>
      <c r="AD1332" s="319" t="s">
        <v>3497</v>
      </c>
      <c r="AE1332" s="319" t="s">
        <v>305</v>
      </c>
      <c r="AF1332" s="162" t="str">
        <f t="shared" si="115"/>
        <v/>
      </c>
      <c r="AG1332" s="162" t="str">
        <f t="shared" si="113"/>
        <v/>
      </c>
      <c r="AH1332" s="164">
        <f t="shared" si="110"/>
        <v>17.85652024486096</v>
      </c>
      <c r="AI1332" s="164" t="str">
        <f t="shared" si="111"/>
        <v/>
      </c>
      <c r="AJ1332" s="368"/>
      <c r="AK1332" s="368"/>
      <c r="AL1332" s="368"/>
      <c r="AM1332" s="368"/>
      <c r="AN1332" s="368"/>
      <c r="AO1332" s="368"/>
      <c r="AP1332" s="368"/>
      <c r="AQ1332" s="368"/>
      <c r="AR1332" s="389"/>
      <c r="AS1332" s="263"/>
      <c r="AT1332" s="271"/>
      <c r="AU1332" s="389"/>
      <c r="AV1332" s="418"/>
      <c r="AW1332" s="436">
        <f>7.17/0.667/0.602</f>
        <v>17.85652024486096</v>
      </c>
      <c r="AX1332" s="359"/>
      <c r="AY1332" s="359"/>
      <c r="AZ1332" s="359"/>
      <c r="BA1332" s="359"/>
      <c r="BB1332" s="359"/>
      <c r="BC1332" s="426"/>
      <c r="BD1332" s="359"/>
      <c r="BE1332" s="359"/>
      <c r="BF1332" s="469">
        <f t="shared" si="114"/>
        <v>17.85652024486096</v>
      </c>
      <c r="BG1332" s="469"/>
      <c r="BH1332" s="460"/>
      <c r="BI1332" s="461"/>
      <c r="BJ1332" s="505"/>
    </row>
    <row r="1333" spans="1:62" ht="15" customHeight="1" thickBot="1" x14ac:dyDescent="0.25">
      <c r="A1333" s="176">
        <v>1334</v>
      </c>
      <c r="B1333" s="291">
        <v>1</v>
      </c>
      <c r="C1333" s="167" t="s">
        <v>2933</v>
      </c>
      <c r="D1333" s="167" t="s">
        <v>2745</v>
      </c>
      <c r="E1333" s="167"/>
      <c r="F1333" s="167" t="s">
        <v>3506</v>
      </c>
      <c r="G1333" s="167"/>
      <c r="H1333" s="167" t="s">
        <v>376</v>
      </c>
      <c r="I1333" s="184">
        <v>2006</v>
      </c>
      <c r="J1333" s="181" t="s">
        <v>3495</v>
      </c>
      <c r="K1333" s="184" t="s">
        <v>3496</v>
      </c>
      <c r="L1333" s="184" t="s">
        <v>19</v>
      </c>
      <c r="M1333" s="556" t="s">
        <v>4332</v>
      </c>
      <c r="N1333" s="214" t="s">
        <v>122</v>
      </c>
      <c r="O1333" s="214" t="s">
        <v>292</v>
      </c>
      <c r="P1333" s="214"/>
      <c r="Q1333" s="214"/>
      <c r="R1333" s="214"/>
      <c r="S1333" s="214"/>
      <c r="T1333" s="214"/>
      <c r="U1333" s="214"/>
      <c r="V1333" s="214"/>
      <c r="W1333" s="214"/>
      <c r="X1333" s="214"/>
      <c r="Y1333" s="214"/>
      <c r="Z1333" s="234"/>
      <c r="AA1333" s="234" t="s">
        <v>3106</v>
      </c>
      <c r="AB1333" s="234"/>
      <c r="AC1333" s="234"/>
      <c r="AD1333" s="319" t="s">
        <v>3497</v>
      </c>
      <c r="AE1333" s="319" t="s">
        <v>305</v>
      </c>
      <c r="AF1333" s="162" t="str">
        <f t="shared" si="115"/>
        <v/>
      </c>
      <c r="AG1333" s="162" t="str">
        <f t="shared" si="113"/>
        <v/>
      </c>
      <c r="AH1333" s="164">
        <f t="shared" si="110"/>
        <v>18.82779540462327</v>
      </c>
      <c r="AI1333" s="164" t="str">
        <f t="shared" si="111"/>
        <v/>
      </c>
      <c r="AJ1333" s="368"/>
      <c r="AK1333" s="368"/>
      <c r="AL1333" s="368"/>
      <c r="AM1333" s="368"/>
      <c r="AN1333" s="368"/>
      <c r="AO1333" s="368"/>
      <c r="AP1333" s="368"/>
      <c r="AQ1333" s="368"/>
      <c r="AR1333" s="389"/>
      <c r="AS1333" s="263"/>
      <c r="AT1333" s="271"/>
      <c r="AU1333" s="389"/>
      <c r="AV1333" s="418"/>
      <c r="AW1333" s="436">
        <f>7.56/0.667/0.602</f>
        <v>18.82779540462327</v>
      </c>
      <c r="AX1333" s="359"/>
      <c r="AY1333" s="359"/>
      <c r="AZ1333" s="359"/>
      <c r="BA1333" s="359"/>
      <c r="BB1333" s="359"/>
      <c r="BC1333" s="426"/>
      <c r="BD1333" s="359"/>
      <c r="BE1333" s="359"/>
      <c r="BF1333" s="469">
        <f t="shared" si="114"/>
        <v>18.82779540462327</v>
      </c>
      <c r="BG1333" s="469"/>
      <c r="BH1333" s="460"/>
      <c r="BI1333" s="461"/>
      <c r="BJ1333" s="505"/>
    </row>
    <row r="1334" spans="1:62" ht="15" customHeight="1" thickBot="1" x14ac:dyDescent="0.25">
      <c r="A1334" s="176">
        <v>1335</v>
      </c>
      <c r="B1334" s="291">
        <v>1</v>
      </c>
      <c r="C1334" s="167" t="s">
        <v>162</v>
      </c>
      <c r="D1334" s="167" t="s">
        <v>874</v>
      </c>
      <c r="E1334" s="167" t="s">
        <v>13</v>
      </c>
      <c r="F1334" s="167"/>
      <c r="G1334" s="167"/>
      <c r="H1334" s="167" t="s">
        <v>101</v>
      </c>
      <c r="I1334" s="184">
        <v>2006</v>
      </c>
      <c r="J1334" s="181" t="s">
        <v>3507</v>
      </c>
      <c r="K1334" s="184" t="s">
        <v>3508</v>
      </c>
      <c r="L1334" s="184" t="s">
        <v>83</v>
      </c>
      <c r="M1334" s="556" t="s">
        <v>4333</v>
      </c>
      <c r="N1334" s="214" t="s">
        <v>122</v>
      </c>
      <c r="O1334" s="214" t="s">
        <v>292</v>
      </c>
      <c r="P1334" s="214" t="s">
        <v>122</v>
      </c>
      <c r="Q1334" s="214" t="s">
        <v>122</v>
      </c>
      <c r="R1334" s="214" t="s">
        <v>122</v>
      </c>
      <c r="S1334" s="214" t="s">
        <v>122</v>
      </c>
      <c r="T1334" s="214" t="s">
        <v>292</v>
      </c>
      <c r="U1334" s="214" t="s">
        <v>292</v>
      </c>
      <c r="V1334" s="214" t="s">
        <v>292</v>
      </c>
      <c r="W1334" s="214" t="s">
        <v>292</v>
      </c>
      <c r="X1334" s="214" t="s">
        <v>292</v>
      </c>
      <c r="Y1334" s="214" t="s">
        <v>292</v>
      </c>
      <c r="Z1334" s="234"/>
      <c r="AA1334" s="234" t="s">
        <v>3509</v>
      </c>
      <c r="AB1334" s="234"/>
      <c r="AC1334" s="234"/>
      <c r="AD1334" s="319" t="s">
        <v>3510</v>
      </c>
      <c r="AE1334" s="319"/>
      <c r="AF1334" s="162">
        <f t="shared" si="115"/>
        <v>0.223</v>
      </c>
      <c r="AG1334" s="162" t="str">
        <f t="shared" si="113"/>
        <v/>
      </c>
      <c r="AH1334" s="164">
        <f t="shared" si="110"/>
        <v>1.7999999999999999E-2</v>
      </c>
      <c r="AI1334" s="164" t="str">
        <f t="shared" si="111"/>
        <v/>
      </c>
      <c r="AJ1334" s="368">
        <f>0.21+0.013</f>
        <v>0.223</v>
      </c>
      <c r="AK1334" s="368"/>
      <c r="AL1334" s="368"/>
      <c r="AM1334" s="368">
        <f>1.4+0.76</f>
        <v>2.16</v>
      </c>
      <c r="AN1334" s="368">
        <f>0.26</f>
        <v>0.26</v>
      </c>
      <c r="AO1334" s="368"/>
      <c r="AP1334" s="368"/>
      <c r="AQ1334" s="368"/>
      <c r="AR1334" s="389"/>
      <c r="AS1334" s="263">
        <f t="shared" ref="AS1334:AS1361" si="116">AJ1334</f>
        <v>0.223</v>
      </c>
      <c r="AT1334" s="271">
        <f t="shared" ref="AT1334:AT1349" si="117">SUM(AJ1334:AR1334)</f>
        <v>2.6429999999999998</v>
      </c>
      <c r="AU1334" s="389"/>
      <c r="AV1334" s="418"/>
      <c r="AW1334" s="436">
        <v>1.7999999999999999E-2</v>
      </c>
      <c r="AX1334" s="359"/>
      <c r="AY1334" s="359"/>
      <c r="AZ1334" s="359">
        <v>3.2000000000000001E-2</v>
      </c>
      <c r="BA1334" s="359">
        <v>1.9E-2</v>
      </c>
      <c r="BB1334" s="359"/>
      <c r="BC1334" s="426"/>
      <c r="BD1334" s="359"/>
      <c r="BE1334" s="359"/>
      <c r="BF1334" s="469">
        <f t="shared" si="114"/>
        <v>1.7999999999999999E-2</v>
      </c>
      <c r="BG1334" s="469">
        <f>SUM(AW1334:BA1334)</f>
        <v>6.9000000000000006E-2</v>
      </c>
      <c r="BH1334" s="460"/>
      <c r="BI1334" s="461"/>
      <c r="BJ1334" s="505"/>
    </row>
    <row r="1335" spans="1:62" ht="15" customHeight="1" thickBot="1" x14ac:dyDescent="0.25">
      <c r="A1335" s="176">
        <v>1336</v>
      </c>
      <c r="B1335" s="291">
        <v>1</v>
      </c>
      <c r="C1335" s="167" t="s">
        <v>162</v>
      </c>
      <c r="D1335" s="167" t="s">
        <v>3511</v>
      </c>
      <c r="E1335" s="167" t="s">
        <v>1068</v>
      </c>
      <c r="F1335" s="167" t="s">
        <v>3512</v>
      </c>
      <c r="G1335" s="167"/>
      <c r="H1335" s="167" t="s">
        <v>101</v>
      </c>
      <c r="I1335" s="184">
        <v>2006</v>
      </c>
      <c r="J1335" s="181" t="s">
        <v>3507</v>
      </c>
      <c r="K1335" s="184" t="s">
        <v>3508</v>
      </c>
      <c r="L1335" s="184" t="s">
        <v>83</v>
      </c>
      <c r="M1335" s="556" t="s">
        <v>4333</v>
      </c>
      <c r="N1335" s="214" t="s">
        <v>122</v>
      </c>
      <c r="O1335" s="214" t="s">
        <v>292</v>
      </c>
      <c r="P1335" s="214" t="s">
        <v>122</v>
      </c>
      <c r="Q1335" s="214" t="s">
        <v>122</v>
      </c>
      <c r="R1335" s="214" t="s">
        <v>122</v>
      </c>
      <c r="S1335" s="214" t="s">
        <v>122</v>
      </c>
      <c r="T1335" s="214" t="s">
        <v>292</v>
      </c>
      <c r="U1335" s="214" t="s">
        <v>292</v>
      </c>
      <c r="V1335" s="214" t="s">
        <v>292</v>
      </c>
      <c r="W1335" s="214" t="s">
        <v>292</v>
      </c>
      <c r="X1335" s="214" t="s">
        <v>292</v>
      </c>
      <c r="Y1335" s="214" t="s">
        <v>292</v>
      </c>
      <c r="Z1335" s="234"/>
      <c r="AA1335" s="234" t="s">
        <v>3509</v>
      </c>
      <c r="AB1335" s="234"/>
      <c r="AC1335" s="234"/>
      <c r="AD1335" s="319" t="s">
        <v>3510</v>
      </c>
      <c r="AE1335" s="319"/>
      <c r="AF1335" s="162">
        <f t="shared" si="115"/>
        <v>0.59000000000000008</v>
      </c>
      <c r="AG1335" s="162">
        <f t="shared" si="113"/>
        <v>6.8900000000000006</v>
      </c>
      <c r="AH1335" s="164">
        <f t="shared" si="110"/>
        <v>2.3E-2</v>
      </c>
      <c r="AI1335" s="164">
        <f t="shared" si="111"/>
        <v>0.218</v>
      </c>
      <c r="AJ1335" s="368">
        <f>0.25+0.34</f>
        <v>0.59000000000000008</v>
      </c>
      <c r="AK1335" s="368"/>
      <c r="AL1335" s="368">
        <f>3.58+2.72</f>
        <v>6.3000000000000007</v>
      </c>
      <c r="AM1335" s="368"/>
      <c r="AN1335" s="368">
        <v>0.67</v>
      </c>
      <c r="AO1335" s="368"/>
      <c r="AP1335" s="368"/>
      <c r="AQ1335" s="368"/>
      <c r="AR1335" s="389"/>
      <c r="AS1335" s="263">
        <f t="shared" si="116"/>
        <v>0.59000000000000008</v>
      </c>
      <c r="AT1335" s="271">
        <f t="shared" si="117"/>
        <v>7.5600000000000005</v>
      </c>
      <c r="AU1335" s="389"/>
      <c r="AV1335" s="418"/>
      <c r="AW1335" s="436">
        <v>2.3E-2</v>
      </c>
      <c r="AX1335" s="359"/>
      <c r="AY1335" s="359">
        <v>0.19500000000000001</v>
      </c>
      <c r="AZ1335" s="359"/>
      <c r="BA1335" s="359">
        <v>4.9000000000000002E-2</v>
      </c>
      <c r="BB1335" s="359"/>
      <c r="BC1335" s="426"/>
      <c r="BD1335" s="359"/>
      <c r="BE1335" s="359"/>
      <c r="BF1335" s="469">
        <f t="shared" si="114"/>
        <v>2.3E-2</v>
      </c>
      <c r="BG1335" s="469">
        <f>SUM(AW1335:BA1335)</f>
        <v>0.26700000000000002</v>
      </c>
      <c r="BH1335" s="460"/>
      <c r="BI1335" s="461"/>
      <c r="BJ1335" s="505"/>
    </row>
    <row r="1336" spans="1:62" ht="15" customHeight="1" thickBot="1" x14ac:dyDescent="0.25">
      <c r="A1336" s="176">
        <v>1337</v>
      </c>
      <c r="B1336" s="291">
        <v>1</v>
      </c>
      <c r="C1336" s="167" t="s">
        <v>162</v>
      </c>
      <c r="D1336" s="167" t="s">
        <v>874</v>
      </c>
      <c r="E1336" s="167" t="s">
        <v>13</v>
      </c>
      <c r="F1336" s="167"/>
      <c r="G1336" s="167"/>
      <c r="H1336" s="167" t="s">
        <v>42</v>
      </c>
      <c r="I1336" s="184">
        <v>2006</v>
      </c>
      <c r="J1336" s="181" t="s">
        <v>3507</v>
      </c>
      <c r="K1336" s="184" t="s">
        <v>3508</v>
      </c>
      <c r="L1336" s="184" t="s">
        <v>83</v>
      </c>
      <c r="M1336" s="556" t="s">
        <v>4333</v>
      </c>
      <c r="N1336" s="214" t="s">
        <v>122</v>
      </c>
      <c r="O1336" s="214" t="s">
        <v>292</v>
      </c>
      <c r="P1336" s="214" t="s">
        <v>122</v>
      </c>
      <c r="Q1336" s="214" t="s">
        <v>122</v>
      </c>
      <c r="R1336" s="214" t="s">
        <v>122</v>
      </c>
      <c r="S1336" s="214" t="s">
        <v>122</v>
      </c>
      <c r="T1336" s="214" t="s">
        <v>292</v>
      </c>
      <c r="U1336" s="214" t="s">
        <v>292</v>
      </c>
      <c r="V1336" s="214" t="s">
        <v>292</v>
      </c>
      <c r="W1336" s="214" t="s">
        <v>292</v>
      </c>
      <c r="X1336" s="214" t="s">
        <v>292</v>
      </c>
      <c r="Y1336" s="214" t="s">
        <v>292</v>
      </c>
      <c r="Z1336" s="234"/>
      <c r="AA1336" s="234" t="s">
        <v>3509</v>
      </c>
      <c r="AB1336" s="234"/>
      <c r="AC1336" s="234"/>
      <c r="AD1336" s="319" t="s">
        <v>3510</v>
      </c>
      <c r="AE1336" s="319"/>
      <c r="AF1336" s="162">
        <f t="shared" si="115"/>
        <v>1.216</v>
      </c>
      <c r="AG1336" s="162" t="str">
        <f t="shared" si="113"/>
        <v/>
      </c>
      <c r="AH1336" s="164">
        <f t="shared" si="110"/>
        <v>0.04</v>
      </c>
      <c r="AI1336" s="164" t="str">
        <f t="shared" si="111"/>
        <v/>
      </c>
      <c r="AJ1336" s="368">
        <f>1.2+0.016</f>
        <v>1.216</v>
      </c>
      <c r="AK1336" s="368"/>
      <c r="AL1336" s="368"/>
      <c r="AM1336" s="368">
        <f>1.5+0.38</f>
        <v>1.88</v>
      </c>
      <c r="AN1336" s="368">
        <f>0.98</f>
        <v>0.98</v>
      </c>
      <c r="AO1336" s="368"/>
      <c r="AP1336" s="368"/>
      <c r="AQ1336" s="368"/>
      <c r="AR1336" s="389"/>
      <c r="AS1336" s="263">
        <f t="shared" si="116"/>
        <v>1.216</v>
      </c>
      <c r="AT1336" s="271">
        <f t="shared" si="117"/>
        <v>4.0760000000000005</v>
      </c>
      <c r="AU1336" s="389"/>
      <c r="AV1336" s="418"/>
      <c r="AW1336" s="436">
        <v>0.04</v>
      </c>
      <c r="AX1336" s="359"/>
      <c r="AY1336" s="359"/>
      <c r="AZ1336" s="359">
        <v>4.3999999999999997E-2</v>
      </c>
      <c r="BA1336" s="359">
        <v>7.0999999999999994E-2</v>
      </c>
      <c r="BB1336" s="359"/>
      <c r="BC1336" s="426"/>
      <c r="BD1336" s="359"/>
      <c r="BE1336" s="359"/>
      <c r="BF1336" s="469">
        <f t="shared" si="114"/>
        <v>0.04</v>
      </c>
      <c r="BG1336" s="469">
        <f t="shared" ref="BG1336:BG1349" si="118">SUM(AW1336:BE1336)</f>
        <v>0.15499999999999997</v>
      </c>
      <c r="BH1336" s="460"/>
      <c r="BI1336" s="461"/>
      <c r="BJ1336" s="505"/>
    </row>
    <row r="1337" spans="1:62" ht="15" customHeight="1" thickBot="1" x14ac:dyDescent="0.25">
      <c r="A1337" s="176">
        <v>1338</v>
      </c>
      <c r="B1337" s="291">
        <v>1</v>
      </c>
      <c r="C1337" s="167" t="s">
        <v>162</v>
      </c>
      <c r="D1337" s="167" t="s">
        <v>872</v>
      </c>
      <c r="E1337" s="167" t="s">
        <v>13</v>
      </c>
      <c r="F1337" s="167"/>
      <c r="G1337" s="167"/>
      <c r="H1337" s="167" t="s">
        <v>101</v>
      </c>
      <c r="I1337" s="184">
        <v>2006</v>
      </c>
      <c r="J1337" s="181" t="s">
        <v>3507</v>
      </c>
      <c r="K1337" s="184" t="s">
        <v>3508</v>
      </c>
      <c r="L1337" s="184" t="s">
        <v>83</v>
      </c>
      <c r="M1337" s="556" t="s">
        <v>4333</v>
      </c>
      <c r="N1337" s="214" t="s">
        <v>122</v>
      </c>
      <c r="O1337" s="214" t="s">
        <v>292</v>
      </c>
      <c r="P1337" s="214" t="s">
        <v>122</v>
      </c>
      <c r="Q1337" s="214" t="s">
        <v>122</v>
      </c>
      <c r="R1337" s="214" t="s">
        <v>122</v>
      </c>
      <c r="S1337" s="214" t="s">
        <v>122</v>
      </c>
      <c r="T1337" s="214" t="s">
        <v>292</v>
      </c>
      <c r="U1337" s="214" t="s">
        <v>292</v>
      </c>
      <c r="V1337" s="214" t="s">
        <v>292</v>
      </c>
      <c r="W1337" s="214" t="s">
        <v>292</v>
      </c>
      <c r="X1337" s="214" t="s">
        <v>292</v>
      </c>
      <c r="Y1337" s="214" t="s">
        <v>292</v>
      </c>
      <c r="Z1337" s="234"/>
      <c r="AA1337" s="234" t="s">
        <v>3509</v>
      </c>
      <c r="AB1337" s="234"/>
      <c r="AC1337" s="234"/>
      <c r="AD1337" s="319" t="s">
        <v>3510</v>
      </c>
      <c r="AE1337" s="319"/>
      <c r="AF1337" s="162">
        <f t="shared" si="115"/>
        <v>1.131</v>
      </c>
      <c r="AG1337" s="162" t="str">
        <f t="shared" si="113"/>
        <v/>
      </c>
      <c r="AH1337" s="164">
        <f t="shared" si="110"/>
        <v>3.9E-2</v>
      </c>
      <c r="AI1337" s="164" t="str">
        <f t="shared" si="111"/>
        <v/>
      </c>
      <c r="AJ1337" s="368">
        <f>1.1+0.031</f>
        <v>1.131</v>
      </c>
      <c r="AK1337" s="368"/>
      <c r="AL1337" s="368"/>
      <c r="AM1337" s="368">
        <f>0.24+0.28</f>
        <v>0.52</v>
      </c>
      <c r="AN1337" s="368">
        <v>0.26</v>
      </c>
      <c r="AO1337" s="368"/>
      <c r="AP1337" s="368"/>
      <c r="AQ1337" s="368"/>
      <c r="AR1337" s="389"/>
      <c r="AS1337" s="263">
        <f t="shared" si="116"/>
        <v>1.131</v>
      </c>
      <c r="AT1337" s="271">
        <f t="shared" si="117"/>
        <v>1.911</v>
      </c>
      <c r="AU1337" s="389"/>
      <c r="AV1337" s="419"/>
      <c r="AW1337" s="436">
        <v>3.9E-2</v>
      </c>
      <c r="AX1337" s="359"/>
      <c r="AY1337" s="359"/>
      <c r="AZ1337" s="359">
        <v>1.0999999999999999E-2</v>
      </c>
      <c r="BA1337" s="359">
        <v>1.9E-2</v>
      </c>
      <c r="BB1337" s="359"/>
      <c r="BC1337" s="426"/>
      <c r="BD1337" s="359"/>
      <c r="BE1337" s="359"/>
      <c r="BF1337" s="469">
        <f t="shared" si="114"/>
        <v>3.9E-2</v>
      </c>
      <c r="BG1337" s="469">
        <f t="shared" si="118"/>
        <v>6.9000000000000006E-2</v>
      </c>
      <c r="BH1337" s="460"/>
      <c r="BI1337" s="461"/>
      <c r="BJ1337" s="505"/>
    </row>
    <row r="1338" spans="1:62" ht="15" customHeight="1" thickBot="1" x14ac:dyDescent="0.25">
      <c r="A1338" s="176">
        <v>1339</v>
      </c>
      <c r="B1338" s="291">
        <v>1</v>
      </c>
      <c r="C1338" s="167" t="s">
        <v>162</v>
      </c>
      <c r="D1338" s="167" t="s">
        <v>872</v>
      </c>
      <c r="E1338" s="167" t="s">
        <v>13</v>
      </c>
      <c r="F1338" s="167"/>
      <c r="G1338" s="167"/>
      <c r="H1338" s="167" t="s">
        <v>80</v>
      </c>
      <c r="I1338" s="184">
        <v>2006</v>
      </c>
      <c r="J1338" s="181" t="s">
        <v>3507</v>
      </c>
      <c r="K1338" s="184" t="s">
        <v>3508</v>
      </c>
      <c r="L1338" s="184" t="s">
        <v>83</v>
      </c>
      <c r="M1338" s="556" t="s">
        <v>4333</v>
      </c>
      <c r="N1338" s="214" t="s">
        <v>122</v>
      </c>
      <c r="O1338" s="214" t="s">
        <v>292</v>
      </c>
      <c r="P1338" s="214" t="s">
        <v>122</v>
      </c>
      <c r="Q1338" s="214" t="s">
        <v>122</v>
      </c>
      <c r="R1338" s="214" t="s">
        <v>122</v>
      </c>
      <c r="S1338" s="214" t="s">
        <v>122</v>
      </c>
      <c r="T1338" s="214" t="s">
        <v>292</v>
      </c>
      <c r="U1338" s="214" t="s">
        <v>292</v>
      </c>
      <c r="V1338" s="214" t="s">
        <v>292</v>
      </c>
      <c r="W1338" s="214" t="s">
        <v>292</v>
      </c>
      <c r="X1338" s="214" t="s">
        <v>292</v>
      </c>
      <c r="Y1338" s="214" t="s">
        <v>292</v>
      </c>
      <c r="Z1338" s="234"/>
      <c r="AA1338" s="234" t="s">
        <v>3509</v>
      </c>
      <c r="AB1338" s="234"/>
      <c r="AC1338" s="234"/>
      <c r="AD1338" s="319" t="s">
        <v>3510</v>
      </c>
      <c r="AE1338" s="319"/>
      <c r="AF1338" s="162">
        <f t="shared" si="115"/>
        <v>1.49</v>
      </c>
      <c r="AG1338" s="162" t="str">
        <f t="shared" si="113"/>
        <v/>
      </c>
      <c r="AH1338" s="164">
        <f t="shared" si="110"/>
        <v>4.5999999999999999E-2</v>
      </c>
      <c r="AI1338" s="164" t="str">
        <f t="shared" si="111"/>
        <v/>
      </c>
      <c r="AJ1338" s="368">
        <f>1.47+0.02</f>
        <v>1.49</v>
      </c>
      <c r="AK1338" s="368"/>
      <c r="AL1338" s="368"/>
      <c r="AM1338" s="368">
        <f>0.79+0.19</f>
        <v>0.98</v>
      </c>
      <c r="AN1338" s="368">
        <v>0.55000000000000004</v>
      </c>
      <c r="AO1338" s="368"/>
      <c r="AP1338" s="368"/>
      <c r="AQ1338" s="368"/>
      <c r="AR1338" s="389"/>
      <c r="AS1338" s="263">
        <f t="shared" si="116"/>
        <v>1.49</v>
      </c>
      <c r="AT1338" s="271">
        <f t="shared" si="117"/>
        <v>3.0199999999999996</v>
      </c>
      <c r="AU1338" s="389"/>
      <c r="AV1338" s="419"/>
      <c r="AW1338" s="436">
        <v>4.5999999999999999E-2</v>
      </c>
      <c r="AX1338" s="359"/>
      <c r="AY1338" s="359"/>
      <c r="AZ1338" s="359">
        <v>5.8999999999999997E-2</v>
      </c>
      <c r="BA1338" s="359">
        <v>0.04</v>
      </c>
      <c r="BB1338" s="359"/>
      <c r="BC1338" s="426"/>
      <c r="BD1338" s="359"/>
      <c r="BE1338" s="359"/>
      <c r="BF1338" s="469">
        <f t="shared" si="114"/>
        <v>4.5999999999999999E-2</v>
      </c>
      <c r="BG1338" s="469">
        <f t="shared" si="118"/>
        <v>0.14499999999999999</v>
      </c>
      <c r="BH1338" s="460"/>
      <c r="BI1338" s="461"/>
      <c r="BJ1338" s="505"/>
    </row>
    <row r="1339" spans="1:62" ht="15" customHeight="1" thickBot="1" x14ac:dyDescent="0.25">
      <c r="A1339" s="176">
        <v>1340</v>
      </c>
      <c r="B1339" s="291">
        <v>1</v>
      </c>
      <c r="C1339" s="167" t="s">
        <v>162</v>
      </c>
      <c r="D1339" s="167" t="s">
        <v>3513</v>
      </c>
      <c r="E1339" s="167" t="s">
        <v>13</v>
      </c>
      <c r="F1339" s="167"/>
      <c r="G1339" s="167"/>
      <c r="H1339" s="167" t="s">
        <v>101</v>
      </c>
      <c r="I1339" s="184">
        <v>2006</v>
      </c>
      <c r="J1339" s="181" t="s">
        <v>3507</v>
      </c>
      <c r="K1339" s="184" t="s">
        <v>3508</v>
      </c>
      <c r="L1339" s="184" t="s">
        <v>83</v>
      </c>
      <c r="M1339" s="556" t="s">
        <v>4333</v>
      </c>
      <c r="N1339" s="214" t="s">
        <v>122</v>
      </c>
      <c r="O1339" s="214" t="s">
        <v>292</v>
      </c>
      <c r="P1339" s="214" t="s">
        <v>122</v>
      </c>
      <c r="Q1339" s="214" t="s">
        <v>122</v>
      </c>
      <c r="R1339" s="214" t="s">
        <v>122</v>
      </c>
      <c r="S1339" s="214" t="s">
        <v>122</v>
      </c>
      <c r="T1339" s="214" t="s">
        <v>292</v>
      </c>
      <c r="U1339" s="214" t="s">
        <v>292</v>
      </c>
      <c r="V1339" s="214" t="s">
        <v>292</v>
      </c>
      <c r="W1339" s="214" t="s">
        <v>292</v>
      </c>
      <c r="X1339" s="214" t="s">
        <v>292</v>
      </c>
      <c r="Y1339" s="214" t="s">
        <v>292</v>
      </c>
      <c r="Z1339" s="234"/>
      <c r="AA1339" s="234" t="s">
        <v>3509</v>
      </c>
      <c r="AB1339" s="234"/>
      <c r="AC1339" s="234"/>
      <c r="AD1339" s="319" t="s">
        <v>3510</v>
      </c>
      <c r="AE1339" s="319"/>
      <c r="AF1339" s="162">
        <f t="shared" si="115"/>
        <v>51</v>
      </c>
      <c r="AG1339" s="162" t="str">
        <f t="shared" si="113"/>
        <v/>
      </c>
      <c r="AH1339" s="164">
        <f t="shared" si="110"/>
        <v>2.694</v>
      </c>
      <c r="AI1339" s="164" t="str">
        <f t="shared" si="111"/>
        <v/>
      </c>
      <c r="AJ1339" s="368">
        <f>49+2</f>
        <v>51</v>
      </c>
      <c r="AK1339" s="368"/>
      <c r="AL1339" s="368"/>
      <c r="AM1339" s="368"/>
      <c r="AN1339" s="368">
        <v>0.41</v>
      </c>
      <c r="AO1339" s="368"/>
      <c r="AP1339" s="368"/>
      <c r="AQ1339" s="368"/>
      <c r="AR1339" s="389"/>
      <c r="AS1339" s="263">
        <f t="shared" si="116"/>
        <v>51</v>
      </c>
      <c r="AT1339" s="271">
        <f t="shared" si="117"/>
        <v>51.41</v>
      </c>
      <c r="AU1339" s="389"/>
      <c r="AV1339" s="419"/>
      <c r="AW1339" s="436">
        <v>2.694</v>
      </c>
      <c r="AX1339" s="359"/>
      <c r="AY1339" s="359"/>
      <c r="AZ1339" s="359"/>
      <c r="BA1339" s="359">
        <v>0.03</v>
      </c>
      <c r="BB1339" s="359"/>
      <c r="BC1339" s="426"/>
      <c r="BD1339" s="359"/>
      <c r="BE1339" s="359"/>
      <c r="BF1339" s="469">
        <f t="shared" si="114"/>
        <v>2.694</v>
      </c>
      <c r="BG1339" s="469">
        <f t="shared" si="118"/>
        <v>2.7239999999999998</v>
      </c>
      <c r="BH1339" s="460"/>
      <c r="BI1339" s="461"/>
      <c r="BJ1339" s="505"/>
    </row>
    <row r="1340" spans="1:62" ht="15" customHeight="1" thickBot="1" x14ac:dyDescent="0.25">
      <c r="A1340" s="176">
        <v>1341</v>
      </c>
      <c r="B1340" s="291">
        <v>1</v>
      </c>
      <c r="C1340" s="167" t="s">
        <v>162</v>
      </c>
      <c r="D1340" s="167" t="s">
        <v>3513</v>
      </c>
      <c r="E1340" s="167" t="s">
        <v>13</v>
      </c>
      <c r="F1340" s="167"/>
      <c r="G1340" s="167"/>
      <c r="H1340" s="167" t="s">
        <v>42</v>
      </c>
      <c r="I1340" s="184">
        <v>2006</v>
      </c>
      <c r="J1340" s="181" t="s">
        <v>3507</v>
      </c>
      <c r="K1340" s="184" t="s">
        <v>3508</v>
      </c>
      <c r="L1340" s="184" t="s">
        <v>83</v>
      </c>
      <c r="M1340" s="556" t="s">
        <v>4333</v>
      </c>
      <c r="N1340" s="214" t="s">
        <v>122</v>
      </c>
      <c r="O1340" s="214" t="s">
        <v>292</v>
      </c>
      <c r="P1340" s="214" t="s">
        <v>122</v>
      </c>
      <c r="Q1340" s="214" t="s">
        <v>122</v>
      </c>
      <c r="R1340" s="214" t="s">
        <v>122</v>
      </c>
      <c r="S1340" s="214" t="s">
        <v>122</v>
      </c>
      <c r="T1340" s="214" t="s">
        <v>292</v>
      </c>
      <c r="U1340" s="214" t="s">
        <v>292</v>
      </c>
      <c r="V1340" s="214" t="s">
        <v>292</v>
      </c>
      <c r="W1340" s="214" t="s">
        <v>292</v>
      </c>
      <c r="X1340" s="214" t="s">
        <v>292</v>
      </c>
      <c r="Y1340" s="214" t="s">
        <v>292</v>
      </c>
      <c r="Z1340" s="234"/>
      <c r="AA1340" s="234" t="s">
        <v>3509</v>
      </c>
      <c r="AB1340" s="234"/>
      <c r="AC1340" s="234"/>
      <c r="AD1340" s="319" t="s">
        <v>3510</v>
      </c>
      <c r="AE1340" s="319"/>
      <c r="AF1340" s="162">
        <f t="shared" si="115"/>
        <v>52.4</v>
      </c>
      <c r="AG1340" s="162" t="str">
        <f t="shared" si="113"/>
        <v/>
      </c>
      <c r="AH1340" s="164">
        <f t="shared" si="110"/>
        <v>2.8330000000000002</v>
      </c>
      <c r="AI1340" s="164" t="str">
        <f t="shared" si="111"/>
        <v/>
      </c>
      <c r="AJ1340" s="368">
        <f>51+1.4</f>
        <v>52.4</v>
      </c>
      <c r="AK1340" s="368"/>
      <c r="AL1340" s="368"/>
      <c r="AM1340" s="368"/>
      <c r="AN1340" s="368">
        <v>1.1000000000000001</v>
      </c>
      <c r="AO1340" s="368"/>
      <c r="AP1340" s="368"/>
      <c r="AQ1340" s="368"/>
      <c r="AR1340" s="389"/>
      <c r="AS1340" s="263">
        <f t="shared" si="116"/>
        <v>52.4</v>
      </c>
      <c r="AT1340" s="271">
        <f t="shared" si="117"/>
        <v>53.5</v>
      </c>
      <c r="AU1340" s="389"/>
      <c r="AV1340" s="418"/>
      <c r="AW1340" s="436">
        <v>2.8330000000000002</v>
      </c>
      <c r="AX1340" s="359"/>
      <c r="AY1340" s="359"/>
      <c r="AZ1340" s="359"/>
      <c r="BA1340" s="359">
        <v>7.3999999999999996E-2</v>
      </c>
      <c r="BB1340" s="359"/>
      <c r="BC1340" s="426"/>
      <c r="BD1340" s="359"/>
      <c r="BE1340" s="359"/>
      <c r="BF1340" s="469">
        <f t="shared" si="114"/>
        <v>2.8330000000000002</v>
      </c>
      <c r="BG1340" s="469">
        <f t="shared" si="118"/>
        <v>2.907</v>
      </c>
      <c r="BH1340" s="460"/>
      <c r="BI1340" s="461"/>
      <c r="BJ1340" s="505"/>
    </row>
    <row r="1341" spans="1:62" ht="15" customHeight="1" thickBot="1" x14ac:dyDescent="0.25">
      <c r="A1341" s="176">
        <v>1342</v>
      </c>
      <c r="B1341" s="291">
        <v>1</v>
      </c>
      <c r="C1341" s="167" t="s">
        <v>162</v>
      </c>
      <c r="D1341" s="167" t="s">
        <v>3513</v>
      </c>
      <c r="E1341" s="167" t="s">
        <v>13</v>
      </c>
      <c r="F1341" s="167"/>
      <c r="G1341" s="167"/>
      <c r="H1341" s="167" t="s">
        <v>80</v>
      </c>
      <c r="I1341" s="184">
        <v>2006</v>
      </c>
      <c r="J1341" s="181" t="s">
        <v>3507</v>
      </c>
      <c r="K1341" s="184" t="s">
        <v>3508</v>
      </c>
      <c r="L1341" s="184" t="s">
        <v>83</v>
      </c>
      <c r="M1341" s="556" t="s">
        <v>4333</v>
      </c>
      <c r="N1341" s="214" t="s">
        <v>122</v>
      </c>
      <c r="O1341" s="214" t="s">
        <v>292</v>
      </c>
      <c r="P1341" s="214" t="s">
        <v>122</v>
      </c>
      <c r="Q1341" s="214" t="s">
        <v>122</v>
      </c>
      <c r="R1341" s="214" t="s">
        <v>122</v>
      </c>
      <c r="S1341" s="214" t="s">
        <v>122</v>
      </c>
      <c r="T1341" s="214" t="s">
        <v>292</v>
      </c>
      <c r="U1341" s="214" t="s">
        <v>292</v>
      </c>
      <c r="V1341" s="214" t="s">
        <v>292</v>
      </c>
      <c r="W1341" s="214" t="s">
        <v>292</v>
      </c>
      <c r="X1341" s="214" t="s">
        <v>292</v>
      </c>
      <c r="Y1341" s="214" t="s">
        <v>292</v>
      </c>
      <c r="Z1341" s="234"/>
      <c r="AA1341" s="234" t="s">
        <v>3509</v>
      </c>
      <c r="AB1341" s="234"/>
      <c r="AC1341" s="234"/>
      <c r="AD1341" s="319" t="s">
        <v>3510</v>
      </c>
      <c r="AE1341" s="319"/>
      <c r="AF1341" s="162">
        <f t="shared" si="115"/>
        <v>60.91</v>
      </c>
      <c r="AG1341" s="162" t="str">
        <f t="shared" si="113"/>
        <v/>
      </c>
      <c r="AH1341" s="164">
        <f t="shared" si="110"/>
        <v>3.62</v>
      </c>
      <c r="AI1341" s="164" t="str">
        <f t="shared" si="111"/>
        <v/>
      </c>
      <c r="AJ1341" s="368">
        <v>60.91</v>
      </c>
      <c r="AK1341" s="368"/>
      <c r="AL1341" s="368"/>
      <c r="AM1341" s="368"/>
      <c r="AN1341" s="368">
        <v>0.55000000000000004</v>
      </c>
      <c r="AO1341" s="368"/>
      <c r="AP1341" s="368"/>
      <c r="AQ1341" s="368"/>
      <c r="AR1341" s="389"/>
      <c r="AS1341" s="263">
        <f t="shared" si="116"/>
        <v>60.91</v>
      </c>
      <c r="AT1341" s="271">
        <f t="shared" si="117"/>
        <v>61.459999999999994</v>
      </c>
      <c r="AU1341" s="389"/>
      <c r="AV1341" s="418"/>
      <c r="AW1341" s="436">
        <v>3.62</v>
      </c>
      <c r="AX1341" s="359"/>
      <c r="AY1341" s="359"/>
      <c r="AZ1341" s="359"/>
      <c r="BA1341" s="359">
        <v>3.7999999999999999E-2</v>
      </c>
      <c r="BB1341" s="359"/>
      <c r="BC1341" s="426"/>
      <c r="BD1341" s="359"/>
      <c r="BE1341" s="359"/>
      <c r="BF1341" s="469">
        <f t="shared" si="114"/>
        <v>3.62</v>
      </c>
      <c r="BG1341" s="469">
        <f t="shared" si="118"/>
        <v>3.6579999999999999</v>
      </c>
      <c r="BH1341" s="460"/>
      <c r="BI1341" s="461"/>
      <c r="BJ1341" s="505"/>
    </row>
    <row r="1342" spans="1:62" ht="15" customHeight="1" thickBot="1" x14ac:dyDescent="0.25">
      <c r="A1342" s="176">
        <v>1343</v>
      </c>
      <c r="B1342" s="291">
        <v>1</v>
      </c>
      <c r="C1342" s="167" t="s">
        <v>162</v>
      </c>
      <c r="D1342" s="167" t="s">
        <v>882</v>
      </c>
      <c r="E1342" s="167" t="s">
        <v>1068</v>
      </c>
      <c r="F1342" s="167" t="s">
        <v>3514</v>
      </c>
      <c r="G1342" s="167"/>
      <c r="H1342" s="171" t="s">
        <v>101</v>
      </c>
      <c r="I1342" s="184">
        <v>2006</v>
      </c>
      <c r="J1342" s="181" t="s">
        <v>3507</v>
      </c>
      <c r="K1342" s="184" t="s">
        <v>3508</v>
      </c>
      <c r="L1342" s="184" t="s">
        <v>83</v>
      </c>
      <c r="M1342" s="556" t="s">
        <v>4333</v>
      </c>
      <c r="N1342" s="214" t="s">
        <v>122</v>
      </c>
      <c r="O1342" s="214" t="s">
        <v>292</v>
      </c>
      <c r="P1342" s="214" t="s">
        <v>122</v>
      </c>
      <c r="Q1342" s="214" t="s">
        <v>122</v>
      </c>
      <c r="R1342" s="214" t="s">
        <v>122</v>
      </c>
      <c r="S1342" s="214" t="s">
        <v>122</v>
      </c>
      <c r="T1342" s="214" t="s">
        <v>292</v>
      </c>
      <c r="U1342" s="214" t="s">
        <v>122</v>
      </c>
      <c r="V1342" s="214" t="s">
        <v>122</v>
      </c>
      <c r="W1342" s="214" t="s">
        <v>122</v>
      </c>
      <c r="X1342" s="214" t="s">
        <v>292</v>
      </c>
      <c r="Y1342" s="214" t="s">
        <v>292</v>
      </c>
      <c r="Z1342" s="234"/>
      <c r="AA1342" s="234"/>
      <c r="AB1342" s="234"/>
      <c r="AC1342" s="234"/>
      <c r="AD1342" s="319" t="s">
        <v>3515</v>
      </c>
      <c r="AE1342" s="319" t="s">
        <v>3516</v>
      </c>
      <c r="AF1342" s="162">
        <f t="shared" si="115"/>
        <v>7.4509090909090903</v>
      </c>
      <c r="AG1342" s="162">
        <f t="shared" si="113"/>
        <v>12.212727272727271</v>
      </c>
      <c r="AH1342" s="164">
        <f t="shared" si="110"/>
        <v>0.61181818181818182</v>
      </c>
      <c r="AI1342" s="164">
        <f t="shared" si="111"/>
        <v>0.66723636363636363</v>
      </c>
      <c r="AJ1342" s="368">
        <f>8.196/1.1</f>
        <v>7.4509090909090903</v>
      </c>
      <c r="AK1342" s="371"/>
      <c r="AL1342" s="368">
        <f>5.238/1.1</f>
        <v>4.7618181818181817</v>
      </c>
      <c r="AM1342" s="368">
        <f>0.544/1.1</f>
        <v>0.49454545454545457</v>
      </c>
      <c r="AN1342" s="368">
        <f>8.31/1.1</f>
        <v>7.5545454545454547</v>
      </c>
      <c r="AO1342" s="368"/>
      <c r="AP1342" s="368">
        <f>7.75/1.1</f>
        <v>7.045454545454545</v>
      </c>
      <c r="AQ1342" s="368"/>
      <c r="AR1342" s="389"/>
      <c r="AS1342" s="263">
        <f t="shared" si="116"/>
        <v>7.4509090909090903</v>
      </c>
      <c r="AT1342" s="271">
        <f t="shared" si="117"/>
        <v>27.307272727272725</v>
      </c>
      <c r="AU1342" s="389"/>
      <c r="AV1342" s="418"/>
      <c r="AW1342" s="436">
        <f>0.673/1.1</f>
        <v>0.61181818181818182</v>
      </c>
      <c r="AX1342" s="359"/>
      <c r="AY1342" s="359">
        <f>0.06096/1.1</f>
        <v>5.5418181818181811E-2</v>
      </c>
      <c r="AZ1342" s="359">
        <f>0.0166/1.1</f>
        <v>1.5090909090909091E-2</v>
      </c>
      <c r="BA1342" s="359">
        <f>0.176/1.1</f>
        <v>0.15999999999999998</v>
      </c>
      <c r="BB1342" s="359"/>
      <c r="BC1342" s="426">
        <f>0.0487/1.1</f>
        <v>4.4272727272727269E-2</v>
      </c>
      <c r="BD1342" s="359"/>
      <c r="BE1342" s="359"/>
      <c r="BF1342" s="469">
        <f t="shared" si="114"/>
        <v>0.61181818181818182</v>
      </c>
      <c r="BG1342" s="469">
        <f t="shared" si="118"/>
        <v>0.88659999999999983</v>
      </c>
      <c r="BH1342" s="460"/>
      <c r="BI1342" s="461"/>
      <c r="BJ1342" s="505"/>
    </row>
    <row r="1343" spans="1:62" ht="15" customHeight="1" thickBot="1" x14ac:dyDescent="0.25">
      <c r="A1343" s="176">
        <v>1344</v>
      </c>
      <c r="B1343" s="291">
        <v>1</v>
      </c>
      <c r="C1343" s="167" t="s">
        <v>162</v>
      </c>
      <c r="D1343" s="167" t="s">
        <v>882</v>
      </c>
      <c r="E1343" s="167" t="s">
        <v>1068</v>
      </c>
      <c r="F1343" s="167" t="s">
        <v>3517</v>
      </c>
      <c r="G1343" s="167"/>
      <c r="H1343" s="167" t="s">
        <v>3518</v>
      </c>
      <c r="I1343" s="184">
        <v>2006</v>
      </c>
      <c r="J1343" s="181" t="s">
        <v>3507</v>
      </c>
      <c r="K1343" s="184" t="s">
        <v>3508</v>
      </c>
      <c r="L1343" s="184" t="s">
        <v>83</v>
      </c>
      <c r="M1343" s="556" t="s">
        <v>4333</v>
      </c>
      <c r="N1343" s="214" t="s">
        <v>122</v>
      </c>
      <c r="O1343" s="214" t="s">
        <v>292</v>
      </c>
      <c r="P1343" s="214" t="s">
        <v>122</v>
      </c>
      <c r="Q1343" s="214" t="s">
        <v>122</v>
      </c>
      <c r="R1343" s="214" t="s">
        <v>122</v>
      </c>
      <c r="S1343" s="214" t="s">
        <v>122</v>
      </c>
      <c r="T1343" s="214" t="s">
        <v>292</v>
      </c>
      <c r="U1343" s="214" t="s">
        <v>122</v>
      </c>
      <c r="V1343" s="214" t="s">
        <v>122</v>
      </c>
      <c r="W1343" s="214" t="s">
        <v>122</v>
      </c>
      <c r="X1343" s="214" t="s">
        <v>292</v>
      </c>
      <c r="Y1343" s="214" t="s">
        <v>292</v>
      </c>
      <c r="Z1343" s="234"/>
      <c r="AA1343" s="234"/>
      <c r="AB1343" s="234"/>
      <c r="AC1343" s="234"/>
      <c r="AD1343" s="319" t="s">
        <v>3515</v>
      </c>
      <c r="AE1343" s="319" t="s">
        <v>3516</v>
      </c>
      <c r="AF1343" s="162">
        <f t="shared" si="115"/>
        <v>3.6636363636363636</v>
      </c>
      <c r="AG1343" s="162">
        <f t="shared" si="113"/>
        <v>9.6818181818181817</v>
      </c>
      <c r="AH1343" s="164">
        <f t="shared" si="110"/>
        <v>0.36363636363636365</v>
      </c>
      <c r="AI1343" s="164">
        <f t="shared" si="111"/>
        <v>0.41905454545454546</v>
      </c>
      <c r="AJ1343" s="368">
        <f>4.03/1.1</f>
        <v>3.6636363636363636</v>
      </c>
      <c r="AK1343" s="521"/>
      <c r="AL1343" s="368">
        <f>6.62/1.1</f>
        <v>6.0181818181818176</v>
      </c>
      <c r="AM1343" s="368">
        <f>0.544/1.1</f>
        <v>0.49454545454545457</v>
      </c>
      <c r="AN1343" s="368">
        <f>10.89/1.1</f>
        <v>9.9</v>
      </c>
      <c r="AO1343" s="368"/>
      <c r="AP1343" s="368">
        <f>7.96/1.1</f>
        <v>7.2363636363636354</v>
      </c>
      <c r="AQ1343" s="368"/>
      <c r="AR1343" s="389"/>
      <c r="AS1343" s="263">
        <f t="shared" si="116"/>
        <v>3.6636363636363636</v>
      </c>
      <c r="AT1343" s="271">
        <f t="shared" si="117"/>
        <v>27.312727272727273</v>
      </c>
      <c r="AU1343" s="389"/>
      <c r="AV1343" s="418"/>
      <c r="AW1343" s="436">
        <f>0.4/1.1</f>
        <v>0.36363636363636365</v>
      </c>
      <c r="AX1343" s="359"/>
      <c r="AY1343" s="359">
        <f>0.06096/1.1</f>
        <v>5.5418181818181811E-2</v>
      </c>
      <c r="AZ1343" s="359">
        <f>0.0166/1.1</f>
        <v>1.5090909090909091E-2</v>
      </c>
      <c r="BA1343" s="359">
        <f>0.357/1.1</f>
        <v>0.32454545454545453</v>
      </c>
      <c r="BB1343" s="359"/>
      <c r="BC1343" s="426">
        <f>0.0487/1.1</f>
        <v>4.4272727272727269E-2</v>
      </c>
      <c r="BD1343" s="359"/>
      <c r="BE1343" s="359"/>
      <c r="BF1343" s="469">
        <f t="shared" si="114"/>
        <v>0.36363636363636365</v>
      </c>
      <c r="BG1343" s="469">
        <f t="shared" si="118"/>
        <v>0.80296363636363632</v>
      </c>
      <c r="BH1343" s="460"/>
      <c r="BI1343" s="461"/>
      <c r="BJ1343" s="505"/>
    </row>
    <row r="1344" spans="1:62" ht="15" customHeight="1" thickBot="1" x14ac:dyDescent="0.25">
      <c r="A1344" s="176">
        <v>1345</v>
      </c>
      <c r="B1344" s="291">
        <v>1</v>
      </c>
      <c r="C1344" s="167" t="s">
        <v>162</v>
      </c>
      <c r="D1344" s="167" t="s">
        <v>882</v>
      </c>
      <c r="E1344" s="167" t="s">
        <v>1068</v>
      </c>
      <c r="F1344" s="167" t="s">
        <v>3519</v>
      </c>
      <c r="G1344" s="167"/>
      <c r="H1344" s="167" t="s">
        <v>3518</v>
      </c>
      <c r="I1344" s="184">
        <v>2006</v>
      </c>
      <c r="J1344" s="181" t="s">
        <v>3507</v>
      </c>
      <c r="K1344" s="184" t="s">
        <v>3508</v>
      </c>
      <c r="L1344" s="184" t="s">
        <v>83</v>
      </c>
      <c r="M1344" s="556" t="s">
        <v>4333</v>
      </c>
      <c r="N1344" s="214" t="s">
        <v>122</v>
      </c>
      <c r="O1344" s="214" t="s">
        <v>292</v>
      </c>
      <c r="P1344" s="214" t="s">
        <v>122</v>
      </c>
      <c r="Q1344" s="214" t="s">
        <v>122</v>
      </c>
      <c r="R1344" s="214" t="s">
        <v>122</v>
      </c>
      <c r="S1344" s="214" t="s">
        <v>122</v>
      </c>
      <c r="T1344" s="214" t="s">
        <v>292</v>
      </c>
      <c r="U1344" s="214" t="s">
        <v>122</v>
      </c>
      <c r="V1344" s="214" t="s">
        <v>122</v>
      </c>
      <c r="W1344" s="214" t="s">
        <v>122</v>
      </c>
      <c r="X1344" s="214" t="s">
        <v>292</v>
      </c>
      <c r="Y1344" s="214" t="s">
        <v>292</v>
      </c>
      <c r="Z1344" s="234"/>
      <c r="AA1344" s="234"/>
      <c r="AB1344" s="234"/>
      <c r="AC1344" s="234"/>
      <c r="AD1344" s="319" t="s">
        <v>3515</v>
      </c>
      <c r="AE1344" s="319" t="s">
        <v>3516</v>
      </c>
      <c r="AF1344" s="162">
        <f t="shared" si="115"/>
        <v>3.3626363636363634</v>
      </c>
      <c r="AG1344" s="162">
        <f t="shared" si="113"/>
        <v>9.5899090909090905</v>
      </c>
      <c r="AH1344" s="164">
        <f t="shared" si="110"/>
        <v>0.33909090909090905</v>
      </c>
      <c r="AI1344" s="164">
        <f t="shared" si="111"/>
        <v>0.70045454545454544</v>
      </c>
      <c r="AJ1344" s="368">
        <f>3.6989/1.1</f>
        <v>3.3626363636363634</v>
      </c>
      <c r="AK1344" s="520"/>
      <c r="AL1344" s="368">
        <f>6.85/1.1</f>
        <v>6.2272727272727266</v>
      </c>
      <c r="AM1344" s="368">
        <f>0.544/1.1</f>
        <v>0.49454545454545457</v>
      </c>
      <c r="AN1344" s="368">
        <f>7.195/1.1</f>
        <v>6.540909090909091</v>
      </c>
      <c r="AO1344" s="368"/>
      <c r="AP1344" s="368">
        <f>7.75/1.1</f>
        <v>7.045454545454545</v>
      </c>
      <c r="AQ1344" s="368"/>
      <c r="AR1344" s="389"/>
      <c r="AS1344" s="263">
        <f t="shared" si="116"/>
        <v>3.3626363636363634</v>
      </c>
      <c r="AT1344" s="271">
        <f t="shared" si="117"/>
        <v>23.670818181818184</v>
      </c>
      <c r="AU1344" s="389"/>
      <c r="AV1344" s="418"/>
      <c r="AW1344" s="436">
        <f>0.373/1.1</f>
        <v>0.33909090909090905</v>
      </c>
      <c r="AX1344" s="359"/>
      <c r="AY1344" s="359">
        <f>0.3975/1.1</f>
        <v>0.36136363636363633</v>
      </c>
      <c r="AZ1344" s="359">
        <f>0.0166/1.1</f>
        <v>1.5090909090909091E-2</v>
      </c>
      <c r="BA1344" s="359">
        <f>0.2065/1.1</f>
        <v>0.18772727272727271</v>
      </c>
      <c r="BB1344" s="359"/>
      <c r="BC1344" s="426">
        <f>0.0487/1.1</f>
        <v>4.4272727272727269E-2</v>
      </c>
      <c r="BD1344" s="359"/>
      <c r="BE1344" s="359"/>
      <c r="BF1344" s="469">
        <f t="shared" si="114"/>
        <v>0.33909090909090905</v>
      </c>
      <c r="BG1344" s="469">
        <f t="shared" si="118"/>
        <v>0.94754545454545447</v>
      </c>
      <c r="BH1344" s="460"/>
      <c r="BI1344" s="461"/>
      <c r="BJ1344" s="505"/>
    </row>
    <row r="1345" spans="1:62" ht="15" customHeight="1" thickBot="1" x14ac:dyDescent="0.25">
      <c r="A1345" s="176">
        <v>1346</v>
      </c>
      <c r="B1345" s="291">
        <v>1</v>
      </c>
      <c r="C1345" s="167" t="s">
        <v>162</v>
      </c>
      <c r="D1345" s="167" t="s">
        <v>882</v>
      </c>
      <c r="E1345" s="167" t="s">
        <v>1068</v>
      </c>
      <c r="F1345" s="167" t="s">
        <v>3520</v>
      </c>
      <c r="G1345" s="167"/>
      <c r="H1345" s="167" t="s">
        <v>3521</v>
      </c>
      <c r="I1345" s="184">
        <v>2006</v>
      </c>
      <c r="J1345" s="181" t="s">
        <v>3507</v>
      </c>
      <c r="K1345" s="184" t="s">
        <v>3508</v>
      </c>
      <c r="L1345" s="184" t="s">
        <v>83</v>
      </c>
      <c r="M1345" s="556" t="s">
        <v>4333</v>
      </c>
      <c r="N1345" s="214" t="s">
        <v>122</v>
      </c>
      <c r="O1345" s="214" t="s">
        <v>292</v>
      </c>
      <c r="P1345" s="214" t="s">
        <v>122</v>
      </c>
      <c r="Q1345" s="214" t="s">
        <v>122</v>
      </c>
      <c r="R1345" s="214" t="s">
        <v>122</v>
      </c>
      <c r="S1345" s="214" t="s">
        <v>122</v>
      </c>
      <c r="T1345" s="214" t="s">
        <v>292</v>
      </c>
      <c r="U1345" s="214" t="s">
        <v>122</v>
      </c>
      <c r="V1345" s="214" t="s">
        <v>122</v>
      </c>
      <c r="W1345" s="214" t="s">
        <v>122</v>
      </c>
      <c r="X1345" s="214" t="s">
        <v>292</v>
      </c>
      <c r="Y1345" s="214" t="s">
        <v>292</v>
      </c>
      <c r="Z1345" s="234"/>
      <c r="AA1345" s="234"/>
      <c r="AB1345" s="234"/>
      <c r="AC1345" s="234"/>
      <c r="AD1345" s="319" t="s">
        <v>3515</v>
      </c>
      <c r="AE1345" s="319" t="s">
        <v>3516</v>
      </c>
      <c r="AF1345" s="162">
        <f t="shared" si="115"/>
        <v>3.0909090909090904</v>
      </c>
      <c r="AG1345" s="162">
        <f t="shared" si="113"/>
        <v>7.3818181818181809</v>
      </c>
      <c r="AH1345" s="164">
        <f t="shared" si="110"/>
        <v>0.57390909090909081</v>
      </c>
      <c r="AI1345" s="164">
        <f t="shared" si="111"/>
        <v>0.7827272727272726</v>
      </c>
      <c r="AJ1345" s="368">
        <f>3.4/1.1</f>
        <v>3.0909090909090904</v>
      </c>
      <c r="AK1345" s="520"/>
      <c r="AL1345" s="368">
        <f>4.72/1.1</f>
        <v>4.2909090909090901</v>
      </c>
      <c r="AM1345" s="368">
        <f>0.544/1.1</f>
        <v>0.49454545454545457</v>
      </c>
      <c r="AN1345" s="368">
        <f>8.83/1.1</f>
        <v>8.0272727272727273</v>
      </c>
      <c r="AO1345" s="368"/>
      <c r="AP1345" s="368">
        <f>7.96/1.1</f>
        <v>7.2363636363636354</v>
      </c>
      <c r="AQ1345" s="368"/>
      <c r="AR1345" s="389"/>
      <c r="AS1345" s="263">
        <f t="shared" si="116"/>
        <v>3.0909090909090904</v>
      </c>
      <c r="AT1345" s="271">
        <f t="shared" si="117"/>
        <v>23.139999999999997</v>
      </c>
      <c r="AU1345" s="389"/>
      <c r="AV1345" s="418"/>
      <c r="AW1345" s="436">
        <f>0.6313/1.1</f>
        <v>0.57390909090909081</v>
      </c>
      <c r="AX1345" s="359"/>
      <c r="AY1345" s="359">
        <f>0.2297/1.1</f>
        <v>0.20881818181818179</v>
      </c>
      <c r="AZ1345" s="359">
        <f>0.0166/1.1</f>
        <v>1.5090909090909091E-2</v>
      </c>
      <c r="BA1345" s="359">
        <f>0.384/1.1</f>
        <v>0.34909090909090906</v>
      </c>
      <c r="BB1345" s="359"/>
      <c r="BC1345" s="426">
        <f>0.0487/1.1</f>
        <v>4.4272727272727269E-2</v>
      </c>
      <c r="BD1345" s="359"/>
      <c r="BE1345" s="359"/>
      <c r="BF1345" s="469">
        <f t="shared" si="114"/>
        <v>0.57390909090909081</v>
      </c>
      <c r="BG1345" s="469">
        <f t="shared" si="118"/>
        <v>1.1911818181818179</v>
      </c>
      <c r="BH1345" s="460"/>
      <c r="BI1345" s="461"/>
      <c r="BJ1345" s="505"/>
    </row>
    <row r="1346" spans="1:62" ht="15" customHeight="1" thickBot="1" x14ac:dyDescent="0.25">
      <c r="A1346" s="176">
        <v>1347</v>
      </c>
      <c r="B1346" s="291">
        <v>1</v>
      </c>
      <c r="C1346" s="167" t="s">
        <v>162</v>
      </c>
      <c r="D1346" s="167" t="s">
        <v>882</v>
      </c>
      <c r="E1346" s="167" t="s">
        <v>1068</v>
      </c>
      <c r="F1346" s="167" t="s">
        <v>3522</v>
      </c>
      <c r="G1346" s="167"/>
      <c r="H1346" s="167" t="s">
        <v>3521</v>
      </c>
      <c r="I1346" s="184">
        <v>2006</v>
      </c>
      <c r="J1346" s="181" t="s">
        <v>3507</v>
      </c>
      <c r="K1346" s="184" t="s">
        <v>3508</v>
      </c>
      <c r="L1346" s="184" t="s">
        <v>83</v>
      </c>
      <c r="M1346" s="556" t="s">
        <v>4333</v>
      </c>
      <c r="N1346" s="214" t="s">
        <v>122</v>
      </c>
      <c r="O1346" s="214" t="s">
        <v>292</v>
      </c>
      <c r="P1346" s="214" t="s">
        <v>122</v>
      </c>
      <c r="Q1346" s="214" t="s">
        <v>122</v>
      </c>
      <c r="R1346" s="214" t="s">
        <v>122</v>
      </c>
      <c r="S1346" s="214" t="s">
        <v>122</v>
      </c>
      <c r="T1346" s="214" t="s">
        <v>292</v>
      </c>
      <c r="U1346" s="214" t="s">
        <v>122</v>
      </c>
      <c r="V1346" s="214" t="s">
        <v>122</v>
      </c>
      <c r="W1346" s="214" t="s">
        <v>122</v>
      </c>
      <c r="X1346" s="214" t="s">
        <v>292</v>
      </c>
      <c r="Y1346" s="214" t="s">
        <v>292</v>
      </c>
      <c r="Z1346" s="234"/>
      <c r="AA1346" s="234"/>
      <c r="AB1346" s="234"/>
      <c r="AC1346" s="234"/>
      <c r="AD1346" s="319" t="s">
        <v>3515</v>
      </c>
      <c r="AE1346" s="319" t="s">
        <v>3516</v>
      </c>
      <c r="AF1346" s="162" t="str">
        <f t="shared" si="115"/>
        <v/>
      </c>
      <c r="AG1346" s="162">
        <f t="shared" si="113"/>
        <v>5.1090909090909085</v>
      </c>
      <c r="AH1346" s="164">
        <f t="shared" ref="AH1346:AH1409" si="119">IF(BF1346&lt;&gt;0,BF1346,"")</f>
        <v>0.21636363636363634</v>
      </c>
      <c r="AI1346" s="164">
        <f t="shared" ref="AI1346:AI1409" si="120">IF(AND(SUM(AW1346:AY1346)&lt;&gt;0,SUM(AW1346:AY1346)&lt;&gt;AW1346),SUM(AW1346:AY1346),"")</f>
        <v>0.53818181818181809</v>
      </c>
      <c r="AJ1346" s="368">
        <v>0</v>
      </c>
      <c r="AK1346" s="520"/>
      <c r="AL1346" s="368">
        <f>5.62/1.1</f>
        <v>5.1090909090909085</v>
      </c>
      <c r="AM1346" s="368">
        <f>0.544/1.1</f>
        <v>0.49454545454545457</v>
      </c>
      <c r="AN1346" s="368">
        <f>8.59/1.1</f>
        <v>7.8090909090909086</v>
      </c>
      <c r="AO1346" s="368"/>
      <c r="AP1346" s="368">
        <f>7.75/1.1</f>
        <v>7.045454545454545</v>
      </c>
      <c r="AQ1346" s="368"/>
      <c r="AR1346" s="389"/>
      <c r="AS1346" s="263">
        <f t="shared" si="116"/>
        <v>0</v>
      </c>
      <c r="AT1346" s="271">
        <f t="shared" si="117"/>
        <v>20.458181818181814</v>
      </c>
      <c r="AU1346" s="389"/>
      <c r="AV1346" s="418"/>
      <c r="AW1346" s="436">
        <f>0.238/1.1</f>
        <v>0.21636363636363634</v>
      </c>
      <c r="AX1346" s="359"/>
      <c r="AY1346" s="359">
        <f>0.354/1.1</f>
        <v>0.32181818181818178</v>
      </c>
      <c r="AZ1346" s="359">
        <f>0.0166/1.1</f>
        <v>1.5090909090909091E-2</v>
      </c>
      <c r="BA1346" s="359">
        <f>0.338/1.1</f>
        <v>0.30727272727272725</v>
      </c>
      <c r="BB1346" s="359"/>
      <c r="BC1346" s="426">
        <f>0.0487/1.1</f>
        <v>4.4272727272727269E-2</v>
      </c>
      <c r="BD1346" s="359"/>
      <c r="BE1346" s="359"/>
      <c r="BF1346" s="469">
        <f t="shared" si="114"/>
        <v>0.21636363636363634</v>
      </c>
      <c r="BG1346" s="469">
        <f t="shared" si="118"/>
        <v>0.90481818181818163</v>
      </c>
      <c r="BH1346" s="460"/>
      <c r="BI1346" s="461"/>
      <c r="BJ1346" s="505"/>
    </row>
    <row r="1347" spans="1:62" ht="15" customHeight="1" thickBot="1" x14ac:dyDescent="0.25">
      <c r="A1347" s="176">
        <v>1348</v>
      </c>
      <c r="B1347" s="291">
        <v>1</v>
      </c>
      <c r="C1347" s="167" t="s">
        <v>162</v>
      </c>
      <c r="D1347" s="167" t="s">
        <v>882</v>
      </c>
      <c r="E1347" s="167" t="s">
        <v>13</v>
      </c>
      <c r="F1347" s="167" t="s">
        <v>3523</v>
      </c>
      <c r="G1347" s="167"/>
      <c r="H1347" s="171" t="s">
        <v>101</v>
      </c>
      <c r="I1347" s="184">
        <v>2006</v>
      </c>
      <c r="J1347" s="181" t="s">
        <v>3507</v>
      </c>
      <c r="K1347" s="184" t="s">
        <v>3508</v>
      </c>
      <c r="L1347" s="184" t="s">
        <v>83</v>
      </c>
      <c r="M1347" s="556" t="s">
        <v>4333</v>
      </c>
      <c r="N1347" s="214" t="s">
        <v>122</v>
      </c>
      <c r="O1347" s="214" t="s">
        <v>292</v>
      </c>
      <c r="P1347" s="214" t="s">
        <v>122</v>
      </c>
      <c r="Q1347" s="214" t="s">
        <v>122</v>
      </c>
      <c r="R1347" s="214" t="s">
        <v>122</v>
      </c>
      <c r="S1347" s="214" t="s">
        <v>122</v>
      </c>
      <c r="T1347" s="214" t="s">
        <v>292</v>
      </c>
      <c r="U1347" s="214" t="s">
        <v>122</v>
      </c>
      <c r="V1347" s="214" t="s">
        <v>122</v>
      </c>
      <c r="W1347" s="214" t="s">
        <v>122</v>
      </c>
      <c r="X1347" s="214" t="s">
        <v>292</v>
      </c>
      <c r="Y1347" s="214" t="s">
        <v>292</v>
      </c>
      <c r="Z1347" s="234"/>
      <c r="AA1347" s="234"/>
      <c r="AB1347" s="234"/>
      <c r="AC1347" s="234"/>
      <c r="AD1347" s="319" t="s">
        <v>3510</v>
      </c>
      <c r="AE1347" s="319"/>
      <c r="AF1347" s="162">
        <f t="shared" si="115"/>
        <v>7.5</v>
      </c>
      <c r="AG1347" s="162">
        <f t="shared" si="113"/>
        <v>8.11</v>
      </c>
      <c r="AH1347" s="164">
        <f t="shared" si="119"/>
        <v>0.629</v>
      </c>
      <c r="AI1347" s="164">
        <f t="shared" si="120"/>
        <v>0.64370000000000005</v>
      </c>
      <c r="AJ1347" s="368">
        <f>7.5</f>
        <v>7.5</v>
      </c>
      <c r="AK1347" s="520"/>
      <c r="AL1347" s="368">
        <v>0.61</v>
      </c>
      <c r="AM1347" s="368">
        <v>0.90500000000000003</v>
      </c>
      <c r="AN1347" s="368">
        <v>2.79</v>
      </c>
      <c r="AO1347" s="368"/>
      <c r="AP1347" s="368">
        <v>6.61</v>
      </c>
      <c r="AQ1347" s="368"/>
      <c r="AR1347" s="389"/>
      <c r="AS1347" s="263">
        <f t="shared" si="116"/>
        <v>7.5</v>
      </c>
      <c r="AT1347" s="271">
        <f t="shared" si="117"/>
        <v>18.414999999999999</v>
      </c>
      <c r="AU1347" s="389"/>
      <c r="AV1347" s="418"/>
      <c r="AW1347" s="436">
        <v>0.629</v>
      </c>
      <c r="AX1347" s="359"/>
      <c r="AY1347" s="359">
        <v>1.47E-2</v>
      </c>
      <c r="AZ1347" s="359">
        <f>0.0166</f>
        <v>1.66E-2</v>
      </c>
      <c r="BA1347" s="359">
        <v>0.17499999999999999</v>
      </c>
      <c r="BB1347" s="359"/>
      <c r="BC1347" s="426">
        <v>0.159</v>
      </c>
      <c r="BD1347" s="359"/>
      <c r="BE1347" s="359"/>
      <c r="BF1347" s="469">
        <f t="shared" si="114"/>
        <v>0.629</v>
      </c>
      <c r="BG1347" s="469">
        <f t="shared" si="118"/>
        <v>0.99429999999999996</v>
      </c>
      <c r="BH1347" s="460"/>
      <c r="BI1347" s="461"/>
      <c r="BJ1347" s="505"/>
    </row>
    <row r="1348" spans="1:62" ht="15" customHeight="1" thickBot="1" x14ac:dyDescent="0.25">
      <c r="A1348" s="176">
        <v>1349</v>
      </c>
      <c r="B1348" s="291">
        <v>1</v>
      </c>
      <c r="C1348" s="167" t="s">
        <v>162</v>
      </c>
      <c r="D1348" s="167" t="s">
        <v>882</v>
      </c>
      <c r="E1348" s="167" t="s">
        <v>13</v>
      </c>
      <c r="F1348" s="167" t="s">
        <v>3524</v>
      </c>
      <c r="G1348" s="167"/>
      <c r="H1348" s="167" t="s">
        <v>3518</v>
      </c>
      <c r="I1348" s="184">
        <v>2006</v>
      </c>
      <c r="J1348" s="181" t="s">
        <v>3507</v>
      </c>
      <c r="K1348" s="184" t="s">
        <v>3508</v>
      </c>
      <c r="L1348" s="184" t="s">
        <v>83</v>
      </c>
      <c r="M1348" s="556" t="s">
        <v>4333</v>
      </c>
      <c r="N1348" s="214" t="s">
        <v>122</v>
      </c>
      <c r="O1348" s="214" t="s">
        <v>292</v>
      </c>
      <c r="P1348" s="214" t="s">
        <v>122</v>
      </c>
      <c r="Q1348" s="214" t="s">
        <v>122</v>
      </c>
      <c r="R1348" s="214" t="s">
        <v>122</v>
      </c>
      <c r="S1348" s="214" t="s">
        <v>122</v>
      </c>
      <c r="T1348" s="214" t="s">
        <v>292</v>
      </c>
      <c r="U1348" s="214" t="s">
        <v>122</v>
      </c>
      <c r="V1348" s="214" t="s">
        <v>122</v>
      </c>
      <c r="W1348" s="214" t="s">
        <v>122</v>
      </c>
      <c r="X1348" s="214" t="s">
        <v>292</v>
      </c>
      <c r="Y1348" s="214" t="s">
        <v>292</v>
      </c>
      <c r="Z1348" s="234"/>
      <c r="AA1348" s="234"/>
      <c r="AB1348" s="234"/>
      <c r="AC1348" s="234"/>
      <c r="AD1348" s="319" t="s">
        <v>3510</v>
      </c>
      <c r="AE1348" s="319"/>
      <c r="AF1348" s="162">
        <f t="shared" si="115"/>
        <v>3.95</v>
      </c>
      <c r="AG1348" s="162">
        <f t="shared" si="113"/>
        <v>4.452</v>
      </c>
      <c r="AH1348" s="164">
        <f t="shared" si="119"/>
        <v>0.39700000000000002</v>
      </c>
      <c r="AI1348" s="164">
        <f t="shared" si="120"/>
        <v>0.41170000000000001</v>
      </c>
      <c r="AJ1348" s="368">
        <v>3.95</v>
      </c>
      <c r="AK1348" s="520"/>
      <c r="AL1348" s="368">
        <v>0.502</v>
      </c>
      <c r="AM1348" s="368">
        <v>1.1200000000000001</v>
      </c>
      <c r="AN1348" s="368">
        <v>4.95</v>
      </c>
      <c r="AO1348" s="368"/>
      <c r="AP1348" s="368">
        <v>6.3440000000000003</v>
      </c>
      <c r="AQ1348" s="368"/>
      <c r="AR1348" s="389"/>
      <c r="AS1348" s="263">
        <f t="shared" si="116"/>
        <v>3.95</v>
      </c>
      <c r="AT1348" s="271">
        <f t="shared" si="117"/>
        <v>16.866</v>
      </c>
      <c r="AU1348" s="389"/>
      <c r="AV1348" s="418"/>
      <c r="AW1348" s="436">
        <v>0.39700000000000002</v>
      </c>
      <c r="AX1348" s="359"/>
      <c r="AY1348" s="359">
        <v>1.47E-2</v>
      </c>
      <c r="AZ1348" s="359">
        <f>0.0166</f>
        <v>1.66E-2</v>
      </c>
      <c r="BA1348" s="359">
        <v>0.246</v>
      </c>
      <c r="BB1348" s="359"/>
      <c r="BC1348" s="426">
        <v>0.16400000000000001</v>
      </c>
      <c r="BD1348" s="359"/>
      <c r="BE1348" s="359"/>
      <c r="BF1348" s="469">
        <f t="shared" si="114"/>
        <v>0.39700000000000002</v>
      </c>
      <c r="BG1348" s="469">
        <f t="shared" si="118"/>
        <v>0.83830000000000005</v>
      </c>
      <c r="BH1348" s="460"/>
      <c r="BI1348" s="461"/>
      <c r="BJ1348" s="505"/>
    </row>
    <row r="1349" spans="1:62" ht="15" customHeight="1" thickBot="1" x14ac:dyDescent="0.25">
      <c r="A1349" s="176">
        <v>1350</v>
      </c>
      <c r="B1349" s="291">
        <v>1</v>
      </c>
      <c r="C1349" s="167" t="s">
        <v>162</v>
      </c>
      <c r="D1349" s="167" t="s">
        <v>882</v>
      </c>
      <c r="E1349" s="167" t="s">
        <v>13</v>
      </c>
      <c r="F1349" s="167" t="s">
        <v>3525</v>
      </c>
      <c r="G1349" s="167"/>
      <c r="H1349" s="167" t="s">
        <v>3518</v>
      </c>
      <c r="I1349" s="184">
        <v>2006</v>
      </c>
      <c r="J1349" s="181" t="s">
        <v>3507</v>
      </c>
      <c r="K1349" s="184" t="s">
        <v>3508</v>
      </c>
      <c r="L1349" s="184" t="s">
        <v>83</v>
      </c>
      <c r="M1349" s="556" t="s">
        <v>4333</v>
      </c>
      <c r="N1349" s="214" t="s">
        <v>122</v>
      </c>
      <c r="O1349" s="214" t="s">
        <v>292</v>
      </c>
      <c r="P1349" s="214" t="s">
        <v>122</v>
      </c>
      <c r="Q1349" s="214" t="s">
        <v>122</v>
      </c>
      <c r="R1349" s="214" t="s">
        <v>122</v>
      </c>
      <c r="S1349" s="214" t="s">
        <v>122</v>
      </c>
      <c r="T1349" s="214" t="s">
        <v>292</v>
      </c>
      <c r="U1349" s="214" t="s">
        <v>122</v>
      </c>
      <c r="V1349" s="214" t="s">
        <v>122</v>
      </c>
      <c r="W1349" s="214" t="s">
        <v>122</v>
      </c>
      <c r="X1349" s="214" t="s">
        <v>292</v>
      </c>
      <c r="Y1349" s="214" t="s">
        <v>292</v>
      </c>
      <c r="Z1349" s="234"/>
      <c r="AA1349" s="234"/>
      <c r="AB1349" s="234"/>
      <c r="AC1349" s="234"/>
      <c r="AD1349" s="319" t="s">
        <v>3510</v>
      </c>
      <c r="AE1349" s="319"/>
      <c r="AF1349" s="162">
        <f t="shared" si="115"/>
        <v>3.99</v>
      </c>
      <c r="AG1349" s="162">
        <f t="shared" si="113"/>
        <v>4.492</v>
      </c>
      <c r="AH1349" s="164">
        <f t="shared" si="119"/>
        <v>0.42699999999999999</v>
      </c>
      <c r="AI1349" s="164">
        <f t="shared" si="120"/>
        <v>0.46179999999999999</v>
      </c>
      <c r="AJ1349" s="368">
        <v>3.99</v>
      </c>
      <c r="AK1349" s="520"/>
      <c r="AL1349" s="368">
        <v>0.502</v>
      </c>
      <c r="AM1349" s="368">
        <v>1.1200000000000001</v>
      </c>
      <c r="AN1349" s="368">
        <v>5.22</v>
      </c>
      <c r="AO1349" s="368"/>
      <c r="AP1349" s="368">
        <v>6.3440000000000003</v>
      </c>
      <c r="AQ1349" s="368"/>
      <c r="AR1349" s="389"/>
      <c r="AS1349" s="263">
        <f t="shared" si="116"/>
        <v>3.99</v>
      </c>
      <c r="AT1349" s="271">
        <f t="shared" si="117"/>
        <v>17.176000000000002</v>
      </c>
      <c r="AU1349" s="389"/>
      <c r="AV1349" s="418"/>
      <c r="AW1349" s="436">
        <v>0.42699999999999999</v>
      </c>
      <c r="AX1349" s="359"/>
      <c r="AY1349" s="359">
        <v>3.4799999999999998E-2</v>
      </c>
      <c r="AZ1349" s="359">
        <v>3.6600000000000001E-2</v>
      </c>
      <c r="BA1349" s="359">
        <v>0.27600000000000002</v>
      </c>
      <c r="BB1349" s="359"/>
      <c r="BC1349" s="426">
        <v>0.14899999999999999</v>
      </c>
      <c r="BD1349" s="359"/>
      <c r="BE1349" s="359"/>
      <c r="BF1349" s="469">
        <f t="shared" si="114"/>
        <v>0.42699999999999999</v>
      </c>
      <c r="BG1349" s="469">
        <f t="shared" si="118"/>
        <v>0.9234</v>
      </c>
      <c r="BH1349" s="460"/>
      <c r="BI1349" s="461"/>
      <c r="BJ1349" s="505" t="s">
        <v>3526</v>
      </c>
    </row>
    <row r="1350" spans="1:62" ht="15" customHeight="1" thickBot="1" x14ac:dyDescent="0.25">
      <c r="A1350" s="176">
        <v>1351</v>
      </c>
      <c r="B1350" s="291">
        <v>1</v>
      </c>
      <c r="C1350" s="167" t="s">
        <v>975</v>
      </c>
      <c r="D1350" s="167" t="s">
        <v>3527</v>
      </c>
      <c r="E1350" s="167" t="s">
        <v>13</v>
      </c>
      <c r="F1350" s="167" t="s">
        <v>3528</v>
      </c>
      <c r="G1350" s="167"/>
      <c r="H1350" s="167" t="s">
        <v>3529</v>
      </c>
      <c r="I1350" s="184">
        <v>2015</v>
      </c>
      <c r="J1350" s="181" t="s">
        <v>3530</v>
      </c>
      <c r="K1350" s="184"/>
      <c r="L1350" s="184" t="s">
        <v>19</v>
      </c>
      <c r="M1350" s="556" t="s">
        <v>4334</v>
      </c>
      <c r="N1350" s="214" t="s">
        <v>122</v>
      </c>
      <c r="O1350" s="214"/>
      <c r="P1350" s="214"/>
      <c r="Q1350" s="214"/>
      <c r="R1350" s="214"/>
      <c r="S1350" s="214"/>
      <c r="T1350" s="214"/>
      <c r="U1350" s="214"/>
      <c r="V1350" s="214"/>
      <c r="W1350" s="214"/>
      <c r="X1350" s="214"/>
      <c r="Y1350" s="214"/>
      <c r="Z1350" s="234"/>
      <c r="AA1350" s="234"/>
      <c r="AB1350" s="234"/>
      <c r="AC1350" s="234"/>
      <c r="AD1350" s="319" t="s">
        <v>3531</v>
      </c>
      <c r="AE1350" s="319" t="s">
        <v>3532</v>
      </c>
      <c r="AF1350" s="162">
        <f t="shared" si="115"/>
        <v>27.388303448275867</v>
      </c>
      <c r="AG1350" s="162" t="str">
        <f t="shared" si="113"/>
        <v/>
      </c>
      <c r="AH1350" s="164">
        <f t="shared" si="119"/>
        <v>1.8279310344827588</v>
      </c>
      <c r="AI1350" s="164" t="str">
        <f t="shared" si="120"/>
        <v/>
      </c>
      <c r="AJ1350" s="368">
        <f>0.342*46.448/0.58</f>
        <v>27.388303448275867</v>
      </c>
      <c r="AK1350" s="390"/>
      <c r="AL1350" s="368"/>
      <c r="AM1350" s="368"/>
      <c r="AN1350" s="368"/>
      <c r="AO1350" s="368"/>
      <c r="AP1350" s="368"/>
      <c r="AQ1350" s="368"/>
      <c r="AR1350" s="389"/>
      <c r="AS1350" s="263">
        <f t="shared" si="116"/>
        <v>27.388303448275867</v>
      </c>
      <c r="AT1350" s="271"/>
      <c r="AU1350" s="389"/>
      <c r="AV1350" s="418"/>
      <c r="AW1350" s="538">
        <f>0.342*3.1/0.58</f>
        <v>1.8279310344827588</v>
      </c>
      <c r="AX1350" s="359"/>
      <c r="AY1350" s="359"/>
      <c r="AZ1350" s="359"/>
      <c r="BA1350" s="359"/>
      <c r="BB1350" s="359"/>
      <c r="BC1350" s="426"/>
      <c r="BD1350" s="359"/>
      <c r="BE1350" s="359"/>
      <c r="BF1350" s="469">
        <f t="shared" si="114"/>
        <v>1.8279310344827588</v>
      </c>
      <c r="BG1350" s="469"/>
      <c r="BH1350" s="460"/>
      <c r="BI1350" s="461"/>
      <c r="BJ1350" s="505" t="s">
        <v>3533</v>
      </c>
    </row>
    <row r="1351" spans="1:62" ht="15" customHeight="1" thickBot="1" x14ac:dyDescent="0.25">
      <c r="A1351" s="176">
        <v>1352</v>
      </c>
      <c r="B1351" s="291">
        <v>1</v>
      </c>
      <c r="C1351" s="167" t="s">
        <v>975</v>
      </c>
      <c r="D1351" s="167" t="s">
        <v>3527</v>
      </c>
      <c r="E1351" s="167" t="s">
        <v>13</v>
      </c>
      <c r="F1351" s="167" t="s">
        <v>3534</v>
      </c>
      <c r="G1351" s="167"/>
      <c r="H1351" s="167" t="s">
        <v>3529</v>
      </c>
      <c r="I1351" s="184">
        <v>2015</v>
      </c>
      <c r="J1351" s="181" t="s">
        <v>3530</v>
      </c>
      <c r="K1351" s="184"/>
      <c r="L1351" s="184" t="s">
        <v>19</v>
      </c>
      <c r="M1351" s="556" t="s">
        <v>4334</v>
      </c>
      <c r="N1351" s="214" t="s">
        <v>122</v>
      </c>
      <c r="O1351" s="214"/>
      <c r="P1351" s="214"/>
      <c r="Q1351" s="214"/>
      <c r="R1351" s="214"/>
      <c r="S1351" s="214"/>
      <c r="T1351" s="214"/>
      <c r="U1351" s="214"/>
      <c r="V1351" s="214"/>
      <c r="W1351" s="214"/>
      <c r="X1351" s="214"/>
      <c r="Y1351" s="214"/>
      <c r="Z1351" s="234"/>
      <c r="AA1351" s="234"/>
      <c r="AB1351" s="234"/>
      <c r="AC1351" s="234"/>
      <c r="AD1351" s="319" t="s">
        <v>3531</v>
      </c>
      <c r="AE1351" s="319" t="s">
        <v>3532</v>
      </c>
      <c r="AF1351" s="162">
        <f t="shared" si="115"/>
        <v>35.156331034482761</v>
      </c>
      <c r="AG1351" s="162" t="str">
        <f t="shared" si="113"/>
        <v/>
      </c>
      <c r="AH1351" s="164">
        <f t="shared" si="119"/>
        <v>2.3463793103448278</v>
      </c>
      <c r="AI1351" s="164" t="str">
        <f t="shared" si="120"/>
        <v/>
      </c>
      <c r="AJ1351" s="368">
        <f>0.439*46.448/0.58</f>
        <v>35.156331034482761</v>
      </c>
      <c r="AK1351" s="368"/>
      <c r="AL1351" s="368"/>
      <c r="AM1351" s="368"/>
      <c r="AN1351" s="368"/>
      <c r="AO1351" s="368"/>
      <c r="AP1351" s="368"/>
      <c r="AQ1351" s="368"/>
      <c r="AR1351" s="389"/>
      <c r="AS1351" s="263">
        <f t="shared" si="116"/>
        <v>35.156331034482761</v>
      </c>
      <c r="AT1351" s="271"/>
      <c r="AU1351" s="389"/>
      <c r="AV1351" s="418"/>
      <c r="AW1351" s="333">
        <f>0.439*3.1/0.58</f>
        <v>2.3463793103448278</v>
      </c>
      <c r="AX1351" s="359"/>
      <c r="AY1351" s="359"/>
      <c r="AZ1351" s="359"/>
      <c r="BA1351" s="359"/>
      <c r="BB1351" s="359"/>
      <c r="BC1351" s="426"/>
      <c r="BD1351" s="359"/>
      <c r="BE1351" s="359"/>
      <c r="BF1351" s="469">
        <f t="shared" si="114"/>
        <v>2.3463793103448278</v>
      </c>
      <c r="BG1351" s="469"/>
      <c r="BH1351" s="460"/>
      <c r="BI1351" s="461"/>
      <c r="BJ1351" s="505" t="s">
        <v>3533</v>
      </c>
    </row>
    <row r="1352" spans="1:62" ht="15" customHeight="1" thickBot="1" x14ac:dyDescent="0.25">
      <c r="A1352" s="176">
        <v>1353</v>
      </c>
      <c r="B1352" s="291">
        <v>1</v>
      </c>
      <c r="C1352" s="167" t="s">
        <v>975</v>
      </c>
      <c r="D1352" s="167" t="s">
        <v>3527</v>
      </c>
      <c r="E1352" s="167" t="s">
        <v>13</v>
      </c>
      <c r="F1352" s="167" t="s">
        <v>3535</v>
      </c>
      <c r="G1352" s="167"/>
      <c r="H1352" s="167" t="s">
        <v>3529</v>
      </c>
      <c r="I1352" s="184">
        <v>2015</v>
      </c>
      <c r="J1352" s="181" t="s">
        <v>3530</v>
      </c>
      <c r="K1352" s="184"/>
      <c r="L1352" s="184" t="s">
        <v>19</v>
      </c>
      <c r="M1352" s="556" t="s">
        <v>4334</v>
      </c>
      <c r="N1352" s="214" t="s">
        <v>122</v>
      </c>
      <c r="O1352" s="214"/>
      <c r="P1352" s="214"/>
      <c r="Q1352" s="214"/>
      <c r="R1352" s="214"/>
      <c r="S1352" s="214"/>
      <c r="T1352" s="214"/>
      <c r="U1352" s="214"/>
      <c r="V1352" s="214"/>
      <c r="W1352" s="214"/>
      <c r="X1352" s="214"/>
      <c r="Y1352" s="214"/>
      <c r="Z1352" s="234"/>
      <c r="AA1352" s="234"/>
      <c r="AB1352" s="234"/>
      <c r="AC1352" s="234"/>
      <c r="AD1352" s="319" t="s">
        <v>3531</v>
      </c>
      <c r="AE1352" s="319" t="s">
        <v>3532</v>
      </c>
      <c r="AF1352" s="162">
        <f t="shared" si="115"/>
        <v>35.636827586206898</v>
      </c>
      <c r="AG1352" s="162" t="str">
        <f t="shared" si="113"/>
        <v/>
      </c>
      <c r="AH1352" s="164">
        <f t="shared" si="119"/>
        <v>2.3784482758620693</v>
      </c>
      <c r="AI1352" s="164" t="str">
        <f t="shared" si="120"/>
        <v/>
      </c>
      <c r="AJ1352" s="368">
        <f>0.445*46.448/0.58</f>
        <v>35.636827586206898</v>
      </c>
      <c r="AK1352" s="368"/>
      <c r="AL1352" s="368"/>
      <c r="AM1352" s="368"/>
      <c r="AN1352" s="368"/>
      <c r="AO1352" s="368"/>
      <c r="AP1352" s="368"/>
      <c r="AQ1352" s="368"/>
      <c r="AR1352" s="389"/>
      <c r="AS1352" s="263">
        <f t="shared" si="116"/>
        <v>35.636827586206898</v>
      </c>
      <c r="AT1352" s="271"/>
      <c r="AU1352" s="389"/>
      <c r="AV1352" s="418"/>
      <c r="AW1352" s="333">
        <f>0.445*3.1/0.58</f>
        <v>2.3784482758620693</v>
      </c>
      <c r="AX1352" s="359"/>
      <c r="AY1352" s="359"/>
      <c r="AZ1352" s="359"/>
      <c r="BA1352" s="359"/>
      <c r="BB1352" s="359"/>
      <c r="BC1352" s="426"/>
      <c r="BD1352" s="359"/>
      <c r="BE1352" s="359"/>
      <c r="BF1352" s="469">
        <f t="shared" si="114"/>
        <v>2.3784482758620693</v>
      </c>
      <c r="BG1352" s="469"/>
      <c r="BH1352" s="460"/>
      <c r="BI1352" s="461"/>
      <c r="BJ1352" s="505" t="s">
        <v>3533</v>
      </c>
    </row>
    <row r="1353" spans="1:62" ht="15" customHeight="1" thickBot="1" x14ac:dyDescent="0.25">
      <c r="A1353" s="176">
        <v>1354</v>
      </c>
      <c r="B1353" s="291">
        <v>1</v>
      </c>
      <c r="C1353" s="167" t="s">
        <v>975</v>
      </c>
      <c r="D1353" s="167" t="s">
        <v>3527</v>
      </c>
      <c r="E1353" s="167" t="s">
        <v>13</v>
      </c>
      <c r="F1353" s="167" t="s">
        <v>3536</v>
      </c>
      <c r="G1353" s="167"/>
      <c r="H1353" s="167" t="s">
        <v>3529</v>
      </c>
      <c r="I1353" s="184">
        <v>2015</v>
      </c>
      <c r="J1353" s="181" t="s">
        <v>3530</v>
      </c>
      <c r="K1353" s="184"/>
      <c r="L1353" s="184" t="s">
        <v>19</v>
      </c>
      <c r="M1353" s="556" t="s">
        <v>4334</v>
      </c>
      <c r="N1353" s="214" t="s">
        <v>122</v>
      </c>
      <c r="O1353" s="214"/>
      <c r="P1353" s="214"/>
      <c r="Q1353" s="214"/>
      <c r="R1353" s="214"/>
      <c r="S1353" s="214"/>
      <c r="T1353" s="214"/>
      <c r="U1353" s="214"/>
      <c r="V1353" s="214"/>
      <c r="W1353" s="214"/>
      <c r="X1353" s="214"/>
      <c r="Y1353" s="214"/>
      <c r="Z1353" s="234"/>
      <c r="AA1353" s="234"/>
      <c r="AB1353" s="234"/>
      <c r="AC1353" s="234"/>
      <c r="AD1353" s="319" t="s">
        <v>3531</v>
      </c>
      <c r="AE1353" s="319" t="s">
        <v>3532</v>
      </c>
      <c r="AF1353" s="162">
        <f t="shared" si="115"/>
        <v>33.875006896551724</v>
      </c>
      <c r="AG1353" s="162" t="str">
        <f t="shared" si="113"/>
        <v/>
      </c>
      <c r="AH1353" s="164">
        <f t="shared" si="119"/>
        <v>2.2608620689655172</v>
      </c>
      <c r="AI1353" s="164" t="str">
        <f t="shared" si="120"/>
        <v/>
      </c>
      <c r="AJ1353" s="368">
        <f>0.423*46.448/0.58</f>
        <v>33.875006896551724</v>
      </c>
      <c r="AK1353" s="368"/>
      <c r="AL1353" s="368"/>
      <c r="AM1353" s="368"/>
      <c r="AN1353" s="368"/>
      <c r="AO1353" s="368"/>
      <c r="AP1353" s="368"/>
      <c r="AQ1353" s="368"/>
      <c r="AR1353" s="389"/>
      <c r="AS1353" s="263">
        <f t="shared" si="116"/>
        <v>33.875006896551724</v>
      </c>
      <c r="AT1353" s="271"/>
      <c r="AU1353" s="389"/>
      <c r="AV1353" s="418"/>
      <c r="AW1353" s="333">
        <f>0.423*3.1/0.58</f>
        <v>2.2608620689655172</v>
      </c>
      <c r="AX1353" s="359"/>
      <c r="AY1353" s="359"/>
      <c r="AZ1353" s="359"/>
      <c r="BA1353" s="359"/>
      <c r="BB1353" s="359"/>
      <c r="BC1353" s="426"/>
      <c r="BD1353" s="359"/>
      <c r="BE1353" s="359"/>
      <c r="BF1353" s="469">
        <f t="shared" si="114"/>
        <v>2.2608620689655172</v>
      </c>
      <c r="BG1353" s="469"/>
      <c r="BH1353" s="460"/>
      <c r="BI1353" s="461"/>
      <c r="BJ1353" s="505" t="s">
        <v>3533</v>
      </c>
    </row>
    <row r="1354" spans="1:62" ht="15" customHeight="1" thickBot="1" x14ac:dyDescent="0.25">
      <c r="A1354" s="176">
        <v>1355</v>
      </c>
      <c r="B1354" s="291">
        <v>1</v>
      </c>
      <c r="C1354" s="167" t="s">
        <v>975</v>
      </c>
      <c r="D1354" s="167" t="s">
        <v>3527</v>
      </c>
      <c r="E1354" s="167" t="s">
        <v>13</v>
      </c>
      <c r="F1354" s="167" t="s">
        <v>3537</v>
      </c>
      <c r="G1354" s="167"/>
      <c r="H1354" s="167" t="s">
        <v>3538</v>
      </c>
      <c r="I1354" s="184">
        <v>2015</v>
      </c>
      <c r="J1354" s="181" t="s">
        <v>3530</v>
      </c>
      <c r="K1354" s="184"/>
      <c r="L1354" s="184" t="s">
        <v>19</v>
      </c>
      <c r="M1354" s="556" t="s">
        <v>4334</v>
      </c>
      <c r="N1354" s="214" t="s">
        <v>122</v>
      </c>
      <c r="O1354" s="214"/>
      <c r="P1354" s="214"/>
      <c r="Q1354" s="214"/>
      <c r="R1354" s="214"/>
      <c r="S1354" s="214"/>
      <c r="T1354" s="214"/>
      <c r="U1354" s="214"/>
      <c r="V1354" s="214"/>
      <c r="W1354" s="214"/>
      <c r="X1354" s="214"/>
      <c r="Y1354" s="214"/>
      <c r="Z1354" s="234"/>
      <c r="AA1354" s="234"/>
      <c r="AB1354" s="234"/>
      <c r="AC1354" s="234"/>
      <c r="AD1354" s="319" t="s">
        <v>3531</v>
      </c>
      <c r="AE1354" s="319" t="s">
        <v>3532</v>
      </c>
      <c r="AF1354" s="162">
        <f t="shared" si="115"/>
        <v>24.104910344827587</v>
      </c>
      <c r="AG1354" s="162" t="str">
        <f t="shared" si="113"/>
        <v/>
      </c>
      <c r="AH1354" s="164">
        <f t="shared" si="119"/>
        <v>1.6087931034482761</v>
      </c>
      <c r="AI1354" s="164" t="str">
        <f t="shared" si="120"/>
        <v/>
      </c>
      <c r="AJ1354" s="368">
        <f>0.301*46.448/0.58</f>
        <v>24.104910344827587</v>
      </c>
      <c r="AK1354" s="368"/>
      <c r="AL1354" s="368"/>
      <c r="AM1354" s="368"/>
      <c r="AN1354" s="368"/>
      <c r="AO1354" s="368"/>
      <c r="AP1354" s="368"/>
      <c r="AQ1354" s="368"/>
      <c r="AR1354" s="389"/>
      <c r="AS1354" s="263">
        <f t="shared" si="116"/>
        <v>24.104910344827587</v>
      </c>
      <c r="AT1354" s="271"/>
      <c r="AU1354" s="389"/>
      <c r="AV1354" s="418"/>
      <c r="AW1354" s="333">
        <f>0.301*3.1/0.58</f>
        <v>1.6087931034482761</v>
      </c>
      <c r="AX1354" s="359"/>
      <c r="AY1354" s="359"/>
      <c r="AZ1354" s="359"/>
      <c r="BA1354" s="359"/>
      <c r="BB1354" s="359"/>
      <c r="BC1354" s="426"/>
      <c r="BD1354" s="359"/>
      <c r="BE1354" s="359"/>
      <c r="BF1354" s="469">
        <f t="shared" si="114"/>
        <v>1.6087931034482761</v>
      </c>
      <c r="BG1354" s="469"/>
      <c r="BH1354" s="460"/>
      <c r="BI1354" s="461"/>
      <c r="BJ1354" s="505" t="s">
        <v>3533</v>
      </c>
    </row>
    <row r="1355" spans="1:62" ht="15" customHeight="1" thickBot="1" x14ac:dyDescent="0.25">
      <c r="A1355" s="176">
        <v>1356</v>
      </c>
      <c r="B1355" s="291">
        <v>1</v>
      </c>
      <c r="C1355" s="167" t="s">
        <v>975</v>
      </c>
      <c r="D1355" s="167" t="s">
        <v>3527</v>
      </c>
      <c r="E1355" s="167" t="s">
        <v>13</v>
      </c>
      <c r="F1355" s="167" t="s">
        <v>3539</v>
      </c>
      <c r="G1355" s="167"/>
      <c r="H1355" s="167" t="s">
        <v>3538</v>
      </c>
      <c r="I1355" s="184">
        <v>2015</v>
      </c>
      <c r="J1355" s="181" t="s">
        <v>3530</v>
      </c>
      <c r="K1355" s="184"/>
      <c r="L1355" s="184" t="s">
        <v>19</v>
      </c>
      <c r="M1355" s="556" t="s">
        <v>4334</v>
      </c>
      <c r="N1355" s="214" t="s">
        <v>122</v>
      </c>
      <c r="O1355" s="214"/>
      <c r="P1355" s="214"/>
      <c r="Q1355" s="214"/>
      <c r="R1355" s="214"/>
      <c r="S1355" s="214"/>
      <c r="T1355" s="214"/>
      <c r="U1355" s="214"/>
      <c r="V1355" s="214"/>
      <c r="W1355" s="214"/>
      <c r="X1355" s="214"/>
      <c r="Y1355" s="214"/>
      <c r="Z1355" s="234"/>
      <c r="AA1355" s="234"/>
      <c r="AB1355" s="234"/>
      <c r="AC1355" s="234"/>
      <c r="AD1355" s="319" t="s">
        <v>3531</v>
      </c>
      <c r="AE1355" s="319" t="s">
        <v>3532</v>
      </c>
      <c r="AF1355" s="162">
        <f t="shared" si="115"/>
        <v>37.318565517241389</v>
      </c>
      <c r="AG1355" s="162" t="str">
        <f t="shared" si="113"/>
        <v/>
      </c>
      <c r="AH1355" s="164">
        <f t="shared" si="119"/>
        <v>2.4906896551724143</v>
      </c>
      <c r="AI1355" s="164" t="str">
        <f t="shared" si="120"/>
        <v/>
      </c>
      <c r="AJ1355" s="368">
        <f>0.466*46.448/0.58</f>
        <v>37.318565517241389</v>
      </c>
      <c r="AK1355" s="368"/>
      <c r="AL1355" s="368"/>
      <c r="AM1355" s="368"/>
      <c r="AN1355" s="368"/>
      <c r="AO1355" s="368"/>
      <c r="AP1355" s="368"/>
      <c r="AQ1355" s="368"/>
      <c r="AR1355" s="389"/>
      <c r="AS1355" s="263">
        <f t="shared" si="116"/>
        <v>37.318565517241389</v>
      </c>
      <c r="AT1355" s="271"/>
      <c r="AU1355" s="389"/>
      <c r="AV1355" s="418"/>
      <c r="AW1355" s="333">
        <f>0.466*3.1/0.58</f>
        <v>2.4906896551724143</v>
      </c>
      <c r="AX1355" s="359"/>
      <c r="AY1355" s="359"/>
      <c r="AZ1355" s="359"/>
      <c r="BA1355" s="359"/>
      <c r="BB1355" s="359"/>
      <c r="BC1355" s="426"/>
      <c r="BD1355" s="359"/>
      <c r="BE1355" s="359"/>
      <c r="BF1355" s="469">
        <f t="shared" si="114"/>
        <v>2.4906896551724143</v>
      </c>
      <c r="BG1355" s="469"/>
      <c r="BH1355" s="460"/>
      <c r="BI1355" s="461"/>
      <c r="BJ1355" s="505" t="s">
        <v>3533</v>
      </c>
    </row>
    <row r="1356" spans="1:62" ht="15" customHeight="1" thickBot="1" x14ac:dyDescent="0.25">
      <c r="A1356" s="176">
        <v>1357</v>
      </c>
      <c r="B1356" s="291">
        <v>1</v>
      </c>
      <c r="C1356" s="167" t="s">
        <v>975</v>
      </c>
      <c r="D1356" s="167" t="s">
        <v>3527</v>
      </c>
      <c r="E1356" s="167" t="s">
        <v>13</v>
      </c>
      <c r="F1356" s="167" t="s">
        <v>3540</v>
      </c>
      <c r="G1356" s="167"/>
      <c r="H1356" s="167" t="s">
        <v>3538</v>
      </c>
      <c r="I1356" s="184">
        <v>2015</v>
      </c>
      <c r="J1356" s="181" t="s">
        <v>3530</v>
      </c>
      <c r="K1356" s="184"/>
      <c r="L1356" s="184" t="s">
        <v>19</v>
      </c>
      <c r="M1356" s="556" t="s">
        <v>4334</v>
      </c>
      <c r="N1356" s="214" t="s">
        <v>122</v>
      </c>
      <c r="O1356" s="214"/>
      <c r="P1356" s="214"/>
      <c r="Q1356" s="214"/>
      <c r="R1356" s="214"/>
      <c r="S1356" s="214"/>
      <c r="T1356" s="214"/>
      <c r="U1356" s="214"/>
      <c r="V1356" s="214"/>
      <c r="W1356" s="214"/>
      <c r="X1356" s="214"/>
      <c r="Y1356" s="214"/>
      <c r="Z1356" s="234"/>
      <c r="AA1356" s="234"/>
      <c r="AB1356" s="234"/>
      <c r="AC1356" s="234"/>
      <c r="AD1356" s="319" t="s">
        <v>3531</v>
      </c>
      <c r="AE1356" s="319" t="s">
        <v>3532</v>
      </c>
      <c r="AF1356" s="162">
        <f t="shared" si="115"/>
        <v>36.757986206896561</v>
      </c>
      <c r="AG1356" s="162" t="str">
        <f t="shared" si="113"/>
        <v/>
      </c>
      <c r="AH1356" s="164">
        <f t="shared" si="119"/>
        <v>2.4532758620689656</v>
      </c>
      <c r="AI1356" s="164" t="str">
        <f t="shared" si="120"/>
        <v/>
      </c>
      <c r="AJ1356" s="368">
        <f>0.459*46.448/0.58</f>
        <v>36.757986206896561</v>
      </c>
      <c r="AK1356" s="368"/>
      <c r="AL1356" s="368"/>
      <c r="AM1356" s="368"/>
      <c r="AN1356" s="368"/>
      <c r="AO1356" s="368"/>
      <c r="AP1356" s="368"/>
      <c r="AQ1356" s="368"/>
      <c r="AR1356" s="389"/>
      <c r="AS1356" s="263">
        <f t="shared" si="116"/>
        <v>36.757986206896561</v>
      </c>
      <c r="AT1356" s="271"/>
      <c r="AU1356" s="389"/>
      <c r="AV1356" s="418"/>
      <c r="AW1356" s="333">
        <f>0.459*3.1/0.58</f>
        <v>2.4532758620689656</v>
      </c>
      <c r="AX1356" s="359"/>
      <c r="AY1356" s="359"/>
      <c r="AZ1356" s="359"/>
      <c r="BA1356" s="359"/>
      <c r="BB1356" s="359"/>
      <c r="BC1356" s="426"/>
      <c r="BD1356" s="359"/>
      <c r="BE1356" s="359"/>
      <c r="BF1356" s="469">
        <f t="shared" si="114"/>
        <v>2.4532758620689656</v>
      </c>
      <c r="BG1356" s="469"/>
      <c r="BH1356" s="460"/>
      <c r="BI1356" s="461"/>
      <c r="BJ1356" s="505" t="s">
        <v>3533</v>
      </c>
    </row>
    <row r="1357" spans="1:62" ht="15" customHeight="1" thickBot="1" x14ac:dyDescent="0.25">
      <c r="A1357" s="176">
        <v>1358</v>
      </c>
      <c r="B1357" s="291">
        <v>1</v>
      </c>
      <c r="C1357" s="167" t="s">
        <v>975</v>
      </c>
      <c r="D1357" s="167" t="s">
        <v>3527</v>
      </c>
      <c r="E1357" s="167" t="s">
        <v>13</v>
      </c>
      <c r="F1357" s="167" t="s">
        <v>3541</v>
      </c>
      <c r="G1357" s="167"/>
      <c r="H1357" s="167" t="s">
        <v>3538</v>
      </c>
      <c r="I1357" s="184">
        <v>2015</v>
      </c>
      <c r="J1357" s="181" t="s">
        <v>3530</v>
      </c>
      <c r="K1357" s="184"/>
      <c r="L1357" s="184" t="s">
        <v>19</v>
      </c>
      <c r="M1357" s="556" t="s">
        <v>4334</v>
      </c>
      <c r="N1357" s="214" t="s">
        <v>122</v>
      </c>
      <c r="O1357" s="214"/>
      <c r="P1357" s="214"/>
      <c r="Q1357" s="214"/>
      <c r="R1357" s="214"/>
      <c r="S1357" s="214"/>
      <c r="T1357" s="214"/>
      <c r="U1357" s="214"/>
      <c r="V1357" s="214"/>
      <c r="W1357" s="214"/>
      <c r="X1357" s="214"/>
      <c r="Y1357" s="214"/>
      <c r="Z1357" s="234"/>
      <c r="AA1357" s="234"/>
      <c r="AB1357" s="234"/>
      <c r="AC1357" s="234"/>
      <c r="AD1357" s="319" t="s">
        <v>3531</v>
      </c>
      <c r="AE1357" s="319" t="s">
        <v>3532</v>
      </c>
      <c r="AF1357" s="162">
        <f t="shared" si="115"/>
        <v>35.396579310344826</v>
      </c>
      <c r="AG1357" s="162" t="str">
        <f t="shared" si="113"/>
        <v/>
      </c>
      <c r="AH1357" s="164">
        <f t="shared" si="119"/>
        <v>2.3624137931034488</v>
      </c>
      <c r="AI1357" s="164" t="str">
        <f t="shared" si="120"/>
        <v/>
      </c>
      <c r="AJ1357" s="368">
        <f>0.442*46.448/0.58</f>
        <v>35.396579310344826</v>
      </c>
      <c r="AK1357" s="368"/>
      <c r="AL1357" s="368"/>
      <c r="AM1357" s="368"/>
      <c r="AN1357" s="368"/>
      <c r="AO1357" s="368"/>
      <c r="AP1357" s="368"/>
      <c r="AQ1357" s="368"/>
      <c r="AR1357" s="389"/>
      <c r="AS1357" s="263">
        <f t="shared" si="116"/>
        <v>35.396579310344826</v>
      </c>
      <c r="AT1357" s="271"/>
      <c r="AU1357" s="389"/>
      <c r="AV1357" s="418"/>
      <c r="AW1357" s="333">
        <f>0.442*3.1/0.58</f>
        <v>2.3624137931034488</v>
      </c>
      <c r="AX1357" s="359"/>
      <c r="AY1357" s="359"/>
      <c r="AZ1357" s="359"/>
      <c r="BA1357" s="359"/>
      <c r="BB1357" s="359"/>
      <c r="BC1357" s="426"/>
      <c r="BD1357" s="359"/>
      <c r="BE1357" s="359"/>
      <c r="BF1357" s="469">
        <f t="shared" si="114"/>
        <v>2.3624137931034488</v>
      </c>
      <c r="BG1357" s="469"/>
      <c r="BH1357" s="460"/>
      <c r="BI1357" s="461"/>
      <c r="BJ1357" s="505" t="s">
        <v>3533</v>
      </c>
    </row>
    <row r="1358" spans="1:62" ht="15" customHeight="1" thickBot="1" x14ac:dyDescent="0.25">
      <c r="A1358" s="176">
        <v>1359</v>
      </c>
      <c r="B1358" s="291">
        <v>1</v>
      </c>
      <c r="C1358" s="167" t="s">
        <v>975</v>
      </c>
      <c r="D1358" s="167" t="s">
        <v>3527</v>
      </c>
      <c r="E1358" s="167" t="s">
        <v>13</v>
      </c>
      <c r="F1358" s="167" t="s">
        <v>3542</v>
      </c>
      <c r="G1358" s="167"/>
      <c r="H1358" s="167" t="s">
        <v>3543</v>
      </c>
      <c r="I1358" s="184">
        <v>2015</v>
      </c>
      <c r="J1358" s="181" t="s">
        <v>3530</v>
      </c>
      <c r="K1358" s="184"/>
      <c r="L1358" s="184" t="s">
        <v>19</v>
      </c>
      <c r="M1358" s="556" t="s">
        <v>4334</v>
      </c>
      <c r="N1358" s="214" t="s">
        <v>122</v>
      </c>
      <c r="O1358" s="214"/>
      <c r="P1358" s="214"/>
      <c r="Q1358" s="214"/>
      <c r="R1358" s="214"/>
      <c r="S1358" s="214"/>
      <c r="T1358" s="214"/>
      <c r="U1358" s="214"/>
      <c r="V1358" s="214"/>
      <c r="W1358" s="214"/>
      <c r="X1358" s="214"/>
      <c r="Y1358" s="214"/>
      <c r="Z1358" s="234"/>
      <c r="AA1358" s="234"/>
      <c r="AB1358" s="234"/>
      <c r="AC1358" s="234"/>
      <c r="AD1358" s="319" t="s">
        <v>3531</v>
      </c>
      <c r="AE1358" s="319" t="s">
        <v>3532</v>
      </c>
      <c r="AF1358" s="162">
        <f t="shared" si="115"/>
        <v>25.866731034482761</v>
      </c>
      <c r="AG1358" s="162" t="str">
        <f t="shared" si="113"/>
        <v/>
      </c>
      <c r="AH1358" s="164">
        <f t="shared" si="119"/>
        <v>1.7263793103448279</v>
      </c>
      <c r="AI1358" s="164" t="str">
        <f t="shared" si="120"/>
        <v/>
      </c>
      <c r="AJ1358" s="368">
        <f>0.323*46.448/0.58</f>
        <v>25.866731034482761</v>
      </c>
      <c r="AK1358" s="368"/>
      <c r="AL1358" s="368"/>
      <c r="AM1358" s="368"/>
      <c r="AN1358" s="368"/>
      <c r="AO1358" s="368"/>
      <c r="AP1358" s="368"/>
      <c r="AQ1358" s="368"/>
      <c r="AR1358" s="389"/>
      <c r="AS1358" s="263">
        <f t="shared" si="116"/>
        <v>25.866731034482761</v>
      </c>
      <c r="AT1358" s="271"/>
      <c r="AU1358" s="389"/>
      <c r="AV1358" s="418"/>
      <c r="AW1358" s="333">
        <f>0.323*3.1/0.58</f>
        <v>1.7263793103448279</v>
      </c>
      <c r="AX1358" s="359"/>
      <c r="AY1358" s="359"/>
      <c r="AZ1358" s="359"/>
      <c r="BA1358" s="359"/>
      <c r="BB1358" s="359"/>
      <c r="BC1358" s="426"/>
      <c r="BD1358" s="359"/>
      <c r="BE1358" s="359"/>
      <c r="BF1358" s="469">
        <f t="shared" si="114"/>
        <v>1.7263793103448279</v>
      </c>
      <c r="BG1358" s="469"/>
      <c r="BH1358" s="460"/>
      <c r="BI1358" s="461"/>
      <c r="BJ1358" s="505" t="s">
        <v>3533</v>
      </c>
    </row>
    <row r="1359" spans="1:62" ht="15" customHeight="1" thickBot="1" x14ac:dyDescent="0.25">
      <c r="A1359" s="176">
        <v>1360</v>
      </c>
      <c r="B1359" s="291">
        <v>1</v>
      </c>
      <c r="C1359" s="167" t="s">
        <v>975</v>
      </c>
      <c r="D1359" s="167" t="s">
        <v>3527</v>
      </c>
      <c r="E1359" s="167" t="s">
        <v>13</v>
      </c>
      <c r="F1359" s="167" t="s">
        <v>3544</v>
      </c>
      <c r="G1359" s="167"/>
      <c r="H1359" s="167" t="s">
        <v>3543</v>
      </c>
      <c r="I1359" s="184">
        <v>2015</v>
      </c>
      <c r="J1359" s="181" t="s">
        <v>3530</v>
      </c>
      <c r="K1359" s="184"/>
      <c r="L1359" s="184" t="s">
        <v>19</v>
      </c>
      <c r="M1359" s="556" t="s">
        <v>4334</v>
      </c>
      <c r="N1359" s="214" t="s">
        <v>122</v>
      </c>
      <c r="O1359" s="214"/>
      <c r="P1359" s="214"/>
      <c r="Q1359" s="214"/>
      <c r="R1359" s="214"/>
      <c r="S1359" s="214"/>
      <c r="T1359" s="214"/>
      <c r="U1359" s="214"/>
      <c r="V1359" s="214"/>
      <c r="W1359" s="214"/>
      <c r="X1359" s="214"/>
      <c r="Y1359" s="214"/>
      <c r="Z1359" s="234"/>
      <c r="AA1359" s="234"/>
      <c r="AB1359" s="234"/>
      <c r="AC1359" s="234"/>
      <c r="AD1359" s="319" t="s">
        <v>3531</v>
      </c>
      <c r="AE1359" s="319" t="s">
        <v>3532</v>
      </c>
      <c r="AF1359" s="162">
        <f t="shared" si="115"/>
        <v>37.718979310344828</v>
      </c>
      <c r="AG1359" s="162" t="str">
        <f t="shared" si="113"/>
        <v/>
      </c>
      <c r="AH1359" s="164">
        <f t="shared" si="119"/>
        <v>2.5174137931034481</v>
      </c>
      <c r="AI1359" s="164" t="str">
        <f t="shared" si="120"/>
        <v/>
      </c>
      <c r="AJ1359" s="368">
        <f>0.471*46.448/0.58</f>
        <v>37.718979310344828</v>
      </c>
      <c r="AK1359" s="368"/>
      <c r="AL1359" s="368"/>
      <c r="AM1359" s="368"/>
      <c r="AN1359" s="368"/>
      <c r="AO1359" s="368"/>
      <c r="AP1359" s="368"/>
      <c r="AQ1359" s="368"/>
      <c r="AR1359" s="389"/>
      <c r="AS1359" s="263">
        <f t="shared" si="116"/>
        <v>37.718979310344828</v>
      </c>
      <c r="AT1359" s="271"/>
      <c r="AU1359" s="389"/>
      <c r="AV1359" s="418"/>
      <c r="AW1359" s="333">
        <f>0.471*3.1/0.58</f>
        <v>2.5174137931034481</v>
      </c>
      <c r="AX1359" s="359"/>
      <c r="AY1359" s="359"/>
      <c r="AZ1359" s="359"/>
      <c r="BA1359" s="359"/>
      <c r="BB1359" s="359"/>
      <c r="BC1359" s="426"/>
      <c r="BD1359" s="359"/>
      <c r="BE1359" s="359"/>
      <c r="BF1359" s="469">
        <f t="shared" si="114"/>
        <v>2.5174137931034481</v>
      </c>
      <c r="BG1359" s="469"/>
      <c r="BH1359" s="460"/>
      <c r="BI1359" s="461"/>
      <c r="BJ1359" s="505" t="s">
        <v>3533</v>
      </c>
    </row>
    <row r="1360" spans="1:62" ht="15" customHeight="1" thickBot="1" x14ac:dyDescent="0.25">
      <c r="A1360" s="176">
        <v>1361</v>
      </c>
      <c r="B1360" s="291">
        <v>1</v>
      </c>
      <c r="C1360" s="167" t="s">
        <v>975</v>
      </c>
      <c r="D1360" s="167" t="s">
        <v>3527</v>
      </c>
      <c r="E1360" s="167" t="s">
        <v>13</v>
      </c>
      <c r="F1360" s="167" t="s">
        <v>3545</v>
      </c>
      <c r="G1360" s="167"/>
      <c r="H1360" s="167" t="s">
        <v>3543</v>
      </c>
      <c r="I1360" s="184">
        <v>2015</v>
      </c>
      <c r="J1360" s="181" t="s">
        <v>3530</v>
      </c>
      <c r="K1360" s="184"/>
      <c r="L1360" s="184" t="s">
        <v>19</v>
      </c>
      <c r="M1360" s="556" t="s">
        <v>4334</v>
      </c>
      <c r="N1360" s="214" t="s">
        <v>122</v>
      </c>
      <c r="O1360" s="214"/>
      <c r="P1360" s="214"/>
      <c r="Q1360" s="214"/>
      <c r="R1360" s="214"/>
      <c r="S1360" s="214"/>
      <c r="T1360" s="214"/>
      <c r="U1360" s="214"/>
      <c r="V1360" s="214"/>
      <c r="W1360" s="214"/>
      <c r="X1360" s="214"/>
      <c r="Y1360" s="214"/>
      <c r="Z1360" s="234"/>
      <c r="AA1360" s="234"/>
      <c r="AB1360" s="234"/>
      <c r="AC1360" s="234"/>
      <c r="AD1360" s="319" t="s">
        <v>3531</v>
      </c>
      <c r="AE1360" s="319" t="s">
        <v>3532</v>
      </c>
      <c r="AF1360" s="162">
        <f t="shared" si="115"/>
        <v>27.948882758620691</v>
      </c>
      <c r="AG1360" s="162" t="str">
        <f t="shared" si="113"/>
        <v/>
      </c>
      <c r="AH1360" s="164">
        <f t="shared" si="119"/>
        <v>1.8653448275862068</v>
      </c>
      <c r="AI1360" s="164" t="str">
        <f t="shared" si="120"/>
        <v/>
      </c>
      <c r="AJ1360" s="368">
        <f>0.349*46.448/0.58</f>
        <v>27.948882758620691</v>
      </c>
      <c r="AK1360" s="368"/>
      <c r="AL1360" s="368"/>
      <c r="AM1360" s="368"/>
      <c r="AN1360" s="368"/>
      <c r="AO1360" s="368"/>
      <c r="AP1360" s="368"/>
      <c r="AQ1360" s="368"/>
      <c r="AR1360" s="389"/>
      <c r="AS1360" s="263">
        <f t="shared" si="116"/>
        <v>27.948882758620691</v>
      </c>
      <c r="AT1360" s="271"/>
      <c r="AU1360" s="389"/>
      <c r="AV1360" s="418"/>
      <c r="AW1360" s="333">
        <f>0.349*3.1/0.58</f>
        <v>1.8653448275862068</v>
      </c>
      <c r="AX1360" s="359"/>
      <c r="AY1360" s="359"/>
      <c r="AZ1360" s="359"/>
      <c r="BA1360" s="359"/>
      <c r="BB1360" s="359"/>
      <c r="BC1360" s="426"/>
      <c r="BD1360" s="359"/>
      <c r="BE1360" s="359"/>
      <c r="BF1360" s="469">
        <f t="shared" si="114"/>
        <v>1.8653448275862068</v>
      </c>
      <c r="BG1360" s="469"/>
      <c r="BH1360" s="460"/>
      <c r="BI1360" s="461"/>
      <c r="BJ1360" s="505" t="s">
        <v>3533</v>
      </c>
    </row>
    <row r="1361" spans="1:62" ht="15" customHeight="1" thickBot="1" x14ac:dyDescent="0.25">
      <c r="A1361" s="176">
        <v>1362</v>
      </c>
      <c r="B1361" s="291">
        <v>1</v>
      </c>
      <c r="C1361" s="167" t="s">
        <v>975</v>
      </c>
      <c r="D1361" s="167" t="s">
        <v>3527</v>
      </c>
      <c r="E1361" s="167" t="s">
        <v>13</v>
      </c>
      <c r="F1361" s="167" t="s">
        <v>3546</v>
      </c>
      <c r="G1361" s="167"/>
      <c r="H1361" s="167" t="s">
        <v>3543</v>
      </c>
      <c r="I1361" s="184">
        <v>2015</v>
      </c>
      <c r="J1361" s="181" t="s">
        <v>3530</v>
      </c>
      <c r="K1361" s="184"/>
      <c r="L1361" s="184" t="s">
        <v>19</v>
      </c>
      <c r="M1361" s="556" t="s">
        <v>4334</v>
      </c>
      <c r="N1361" s="214" t="s">
        <v>122</v>
      </c>
      <c r="O1361" s="214"/>
      <c r="P1361" s="214"/>
      <c r="Q1361" s="214"/>
      <c r="R1361" s="214"/>
      <c r="S1361" s="214"/>
      <c r="T1361" s="214"/>
      <c r="U1361" s="214"/>
      <c r="V1361" s="214"/>
      <c r="W1361" s="214"/>
      <c r="X1361" s="214"/>
      <c r="Y1361" s="214"/>
      <c r="Z1361" s="234"/>
      <c r="AA1361" s="234"/>
      <c r="AB1361" s="234"/>
      <c r="AC1361" s="234"/>
      <c r="AD1361" s="319" t="s">
        <v>3531</v>
      </c>
      <c r="AE1361" s="319" t="s">
        <v>3532</v>
      </c>
      <c r="AF1361" s="162">
        <f t="shared" si="115"/>
        <v>28.989958620689656</v>
      </c>
      <c r="AG1361" s="162" t="str">
        <f t="shared" si="113"/>
        <v/>
      </c>
      <c r="AH1361" s="164">
        <f t="shared" si="119"/>
        <v>1.9348275862068969</v>
      </c>
      <c r="AI1361" s="164" t="str">
        <f t="shared" si="120"/>
        <v/>
      </c>
      <c r="AJ1361" s="368">
        <f>0.362*46.448/0.58</f>
        <v>28.989958620689656</v>
      </c>
      <c r="AK1361" s="368"/>
      <c r="AL1361" s="368"/>
      <c r="AM1361" s="368"/>
      <c r="AN1361" s="368"/>
      <c r="AO1361" s="368"/>
      <c r="AP1361" s="368"/>
      <c r="AQ1361" s="368"/>
      <c r="AR1361" s="389"/>
      <c r="AS1361" s="263">
        <f t="shared" si="116"/>
        <v>28.989958620689656</v>
      </c>
      <c r="AT1361" s="271"/>
      <c r="AU1361" s="389"/>
      <c r="AV1361" s="418"/>
      <c r="AW1361" s="333">
        <f>0.362*3.1/0.58</f>
        <v>1.9348275862068969</v>
      </c>
      <c r="AX1361" s="359"/>
      <c r="AY1361" s="359"/>
      <c r="AZ1361" s="359"/>
      <c r="BA1361" s="359"/>
      <c r="BB1361" s="359"/>
      <c r="BC1361" s="426"/>
      <c r="BD1361" s="359"/>
      <c r="BE1361" s="359"/>
      <c r="BF1361" s="469">
        <f t="shared" si="114"/>
        <v>1.9348275862068969</v>
      </c>
      <c r="BG1361" s="469"/>
      <c r="BH1361" s="460"/>
      <c r="BI1361" s="461"/>
      <c r="BJ1361" s="505" t="s">
        <v>3533</v>
      </c>
    </row>
    <row r="1362" spans="1:62" ht="15" customHeight="1" thickBot="1" x14ac:dyDescent="0.25">
      <c r="A1362" s="176">
        <v>1363</v>
      </c>
      <c r="B1362" s="291">
        <v>1</v>
      </c>
      <c r="C1362" s="167" t="s">
        <v>975</v>
      </c>
      <c r="D1362" s="167" t="s">
        <v>1987</v>
      </c>
      <c r="E1362" s="167" t="s">
        <v>13</v>
      </c>
      <c r="F1362" s="167" t="s">
        <v>3547</v>
      </c>
      <c r="G1362" s="167"/>
      <c r="H1362" s="167" t="s">
        <v>3548</v>
      </c>
      <c r="I1362" s="184">
        <v>2015</v>
      </c>
      <c r="J1362" s="181" t="s">
        <v>3549</v>
      </c>
      <c r="K1362" s="184"/>
      <c r="L1362" s="184" t="s">
        <v>19</v>
      </c>
      <c r="M1362" s="556" t="s">
        <v>4335</v>
      </c>
      <c r="N1362" s="214" t="s">
        <v>122</v>
      </c>
      <c r="O1362" s="214" t="s">
        <v>122</v>
      </c>
      <c r="P1362" s="214"/>
      <c r="Q1362" s="214"/>
      <c r="R1362" s="214"/>
      <c r="S1362" s="214"/>
      <c r="T1362" s="214"/>
      <c r="U1362" s="214"/>
      <c r="V1362" s="214"/>
      <c r="W1362" s="214"/>
      <c r="X1362" s="214"/>
      <c r="Y1362" s="214"/>
      <c r="Z1362" s="234"/>
      <c r="AA1362" s="234"/>
      <c r="AB1362" s="234"/>
      <c r="AC1362" s="234"/>
      <c r="AD1362" s="319" t="s">
        <v>3550</v>
      </c>
      <c r="AE1362" s="319" t="s">
        <v>3551</v>
      </c>
      <c r="AF1362" s="162" t="str">
        <f t="shared" si="115"/>
        <v/>
      </c>
      <c r="AG1362" s="162" t="str">
        <f t="shared" si="113"/>
        <v/>
      </c>
      <c r="AH1362" s="164">
        <f t="shared" si="119"/>
        <v>34.736842105263165</v>
      </c>
      <c r="AI1362" s="164" t="str">
        <f t="shared" si="120"/>
        <v/>
      </c>
      <c r="AJ1362" s="368"/>
      <c r="AK1362" s="368"/>
      <c r="AL1362" s="368"/>
      <c r="AM1362" s="368"/>
      <c r="AN1362" s="368"/>
      <c r="AO1362" s="368"/>
      <c r="AP1362" s="368"/>
      <c r="AQ1362" s="368"/>
      <c r="AR1362" s="389"/>
      <c r="AS1362" s="527"/>
      <c r="AT1362" s="271"/>
      <c r="AU1362" s="389"/>
      <c r="AV1362" s="418"/>
      <c r="AW1362" s="539">
        <f>19.8/0.57</f>
        <v>34.736842105263165</v>
      </c>
      <c r="AX1362" s="359"/>
      <c r="AY1362" s="359"/>
      <c r="AZ1362" s="359"/>
      <c r="BA1362" s="359"/>
      <c r="BB1362" s="359"/>
      <c r="BC1362" s="426"/>
      <c r="BD1362" s="359"/>
      <c r="BE1362" s="359"/>
      <c r="BF1362" s="469">
        <f t="shared" si="114"/>
        <v>34.736842105263165</v>
      </c>
      <c r="BG1362" s="469"/>
      <c r="BH1362" s="460"/>
      <c r="BI1362" s="461"/>
      <c r="BJ1362" s="505"/>
    </row>
    <row r="1363" spans="1:62" ht="15" customHeight="1" thickBot="1" x14ac:dyDescent="0.25">
      <c r="A1363" s="176">
        <v>1364</v>
      </c>
      <c r="B1363" s="291">
        <v>1</v>
      </c>
      <c r="C1363" s="167" t="s">
        <v>975</v>
      </c>
      <c r="D1363" s="167" t="s">
        <v>1987</v>
      </c>
      <c r="E1363" s="167" t="s">
        <v>13</v>
      </c>
      <c r="F1363" s="167" t="s">
        <v>3552</v>
      </c>
      <c r="G1363" s="167"/>
      <c r="H1363" s="167" t="s">
        <v>3548</v>
      </c>
      <c r="I1363" s="184">
        <v>2015</v>
      </c>
      <c r="J1363" s="181" t="s">
        <v>3549</v>
      </c>
      <c r="K1363" s="184"/>
      <c r="L1363" s="184" t="s">
        <v>19</v>
      </c>
      <c r="M1363" s="556" t="s">
        <v>4335</v>
      </c>
      <c r="N1363" s="214" t="s">
        <v>122</v>
      </c>
      <c r="O1363" s="214" t="s">
        <v>122</v>
      </c>
      <c r="P1363" s="214"/>
      <c r="Q1363" s="214"/>
      <c r="R1363" s="214"/>
      <c r="S1363" s="214"/>
      <c r="T1363" s="214"/>
      <c r="U1363" s="214"/>
      <c r="V1363" s="214"/>
      <c r="W1363" s="214"/>
      <c r="X1363" s="214"/>
      <c r="Y1363" s="214"/>
      <c r="Z1363" s="234"/>
      <c r="AA1363" s="234"/>
      <c r="AB1363" s="234"/>
      <c r="AC1363" s="234"/>
      <c r="AD1363" s="319" t="s">
        <v>3550</v>
      </c>
      <c r="AE1363" s="319" t="s">
        <v>3551</v>
      </c>
      <c r="AF1363" s="162" t="str">
        <f t="shared" si="115"/>
        <v/>
      </c>
      <c r="AG1363" s="162" t="str">
        <f t="shared" ref="AG1363:AG1426" si="121">IF(AND(SUM(AJ1363:AL1363)&lt;&gt;0,SUM(AJ1363:AL1363)&lt;&gt;AJ1363),SUM(AJ1363:AL1363),"")</f>
        <v/>
      </c>
      <c r="AH1363" s="164">
        <f t="shared" si="119"/>
        <v>54.736842105263165</v>
      </c>
      <c r="AI1363" s="164" t="str">
        <f t="shared" si="120"/>
        <v/>
      </c>
      <c r="AJ1363" s="368"/>
      <c r="AK1363" s="368"/>
      <c r="AL1363" s="368"/>
      <c r="AM1363" s="368"/>
      <c r="AN1363" s="368"/>
      <c r="AO1363" s="368"/>
      <c r="AP1363" s="368"/>
      <c r="AQ1363" s="368"/>
      <c r="AR1363" s="389"/>
      <c r="AS1363" s="528"/>
      <c r="AT1363" s="271"/>
      <c r="AU1363" s="389"/>
      <c r="AV1363" s="418"/>
      <c r="AW1363" s="436">
        <f>31.2/0.57</f>
        <v>54.736842105263165</v>
      </c>
      <c r="AX1363" s="359"/>
      <c r="AY1363" s="359"/>
      <c r="AZ1363" s="359"/>
      <c r="BA1363" s="359"/>
      <c r="BB1363" s="359"/>
      <c r="BC1363" s="426"/>
      <c r="BD1363" s="359"/>
      <c r="BE1363" s="359"/>
      <c r="BF1363" s="469">
        <f t="shared" si="114"/>
        <v>54.736842105263165</v>
      </c>
      <c r="BG1363" s="469"/>
      <c r="BH1363" s="460"/>
      <c r="BI1363" s="461"/>
      <c r="BJ1363" s="505"/>
    </row>
    <row r="1364" spans="1:62" ht="15" customHeight="1" thickBot="1" x14ac:dyDescent="0.25">
      <c r="A1364" s="176">
        <v>1365</v>
      </c>
      <c r="B1364" s="291">
        <v>1</v>
      </c>
      <c r="C1364" s="167" t="s">
        <v>975</v>
      </c>
      <c r="D1364" s="167" t="s">
        <v>1987</v>
      </c>
      <c r="E1364" s="167" t="s">
        <v>13</v>
      </c>
      <c r="F1364" s="167" t="s">
        <v>3553</v>
      </c>
      <c r="G1364" s="167"/>
      <c r="H1364" s="167" t="s">
        <v>55</v>
      </c>
      <c r="I1364" s="184">
        <v>2015</v>
      </c>
      <c r="J1364" s="181" t="s">
        <v>3554</v>
      </c>
      <c r="K1364" s="184"/>
      <c r="L1364" s="184" t="s">
        <v>19</v>
      </c>
      <c r="M1364" s="556" t="s">
        <v>4336</v>
      </c>
      <c r="N1364" s="214" t="s">
        <v>20</v>
      </c>
      <c r="O1364" s="214"/>
      <c r="P1364" s="214" t="s">
        <v>122</v>
      </c>
      <c r="Q1364" s="214" t="s">
        <v>122</v>
      </c>
      <c r="R1364" s="214"/>
      <c r="S1364" s="214" t="s">
        <v>122</v>
      </c>
      <c r="T1364" s="214" t="s">
        <v>292</v>
      </c>
      <c r="U1364" s="214" t="s">
        <v>292</v>
      </c>
      <c r="V1364" s="214" t="s">
        <v>292</v>
      </c>
      <c r="W1364" s="214" t="s">
        <v>292</v>
      </c>
      <c r="X1364" s="214" t="s">
        <v>292</v>
      </c>
      <c r="Y1364" s="214" t="s">
        <v>292</v>
      </c>
      <c r="Z1364" s="234" t="s">
        <v>292</v>
      </c>
      <c r="AA1364" s="234"/>
      <c r="AB1364" s="234"/>
      <c r="AC1364" s="234"/>
      <c r="AD1364" s="319" t="s">
        <v>3555</v>
      </c>
      <c r="AE1364" s="319" t="s">
        <v>3556</v>
      </c>
      <c r="AF1364" s="162">
        <f t="shared" si="115"/>
        <v>114.6</v>
      </c>
      <c r="AG1364" s="162">
        <f t="shared" si="121"/>
        <v>182.6181818181818</v>
      </c>
      <c r="AH1364" s="164">
        <f t="shared" si="119"/>
        <v>7.8</v>
      </c>
      <c r="AI1364" s="164">
        <f t="shared" si="120"/>
        <v>12.6</v>
      </c>
      <c r="AJ1364" s="368">
        <f>63.03/0.55</f>
        <v>114.6</v>
      </c>
      <c r="AK1364" s="368"/>
      <c r="AL1364" s="368">
        <f>37.41/0.55</f>
        <v>68.018181818181802</v>
      </c>
      <c r="AM1364" s="368"/>
      <c r="AN1364" s="368">
        <f>3.96/0.55</f>
        <v>7.1999999999999993</v>
      </c>
      <c r="AO1364" s="368"/>
      <c r="AP1364" s="368"/>
      <c r="AQ1364" s="368"/>
      <c r="AR1364" s="389"/>
      <c r="AS1364" s="263">
        <f>AJ1364</f>
        <v>114.6</v>
      </c>
      <c r="AT1364" s="271">
        <f>SUM(AJ1364:AR1364)</f>
        <v>189.81818181818178</v>
      </c>
      <c r="AU1364" s="389"/>
      <c r="AV1364" s="418"/>
      <c r="AW1364" s="436">
        <f>4.29/0.55</f>
        <v>7.8</v>
      </c>
      <c r="AX1364" s="359"/>
      <c r="AY1364" s="359">
        <f>2.64/0.55</f>
        <v>4.8</v>
      </c>
      <c r="AZ1364" s="359"/>
      <c r="BA1364" s="359">
        <f>0.27/0.55</f>
        <v>0.49090909090909091</v>
      </c>
      <c r="BB1364" s="359"/>
      <c r="BC1364" s="426"/>
      <c r="BD1364" s="359"/>
      <c r="BE1364" s="359"/>
      <c r="BF1364" s="469">
        <f t="shared" si="114"/>
        <v>7.8</v>
      </c>
      <c r="BG1364" s="469">
        <f>SUM(AW1364:BE1364)</f>
        <v>13.09090909090909</v>
      </c>
      <c r="BH1364" s="460"/>
      <c r="BI1364" s="461"/>
      <c r="BJ1364" s="505"/>
    </row>
    <row r="1365" spans="1:62" ht="15" customHeight="1" thickBot="1" x14ac:dyDescent="0.25">
      <c r="A1365" s="176">
        <v>1366</v>
      </c>
      <c r="B1365" s="291">
        <v>1</v>
      </c>
      <c r="C1365" s="167" t="s">
        <v>975</v>
      </c>
      <c r="D1365" s="167" t="s">
        <v>1987</v>
      </c>
      <c r="E1365" s="167" t="s">
        <v>13</v>
      </c>
      <c r="F1365" s="167" t="s">
        <v>3557</v>
      </c>
      <c r="G1365" s="167"/>
      <c r="H1365" s="167" t="s">
        <v>55</v>
      </c>
      <c r="I1365" s="184">
        <v>2015</v>
      </c>
      <c r="J1365" s="181" t="s">
        <v>3554</v>
      </c>
      <c r="K1365" s="184"/>
      <c r="L1365" s="184" t="s">
        <v>19</v>
      </c>
      <c r="M1365" s="556" t="s">
        <v>4336</v>
      </c>
      <c r="N1365" s="214" t="s">
        <v>20</v>
      </c>
      <c r="O1365" s="214"/>
      <c r="P1365" s="214" t="s">
        <v>122</v>
      </c>
      <c r="Q1365" s="214" t="s">
        <v>122</v>
      </c>
      <c r="R1365" s="214"/>
      <c r="S1365" s="214" t="s">
        <v>122</v>
      </c>
      <c r="T1365" s="214" t="s">
        <v>292</v>
      </c>
      <c r="U1365" s="214" t="s">
        <v>292</v>
      </c>
      <c r="V1365" s="214" t="s">
        <v>292</v>
      </c>
      <c r="W1365" s="214" t="s">
        <v>292</v>
      </c>
      <c r="X1365" s="214" t="s">
        <v>292</v>
      </c>
      <c r="Y1365" s="214" t="s">
        <v>292</v>
      </c>
      <c r="Z1365" s="234" t="s">
        <v>292</v>
      </c>
      <c r="AA1365" s="234"/>
      <c r="AB1365" s="234"/>
      <c r="AC1365" s="234"/>
      <c r="AD1365" s="319" t="s">
        <v>3555</v>
      </c>
      <c r="AE1365" s="319" t="s">
        <v>3556</v>
      </c>
      <c r="AF1365" s="162" t="str">
        <f t="shared" si="115"/>
        <v/>
      </c>
      <c r="AG1365" s="162" t="str">
        <f t="shared" si="121"/>
        <v/>
      </c>
      <c r="AH1365" s="164">
        <f t="shared" si="119"/>
        <v>58.18181818181818</v>
      </c>
      <c r="AI1365" s="164" t="str">
        <f t="shared" si="120"/>
        <v/>
      </c>
      <c r="AJ1365" s="368"/>
      <c r="AK1365" s="368"/>
      <c r="AL1365" s="368"/>
      <c r="AM1365" s="368"/>
      <c r="AN1365" s="368"/>
      <c r="AO1365" s="368"/>
      <c r="AP1365" s="368"/>
      <c r="AQ1365" s="368"/>
      <c r="AR1365" s="389"/>
      <c r="AS1365" s="263"/>
      <c r="AT1365" s="271"/>
      <c r="AU1365" s="389"/>
      <c r="AV1365" s="418"/>
      <c r="AW1365" s="436">
        <f>32/0.55</f>
        <v>58.18181818181818</v>
      </c>
      <c r="AX1365" s="359"/>
      <c r="AY1365" s="359"/>
      <c r="AZ1365" s="359"/>
      <c r="BA1365" s="359"/>
      <c r="BB1365" s="359"/>
      <c r="BC1365" s="426"/>
      <c r="BD1365" s="358"/>
      <c r="BE1365" s="359"/>
      <c r="BF1365" s="469">
        <f t="shared" si="114"/>
        <v>58.18181818181818</v>
      </c>
      <c r="BG1365" s="469"/>
      <c r="BH1365" s="460"/>
      <c r="BI1365" s="461"/>
      <c r="BJ1365" s="505"/>
    </row>
    <row r="1366" spans="1:62" ht="15" customHeight="1" thickBot="1" x14ac:dyDescent="0.25">
      <c r="A1366" s="176">
        <v>1367</v>
      </c>
      <c r="B1366" s="291">
        <v>1</v>
      </c>
      <c r="C1366" s="167" t="s">
        <v>2933</v>
      </c>
      <c r="D1366" s="167" t="s">
        <v>2931</v>
      </c>
      <c r="E1366" s="167" t="s">
        <v>13</v>
      </c>
      <c r="F1366" s="167"/>
      <c r="G1366" s="167"/>
      <c r="H1366" s="167" t="s">
        <v>375</v>
      </c>
      <c r="I1366" s="184">
        <v>2015</v>
      </c>
      <c r="J1366" s="181" t="s">
        <v>3558</v>
      </c>
      <c r="K1366" s="184"/>
      <c r="L1366" s="184" t="s">
        <v>19</v>
      </c>
      <c r="M1366" s="556" t="s">
        <v>4337</v>
      </c>
      <c r="N1366" s="214" t="s">
        <v>122</v>
      </c>
      <c r="O1366" s="214" t="s">
        <v>122</v>
      </c>
      <c r="P1366" s="214" t="s">
        <v>122</v>
      </c>
      <c r="Q1366" s="214" t="s">
        <v>122</v>
      </c>
      <c r="R1366" s="214" t="s">
        <v>292</v>
      </c>
      <c r="S1366" s="214" t="s">
        <v>292</v>
      </c>
      <c r="T1366" s="214" t="s">
        <v>292</v>
      </c>
      <c r="U1366" s="214" t="s">
        <v>292</v>
      </c>
      <c r="V1366" s="214" t="s">
        <v>292</v>
      </c>
      <c r="W1366" s="214" t="s">
        <v>292</v>
      </c>
      <c r="X1366" s="214" t="s">
        <v>292</v>
      </c>
      <c r="Y1366" s="214" t="s">
        <v>292</v>
      </c>
      <c r="Z1366" s="214" t="s">
        <v>292</v>
      </c>
      <c r="AA1366" s="234"/>
      <c r="AB1366" s="234"/>
      <c r="AC1366" s="234"/>
      <c r="AD1366" s="319" t="s">
        <v>3559</v>
      </c>
      <c r="AE1366" s="319" t="s">
        <v>276</v>
      </c>
      <c r="AF1366" s="162">
        <f t="shared" si="115"/>
        <v>31.918106995884774</v>
      </c>
      <c r="AG1366" s="162">
        <f t="shared" si="121"/>
        <v>33.595061728395059</v>
      </c>
      <c r="AH1366" s="164">
        <f t="shared" si="119"/>
        <v>4.9883401920438954</v>
      </c>
      <c r="AI1366" s="164">
        <f t="shared" si="120"/>
        <v>5.0553635116598077</v>
      </c>
      <c r="AJ1366" s="368">
        <f>(4127.8+692.2+17217+1231.3)/1000/0.729</f>
        <v>31.918106995884774</v>
      </c>
      <c r="AK1366" s="368"/>
      <c r="AL1366" s="368">
        <f>1222.5/1000/0.729</f>
        <v>1.676954732510288</v>
      </c>
      <c r="AM1366" s="368"/>
      <c r="AN1366" s="368"/>
      <c r="AO1366" s="368"/>
      <c r="AP1366" s="368"/>
      <c r="AQ1366" s="368">
        <f>-2969.5/1000/0.729</f>
        <v>-4.0733882030178332</v>
      </c>
      <c r="AR1366" s="389"/>
      <c r="AS1366" s="263">
        <f t="shared" ref="AS1366:AS1374" si="122">AJ1366</f>
        <v>31.918106995884774</v>
      </c>
      <c r="AT1366" s="271">
        <f>SUM(AJ1366:AR1366)</f>
        <v>29.521673525377224</v>
      </c>
      <c r="AU1366" s="389"/>
      <c r="AV1366" s="418"/>
      <c r="AW1366" s="436">
        <f>(498.2+142.6+2268+727.7)/1000/0.729</f>
        <v>4.9883401920438954</v>
      </c>
      <c r="AX1366" s="359"/>
      <c r="AY1366" s="359">
        <f>48.86/1000/0.729</f>
        <v>6.7023319615912208E-2</v>
      </c>
      <c r="AZ1366" s="359"/>
      <c r="BA1366" s="359"/>
      <c r="BB1366" s="359"/>
      <c r="BC1366" s="426"/>
      <c r="BD1366" s="459">
        <f>-182/1000/0.729</f>
        <v>-0.2496570644718793</v>
      </c>
      <c r="BE1366" s="359"/>
      <c r="BF1366" s="469">
        <f t="shared" si="114"/>
        <v>4.9883401920438954</v>
      </c>
      <c r="BG1366" s="469">
        <f>SUM(AW1366:BE1366)</f>
        <v>4.8057064471879283</v>
      </c>
      <c r="BH1366" s="460"/>
      <c r="BI1366" s="461"/>
      <c r="BJ1366" s="505"/>
    </row>
    <row r="1367" spans="1:62" ht="15" customHeight="1" thickBot="1" x14ac:dyDescent="0.25">
      <c r="A1367" s="176">
        <v>1368</v>
      </c>
      <c r="B1367" s="291">
        <v>1</v>
      </c>
      <c r="C1367" s="167" t="s">
        <v>11</v>
      </c>
      <c r="D1367" s="167" t="s">
        <v>12</v>
      </c>
      <c r="E1367" s="167" t="s">
        <v>13</v>
      </c>
      <c r="F1367" s="167" t="s">
        <v>3560</v>
      </c>
      <c r="G1367" s="167"/>
      <c r="H1367" s="167" t="s">
        <v>3561</v>
      </c>
      <c r="I1367" s="184">
        <v>2015</v>
      </c>
      <c r="J1367" s="181" t="s">
        <v>3562</v>
      </c>
      <c r="K1367" s="184"/>
      <c r="L1367" s="184" t="s">
        <v>19</v>
      </c>
      <c r="M1367" s="556" t="s">
        <v>4338</v>
      </c>
      <c r="N1367" s="214" t="s">
        <v>122</v>
      </c>
      <c r="O1367" s="214" t="s">
        <v>292</v>
      </c>
      <c r="P1367" s="214" t="s">
        <v>292</v>
      </c>
      <c r="Q1367" s="214" t="s">
        <v>292</v>
      </c>
      <c r="R1367" s="214" t="s">
        <v>292</v>
      </c>
      <c r="S1367" s="214" t="s">
        <v>292</v>
      </c>
      <c r="T1367" s="214" t="s">
        <v>292</v>
      </c>
      <c r="U1367" s="214" t="s">
        <v>292</v>
      </c>
      <c r="V1367" s="214" t="s">
        <v>292</v>
      </c>
      <c r="W1367" s="214" t="s">
        <v>292</v>
      </c>
      <c r="X1367" s="214" t="s">
        <v>292</v>
      </c>
      <c r="Y1367" s="214" t="s">
        <v>292</v>
      </c>
      <c r="Z1367" s="214" t="s">
        <v>292</v>
      </c>
      <c r="AA1367" s="234" t="s">
        <v>3106</v>
      </c>
      <c r="AB1367" s="234"/>
      <c r="AC1367" s="234"/>
      <c r="AD1367" s="319" t="s">
        <v>343</v>
      </c>
      <c r="AE1367" s="319"/>
      <c r="AF1367" s="162">
        <f t="shared" si="115"/>
        <v>3.9</v>
      </c>
      <c r="AG1367" s="162" t="str">
        <f t="shared" si="121"/>
        <v/>
      </c>
      <c r="AH1367" s="164">
        <f t="shared" si="119"/>
        <v>1.03</v>
      </c>
      <c r="AI1367" s="164" t="str">
        <f t="shared" si="120"/>
        <v/>
      </c>
      <c r="AJ1367" s="368">
        <v>3.9</v>
      </c>
      <c r="AK1367" s="368"/>
      <c r="AL1367" s="368"/>
      <c r="AM1367" s="368"/>
      <c r="AN1367" s="368"/>
      <c r="AO1367" s="368"/>
      <c r="AP1367" s="368"/>
      <c r="AQ1367" s="368"/>
      <c r="AR1367" s="389"/>
      <c r="AS1367" s="263">
        <f t="shared" si="122"/>
        <v>3.9</v>
      </c>
      <c r="AT1367" s="271"/>
      <c r="AU1367" s="389"/>
      <c r="AV1367" s="418"/>
      <c r="AW1367" s="436">
        <f>1.03</f>
        <v>1.03</v>
      </c>
      <c r="AX1367" s="359"/>
      <c r="AY1367" s="359"/>
      <c r="AZ1367" s="359"/>
      <c r="BA1367" s="359"/>
      <c r="BB1367" s="359"/>
      <c r="BC1367" s="426"/>
      <c r="BD1367" s="359"/>
      <c r="BE1367" s="359"/>
      <c r="BF1367" s="469">
        <f t="shared" si="114"/>
        <v>1.03</v>
      </c>
      <c r="BG1367" s="469"/>
      <c r="BH1367" s="460"/>
      <c r="BI1367" s="461"/>
      <c r="BJ1367" s="505"/>
    </row>
    <row r="1368" spans="1:62" ht="15" customHeight="1" thickBot="1" x14ac:dyDescent="0.25">
      <c r="A1368" s="176">
        <v>1369</v>
      </c>
      <c r="B1368" s="291">
        <v>1</v>
      </c>
      <c r="C1368" s="167" t="s">
        <v>259</v>
      </c>
      <c r="D1368" s="167" t="s">
        <v>2747</v>
      </c>
      <c r="E1368" s="167" t="s">
        <v>1266</v>
      </c>
      <c r="F1368" s="167" t="s">
        <v>3563</v>
      </c>
      <c r="G1368" s="167" t="s">
        <v>122</v>
      </c>
      <c r="H1368" s="167" t="s">
        <v>1436</v>
      </c>
      <c r="I1368" s="184">
        <v>2014</v>
      </c>
      <c r="J1368" s="181" t="s">
        <v>3564</v>
      </c>
      <c r="K1368" s="184"/>
      <c r="L1368" s="184" t="s">
        <v>19</v>
      </c>
      <c r="M1368" s="556" t="s">
        <v>4339</v>
      </c>
      <c r="N1368" s="214" t="s">
        <v>122</v>
      </c>
      <c r="O1368" s="234" t="s">
        <v>292</v>
      </c>
      <c r="P1368" s="234" t="s">
        <v>292</v>
      </c>
      <c r="Q1368" s="234" t="s">
        <v>292</v>
      </c>
      <c r="R1368" s="234" t="s">
        <v>292</v>
      </c>
      <c r="S1368" s="234" t="s">
        <v>292</v>
      </c>
      <c r="T1368" s="234" t="s">
        <v>292</v>
      </c>
      <c r="U1368" s="234" t="s">
        <v>292</v>
      </c>
      <c r="V1368" s="234" t="s">
        <v>292</v>
      </c>
      <c r="W1368" s="234" t="s">
        <v>292</v>
      </c>
      <c r="X1368" s="234" t="s">
        <v>292</v>
      </c>
      <c r="Y1368" s="234" t="s">
        <v>292</v>
      </c>
      <c r="Z1368" s="234" t="s">
        <v>292</v>
      </c>
      <c r="AA1368" s="234" t="s">
        <v>3106</v>
      </c>
      <c r="AB1368" s="234" t="s">
        <v>292</v>
      </c>
      <c r="AC1368" s="234" t="s">
        <v>292</v>
      </c>
      <c r="AD1368" s="319" t="s">
        <v>3565</v>
      </c>
      <c r="AE1368" s="319"/>
      <c r="AF1368" s="162">
        <f t="shared" si="115"/>
        <v>7.25</v>
      </c>
      <c r="AG1368" s="162" t="str">
        <f t="shared" si="121"/>
        <v/>
      </c>
      <c r="AH1368" s="164">
        <f t="shared" si="119"/>
        <v>2.97</v>
      </c>
      <c r="AI1368" s="164" t="str">
        <f t="shared" si="120"/>
        <v/>
      </c>
      <c r="AJ1368" s="368">
        <v>7.25</v>
      </c>
      <c r="AK1368" s="368"/>
      <c r="AL1368" s="368"/>
      <c r="AM1368" s="368"/>
      <c r="AN1368" s="368"/>
      <c r="AO1368" s="368"/>
      <c r="AP1368" s="368"/>
      <c r="AQ1368" s="368"/>
      <c r="AR1368" s="389"/>
      <c r="AS1368" s="263">
        <f t="shared" si="122"/>
        <v>7.25</v>
      </c>
      <c r="AT1368" s="271"/>
      <c r="AU1368" s="389"/>
      <c r="AV1368" s="418"/>
      <c r="AW1368" s="436">
        <v>2.97</v>
      </c>
      <c r="AX1368" s="359"/>
      <c r="AY1368" s="359"/>
      <c r="AZ1368" s="359"/>
      <c r="BA1368" s="359"/>
      <c r="BB1368" s="359"/>
      <c r="BC1368" s="426"/>
      <c r="BD1368" s="359"/>
      <c r="BE1368" s="359"/>
      <c r="BF1368" s="469">
        <f t="shared" si="114"/>
        <v>2.97</v>
      </c>
      <c r="BG1368" s="469"/>
      <c r="BH1368" s="460" t="s">
        <v>3566</v>
      </c>
      <c r="BI1368" s="461"/>
      <c r="BJ1368" s="505"/>
    </row>
    <row r="1369" spans="1:62" ht="15" customHeight="1" thickBot="1" x14ac:dyDescent="0.25">
      <c r="A1369" s="176">
        <v>1370</v>
      </c>
      <c r="B1369" s="291">
        <v>1</v>
      </c>
      <c r="C1369" s="167" t="s">
        <v>259</v>
      </c>
      <c r="D1369" s="167" t="s">
        <v>2747</v>
      </c>
      <c r="E1369" s="167" t="s">
        <v>1266</v>
      </c>
      <c r="F1369" s="167" t="s">
        <v>3567</v>
      </c>
      <c r="G1369" s="167" t="s">
        <v>122</v>
      </c>
      <c r="H1369" s="167" t="s">
        <v>1436</v>
      </c>
      <c r="I1369" s="184">
        <v>2014</v>
      </c>
      <c r="J1369" s="181" t="s">
        <v>3564</v>
      </c>
      <c r="K1369" s="184"/>
      <c r="L1369" s="184" t="s">
        <v>19</v>
      </c>
      <c r="M1369" s="556" t="s">
        <v>4339</v>
      </c>
      <c r="N1369" s="214" t="s">
        <v>122</v>
      </c>
      <c r="O1369" s="234" t="s">
        <v>292</v>
      </c>
      <c r="P1369" s="234" t="s">
        <v>292</v>
      </c>
      <c r="Q1369" s="234" t="s">
        <v>292</v>
      </c>
      <c r="R1369" s="234" t="s">
        <v>292</v>
      </c>
      <c r="S1369" s="234" t="s">
        <v>292</v>
      </c>
      <c r="T1369" s="234" t="s">
        <v>292</v>
      </c>
      <c r="U1369" s="234" t="s">
        <v>292</v>
      </c>
      <c r="V1369" s="234" t="s">
        <v>292</v>
      </c>
      <c r="W1369" s="234" t="s">
        <v>292</v>
      </c>
      <c r="X1369" s="234" t="s">
        <v>292</v>
      </c>
      <c r="Y1369" s="234" t="s">
        <v>292</v>
      </c>
      <c r="Z1369" s="234" t="s">
        <v>292</v>
      </c>
      <c r="AA1369" s="234" t="s">
        <v>3106</v>
      </c>
      <c r="AB1369" s="234" t="s">
        <v>292</v>
      </c>
      <c r="AC1369" s="234" t="s">
        <v>292</v>
      </c>
      <c r="AD1369" s="319" t="s">
        <v>3565</v>
      </c>
      <c r="AE1369" s="319"/>
      <c r="AF1369" s="162">
        <f t="shared" si="115"/>
        <v>7.44</v>
      </c>
      <c r="AG1369" s="162" t="str">
        <f t="shared" si="121"/>
        <v/>
      </c>
      <c r="AH1369" s="164">
        <f t="shared" si="119"/>
        <v>4.87</v>
      </c>
      <c r="AI1369" s="164" t="str">
        <f t="shared" si="120"/>
        <v/>
      </c>
      <c r="AJ1369" s="368">
        <v>7.44</v>
      </c>
      <c r="AK1369" s="368"/>
      <c r="AL1369" s="368"/>
      <c r="AM1369" s="368"/>
      <c r="AN1369" s="368"/>
      <c r="AO1369" s="368"/>
      <c r="AP1369" s="368"/>
      <c r="AQ1369" s="368"/>
      <c r="AR1369" s="389"/>
      <c r="AS1369" s="263">
        <f t="shared" si="122"/>
        <v>7.44</v>
      </c>
      <c r="AT1369" s="271"/>
      <c r="AU1369" s="389"/>
      <c r="AV1369" s="418"/>
      <c r="AW1369" s="436">
        <v>4.87</v>
      </c>
      <c r="AX1369" s="359"/>
      <c r="AY1369" s="359"/>
      <c r="AZ1369" s="359"/>
      <c r="BA1369" s="359"/>
      <c r="BB1369" s="359"/>
      <c r="BC1369" s="426"/>
      <c r="BD1369" s="359"/>
      <c r="BE1369" s="359"/>
      <c r="BF1369" s="469">
        <f t="shared" si="114"/>
        <v>4.87</v>
      </c>
      <c r="BG1369" s="469"/>
      <c r="BH1369" s="460" t="s">
        <v>3568</v>
      </c>
      <c r="BI1369" s="461"/>
      <c r="BJ1369" s="505"/>
    </row>
    <row r="1370" spans="1:62" ht="15" customHeight="1" thickBot="1" x14ac:dyDescent="0.25">
      <c r="A1370" s="176">
        <v>1371</v>
      </c>
      <c r="B1370" s="291">
        <v>1</v>
      </c>
      <c r="C1370" s="167" t="s">
        <v>259</v>
      </c>
      <c r="D1370" s="167" t="s">
        <v>2747</v>
      </c>
      <c r="E1370" s="167" t="s">
        <v>1266</v>
      </c>
      <c r="F1370" s="167" t="s">
        <v>3569</v>
      </c>
      <c r="G1370" s="167" t="s">
        <v>122</v>
      </c>
      <c r="H1370" s="167" t="s">
        <v>1436</v>
      </c>
      <c r="I1370" s="184">
        <v>2014</v>
      </c>
      <c r="J1370" s="181" t="s">
        <v>3564</v>
      </c>
      <c r="K1370" s="184"/>
      <c r="L1370" s="184" t="s">
        <v>19</v>
      </c>
      <c r="M1370" s="556" t="s">
        <v>4339</v>
      </c>
      <c r="N1370" s="214" t="s">
        <v>122</v>
      </c>
      <c r="O1370" s="234" t="s">
        <v>292</v>
      </c>
      <c r="P1370" s="234" t="s">
        <v>292</v>
      </c>
      <c r="Q1370" s="234" t="s">
        <v>292</v>
      </c>
      <c r="R1370" s="234" t="s">
        <v>292</v>
      </c>
      <c r="S1370" s="234" t="s">
        <v>292</v>
      </c>
      <c r="T1370" s="234" t="s">
        <v>292</v>
      </c>
      <c r="U1370" s="234" t="s">
        <v>292</v>
      </c>
      <c r="V1370" s="234" t="s">
        <v>292</v>
      </c>
      <c r="W1370" s="234" t="s">
        <v>292</v>
      </c>
      <c r="X1370" s="234" t="s">
        <v>292</v>
      </c>
      <c r="Y1370" s="234" t="s">
        <v>292</v>
      </c>
      <c r="Z1370" s="234" t="s">
        <v>292</v>
      </c>
      <c r="AA1370" s="234" t="s">
        <v>3106</v>
      </c>
      <c r="AB1370" s="234" t="s">
        <v>292</v>
      </c>
      <c r="AC1370" s="234" t="s">
        <v>292</v>
      </c>
      <c r="AD1370" s="319" t="s">
        <v>3565</v>
      </c>
      <c r="AE1370" s="319"/>
      <c r="AF1370" s="162">
        <f t="shared" si="115"/>
        <v>9.5299999999999994</v>
      </c>
      <c r="AG1370" s="162" t="str">
        <f t="shared" si="121"/>
        <v/>
      </c>
      <c r="AH1370" s="164">
        <f t="shared" si="119"/>
        <v>5.55</v>
      </c>
      <c r="AI1370" s="164" t="str">
        <f t="shared" si="120"/>
        <v/>
      </c>
      <c r="AJ1370" s="368">
        <v>9.5299999999999994</v>
      </c>
      <c r="AK1370" s="368"/>
      <c r="AL1370" s="368"/>
      <c r="AM1370" s="368"/>
      <c r="AN1370" s="368"/>
      <c r="AO1370" s="368"/>
      <c r="AP1370" s="368"/>
      <c r="AQ1370" s="368"/>
      <c r="AR1370" s="389"/>
      <c r="AS1370" s="263">
        <f t="shared" si="122"/>
        <v>9.5299999999999994</v>
      </c>
      <c r="AT1370" s="271"/>
      <c r="AU1370" s="389"/>
      <c r="AV1370" s="418"/>
      <c r="AW1370" s="436">
        <v>5.55</v>
      </c>
      <c r="AX1370" s="359"/>
      <c r="AY1370" s="359"/>
      <c r="AZ1370" s="359"/>
      <c r="BA1370" s="359"/>
      <c r="BB1370" s="359"/>
      <c r="BC1370" s="426"/>
      <c r="BD1370" s="359"/>
      <c r="BE1370" s="359"/>
      <c r="BF1370" s="469">
        <f t="shared" si="114"/>
        <v>5.55</v>
      </c>
      <c r="BG1370" s="469"/>
      <c r="BH1370" s="460" t="s">
        <v>3570</v>
      </c>
      <c r="BI1370" s="461"/>
      <c r="BJ1370" s="505"/>
    </row>
    <row r="1371" spans="1:62" ht="15" customHeight="1" thickBot="1" x14ac:dyDescent="0.25">
      <c r="A1371" s="176">
        <v>1372</v>
      </c>
      <c r="B1371" s="291">
        <v>1</v>
      </c>
      <c r="C1371" s="167" t="s">
        <v>24</v>
      </c>
      <c r="D1371" s="167" t="s">
        <v>283</v>
      </c>
      <c r="E1371" s="167" t="s">
        <v>13</v>
      </c>
      <c r="F1371" s="167" t="s">
        <v>3571</v>
      </c>
      <c r="G1371" s="167"/>
      <c r="H1371" s="167" t="s">
        <v>165</v>
      </c>
      <c r="I1371" s="184">
        <v>2014</v>
      </c>
      <c r="J1371" s="181" t="s">
        <v>3572</v>
      </c>
      <c r="K1371" s="184"/>
      <c r="L1371" s="184" t="s">
        <v>19</v>
      </c>
      <c r="M1371" s="556" t="s">
        <v>4340</v>
      </c>
      <c r="N1371" s="214" t="s">
        <v>122</v>
      </c>
      <c r="O1371" s="214" t="s">
        <v>292</v>
      </c>
      <c r="P1371" s="214" t="s">
        <v>122</v>
      </c>
      <c r="Q1371" s="214" t="s">
        <v>122</v>
      </c>
      <c r="R1371" s="214" t="s">
        <v>122</v>
      </c>
      <c r="S1371" s="214" t="s">
        <v>292</v>
      </c>
      <c r="T1371" s="214" t="s">
        <v>292</v>
      </c>
      <c r="U1371" s="214" t="s">
        <v>292</v>
      </c>
      <c r="V1371" s="214" t="s">
        <v>292</v>
      </c>
      <c r="W1371" s="214" t="s">
        <v>292</v>
      </c>
      <c r="X1371" s="214" t="s">
        <v>292</v>
      </c>
      <c r="Y1371" s="214" t="s">
        <v>292</v>
      </c>
      <c r="Z1371" s="234"/>
      <c r="AA1371" s="234" t="s">
        <v>3573</v>
      </c>
      <c r="AB1371" s="234"/>
      <c r="AC1371" s="234"/>
      <c r="AD1371" s="319" t="s">
        <v>3574</v>
      </c>
      <c r="AE1371" s="319" t="s">
        <v>3575</v>
      </c>
      <c r="AF1371" s="162">
        <f t="shared" si="115"/>
        <v>34.753246753246749</v>
      </c>
      <c r="AG1371" s="162">
        <f t="shared" si="121"/>
        <v>38.961038961038959</v>
      </c>
      <c r="AH1371" s="164">
        <f t="shared" si="119"/>
        <v>4.0348831168831172</v>
      </c>
      <c r="AI1371" s="164">
        <f t="shared" si="120"/>
        <v>4.1298701298701301</v>
      </c>
      <c r="AJ1371" s="368">
        <f>30/0.77*(1-0.108)</f>
        <v>34.753246753246749</v>
      </c>
      <c r="AK1371" s="368"/>
      <c r="AL1371" s="368">
        <f>30/0.77*(0.108)</f>
        <v>4.2077922077922079</v>
      </c>
      <c r="AM1371" s="368"/>
      <c r="AN1371" s="368"/>
      <c r="AO1371" s="368"/>
      <c r="AP1371" s="368"/>
      <c r="AQ1371" s="368"/>
      <c r="AR1371" s="389"/>
      <c r="AS1371" s="263">
        <f t="shared" si="122"/>
        <v>34.753246753246749</v>
      </c>
      <c r="AT1371" s="271">
        <f>SUM(AJ1371:AR1371)</f>
        <v>38.961038961038959</v>
      </c>
      <c r="AU1371" s="389"/>
      <c r="AV1371" s="418"/>
      <c r="AW1371" s="436">
        <f>3.18/0.77*(1-0.023)</f>
        <v>4.0348831168831172</v>
      </c>
      <c r="AX1371" s="359"/>
      <c r="AY1371" s="359">
        <f>3.18/0.77*(0.023)</f>
        <v>9.4987012987012995E-2</v>
      </c>
      <c r="AZ1371" s="359"/>
      <c r="BA1371" s="359"/>
      <c r="BB1371" s="359"/>
      <c r="BC1371" s="426"/>
      <c r="BD1371" s="359"/>
      <c r="BE1371" s="359"/>
      <c r="BF1371" s="469">
        <f t="shared" si="114"/>
        <v>4.0348831168831172</v>
      </c>
      <c r="BG1371" s="469"/>
      <c r="BH1371" s="460"/>
      <c r="BI1371" s="461"/>
      <c r="BJ1371" s="505"/>
    </row>
    <row r="1372" spans="1:62" ht="15" customHeight="1" thickBot="1" x14ac:dyDescent="0.25">
      <c r="A1372" s="176">
        <v>1373</v>
      </c>
      <c r="B1372" s="291">
        <v>1</v>
      </c>
      <c r="C1372" s="167" t="s">
        <v>24</v>
      </c>
      <c r="D1372" s="167" t="s">
        <v>283</v>
      </c>
      <c r="E1372" s="167" t="s">
        <v>13</v>
      </c>
      <c r="F1372" s="167" t="s">
        <v>3576</v>
      </c>
      <c r="G1372" s="167"/>
      <c r="H1372" s="167" t="s">
        <v>165</v>
      </c>
      <c r="I1372" s="184">
        <v>2014</v>
      </c>
      <c r="J1372" s="181" t="s">
        <v>3572</v>
      </c>
      <c r="K1372" s="184"/>
      <c r="L1372" s="184" t="s">
        <v>19</v>
      </c>
      <c r="M1372" s="556" t="s">
        <v>4340</v>
      </c>
      <c r="N1372" s="214" t="s">
        <v>122</v>
      </c>
      <c r="O1372" s="214" t="s">
        <v>292</v>
      </c>
      <c r="P1372" s="214" t="s">
        <v>122</v>
      </c>
      <c r="Q1372" s="214" t="s">
        <v>122</v>
      </c>
      <c r="R1372" s="214" t="s">
        <v>122</v>
      </c>
      <c r="S1372" s="214" t="s">
        <v>292</v>
      </c>
      <c r="T1372" s="214" t="s">
        <v>292</v>
      </c>
      <c r="U1372" s="214" t="s">
        <v>292</v>
      </c>
      <c r="V1372" s="214" t="s">
        <v>292</v>
      </c>
      <c r="W1372" s="214" t="s">
        <v>292</v>
      </c>
      <c r="X1372" s="214" t="s">
        <v>292</v>
      </c>
      <c r="Y1372" s="214" t="s">
        <v>292</v>
      </c>
      <c r="Z1372" s="234"/>
      <c r="AA1372" s="234" t="s">
        <v>3573</v>
      </c>
      <c r="AB1372" s="234"/>
      <c r="AC1372" s="234"/>
      <c r="AD1372" s="319" t="s">
        <v>3574</v>
      </c>
      <c r="AE1372" s="319" t="s">
        <v>3575</v>
      </c>
      <c r="AF1372" s="162">
        <f t="shared" si="115"/>
        <v>56.041558441558436</v>
      </c>
      <c r="AG1372" s="162">
        <f t="shared" si="121"/>
        <v>60.259740259740255</v>
      </c>
      <c r="AH1372" s="164">
        <f t="shared" si="119"/>
        <v>5.1268051948051943</v>
      </c>
      <c r="AI1372" s="164">
        <f t="shared" si="120"/>
        <v>5.2207792207792201</v>
      </c>
      <c r="AJ1372" s="368">
        <f>46.4/0.77*(1-0.07)</f>
        <v>56.041558441558436</v>
      </c>
      <c r="AK1372" s="368"/>
      <c r="AL1372" s="368">
        <f>46.4/0.77*(0.07)</f>
        <v>4.2181818181818178</v>
      </c>
      <c r="AM1372" s="368"/>
      <c r="AN1372" s="368"/>
      <c r="AO1372" s="368"/>
      <c r="AP1372" s="368"/>
      <c r="AQ1372" s="368"/>
      <c r="AR1372" s="389"/>
      <c r="AS1372" s="263">
        <f t="shared" si="122"/>
        <v>56.041558441558436</v>
      </c>
      <c r="AT1372" s="271">
        <f>SUM(AJ1372:AR1372)</f>
        <v>60.259740259740255</v>
      </c>
      <c r="AU1372" s="389"/>
      <c r="AV1372" s="418"/>
      <c r="AW1372" s="436">
        <f>4.02/0.77*(1-0.018)</f>
        <v>5.1268051948051943</v>
      </c>
      <c r="AX1372" s="359"/>
      <c r="AY1372" s="436">
        <f>4.02/0.77*(0.018)</f>
        <v>9.397402597402596E-2</v>
      </c>
      <c r="AZ1372" s="359"/>
      <c r="BA1372" s="359"/>
      <c r="BB1372" s="359"/>
      <c r="BC1372" s="426"/>
      <c r="BD1372" s="359"/>
      <c r="BE1372" s="359"/>
      <c r="BF1372" s="469">
        <f t="shared" si="114"/>
        <v>5.1268051948051943</v>
      </c>
      <c r="BG1372" s="469"/>
      <c r="BH1372" s="460"/>
      <c r="BI1372" s="461"/>
      <c r="BJ1372" s="505"/>
    </row>
    <row r="1373" spans="1:62" ht="15" customHeight="1" thickBot="1" x14ac:dyDescent="0.25">
      <c r="A1373" s="176">
        <v>1374</v>
      </c>
      <c r="B1373" s="291">
        <v>1</v>
      </c>
      <c r="C1373" s="167" t="s">
        <v>24</v>
      </c>
      <c r="D1373" s="167" t="s">
        <v>283</v>
      </c>
      <c r="E1373" s="167" t="s">
        <v>13</v>
      </c>
      <c r="F1373" s="167" t="s">
        <v>3577</v>
      </c>
      <c r="G1373" s="167"/>
      <c r="H1373" s="167" t="s">
        <v>375</v>
      </c>
      <c r="I1373" s="184">
        <v>2014</v>
      </c>
      <c r="J1373" s="181" t="s">
        <v>3572</v>
      </c>
      <c r="K1373" s="184"/>
      <c r="L1373" s="184" t="s">
        <v>19</v>
      </c>
      <c r="M1373" s="556" t="s">
        <v>4340</v>
      </c>
      <c r="N1373" s="214" t="s">
        <v>122</v>
      </c>
      <c r="O1373" s="214" t="s">
        <v>122</v>
      </c>
      <c r="P1373" s="214" t="s">
        <v>122</v>
      </c>
      <c r="Q1373" s="214" t="s">
        <v>122</v>
      </c>
      <c r="R1373" s="214" t="s">
        <v>122</v>
      </c>
      <c r="S1373" s="214" t="s">
        <v>292</v>
      </c>
      <c r="T1373" s="214" t="s">
        <v>292</v>
      </c>
      <c r="U1373" s="214" t="s">
        <v>292</v>
      </c>
      <c r="V1373" s="214" t="s">
        <v>292</v>
      </c>
      <c r="W1373" s="214" t="s">
        <v>292</v>
      </c>
      <c r="X1373" s="214" t="s">
        <v>292</v>
      </c>
      <c r="Y1373" s="214" t="s">
        <v>292</v>
      </c>
      <c r="Z1373" s="234"/>
      <c r="AA1373" s="234" t="s">
        <v>3573</v>
      </c>
      <c r="AB1373" s="234"/>
      <c r="AC1373" s="234"/>
      <c r="AD1373" s="319" t="s">
        <v>3574</v>
      </c>
      <c r="AE1373" s="319" t="s">
        <v>3575</v>
      </c>
      <c r="AF1373" s="162">
        <f t="shared" si="115"/>
        <v>30.647272727272732</v>
      </c>
      <c r="AG1373" s="162">
        <f t="shared" si="121"/>
        <v>39.090909090909093</v>
      </c>
      <c r="AH1373" s="164">
        <f t="shared" si="119"/>
        <v>3.5142857142857138</v>
      </c>
      <c r="AI1373" s="164">
        <f t="shared" si="120"/>
        <v>3.5714285714285707</v>
      </c>
      <c r="AJ1373" s="368">
        <f>30.1/0.77*(1-0.216)</f>
        <v>30.647272727272732</v>
      </c>
      <c r="AK1373" s="368"/>
      <c r="AL1373" s="368">
        <f>30.1/0.77*(0.216)</f>
        <v>8.4436363636363634</v>
      </c>
      <c r="AM1373" s="368"/>
      <c r="AN1373" s="368"/>
      <c r="AO1373" s="368"/>
      <c r="AP1373" s="368"/>
      <c r="AQ1373" s="368"/>
      <c r="AR1373" s="389"/>
      <c r="AS1373" s="263">
        <f t="shared" si="122"/>
        <v>30.647272727272732</v>
      </c>
      <c r="AT1373" s="271">
        <f>SUM(AJ1373:AR1373)</f>
        <v>39.090909090909093</v>
      </c>
      <c r="AU1373" s="389"/>
      <c r="AV1373" s="418"/>
      <c r="AW1373" s="436">
        <f>2.75/0.77*(1-0.016)</f>
        <v>3.5142857142857138</v>
      </c>
      <c r="AX1373" s="359"/>
      <c r="AY1373" s="436">
        <f>2.75/0.77*(0.016)</f>
        <v>5.7142857142857141E-2</v>
      </c>
      <c r="AZ1373" s="359"/>
      <c r="BA1373" s="359"/>
      <c r="BB1373" s="359"/>
      <c r="BC1373" s="426"/>
      <c r="BD1373" s="359"/>
      <c r="BE1373" s="359"/>
      <c r="BF1373" s="469">
        <f t="shared" si="114"/>
        <v>3.5142857142857138</v>
      </c>
      <c r="BG1373" s="469"/>
      <c r="BH1373" s="460"/>
      <c r="BI1373" s="461"/>
      <c r="BJ1373" s="505"/>
    </row>
    <row r="1374" spans="1:62" ht="15" customHeight="1" thickBot="1" x14ac:dyDescent="0.25">
      <c r="A1374" s="176">
        <v>1375</v>
      </c>
      <c r="B1374" s="291">
        <v>1</v>
      </c>
      <c r="C1374" s="167" t="s">
        <v>24</v>
      </c>
      <c r="D1374" s="167" t="s">
        <v>283</v>
      </c>
      <c r="E1374" s="167" t="s">
        <v>13</v>
      </c>
      <c r="F1374" s="167" t="s">
        <v>3578</v>
      </c>
      <c r="G1374" s="167"/>
      <c r="H1374" s="167" t="s">
        <v>375</v>
      </c>
      <c r="I1374" s="184">
        <v>2014</v>
      </c>
      <c r="J1374" s="181" t="s">
        <v>3572</v>
      </c>
      <c r="K1374" s="184"/>
      <c r="L1374" s="184" t="s">
        <v>19</v>
      </c>
      <c r="M1374" s="556" t="s">
        <v>4340</v>
      </c>
      <c r="N1374" s="214" t="s">
        <v>122</v>
      </c>
      <c r="O1374" s="214" t="s">
        <v>292</v>
      </c>
      <c r="P1374" s="214" t="s">
        <v>122</v>
      </c>
      <c r="Q1374" s="214" t="s">
        <v>122</v>
      </c>
      <c r="R1374" s="214" t="s">
        <v>122</v>
      </c>
      <c r="S1374" s="214" t="s">
        <v>292</v>
      </c>
      <c r="T1374" s="214" t="s">
        <v>292</v>
      </c>
      <c r="U1374" s="214" t="s">
        <v>292</v>
      </c>
      <c r="V1374" s="214" t="s">
        <v>292</v>
      </c>
      <c r="W1374" s="214" t="s">
        <v>292</v>
      </c>
      <c r="X1374" s="214" t="s">
        <v>292</v>
      </c>
      <c r="Y1374" s="214" t="s">
        <v>292</v>
      </c>
      <c r="Z1374" s="234"/>
      <c r="AA1374" s="234" t="s">
        <v>3573</v>
      </c>
      <c r="AB1374" s="234"/>
      <c r="AC1374" s="234"/>
      <c r="AD1374" s="319" t="s">
        <v>3574</v>
      </c>
      <c r="AE1374" s="319" t="s">
        <v>3575</v>
      </c>
      <c r="AF1374" s="162">
        <f t="shared" si="115"/>
        <v>32.68805194805195</v>
      </c>
      <c r="AG1374" s="162">
        <f t="shared" si="121"/>
        <v>41.168831168831169</v>
      </c>
      <c r="AH1374" s="164">
        <f t="shared" si="119"/>
        <v>2.4742207792207789</v>
      </c>
      <c r="AI1374" s="164">
        <f t="shared" si="120"/>
        <v>2.5324675324675323</v>
      </c>
      <c r="AJ1374" s="368">
        <f>31.7/0.77*(1-0.206)</f>
        <v>32.68805194805195</v>
      </c>
      <c r="AK1374" s="368"/>
      <c r="AL1374" s="368">
        <f>31.7/0.77*(0.206)</f>
        <v>8.4807792207792208</v>
      </c>
      <c r="AM1374" s="368"/>
      <c r="AN1374" s="368"/>
      <c r="AO1374" s="368"/>
      <c r="AP1374" s="368"/>
      <c r="AQ1374" s="368"/>
      <c r="AR1374" s="389"/>
      <c r="AS1374" s="263">
        <f t="shared" si="122"/>
        <v>32.68805194805195</v>
      </c>
      <c r="AT1374" s="271">
        <f>SUM(AJ1374:AR1374)</f>
        <v>41.168831168831169</v>
      </c>
      <c r="AU1374" s="389"/>
      <c r="AV1374" s="418"/>
      <c r="AW1374" s="436">
        <f>1.95/0.77*(1-0.023)</f>
        <v>2.4742207792207789</v>
      </c>
      <c r="AX1374" s="359"/>
      <c r="AY1374" s="436">
        <f>1.95/0.77*(0.023)</f>
        <v>5.8246753246753241E-2</v>
      </c>
      <c r="AZ1374" s="359"/>
      <c r="BA1374" s="359"/>
      <c r="BB1374" s="359"/>
      <c r="BC1374" s="426"/>
      <c r="BD1374" s="359"/>
      <c r="BE1374" s="359"/>
      <c r="BF1374" s="469">
        <f t="shared" si="114"/>
        <v>2.4742207792207789</v>
      </c>
      <c r="BG1374" s="469"/>
      <c r="BH1374" s="460"/>
      <c r="BI1374" s="461"/>
      <c r="BJ1374" s="505"/>
    </row>
    <row r="1375" spans="1:62" ht="15" customHeight="1" thickBot="1" x14ac:dyDescent="0.25">
      <c r="A1375" s="176">
        <v>1376</v>
      </c>
      <c r="B1375" s="291">
        <v>1</v>
      </c>
      <c r="C1375" s="167" t="s">
        <v>259</v>
      </c>
      <c r="D1375" s="167" t="s">
        <v>3579</v>
      </c>
      <c r="E1375" s="167" t="s">
        <v>1266</v>
      </c>
      <c r="F1375" s="167" t="s">
        <v>3580</v>
      </c>
      <c r="G1375" s="167"/>
      <c r="H1375" s="167" t="s">
        <v>3581</v>
      </c>
      <c r="I1375" s="184">
        <v>2012</v>
      </c>
      <c r="J1375" s="184" t="s">
        <v>3582</v>
      </c>
      <c r="K1375" s="184"/>
      <c r="L1375" s="184" t="s">
        <v>104</v>
      </c>
      <c r="M1375" s="556" t="s">
        <v>4341</v>
      </c>
      <c r="N1375" s="214"/>
      <c r="O1375" s="214"/>
      <c r="P1375" s="214"/>
      <c r="Q1375" s="214"/>
      <c r="R1375" s="214"/>
      <c r="S1375" s="214"/>
      <c r="T1375" s="214"/>
      <c r="U1375" s="214"/>
      <c r="V1375" s="214"/>
      <c r="W1375" s="214"/>
      <c r="X1375" s="214"/>
      <c r="Y1375" s="214"/>
      <c r="Z1375" s="234"/>
      <c r="AA1375" s="234" t="s">
        <v>3583</v>
      </c>
      <c r="AB1375" s="234"/>
      <c r="AC1375" s="234"/>
      <c r="AD1375" s="319" t="s">
        <v>3584</v>
      </c>
      <c r="AE1375" s="319"/>
      <c r="AF1375" s="162" t="str">
        <f t="shared" si="115"/>
        <v/>
      </c>
      <c r="AG1375" s="162" t="str">
        <f t="shared" si="121"/>
        <v/>
      </c>
      <c r="AH1375" s="164">
        <f t="shared" si="119"/>
        <v>0.91971728887277993</v>
      </c>
      <c r="AI1375" s="164">
        <f t="shared" si="120"/>
        <v>1.134650235592606</v>
      </c>
      <c r="AJ1375" s="368"/>
      <c r="AK1375" s="368"/>
      <c r="AL1375" s="368"/>
      <c r="AM1375" s="368"/>
      <c r="AN1375" s="368"/>
      <c r="AO1375" s="368"/>
      <c r="AP1375" s="368"/>
      <c r="AQ1375" s="368"/>
      <c r="AR1375" s="389"/>
      <c r="AS1375" s="263"/>
      <c r="AT1375" s="271"/>
      <c r="AU1375" s="389"/>
      <c r="AV1375" s="418"/>
      <c r="AW1375" s="436">
        <f>4/220.72*50.75</f>
        <v>0.91971728887277993</v>
      </c>
      <c r="AX1375" s="359">
        <f>4/220.72*11.86</f>
        <v>0.21493294671982602</v>
      </c>
      <c r="AY1375" s="436"/>
      <c r="AZ1375" s="359">
        <f>4/220.72*1.7</f>
        <v>3.0808263863718738E-2</v>
      </c>
      <c r="BA1375" s="359">
        <f>4/220.72*2.54</f>
        <v>4.603117071402682E-2</v>
      </c>
      <c r="BB1375" s="359"/>
      <c r="BC1375" s="426">
        <f>4/220.72*3.65</f>
        <v>6.6147154766219643E-2</v>
      </c>
      <c r="BD1375" s="359"/>
      <c r="BE1375" s="359"/>
      <c r="BF1375" s="469">
        <f t="shared" si="114"/>
        <v>0.91971728887277993</v>
      </c>
      <c r="BG1375" s="469">
        <f>SUM(AW1375:BE1375)</f>
        <v>1.2776368249365713</v>
      </c>
      <c r="BH1375" s="460"/>
      <c r="BI1375" s="461"/>
      <c r="BJ1375" s="505"/>
    </row>
    <row r="1376" spans="1:62" ht="15" customHeight="1" thickBot="1" x14ac:dyDescent="0.25">
      <c r="A1376" s="176">
        <v>1377</v>
      </c>
      <c r="B1376" s="291">
        <v>1</v>
      </c>
      <c r="C1376" s="167" t="s">
        <v>11</v>
      </c>
      <c r="D1376" s="167" t="s">
        <v>3585</v>
      </c>
      <c r="E1376" s="167" t="s">
        <v>13</v>
      </c>
      <c r="F1376" s="167" t="s">
        <v>3586</v>
      </c>
      <c r="G1376" s="167"/>
      <c r="H1376" s="167" t="s">
        <v>87</v>
      </c>
      <c r="I1376" s="184">
        <v>2014</v>
      </c>
      <c r="J1376" s="184" t="s">
        <v>3587</v>
      </c>
      <c r="K1376" s="181" t="s">
        <v>3588</v>
      </c>
      <c r="L1376" s="184" t="s">
        <v>19</v>
      </c>
      <c r="M1376" s="556" t="s">
        <v>4342</v>
      </c>
      <c r="N1376" s="214" t="s">
        <v>122</v>
      </c>
      <c r="O1376" s="214" t="s">
        <v>292</v>
      </c>
      <c r="P1376" s="214" t="s">
        <v>292</v>
      </c>
      <c r="Q1376" s="214" t="s">
        <v>292</v>
      </c>
      <c r="R1376" s="214" t="s">
        <v>292</v>
      </c>
      <c r="S1376" s="214" t="s">
        <v>292</v>
      </c>
      <c r="T1376" s="214" t="s">
        <v>292</v>
      </c>
      <c r="U1376" s="214" t="s">
        <v>292</v>
      </c>
      <c r="V1376" s="214" t="s">
        <v>292</v>
      </c>
      <c r="W1376" s="214" t="s">
        <v>292</v>
      </c>
      <c r="X1376" s="214" t="s">
        <v>292</v>
      </c>
      <c r="Y1376" s="214" t="s">
        <v>292</v>
      </c>
      <c r="Z1376" s="214" t="s">
        <v>292</v>
      </c>
      <c r="AA1376" s="234"/>
      <c r="AB1376" s="234"/>
      <c r="AC1376" s="234"/>
      <c r="AD1376" s="319" t="s">
        <v>343</v>
      </c>
      <c r="AE1376" s="319"/>
      <c r="AF1376" s="162" t="str">
        <f t="shared" si="115"/>
        <v/>
      </c>
      <c r="AG1376" s="162" t="str">
        <f t="shared" si="121"/>
        <v/>
      </c>
      <c r="AH1376" s="164">
        <f t="shared" si="119"/>
        <v>3.75</v>
      </c>
      <c r="AI1376" s="164" t="str">
        <f t="shared" si="120"/>
        <v/>
      </c>
      <c r="AJ1376" s="368"/>
      <c r="AK1376" s="368"/>
      <c r="AL1376" s="368"/>
      <c r="AM1376" s="368"/>
      <c r="AN1376" s="368"/>
      <c r="AO1376" s="368"/>
      <c r="AP1376" s="368"/>
      <c r="AQ1376" s="368"/>
      <c r="AR1376" s="389"/>
      <c r="AS1376" s="263"/>
      <c r="AT1376" s="271"/>
      <c r="AU1376" s="389"/>
      <c r="AV1376" s="418"/>
      <c r="AW1376" s="436">
        <v>3.75</v>
      </c>
      <c r="AX1376" s="359"/>
      <c r="AY1376" s="359"/>
      <c r="AZ1376" s="359"/>
      <c r="BA1376" s="359"/>
      <c r="BB1376" s="359"/>
      <c r="BC1376" s="426"/>
      <c r="BD1376" s="359"/>
      <c r="BE1376" s="359"/>
      <c r="BF1376" s="469">
        <f t="shared" si="114"/>
        <v>3.75</v>
      </c>
      <c r="BG1376" s="469"/>
      <c r="BH1376" s="460"/>
      <c r="BI1376" s="461"/>
      <c r="BJ1376" s="505"/>
    </row>
    <row r="1377" spans="1:62" ht="15" customHeight="1" thickBot="1" x14ac:dyDescent="0.25">
      <c r="A1377" s="176">
        <v>1378</v>
      </c>
      <c r="B1377" s="291">
        <v>1</v>
      </c>
      <c r="C1377" s="167" t="s">
        <v>3589</v>
      </c>
      <c r="D1377" s="167" t="s">
        <v>12</v>
      </c>
      <c r="E1377" s="167" t="s">
        <v>13</v>
      </c>
      <c r="F1377" s="167" t="s">
        <v>3590</v>
      </c>
      <c r="G1377" s="167"/>
      <c r="H1377" s="167" t="s">
        <v>376</v>
      </c>
      <c r="I1377" s="184">
        <v>2014</v>
      </c>
      <c r="J1377" s="181" t="s">
        <v>3591</v>
      </c>
      <c r="K1377" s="184"/>
      <c r="L1377" s="184" t="s">
        <v>19</v>
      </c>
      <c r="M1377" s="556" t="s">
        <v>4343</v>
      </c>
      <c r="N1377" s="214" t="s">
        <v>122</v>
      </c>
      <c r="O1377" s="214" t="s">
        <v>292</v>
      </c>
      <c r="P1377" s="214" t="s">
        <v>292</v>
      </c>
      <c r="Q1377" s="214" t="s">
        <v>292</v>
      </c>
      <c r="R1377" s="214" t="s">
        <v>292</v>
      </c>
      <c r="S1377" s="214" t="s">
        <v>292</v>
      </c>
      <c r="T1377" s="214" t="s">
        <v>292</v>
      </c>
      <c r="U1377" s="214" t="s">
        <v>292</v>
      </c>
      <c r="V1377" s="214" t="s">
        <v>292</v>
      </c>
      <c r="W1377" s="214" t="s">
        <v>292</v>
      </c>
      <c r="X1377" s="214" t="s">
        <v>292</v>
      </c>
      <c r="Y1377" s="214" t="s">
        <v>292</v>
      </c>
      <c r="Z1377" s="214" t="s">
        <v>292</v>
      </c>
      <c r="AA1377" s="234" t="s">
        <v>3592</v>
      </c>
      <c r="AB1377" s="234"/>
      <c r="AC1377" s="234"/>
      <c r="AD1377" s="319" t="s">
        <v>3593</v>
      </c>
      <c r="AE1377" s="319"/>
      <c r="AF1377" s="162" t="str">
        <f t="shared" si="115"/>
        <v/>
      </c>
      <c r="AG1377" s="162" t="str">
        <f t="shared" si="121"/>
        <v/>
      </c>
      <c r="AH1377" s="164">
        <f t="shared" si="119"/>
        <v>0.91400000000000003</v>
      </c>
      <c r="AI1377" s="164" t="str">
        <f t="shared" si="120"/>
        <v/>
      </c>
      <c r="AJ1377" s="368"/>
      <c r="AK1377" s="368"/>
      <c r="AL1377" s="368"/>
      <c r="AM1377" s="368"/>
      <c r="AN1377" s="368"/>
      <c r="AO1377" s="368"/>
      <c r="AP1377" s="368"/>
      <c r="AQ1377" s="368"/>
      <c r="AR1377" s="389"/>
      <c r="AS1377" s="263"/>
      <c r="AT1377" s="271"/>
      <c r="AU1377" s="389"/>
      <c r="AV1377" s="418"/>
      <c r="AW1377" s="436">
        <v>0.91400000000000003</v>
      </c>
      <c r="AX1377" s="359"/>
      <c r="AY1377" s="359"/>
      <c r="AZ1377" s="359"/>
      <c r="BA1377" s="359"/>
      <c r="BB1377" s="359"/>
      <c r="BC1377" s="426"/>
      <c r="BD1377" s="359"/>
      <c r="BE1377" s="359"/>
      <c r="BF1377" s="469">
        <f t="shared" si="114"/>
        <v>0.91400000000000003</v>
      </c>
      <c r="BG1377" s="469"/>
      <c r="BH1377" s="460"/>
      <c r="BI1377" s="461"/>
      <c r="BJ1377" s="505"/>
    </row>
    <row r="1378" spans="1:62" ht="15" customHeight="1" thickBot="1" x14ac:dyDescent="0.25">
      <c r="A1378" s="176">
        <v>1379</v>
      </c>
      <c r="B1378" s="291">
        <v>1</v>
      </c>
      <c r="C1378" s="167" t="s">
        <v>3589</v>
      </c>
      <c r="D1378" s="167" t="s">
        <v>12</v>
      </c>
      <c r="E1378" s="167" t="s">
        <v>13</v>
      </c>
      <c r="F1378" s="167" t="s">
        <v>3594</v>
      </c>
      <c r="G1378" s="167"/>
      <c r="H1378" s="167" t="s">
        <v>108</v>
      </c>
      <c r="I1378" s="184">
        <v>2014</v>
      </c>
      <c r="J1378" s="181" t="s">
        <v>3591</v>
      </c>
      <c r="K1378" s="184"/>
      <c r="L1378" s="184" t="s">
        <v>19</v>
      </c>
      <c r="M1378" s="556" t="s">
        <v>4343</v>
      </c>
      <c r="N1378" s="214" t="s">
        <v>122</v>
      </c>
      <c r="O1378" s="214" t="s">
        <v>292</v>
      </c>
      <c r="P1378" s="214" t="s">
        <v>292</v>
      </c>
      <c r="Q1378" s="214" t="s">
        <v>292</v>
      </c>
      <c r="R1378" s="214" t="s">
        <v>292</v>
      </c>
      <c r="S1378" s="214" t="s">
        <v>292</v>
      </c>
      <c r="T1378" s="214" t="s">
        <v>292</v>
      </c>
      <c r="U1378" s="214" t="s">
        <v>292</v>
      </c>
      <c r="V1378" s="214" t="s">
        <v>292</v>
      </c>
      <c r="W1378" s="214" t="s">
        <v>292</v>
      </c>
      <c r="X1378" s="214" t="s">
        <v>292</v>
      </c>
      <c r="Y1378" s="214" t="s">
        <v>292</v>
      </c>
      <c r="Z1378" s="214" t="s">
        <v>292</v>
      </c>
      <c r="AA1378" s="234" t="s">
        <v>3592</v>
      </c>
      <c r="AB1378" s="234"/>
      <c r="AC1378" s="234"/>
      <c r="AD1378" s="319"/>
      <c r="AE1378" s="319"/>
      <c r="AF1378" s="162" t="str">
        <f t="shared" si="115"/>
        <v/>
      </c>
      <c r="AG1378" s="162" t="str">
        <f t="shared" si="121"/>
        <v/>
      </c>
      <c r="AH1378" s="164">
        <f t="shared" si="119"/>
        <v>0.89500000000000002</v>
      </c>
      <c r="AI1378" s="164" t="str">
        <f t="shared" si="120"/>
        <v/>
      </c>
      <c r="AJ1378" s="368"/>
      <c r="AK1378" s="368"/>
      <c r="AL1378" s="368"/>
      <c r="AM1378" s="368"/>
      <c r="AN1378" s="368"/>
      <c r="AO1378" s="368"/>
      <c r="AP1378" s="368"/>
      <c r="AQ1378" s="368"/>
      <c r="AR1378" s="389"/>
      <c r="AS1378" s="263"/>
      <c r="AT1378" s="271"/>
      <c r="AU1378" s="389"/>
      <c r="AV1378" s="418"/>
      <c r="AW1378" s="436">
        <v>0.89500000000000002</v>
      </c>
      <c r="AX1378" s="359"/>
      <c r="AY1378" s="359"/>
      <c r="AZ1378" s="359"/>
      <c r="BA1378" s="359"/>
      <c r="BB1378" s="359"/>
      <c r="BC1378" s="426"/>
      <c r="BD1378" s="359"/>
      <c r="BE1378" s="359"/>
      <c r="BF1378" s="469">
        <f t="shared" si="114"/>
        <v>0.89500000000000002</v>
      </c>
      <c r="BG1378" s="469"/>
      <c r="BH1378" s="460"/>
      <c r="BI1378" s="461"/>
      <c r="BJ1378" s="505"/>
    </row>
    <row r="1379" spans="1:62" ht="15" customHeight="1" thickBot="1" x14ac:dyDescent="0.25">
      <c r="A1379" s="176">
        <v>1380</v>
      </c>
      <c r="B1379" s="291">
        <v>1</v>
      </c>
      <c r="C1379" s="167" t="s">
        <v>3589</v>
      </c>
      <c r="D1379" s="167" t="s">
        <v>12</v>
      </c>
      <c r="E1379" s="167" t="s">
        <v>13</v>
      </c>
      <c r="F1379" s="167" t="s">
        <v>3595</v>
      </c>
      <c r="G1379" s="167"/>
      <c r="H1379" s="167" t="s">
        <v>16</v>
      </c>
      <c r="I1379" s="184">
        <v>2014</v>
      </c>
      <c r="J1379" s="181" t="s">
        <v>3591</v>
      </c>
      <c r="K1379" s="184"/>
      <c r="L1379" s="184" t="s">
        <v>19</v>
      </c>
      <c r="M1379" s="556" t="s">
        <v>4343</v>
      </c>
      <c r="N1379" s="214" t="s">
        <v>122</v>
      </c>
      <c r="O1379" s="214" t="s">
        <v>292</v>
      </c>
      <c r="P1379" s="214" t="s">
        <v>292</v>
      </c>
      <c r="Q1379" s="214" t="s">
        <v>292</v>
      </c>
      <c r="R1379" s="214" t="s">
        <v>292</v>
      </c>
      <c r="S1379" s="214" t="s">
        <v>292</v>
      </c>
      <c r="T1379" s="214" t="s">
        <v>292</v>
      </c>
      <c r="U1379" s="214" t="s">
        <v>292</v>
      </c>
      <c r="V1379" s="214" t="s">
        <v>292</v>
      </c>
      <c r="W1379" s="214" t="s">
        <v>292</v>
      </c>
      <c r="X1379" s="214" t="s">
        <v>292</v>
      </c>
      <c r="Y1379" s="214" t="s">
        <v>292</v>
      </c>
      <c r="Z1379" s="214" t="s">
        <v>292</v>
      </c>
      <c r="AA1379" s="234" t="s">
        <v>3592</v>
      </c>
      <c r="AB1379" s="234"/>
      <c r="AC1379" s="234"/>
      <c r="AD1379" s="319"/>
      <c r="AE1379" s="319"/>
      <c r="AF1379" s="162" t="str">
        <f t="shared" si="115"/>
        <v/>
      </c>
      <c r="AG1379" s="162" t="str">
        <f t="shared" si="121"/>
        <v/>
      </c>
      <c r="AH1379" s="164">
        <f t="shared" si="119"/>
        <v>0.89800000000000002</v>
      </c>
      <c r="AI1379" s="164" t="str">
        <f t="shared" si="120"/>
        <v/>
      </c>
      <c r="AJ1379" s="368"/>
      <c r="AK1379" s="368"/>
      <c r="AL1379" s="368"/>
      <c r="AM1379" s="368"/>
      <c r="AN1379" s="368"/>
      <c r="AO1379" s="368"/>
      <c r="AP1379" s="368"/>
      <c r="AQ1379" s="368"/>
      <c r="AR1379" s="389"/>
      <c r="AS1379" s="263"/>
      <c r="AT1379" s="271"/>
      <c r="AU1379" s="389"/>
      <c r="AV1379" s="418"/>
      <c r="AW1379" s="436">
        <v>0.89800000000000002</v>
      </c>
      <c r="AX1379" s="359"/>
      <c r="AY1379" s="359"/>
      <c r="AZ1379" s="359"/>
      <c r="BA1379" s="359"/>
      <c r="BB1379" s="359"/>
      <c r="BC1379" s="426"/>
      <c r="BD1379" s="359"/>
      <c r="BE1379" s="359"/>
      <c r="BF1379" s="469">
        <f t="shared" ref="BF1379:BF1442" si="123">AW1379</f>
        <v>0.89800000000000002</v>
      </c>
      <c r="BG1379" s="469"/>
      <c r="BH1379" s="460"/>
      <c r="BI1379" s="461"/>
      <c r="BJ1379" s="505"/>
    </row>
    <row r="1380" spans="1:62" ht="15" customHeight="1" thickBot="1" x14ac:dyDescent="0.25">
      <c r="A1380" s="176">
        <v>1381</v>
      </c>
      <c r="B1380" s="291">
        <v>1</v>
      </c>
      <c r="C1380" s="167" t="s">
        <v>3450</v>
      </c>
      <c r="D1380" s="167" t="s">
        <v>836</v>
      </c>
      <c r="E1380" s="167" t="s">
        <v>13</v>
      </c>
      <c r="F1380" s="167" t="s">
        <v>3596</v>
      </c>
      <c r="G1380" s="167"/>
      <c r="H1380" s="167" t="s">
        <v>239</v>
      </c>
      <c r="I1380" s="184">
        <v>2014</v>
      </c>
      <c r="J1380" s="181" t="s">
        <v>3597</v>
      </c>
      <c r="K1380" s="184"/>
      <c r="L1380" s="184" t="s">
        <v>19</v>
      </c>
      <c r="M1380" s="556" t="s">
        <v>4344</v>
      </c>
      <c r="N1380" s="214" t="s">
        <v>122</v>
      </c>
      <c r="O1380" s="214"/>
      <c r="P1380" s="214" t="s">
        <v>122</v>
      </c>
      <c r="Q1380" s="214" t="s">
        <v>122</v>
      </c>
      <c r="R1380" s="214" t="s">
        <v>122</v>
      </c>
      <c r="S1380" s="214" t="s">
        <v>122</v>
      </c>
      <c r="T1380" s="214" t="s">
        <v>292</v>
      </c>
      <c r="U1380" s="214" t="s">
        <v>292</v>
      </c>
      <c r="V1380" s="214" t="s">
        <v>292</v>
      </c>
      <c r="W1380" s="214" t="s">
        <v>292</v>
      </c>
      <c r="X1380" s="214" t="s">
        <v>292</v>
      </c>
      <c r="Y1380" s="214" t="s">
        <v>292</v>
      </c>
      <c r="Z1380" s="234"/>
      <c r="AA1380" s="234" t="s">
        <v>3598</v>
      </c>
      <c r="AB1380" s="234"/>
      <c r="AC1380" s="234"/>
      <c r="AD1380" s="319" t="s">
        <v>3599</v>
      </c>
      <c r="AE1380" s="319"/>
      <c r="AF1380" s="162" t="str">
        <f t="shared" si="115"/>
        <v/>
      </c>
      <c r="AG1380" s="162" t="str">
        <f t="shared" si="121"/>
        <v/>
      </c>
      <c r="AH1380" s="164">
        <f t="shared" si="119"/>
        <v>0.21</v>
      </c>
      <c r="AI1380" s="164">
        <f t="shared" si="120"/>
        <v>0.219</v>
      </c>
      <c r="AJ1380" s="368"/>
      <c r="AK1380" s="368"/>
      <c r="AL1380" s="368"/>
      <c r="AM1380" s="368"/>
      <c r="AN1380" s="368"/>
      <c r="AO1380" s="368"/>
      <c r="AP1380" s="368"/>
      <c r="AQ1380" s="368"/>
      <c r="AR1380" s="389"/>
      <c r="AS1380" s="263"/>
      <c r="AT1380" s="271"/>
      <c r="AU1380" s="389"/>
      <c r="AV1380" s="418"/>
      <c r="AW1380" s="436">
        <v>0.21</v>
      </c>
      <c r="AX1380" s="359">
        <v>8.0000000000000002E-3</v>
      </c>
      <c r="AY1380" s="359">
        <v>1E-3</v>
      </c>
      <c r="AZ1380" s="359">
        <v>0.08</v>
      </c>
      <c r="BA1380" s="359">
        <v>0.12</v>
      </c>
      <c r="BB1380" s="359"/>
      <c r="BC1380" s="426"/>
      <c r="BD1380" s="359"/>
      <c r="BE1380" s="359"/>
      <c r="BF1380" s="469">
        <f t="shared" si="123"/>
        <v>0.21</v>
      </c>
      <c r="BG1380" s="469">
        <f>SUM(AW1380:BE1380)</f>
        <v>0.41899999999999998</v>
      </c>
      <c r="BH1380" s="460"/>
      <c r="BI1380" s="461" t="s">
        <v>3600</v>
      </c>
      <c r="BJ1380" s="505"/>
    </row>
    <row r="1381" spans="1:62" ht="15" customHeight="1" thickBot="1" x14ac:dyDescent="0.25">
      <c r="A1381" s="176">
        <v>1382</v>
      </c>
      <c r="B1381" s="291">
        <v>1</v>
      </c>
      <c r="C1381" s="167" t="s">
        <v>3450</v>
      </c>
      <c r="D1381" s="167" t="s">
        <v>836</v>
      </c>
      <c r="E1381" s="167" t="s">
        <v>13</v>
      </c>
      <c r="F1381" s="167" t="s">
        <v>3601</v>
      </c>
      <c r="G1381" s="167"/>
      <c r="H1381" s="167" t="s">
        <v>239</v>
      </c>
      <c r="I1381" s="184">
        <v>2014</v>
      </c>
      <c r="J1381" s="181" t="s">
        <v>3597</v>
      </c>
      <c r="K1381" s="184"/>
      <c r="L1381" s="184" t="s">
        <v>19</v>
      </c>
      <c r="M1381" s="556" t="s">
        <v>4344</v>
      </c>
      <c r="N1381" s="214" t="s">
        <v>122</v>
      </c>
      <c r="O1381" s="214"/>
      <c r="P1381" s="214" t="s">
        <v>122</v>
      </c>
      <c r="Q1381" s="214" t="s">
        <v>122</v>
      </c>
      <c r="R1381" s="214" t="s">
        <v>122</v>
      </c>
      <c r="S1381" s="214" t="s">
        <v>122</v>
      </c>
      <c r="T1381" s="214" t="s">
        <v>292</v>
      </c>
      <c r="U1381" s="214" t="s">
        <v>292</v>
      </c>
      <c r="V1381" s="214" t="s">
        <v>292</v>
      </c>
      <c r="W1381" s="214" t="s">
        <v>292</v>
      </c>
      <c r="X1381" s="214" t="s">
        <v>292</v>
      </c>
      <c r="Y1381" s="214" t="s">
        <v>292</v>
      </c>
      <c r="Z1381" s="234"/>
      <c r="AA1381" s="234" t="s">
        <v>3598</v>
      </c>
      <c r="AB1381" s="234"/>
      <c r="AC1381" s="234"/>
      <c r="AD1381" s="319" t="s">
        <v>3599</v>
      </c>
      <c r="AE1381" s="319"/>
      <c r="AF1381" s="162" t="str">
        <f t="shared" si="115"/>
        <v/>
      </c>
      <c r="AG1381" s="162" t="str">
        <f t="shared" si="121"/>
        <v/>
      </c>
      <c r="AH1381" s="164">
        <f t="shared" si="119"/>
        <v>0.24</v>
      </c>
      <c r="AI1381" s="164">
        <f t="shared" si="120"/>
        <v>0.249</v>
      </c>
      <c r="AJ1381" s="368"/>
      <c r="AK1381" s="368"/>
      <c r="AL1381" s="368"/>
      <c r="AM1381" s="368"/>
      <c r="AN1381" s="368"/>
      <c r="AO1381" s="368"/>
      <c r="AP1381" s="368"/>
      <c r="AQ1381" s="368"/>
      <c r="AR1381" s="389"/>
      <c r="AS1381" s="263"/>
      <c r="AT1381" s="271"/>
      <c r="AU1381" s="389"/>
      <c r="AV1381" s="418"/>
      <c r="AW1381" s="436">
        <v>0.24</v>
      </c>
      <c r="AX1381" s="359">
        <v>8.0000000000000002E-3</v>
      </c>
      <c r="AY1381" s="359">
        <v>1E-3</v>
      </c>
      <c r="AZ1381" s="359">
        <v>0.09</v>
      </c>
      <c r="BA1381" s="359">
        <v>0.12</v>
      </c>
      <c r="BB1381" s="359"/>
      <c r="BC1381" s="426"/>
      <c r="BD1381" s="359"/>
      <c r="BE1381" s="359"/>
      <c r="BF1381" s="469">
        <f t="shared" si="123"/>
        <v>0.24</v>
      </c>
      <c r="BG1381" s="469">
        <f>SUM(AW1381:BE1381)</f>
        <v>0.45899999999999996</v>
      </c>
      <c r="BH1381" s="460"/>
      <c r="BI1381" s="461" t="s">
        <v>3602</v>
      </c>
      <c r="BJ1381" s="505"/>
    </row>
    <row r="1382" spans="1:62" ht="15" customHeight="1" thickBot="1" x14ac:dyDescent="0.25">
      <c r="A1382" s="176">
        <v>1383</v>
      </c>
      <c r="B1382" s="291">
        <v>1</v>
      </c>
      <c r="C1382" s="167" t="s">
        <v>3450</v>
      </c>
      <c r="D1382" s="167" t="s">
        <v>836</v>
      </c>
      <c r="E1382" s="167" t="s">
        <v>13</v>
      </c>
      <c r="F1382" s="167" t="s">
        <v>3603</v>
      </c>
      <c r="G1382" s="167"/>
      <c r="H1382" s="167" t="s">
        <v>239</v>
      </c>
      <c r="I1382" s="184">
        <v>2014</v>
      </c>
      <c r="J1382" s="181" t="s">
        <v>3597</v>
      </c>
      <c r="K1382" s="184"/>
      <c r="L1382" s="184" t="s">
        <v>19</v>
      </c>
      <c r="M1382" s="556" t="s">
        <v>4344</v>
      </c>
      <c r="N1382" s="214" t="s">
        <v>122</v>
      </c>
      <c r="O1382" s="214"/>
      <c r="P1382" s="214" t="s">
        <v>122</v>
      </c>
      <c r="Q1382" s="214" t="s">
        <v>122</v>
      </c>
      <c r="R1382" s="214" t="s">
        <v>122</v>
      </c>
      <c r="S1382" s="214" t="s">
        <v>122</v>
      </c>
      <c r="T1382" s="214" t="s">
        <v>292</v>
      </c>
      <c r="U1382" s="214" t="s">
        <v>292</v>
      </c>
      <c r="V1382" s="214" t="s">
        <v>292</v>
      </c>
      <c r="W1382" s="214" t="s">
        <v>292</v>
      </c>
      <c r="X1382" s="214" t="s">
        <v>292</v>
      </c>
      <c r="Y1382" s="214" t="s">
        <v>292</v>
      </c>
      <c r="Z1382" s="234"/>
      <c r="AA1382" s="234" t="s">
        <v>3598</v>
      </c>
      <c r="AB1382" s="234"/>
      <c r="AC1382" s="234"/>
      <c r="AD1382" s="319" t="s">
        <v>3599</v>
      </c>
      <c r="AE1382" s="319"/>
      <c r="AF1382" s="162" t="str">
        <f t="shared" si="115"/>
        <v/>
      </c>
      <c r="AG1382" s="162" t="str">
        <f t="shared" si="121"/>
        <v/>
      </c>
      <c r="AH1382" s="164">
        <f t="shared" si="119"/>
        <v>0.26</v>
      </c>
      <c r="AI1382" s="164">
        <f t="shared" si="120"/>
        <v>0.27300000000000002</v>
      </c>
      <c r="AJ1382" s="368"/>
      <c r="AK1382" s="368"/>
      <c r="AL1382" s="368"/>
      <c r="AM1382" s="368"/>
      <c r="AN1382" s="368"/>
      <c r="AO1382" s="368"/>
      <c r="AP1382" s="368"/>
      <c r="AQ1382" s="368"/>
      <c r="AR1382" s="389"/>
      <c r="AS1382" s="263"/>
      <c r="AT1382" s="271"/>
      <c r="AU1382" s="389"/>
      <c r="AV1382" s="418"/>
      <c r="AW1382" s="436">
        <v>0.26</v>
      </c>
      <c r="AX1382" s="359">
        <v>8.0000000000000002E-3</v>
      </c>
      <c r="AY1382" s="359">
        <v>5.0000000000000001E-3</v>
      </c>
      <c r="AZ1382" s="359">
        <v>0.09</v>
      </c>
      <c r="BA1382" s="359">
        <v>0.12</v>
      </c>
      <c r="BB1382" s="359"/>
      <c r="BC1382" s="426"/>
      <c r="BD1382" s="359"/>
      <c r="BE1382" s="359"/>
      <c r="BF1382" s="469">
        <f t="shared" si="123"/>
        <v>0.26</v>
      </c>
      <c r="BG1382" s="469">
        <f>SUM(AW1382:BE1382)</f>
        <v>0.48299999999999998</v>
      </c>
      <c r="BH1382" s="460"/>
      <c r="BI1382" s="461" t="s">
        <v>3602</v>
      </c>
      <c r="BJ1382" s="505"/>
    </row>
    <row r="1383" spans="1:62" ht="15" customHeight="1" thickBot="1" x14ac:dyDescent="0.25">
      <c r="A1383" s="176">
        <v>1384</v>
      </c>
      <c r="B1383" s="291">
        <v>1</v>
      </c>
      <c r="C1383" s="167" t="s">
        <v>2933</v>
      </c>
      <c r="D1383" s="167" t="s">
        <v>2745</v>
      </c>
      <c r="E1383" s="167" t="s">
        <v>13</v>
      </c>
      <c r="F1383" s="167" t="s">
        <v>3604</v>
      </c>
      <c r="G1383" s="167"/>
      <c r="H1383" s="167" t="s">
        <v>101</v>
      </c>
      <c r="I1383" s="184">
        <v>2014</v>
      </c>
      <c r="J1383" s="181" t="s">
        <v>3605</v>
      </c>
      <c r="K1383" s="184"/>
      <c r="L1383" s="184" t="s">
        <v>19</v>
      </c>
      <c r="M1383" s="556" t="s">
        <v>4345</v>
      </c>
      <c r="N1383" s="214" t="s">
        <v>122</v>
      </c>
      <c r="O1383" s="214" t="s">
        <v>292</v>
      </c>
      <c r="P1383" s="214" t="s">
        <v>292</v>
      </c>
      <c r="Q1383" s="214" t="s">
        <v>292</v>
      </c>
      <c r="R1383" s="214" t="s">
        <v>292</v>
      </c>
      <c r="S1383" s="214" t="s">
        <v>292</v>
      </c>
      <c r="T1383" s="214" t="s">
        <v>292</v>
      </c>
      <c r="U1383" s="214" t="s">
        <v>292</v>
      </c>
      <c r="V1383" s="214" t="s">
        <v>292</v>
      </c>
      <c r="W1383" s="214" t="s">
        <v>292</v>
      </c>
      <c r="X1383" s="214" t="s">
        <v>292</v>
      </c>
      <c r="Y1383" s="214" t="s">
        <v>292</v>
      </c>
      <c r="Z1383" s="234"/>
      <c r="AA1383" s="234"/>
      <c r="AB1383" s="234"/>
      <c r="AC1383" s="234"/>
      <c r="AD1383" s="319" t="s">
        <v>3606</v>
      </c>
      <c r="AE1383" s="319"/>
      <c r="AF1383" s="162" t="str">
        <f t="shared" si="115"/>
        <v/>
      </c>
      <c r="AG1383" s="162" t="str">
        <f t="shared" si="121"/>
        <v/>
      </c>
      <c r="AH1383" s="164">
        <f t="shared" si="119"/>
        <v>20</v>
      </c>
      <c r="AI1383" s="164" t="str">
        <f t="shared" si="120"/>
        <v/>
      </c>
      <c r="AJ1383" s="368"/>
      <c r="AK1383" s="368"/>
      <c r="AL1383" s="368"/>
      <c r="AM1383" s="368"/>
      <c r="AN1383" s="368"/>
      <c r="AO1383" s="368"/>
      <c r="AP1383" s="368"/>
      <c r="AQ1383" s="368"/>
      <c r="AR1383" s="389"/>
      <c r="AS1383" s="263"/>
      <c r="AT1383" s="271"/>
      <c r="AU1383" s="389"/>
      <c r="AV1383" s="418"/>
      <c r="AW1383" s="436">
        <v>20</v>
      </c>
      <c r="AX1383" s="359"/>
      <c r="AY1383" s="359"/>
      <c r="AZ1383" s="359"/>
      <c r="BA1383" s="359"/>
      <c r="BB1383" s="359"/>
      <c r="BC1383" s="426"/>
      <c r="BD1383" s="359"/>
      <c r="BE1383" s="359"/>
      <c r="BF1383" s="469">
        <f t="shared" si="123"/>
        <v>20</v>
      </c>
      <c r="BG1383" s="469"/>
      <c r="BH1383" s="460"/>
      <c r="BI1383" s="461"/>
      <c r="BJ1383" s="505"/>
    </row>
    <row r="1384" spans="1:62" ht="15" customHeight="1" thickBot="1" x14ac:dyDescent="0.25">
      <c r="A1384" s="176">
        <v>1385</v>
      </c>
      <c r="B1384" s="291">
        <v>1</v>
      </c>
      <c r="C1384" s="167" t="s">
        <v>2933</v>
      </c>
      <c r="D1384" s="167" t="s">
        <v>2745</v>
      </c>
      <c r="E1384" s="167" t="s">
        <v>13</v>
      </c>
      <c r="F1384" s="167" t="s">
        <v>3607</v>
      </c>
      <c r="G1384" s="167"/>
      <c r="H1384" s="167" t="s">
        <v>101</v>
      </c>
      <c r="I1384" s="184">
        <v>2014</v>
      </c>
      <c r="J1384" s="181" t="s">
        <v>3605</v>
      </c>
      <c r="K1384" s="184"/>
      <c r="L1384" s="184" t="s">
        <v>19</v>
      </c>
      <c r="M1384" s="556" t="s">
        <v>4345</v>
      </c>
      <c r="N1384" s="214" t="s">
        <v>122</v>
      </c>
      <c r="O1384" s="214" t="s">
        <v>292</v>
      </c>
      <c r="P1384" s="214" t="s">
        <v>292</v>
      </c>
      <c r="Q1384" s="214" t="s">
        <v>292</v>
      </c>
      <c r="R1384" s="214" t="s">
        <v>292</v>
      </c>
      <c r="S1384" s="214" t="s">
        <v>292</v>
      </c>
      <c r="T1384" s="214" t="s">
        <v>292</v>
      </c>
      <c r="U1384" s="214" t="s">
        <v>292</v>
      </c>
      <c r="V1384" s="214" t="s">
        <v>292</v>
      </c>
      <c r="W1384" s="214" t="s">
        <v>292</v>
      </c>
      <c r="X1384" s="214" t="s">
        <v>292</v>
      </c>
      <c r="Y1384" s="214" t="s">
        <v>292</v>
      </c>
      <c r="Z1384" s="234"/>
      <c r="AA1384" s="234"/>
      <c r="AB1384" s="234"/>
      <c r="AC1384" s="234"/>
      <c r="AD1384" s="319" t="s">
        <v>3606</v>
      </c>
      <c r="AE1384" s="319"/>
      <c r="AF1384" s="162" t="str">
        <f t="shared" si="115"/>
        <v/>
      </c>
      <c r="AG1384" s="162" t="str">
        <f t="shared" si="121"/>
        <v/>
      </c>
      <c r="AH1384" s="164">
        <f t="shared" si="119"/>
        <v>22</v>
      </c>
      <c r="AI1384" s="164" t="str">
        <f t="shared" si="120"/>
        <v/>
      </c>
      <c r="AJ1384" s="368"/>
      <c r="AK1384" s="368"/>
      <c r="AL1384" s="368"/>
      <c r="AM1384" s="368"/>
      <c r="AN1384" s="368"/>
      <c r="AO1384" s="368"/>
      <c r="AP1384" s="368"/>
      <c r="AQ1384" s="368"/>
      <c r="AR1384" s="389"/>
      <c r="AS1384" s="263"/>
      <c r="AT1384" s="271"/>
      <c r="AU1384" s="389"/>
      <c r="AV1384" s="418"/>
      <c r="AW1384" s="436">
        <v>22</v>
      </c>
      <c r="AX1384" s="359"/>
      <c r="AY1384" s="359"/>
      <c r="AZ1384" s="359"/>
      <c r="BA1384" s="359"/>
      <c r="BB1384" s="359"/>
      <c r="BC1384" s="426"/>
      <c r="BD1384" s="359"/>
      <c r="BE1384" s="359"/>
      <c r="BF1384" s="469">
        <f t="shared" si="123"/>
        <v>22</v>
      </c>
      <c r="BG1384" s="469"/>
      <c r="BH1384" s="460"/>
      <c r="BI1384" s="461"/>
      <c r="BJ1384" s="505"/>
    </row>
    <row r="1385" spans="1:62" ht="15" customHeight="1" thickBot="1" x14ac:dyDescent="0.25">
      <c r="A1385" s="176">
        <v>1386</v>
      </c>
      <c r="B1385" s="291">
        <v>1</v>
      </c>
      <c r="C1385" s="167" t="s">
        <v>2933</v>
      </c>
      <c r="D1385" s="167" t="s">
        <v>2745</v>
      </c>
      <c r="E1385" s="167" t="s">
        <v>13</v>
      </c>
      <c r="F1385" s="167" t="s">
        <v>3608</v>
      </c>
      <c r="G1385" s="167"/>
      <c r="H1385" s="167" t="s">
        <v>101</v>
      </c>
      <c r="I1385" s="184">
        <v>2014</v>
      </c>
      <c r="J1385" s="181" t="s">
        <v>3605</v>
      </c>
      <c r="K1385" s="184"/>
      <c r="L1385" s="184" t="s">
        <v>19</v>
      </c>
      <c r="M1385" s="556" t="s">
        <v>4345</v>
      </c>
      <c r="N1385" s="214" t="s">
        <v>122</v>
      </c>
      <c r="O1385" s="214" t="s">
        <v>292</v>
      </c>
      <c r="P1385" s="214" t="s">
        <v>292</v>
      </c>
      <c r="Q1385" s="214" t="s">
        <v>292</v>
      </c>
      <c r="R1385" s="214" t="s">
        <v>292</v>
      </c>
      <c r="S1385" s="214" t="s">
        <v>292</v>
      </c>
      <c r="T1385" s="214" t="s">
        <v>292</v>
      </c>
      <c r="U1385" s="214" t="s">
        <v>292</v>
      </c>
      <c r="V1385" s="214" t="s">
        <v>292</v>
      </c>
      <c r="W1385" s="214" t="s">
        <v>292</v>
      </c>
      <c r="X1385" s="214" t="s">
        <v>292</v>
      </c>
      <c r="Y1385" s="214" t="s">
        <v>292</v>
      </c>
      <c r="Z1385" s="234"/>
      <c r="AA1385" s="234"/>
      <c r="AB1385" s="234"/>
      <c r="AC1385" s="234"/>
      <c r="AD1385" s="319" t="s">
        <v>3606</v>
      </c>
      <c r="AE1385" s="319"/>
      <c r="AF1385" s="162" t="str">
        <f t="shared" si="115"/>
        <v/>
      </c>
      <c r="AG1385" s="162" t="str">
        <f t="shared" si="121"/>
        <v/>
      </c>
      <c r="AH1385" s="164">
        <f t="shared" si="119"/>
        <v>28</v>
      </c>
      <c r="AI1385" s="164" t="str">
        <f t="shared" si="120"/>
        <v/>
      </c>
      <c r="AJ1385" s="368"/>
      <c r="AK1385" s="368"/>
      <c r="AL1385" s="368"/>
      <c r="AM1385" s="368"/>
      <c r="AN1385" s="368"/>
      <c r="AO1385" s="368"/>
      <c r="AP1385" s="368"/>
      <c r="AQ1385" s="368"/>
      <c r="AR1385" s="389"/>
      <c r="AS1385" s="263"/>
      <c r="AT1385" s="271"/>
      <c r="AU1385" s="389"/>
      <c r="AV1385" s="418"/>
      <c r="AW1385" s="436">
        <v>28</v>
      </c>
      <c r="AX1385" s="359"/>
      <c r="AY1385" s="359"/>
      <c r="AZ1385" s="359"/>
      <c r="BA1385" s="359"/>
      <c r="BB1385" s="359"/>
      <c r="BC1385" s="426"/>
      <c r="BD1385" s="359"/>
      <c r="BE1385" s="359"/>
      <c r="BF1385" s="469">
        <f t="shared" si="123"/>
        <v>28</v>
      </c>
      <c r="BG1385" s="469"/>
      <c r="BH1385" s="460"/>
      <c r="BI1385" s="461"/>
      <c r="BJ1385" s="505"/>
    </row>
    <row r="1386" spans="1:62" ht="15" customHeight="1" thickBot="1" x14ac:dyDescent="0.25">
      <c r="A1386" s="176">
        <v>1387</v>
      </c>
      <c r="B1386" s="291">
        <v>1</v>
      </c>
      <c r="C1386" s="167" t="s">
        <v>2933</v>
      </c>
      <c r="D1386" s="167" t="s">
        <v>2745</v>
      </c>
      <c r="E1386" s="167" t="s">
        <v>13</v>
      </c>
      <c r="F1386" s="167" t="s">
        <v>3609</v>
      </c>
      <c r="G1386" s="167"/>
      <c r="H1386" s="167" t="s">
        <v>101</v>
      </c>
      <c r="I1386" s="184">
        <v>2014</v>
      </c>
      <c r="J1386" s="181" t="s">
        <v>3605</v>
      </c>
      <c r="K1386" s="184"/>
      <c r="L1386" s="184" t="s">
        <v>19</v>
      </c>
      <c r="M1386" s="556" t="s">
        <v>4345</v>
      </c>
      <c r="N1386" s="214" t="s">
        <v>122</v>
      </c>
      <c r="O1386" s="214" t="s">
        <v>292</v>
      </c>
      <c r="P1386" s="214" t="s">
        <v>292</v>
      </c>
      <c r="Q1386" s="214" t="s">
        <v>292</v>
      </c>
      <c r="R1386" s="214" t="s">
        <v>292</v>
      </c>
      <c r="S1386" s="214" t="s">
        <v>292</v>
      </c>
      <c r="T1386" s="214" t="s">
        <v>292</v>
      </c>
      <c r="U1386" s="214" t="s">
        <v>292</v>
      </c>
      <c r="V1386" s="214" t="s">
        <v>292</v>
      </c>
      <c r="W1386" s="214" t="s">
        <v>292</v>
      </c>
      <c r="X1386" s="214" t="s">
        <v>292</v>
      </c>
      <c r="Y1386" s="214" t="s">
        <v>292</v>
      </c>
      <c r="Z1386" s="234"/>
      <c r="AA1386" s="234"/>
      <c r="AB1386" s="234"/>
      <c r="AC1386" s="234"/>
      <c r="AD1386" s="319" t="s">
        <v>3606</v>
      </c>
      <c r="AE1386" s="319"/>
      <c r="AF1386" s="162" t="str">
        <f t="shared" si="115"/>
        <v/>
      </c>
      <c r="AG1386" s="162" t="str">
        <f t="shared" si="121"/>
        <v/>
      </c>
      <c r="AH1386" s="164">
        <f t="shared" si="119"/>
        <v>31</v>
      </c>
      <c r="AI1386" s="164" t="str">
        <f t="shared" si="120"/>
        <v/>
      </c>
      <c r="AJ1386" s="368"/>
      <c r="AK1386" s="368"/>
      <c r="AL1386" s="368"/>
      <c r="AM1386" s="368"/>
      <c r="AN1386" s="368"/>
      <c r="AO1386" s="368"/>
      <c r="AP1386" s="368"/>
      <c r="AQ1386" s="368"/>
      <c r="AR1386" s="389"/>
      <c r="AS1386" s="263"/>
      <c r="AT1386" s="271"/>
      <c r="AU1386" s="389"/>
      <c r="AV1386" s="418"/>
      <c r="AW1386" s="436">
        <v>31</v>
      </c>
      <c r="AX1386" s="359"/>
      <c r="AY1386" s="359"/>
      <c r="AZ1386" s="359"/>
      <c r="BA1386" s="359"/>
      <c r="BB1386" s="359"/>
      <c r="BC1386" s="426"/>
      <c r="BD1386" s="359"/>
      <c r="BE1386" s="359"/>
      <c r="BF1386" s="469">
        <f t="shared" si="123"/>
        <v>31</v>
      </c>
      <c r="BG1386" s="469"/>
      <c r="BH1386" s="460"/>
      <c r="BI1386" s="461"/>
      <c r="BJ1386" s="505"/>
    </row>
    <row r="1387" spans="1:62" ht="15" customHeight="1" thickBot="1" x14ac:dyDescent="0.25">
      <c r="A1387" s="176">
        <v>1388</v>
      </c>
      <c r="B1387" s="291">
        <v>1</v>
      </c>
      <c r="C1387" s="167" t="s">
        <v>2933</v>
      </c>
      <c r="D1387" s="167" t="s">
        <v>2745</v>
      </c>
      <c r="E1387" s="167" t="s">
        <v>13</v>
      </c>
      <c r="F1387" s="167" t="s">
        <v>3610</v>
      </c>
      <c r="G1387" s="167"/>
      <c r="H1387" s="167" t="s">
        <v>101</v>
      </c>
      <c r="I1387" s="184">
        <v>2014</v>
      </c>
      <c r="J1387" s="181" t="s">
        <v>3605</v>
      </c>
      <c r="K1387" s="184"/>
      <c r="L1387" s="184" t="s">
        <v>19</v>
      </c>
      <c r="M1387" s="556" t="s">
        <v>4345</v>
      </c>
      <c r="N1387" s="214" t="s">
        <v>122</v>
      </c>
      <c r="O1387" s="214" t="s">
        <v>292</v>
      </c>
      <c r="P1387" s="214" t="s">
        <v>292</v>
      </c>
      <c r="Q1387" s="214" t="s">
        <v>292</v>
      </c>
      <c r="R1387" s="214" t="s">
        <v>292</v>
      </c>
      <c r="S1387" s="214" t="s">
        <v>292</v>
      </c>
      <c r="T1387" s="214" t="s">
        <v>292</v>
      </c>
      <c r="U1387" s="214" t="s">
        <v>292</v>
      </c>
      <c r="V1387" s="214" t="s">
        <v>292</v>
      </c>
      <c r="W1387" s="214" t="s">
        <v>292</v>
      </c>
      <c r="X1387" s="214" t="s">
        <v>292</v>
      </c>
      <c r="Y1387" s="214" t="s">
        <v>292</v>
      </c>
      <c r="Z1387" s="234"/>
      <c r="AA1387" s="234"/>
      <c r="AB1387" s="234"/>
      <c r="AC1387" s="234"/>
      <c r="AD1387" s="319" t="s">
        <v>3606</v>
      </c>
      <c r="AE1387" s="319"/>
      <c r="AF1387" s="162" t="str">
        <f t="shared" si="115"/>
        <v/>
      </c>
      <c r="AG1387" s="162" t="str">
        <f t="shared" si="121"/>
        <v/>
      </c>
      <c r="AH1387" s="164">
        <f t="shared" si="119"/>
        <v>31</v>
      </c>
      <c r="AI1387" s="164" t="str">
        <f t="shared" si="120"/>
        <v/>
      </c>
      <c r="AJ1387" s="368"/>
      <c r="AK1387" s="368"/>
      <c r="AL1387" s="368"/>
      <c r="AM1387" s="368"/>
      <c r="AN1387" s="368"/>
      <c r="AO1387" s="368"/>
      <c r="AP1387" s="368"/>
      <c r="AQ1387" s="368"/>
      <c r="AR1387" s="389"/>
      <c r="AS1387" s="263"/>
      <c r="AT1387" s="271"/>
      <c r="AU1387" s="389"/>
      <c r="AV1387" s="418"/>
      <c r="AW1387" s="436">
        <v>31</v>
      </c>
      <c r="AX1387" s="359"/>
      <c r="AY1387" s="359"/>
      <c r="AZ1387" s="359"/>
      <c r="BA1387" s="359"/>
      <c r="BB1387" s="359"/>
      <c r="BC1387" s="426"/>
      <c r="BD1387" s="359"/>
      <c r="BE1387" s="359"/>
      <c r="BF1387" s="469">
        <f t="shared" si="123"/>
        <v>31</v>
      </c>
      <c r="BG1387" s="469"/>
      <c r="BH1387" s="460"/>
      <c r="BI1387" s="461"/>
      <c r="BJ1387" s="505"/>
    </row>
    <row r="1388" spans="1:62" ht="15" customHeight="1" thickBot="1" x14ac:dyDescent="0.25">
      <c r="A1388" s="176">
        <v>1389</v>
      </c>
      <c r="B1388" s="291">
        <v>1</v>
      </c>
      <c r="C1388" s="167" t="s">
        <v>2933</v>
      </c>
      <c r="D1388" s="167" t="s">
        <v>2745</v>
      </c>
      <c r="E1388" s="167" t="s">
        <v>13</v>
      </c>
      <c r="F1388" s="167" t="s">
        <v>3610</v>
      </c>
      <c r="G1388" s="167"/>
      <c r="H1388" s="167" t="s">
        <v>376</v>
      </c>
      <c r="I1388" s="184">
        <v>2014</v>
      </c>
      <c r="J1388" s="181" t="s">
        <v>3605</v>
      </c>
      <c r="K1388" s="184"/>
      <c r="L1388" s="184" t="s">
        <v>19</v>
      </c>
      <c r="M1388" s="556" t="s">
        <v>4345</v>
      </c>
      <c r="N1388" s="214" t="s">
        <v>122</v>
      </c>
      <c r="O1388" s="214" t="s">
        <v>292</v>
      </c>
      <c r="P1388" s="214" t="s">
        <v>292</v>
      </c>
      <c r="Q1388" s="214" t="s">
        <v>292</v>
      </c>
      <c r="R1388" s="214" t="s">
        <v>292</v>
      </c>
      <c r="S1388" s="214" t="s">
        <v>292</v>
      </c>
      <c r="T1388" s="214" t="s">
        <v>292</v>
      </c>
      <c r="U1388" s="214" t="s">
        <v>292</v>
      </c>
      <c r="V1388" s="214" t="s">
        <v>292</v>
      </c>
      <c r="W1388" s="214" t="s">
        <v>292</v>
      </c>
      <c r="X1388" s="214" t="s">
        <v>292</v>
      </c>
      <c r="Y1388" s="214" t="s">
        <v>292</v>
      </c>
      <c r="Z1388" s="234"/>
      <c r="AA1388" s="234"/>
      <c r="AB1388" s="234"/>
      <c r="AC1388" s="234"/>
      <c r="AD1388" s="319" t="s">
        <v>3606</v>
      </c>
      <c r="AE1388" s="319"/>
      <c r="AF1388" s="162" t="str">
        <f t="shared" si="115"/>
        <v/>
      </c>
      <c r="AG1388" s="162" t="str">
        <f t="shared" si="121"/>
        <v/>
      </c>
      <c r="AH1388" s="164">
        <f t="shared" si="119"/>
        <v>31</v>
      </c>
      <c r="AI1388" s="164" t="str">
        <f t="shared" si="120"/>
        <v/>
      </c>
      <c r="AJ1388" s="368"/>
      <c r="AK1388" s="368"/>
      <c r="AL1388" s="368"/>
      <c r="AM1388" s="368"/>
      <c r="AN1388" s="368"/>
      <c r="AO1388" s="368"/>
      <c r="AP1388" s="368"/>
      <c r="AQ1388" s="368"/>
      <c r="AR1388" s="389"/>
      <c r="AS1388" s="263"/>
      <c r="AT1388" s="271"/>
      <c r="AU1388" s="389"/>
      <c r="AV1388" s="418"/>
      <c r="AW1388" s="436">
        <v>31</v>
      </c>
      <c r="AX1388" s="359"/>
      <c r="AY1388" s="359"/>
      <c r="AZ1388" s="359"/>
      <c r="BA1388" s="359"/>
      <c r="BB1388" s="359"/>
      <c r="BC1388" s="426"/>
      <c r="BD1388" s="359"/>
      <c r="BE1388" s="359"/>
      <c r="BF1388" s="469">
        <f t="shared" si="123"/>
        <v>31</v>
      </c>
      <c r="BG1388" s="469"/>
      <c r="BH1388" s="460"/>
      <c r="BI1388" s="461"/>
      <c r="BJ1388" s="505"/>
    </row>
    <row r="1389" spans="1:62" ht="15" customHeight="1" thickBot="1" x14ac:dyDescent="0.25">
      <c r="A1389" s="176">
        <v>1390</v>
      </c>
      <c r="B1389" s="291">
        <v>1</v>
      </c>
      <c r="C1389" s="167" t="s">
        <v>2933</v>
      </c>
      <c r="D1389" s="167" t="s">
        <v>2745</v>
      </c>
      <c r="E1389" s="167" t="s">
        <v>13</v>
      </c>
      <c r="F1389" s="167" t="s">
        <v>3607</v>
      </c>
      <c r="G1389" s="167"/>
      <c r="H1389" s="167" t="s">
        <v>3611</v>
      </c>
      <c r="I1389" s="184">
        <v>2014</v>
      </c>
      <c r="J1389" s="181" t="s">
        <v>3605</v>
      </c>
      <c r="K1389" s="184"/>
      <c r="L1389" s="184" t="s">
        <v>19</v>
      </c>
      <c r="M1389" s="556" t="s">
        <v>4345</v>
      </c>
      <c r="N1389" s="214" t="s">
        <v>122</v>
      </c>
      <c r="O1389" s="214" t="s">
        <v>292</v>
      </c>
      <c r="P1389" s="214" t="s">
        <v>292</v>
      </c>
      <c r="Q1389" s="214" t="s">
        <v>292</v>
      </c>
      <c r="R1389" s="214" t="s">
        <v>292</v>
      </c>
      <c r="S1389" s="214" t="s">
        <v>292</v>
      </c>
      <c r="T1389" s="214" t="s">
        <v>292</v>
      </c>
      <c r="U1389" s="214" t="s">
        <v>292</v>
      </c>
      <c r="V1389" s="214" t="s">
        <v>292</v>
      </c>
      <c r="W1389" s="214" t="s">
        <v>292</v>
      </c>
      <c r="X1389" s="214" t="s">
        <v>292</v>
      </c>
      <c r="Y1389" s="214" t="s">
        <v>292</v>
      </c>
      <c r="Z1389" s="234"/>
      <c r="AA1389" s="234"/>
      <c r="AB1389" s="234"/>
      <c r="AC1389" s="234"/>
      <c r="AD1389" s="319" t="s">
        <v>3606</v>
      </c>
      <c r="AE1389" s="319"/>
      <c r="AF1389" s="162" t="str">
        <f t="shared" ref="AF1389:AF1452" si="124">IF(AS1389&lt;&gt;0,AS1389,"")</f>
        <v/>
      </c>
      <c r="AG1389" s="162" t="str">
        <f t="shared" si="121"/>
        <v/>
      </c>
      <c r="AH1389" s="164">
        <f t="shared" si="119"/>
        <v>21</v>
      </c>
      <c r="AI1389" s="164" t="str">
        <f t="shared" si="120"/>
        <v/>
      </c>
      <c r="AJ1389" s="368"/>
      <c r="AK1389" s="368"/>
      <c r="AL1389" s="368"/>
      <c r="AM1389" s="368"/>
      <c r="AN1389" s="368"/>
      <c r="AO1389" s="368"/>
      <c r="AP1389" s="368"/>
      <c r="AQ1389" s="368"/>
      <c r="AR1389" s="389"/>
      <c r="AS1389" s="263"/>
      <c r="AT1389" s="271"/>
      <c r="AU1389" s="389"/>
      <c r="AV1389" s="418"/>
      <c r="AW1389" s="436">
        <v>21</v>
      </c>
      <c r="AX1389" s="359"/>
      <c r="AY1389" s="359"/>
      <c r="AZ1389" s="359"/>
      <c r="BA1389" s="359"/>
      <c r="BB1389" s="359"/>
      <c r="BC1389" s="426"/>
      <c r="BD1389" s="359"/>
      <c r="BE1389" s="359"/>
      <c r="BF1389" s="469">
        <f t="shared" si="123"/>
        <v>21</v>
      </c>
      <c r="BG1389" s="469"/>
      <c r="BH1389" s="460"/>
      <c r="BI1389" s="461"/>
      <c r="BJ1389" s="505"/>
    </row>
    <row r="1390" spans="1:62" ht="15" customHeight="1" thickBot="1" x14ac:dyDescent="0.25">
      <c r="A1390" s="176">
        <v>1391</v>
      </c>
      <c r="B1390" s="291">
        <v>1</v>
      </c>
      <c r="C1390" s="167" t="s">
        <v>2933</v>
      </c>
      <c r="D1390" s="167" t="s">
        <v>2745</v>
      </c>
      <c r="E1390" s="167" t="s">
        <v>13</v>
      </c>
      <c r="F1390" s="167" t="s">
        <v>3610</v>
      </c>
      <c r="G1390" s="167"/>
      <c r="H1390" s="167" t="s">
        <v>2930</v>
      </c>
      <c r="I1390" s="184">
        <v>2014</v>
      </c>
      <c r="J1390" s="181" t="s">
        <v>3605</v>
      </c>
      <c r="K1390" s="184"/>
      <c r="L1390" s="184" t="s">
        <v>19</v>
      </c>
      <c r="M1390" s="556" t="s">
        <v>4345</v>
      </c>
      <c r="N1390" s="214" t="s">
        <v>122</v>
      </c>
      <c r="O1390" s="214" t="s">
        <v>292</v>
      </c>
      <c r="P1390" s="214" t="s">
        <v>292</v>
      </c>
      <c r="Q1390" s="214" t="s">
        <v>292</v>
      </c>
      <c r="R1390" s="214" t="s">
        <v>292</v>
      </c>
      <c r="S1390" s="214" t="s">
        <v>292</v>
      </c>
      <c r="T1390" s="214" t="s">
        <v>292</v>
      </c>
      <c r="U1390" s="214" t="s">
        <v>292</v>
      </c>
      <c r="V1390" s="214" t="s">
        <v>292</v>
      </c>
      <c r="W1390" s="214" t="s">
        <v>292</v>
      </c>
      <c r="X1390" s="214" t="s">
        <v>292</v>
      </c>
      <c r="Y1390" s="214" t="s">
        <v>292</v>
      </c>
      <c r="Z1390" s="234"/>
      <c r="AA1390" s="234"/>
      <c r="AB1390" s="234"/>
      <c r="AC1390" s="234"/>
      <c r="AD1390" s="319" t="s">
        <v>3606</v>
      </c>
      <c r="AE1390" s="319"/>
      <c r="AF1390" s="162" t="str">
        <f t="shared" si="124"/>
        <v/>
      </c>
      <c r="AG1390" s="162" t="str">
        <f t="shared" si="121"/>
        <v/>
      </c>
      <c r="AH1390" s="164">
        <f t="shared" si="119"/>
        <v>31</v>
      </c>
      <c r="AI1390" s="164" t="str">
        <f t="shared" si="120"/>
        <v/>
      </c>
      <c r="AJ1390" s="368"/>
      <c r="AK1390" s="368"/>
      <c r="AL1390" s="368"/>
      <c r="AM1390" s="368"/>
      <c r="AN1390" s="368"/>
      <c r="AO1390" s="368"/>
      <c r="AP1390" s="368"/>
      <c r="AQ1390" s="368"/>
      <c r="AR1390" s="389"/>
      <c r="AS1390" s="263"/>
      <c r="AT1390" s="271"/>
      <c r="AU1390" s="389"/>
      <c r="AV1390" s="418"/>
      <c r="AW1390" s="436">
        <v>31</v>
      </c>
      <c r="AX1390" s="359"/>
      <c r="AY1390" s="359"/>
      <c r="AZ1390" s="359"/>
      <c r="BA1390" s="359"/>
      <c r="BB1390" s="359"/>
      <c r="BC1390" s="426"/>
      <c r="BD1390" s="359"/>
      <c r="BE1390" s="359"/>
      <c r="BF1390" s="469">
        <f t="shared" si="123"/>
        <v>31</v>
      </c>
      <c r="BG1390" s="469"/>
      <c r="BH1390" s="460"/>
      <c r="BI1390" s="461"/>
      <c r="BJ1390" s="505"/>
    </row>
    <row r="1391" spans="1:62" ht="15" customHeight="1" thickBot="1" x14ac:dyDescent="0.25">
      <c r="A1391" s="176">
        <v>1392</v>
      </c>
      <c r="B1391" s="291">
        <v>1</v>
      </c>
      <c r="C1391" s="167" t="s">
        <v>2933</v>
      </c>
      <c r="D1391" s="167" t="s">
        <v>2745</v>
      </c>
      <c r="E1391" s="167" t="s">
        <v>13</v>
      </c>
      <c r="F1391" s="167" t="s">
        <v>3612</v>
      </c>
      <c r="G1391" s="167"/>
      <c r="H1391" s="167" t="s">
        <v>375</v>
      </c>
      <c r="I1391" s="184">
        <v>2014</v>
      </c>
      <c r="J1391" s="181" t="s">
        <v>3605</v>
      </c>
      <c r="K1391" s="184"/>
      <c r="L1391" s="184" t="s">
        <v>19</v>
      </c>
      <c r="M1391" s="556" t="s">
        <v>4345</v>
      </c>
      <c r="N1391" s="214" t="s">
        <v>122</v>
      </c>
      <c r="O1391" s="214" t="s">
        <v>292</v>
      </c>
      <c r="P1391" s="214" t="s">
        <v>292</v>
      </c>
      <c r="Q1391" s="214" t="s">
        <v>292</v>
      </c>
      <c r="R1391" s="214" t="s">
        <v>292</v>
      </c>
      <c r="S1391" s="214" t="s">
        <v>292</v>
      </c>
      <c r="T1391" s="214" t="s">
        <v>292</v>
      </c>
      <c r="U1391" s="214" t="s">
        <v>292</v>
      </c>
      <c r="V1391" s="214" t="s">
        <v>292</v>
      </c>
      <c r="W1391" s="214" t="s">
        <v>292</v>
      </c>
      <c r="X1391" s="214" t="s">
        <v>292</v>
      </c>
      <c r="Y1391" s="214" t="s">
        <v>292</v>
      </c>
      <c r="Z1391" s="234"/>
      <c r="AA1391" s="234"/>
      <c r="AB1391" s="234"/>
      <c r="AC1391" s="234"/>
      <c r="AD1391" s="319" t="s">
        <v>3606</v>
      </c>
      <c r="AE1391" s="319"/>
      <c r="AF1391" s="162" t="str">
        <f t="shared" si="124"/>
        <v/>
      </c>
      <c r="AG1391" s="162" t="str">
        <f t="shared" si="121"/>
        <v/>
      </c>
      <c r="AH1391" s="164">
        <f t="shared" si="119"/>
        <v>41</v>
      </c>
      <c r="AI1391" s="164" t="str">
        <f t="shared" si="120"/>
        <v/>
      </c>
      <c r="AJ1391" s="368"/>
      <c r="AK1391" s="368"/>
      <c r="AL1391" s="368"/>
      <c r="AM1391" s="368"/>
      <c r="AN1391" s="368"/>
      <c r="AO1391" s="368"/>
      <c r="AP1391" s="368"/>
      <c r="AQ1391" s="368"/>
      <c r="AR1391" s="389"/>
      <c r="AS1391" s="263"/>
      <c r="AT1391" s="271"/>
      <c r="AU1391" s="389"/>
      <c r="AV1391" s="418"/>
      <c r="AW1391" s="436">
        <v>41</v>
      </c>
      <c r="AX1391" s="359"/>
      <c r="AY1391" s="359"/>
      <c r="AZ1391" s="359"/>
      <c r="BA1391" s="359"/>
      <c r="BB1391" s="359"/>
      <c r="BC1391" s="426"/>
      <c r="BD1391" s="359"/>
      <c r="BE1391" s="359"/>
      <c r="BF1391" s="469">
        <f t="shared" si="123"/>
        <v>41</v>
      </c>
      <c r="BG1391" s="469"/>
      <c r="BH1391" s="460"/>
      <c r="BI1391" s="461"/>
      <c r="BJ1391" s="505"/>
    </row>
    <row r="1392" spans="1:62" ht="15" customHeight="1" thickBot="1" x14ac:dyDescent="0.25">
      <c r="A1392" s="176">
        <v>1393</v>
      </c>
      <c r="B1392" s="291">
        <v>1</v>
      </c>
      <c r="C1392" s="167" t="s">
        <v>2933</v>
      </c>
      <c r="D1392" s="167" t="s">
        <v>2745</v>
      </c>
      <c r="E1392" s="167" t="s">
        <v>13</v>
      </c>
      <c r="F1392" s="167" t="s">
        <v>3613</v>
      </c>
      <c r="G1392" s="167"/>
      <c r="H1392" s="167" t="s">
        <v>3614</v>
      </c>
      <c r="I1392" s="184">
        <v>2014</v>
      </c>
      <c r="J1392" s="181" t="s">
        <v>3605</v>
      </c>
      <c r="K1392" s="184"/>
      <c r="L1392" s="184" t="s">
        <v>19</v>
      </c>
      <c r="M1392" s="556" t="s">
        <v>4345</v>
      </c>
      <c r="N1392" s="214" t="s">
        <v>122</v>
      </c>
      <c r="O1392" s="214" t="s">
        <v>292</v>
      </c>
      <c r="P1392" s="214" t="s">
        <v>292</v>
      </c>
      <c r="Q1392" s="214" t="s">
        <v>292</v>
      </c>
      <c r="R1392" s="214" t="s">
        <v>292</v>
      </c>
      <c r="S1392" s="214" t="s">
        <v>292</v>
      </c>
      <c r="T1392" s="214" t="s">
        <v>292</v>
      </c>
      <c r="U1392" s="214" t="s">
        <v>292</v>
      </c>
      <c r="V1392" s="214" t="s">
        <v>292</v>
      </c>
      <c r="W1392" s="214" t="s">
        <v>292</v>
      </c>
      <c r="X1392" s="214" t="s">
        <v>292</v>
      </c>
      <c r="Y1392" s="214" t="s">
        <v>292</v>
      </c>
      <c r="Z1392" s="234"/>
      <c r="AA1392" s="234"/>
      <c r="AB1392" s="234"/>
      <c r="AC1392" s="234"/>
      <c r="AD1392" s="319" t="s">
        <v>3606</v>
      </c>
      <c r="AE1392" s="319"/>
      <c r="AF1392" s="162" t="str">
        <f t="shared" si="124"/>
        <v/>
      </c>
      <c r="AG1392" s="162" t="str">
        <f t="shared" si="121"/>
        <v/>
      </c>
      <c r="AH1392" s="164">
        <f t="shared" si="119"/>
        <v>25</v>
      </c>
      <c r="AI1392" s="164" t="str">
        <f t="shared" si="120"/>
        <v/>
      </c>
      <c r="AJ1392" s="368"/>
      <c r="AK1392" s="368"/>
      <c r="AL1392" s="368"/>
      <c r="AM1392" s="368"/>
      <c r="AN1392" s="368"/>
      <c r="AO1392" s="368"/>
      <c r="AP1392" s="368"/>
      <c r="AQ1392" s="368"/>
      <c r="AR1392" s="389"/>
      <c r="AS1392" s="263"/>
      <c r="AT1392" s="271"/>
      <c r="AU1392" s="389"/>
      <c r="AV1392" s="418"/>
      <c r="AW1392" s="436">
        <v>25</v>
      </c>
      <c r="AX1392" s="359"/>
      <c r="AY1392" s="359"/>
      <c r="AZ1392" s="359"/>
      <c r="BA1392" s="359"/>
      <c r="BB1392" s="359"/>
      <c r="BC1392" s="426"/>
      <c r="BD1392" s="359"/>
      <c r="BE1392" s="359"/>
      <c r="BF1392" s="469">
        <f t="shared" si="123"/>
        <v>25</v>
      </c>
      <c r="BG1392" s="469"/>
      <c r="BH1392" s="460"/>
      <c r="BI1392" s="461"/>
      <c r="BJ1392" s="505"/>
    </row>
    <row r="1393" spans="1:62" ht="15" customHeight="1" thickBot="1" x14ac:dyDescent="0.25">
      <c r="A1393" s="176">
        <v>1394</v>
      </c>
      <c r="B1393" s="291">
        <v>1</v>
      </c>
      <c r="C1393" s="167" t="s">
        <v>2933</v>
      </c>
      <c r="D1393" s="167" t="s">
        <v>2931</v>
      </c>
      <c r="E1393" s="167" t="s">
        <v>13</v>
      </c>
      <c r="F1393" s="167" t="s">
        <v>3615</v>
      </c>
      <c r="G1393" s="167"/>
      <c r="H1393" s="167" t="s">
        <v>101</v>
      </c>
      <c r="I1393" s="184">
        <v>2014</v>
      </c>
      <c r="J1393" s="181" t="s">
        <v>3605</v>
      </c>
      <c r="K1393" s="184"/>
      <c r="L1393" s="184" t="s">
        <v>19</v>
      </c>
      <c r="M1393" s="556" t="s">
        <v>4345</v>
      </c>
      <c r="N1393" s="214" t="s">
        <v>122</v>
      </c>
      <c r="O1393" s="214" t="s">
        <v>292</v>
      </c>
      <c r="P1393" s="214" t="s">
        <v>292</v>
      </c>
      <c r="Q1393" s="214" t="s">
        <v>292</v>
      </c>
      <c r="R1393" s="214" t="s">
        <v>292</v>
      </c>
      <c r="S1393" s="214" t="s">
        <v>292</v>
      </c>
      <c r="T1393" s="214" t="s">
        <v>292</v>
      </c>
      <c r="U1393" s="214" t="s">
        <v>292</v>
      </c>
      <c r="V1393" s="214" t="s">
        <v>292</v>
      </c>
      <c r="W1393" s="214" t="s">
        <v>292</v>
      </c>
      <c r="X1393" s="214" t="s">
        <v>292</v>
      </c>
      <c r="Y1393" s="214" t="s">
        <v>292</v>
      </c>
      <c r="Z1393" s="234"/>
      <c r="AA1393" s="234"/>
      <c r="AB1393" s="234"/>
      <c r="AC1393" s="234"/>
      <c r="AD1393" s="319" t="s">
        <v>3606</v>
      </c>
      <c r="AE1393" s="319"/>
      <c r="AF1393" s="162" t="str">
        <f t="shared" si="124"/>
        <v/>
      </c>
      <c r="AG1393" s="162" t="str">
        <f t="shared" si="121"/>
        <v/>
      </c>
      <c r="AH1393" s="164">
        <f t="shared" si="119"/>
        <v>5.5</v>
      </c>
      <c r="AI1393" s="164" t="str">
        <f t="shared" si="120"/>
        <v/>
      </c>
      <c r="AJ1393" s="368"/>
      <c r="AK1393" s="368"/>
      <c r="AL1393" s="368"/>
      <c r="AM1393" s="368"/>
      <c r="AN1393" s="368"/>
      <c r="AO1393" s="368"/>
      <c r="AP1393" s="368"/>
      <c r="AQ1393" s="368"/>
      <c r="AR1393" s="389"/>
      <c r="AS1393" s="263"/>
      <c r="AT1393" s="271"/>
      <c r="AU1393" s="389"/>
      <c r="AV1393" s="418"/>
      <c r="AW1393" s="436">
        <v>5.5</v>
      </c>
      <c r="AX1393" s="359"/>
      <c r="AY1393" s="359"/>
      <c r="AZ1393" s="359"/>
      <c r="BA1393" s="359"/>
      <c r="BB1393" s="359"/>
      <c r="BC1393" s="426"/>
      <c r="BD1393" s="359"/>
      <c r="BE1393" s="359"/>
      <c r="BF1393" s="469">
        <f t="shared" si="123"/>
        <v>5.5</v>
      </c>
      <c r="BG1393" s="469"/>
      <c r="BH1393" s="460"/>
      <c r="BI1393" s="461"/>
      <c r="BJ1393" s="505"/>
    </row>
    <row r="1394" spans="1:62" ht="15" customHeight="1" thickBot="1" x14ac:dyDescent="0.25">
      <c r="A1394" s="176">
        <v>1395</v>
      </c>
      <c r="B1394" s="291">
        <v>1</v>
      </c>
      <c r="C1394" s="167" t="s">
        <v>2933</v>
      </c>
      <c r="D1394" s="167" t="s">
        <v>2931</v>
      </c>
      <c r="E1394" s="167" t="s">
        <v>13</v>
      </c>
      <c r="F1394" s="167" t="s">
        <v>3615</v>
      </c>
      <c r="G1394" s="167"/>
      <c r="H1394" s="167" t="s">
        <v>3616</v>
      </c>
      <c r="I1394" s="184">
        <v>2014</v>
      </c>
      <c r="J1394" s="181" t="s">
        <v>3605</v>
      </c>
      <c r="K1394" s="184"/>
      <c r="L1394" s="184" t="s">
        <v>19</v>
      </c>
      <c r="M1394" s="556" t="s">
        <v>4345</v>
      </c>
      <c r="N1394" s="214" t="s">
        <v>122</v>
      </c>
      <c r="O1394" s="214" t="s">
        <v>292</v>
      </c>
      <c r="P1394" s="214" t="s">
        <v>292</v>
      </c>
      <c r="Q1394" s="214" t="s">
        <v>292</v>
      </c>
      <c r="R1394" s="214" t="s">
        <v>292</v>
      </c>
      <c r="S1394" s="214" t="s">
        <v>292</v>
      </c>
      <c r="T1394" s="214" t="s">
        <v>292</v>
      </c>
      <c r="U1394" s="214" t="s">
        <v>292</v>
      </c>
      <c r="V1394" s="214" t="s">
        <v>292</v>
      </c>
      <c r="W1394" s="214" t="s">
        <v>292</v>
      </c>
      <c r="X1394" s="214" t="s">
        <v>292</v>
      </c>
      <c r="Y1394" s="214" t="s">
        <v>292</v>
      </c>
      <c r="Z1394" s="234"/>
      <c r="AA1394" s="234"/>
      <c r="AB1394" s="234"/>
      <c r="AC1394" s="234"/>
      <c r="AD1394" s="319" t="s">
        <v>3606</v>
      </c>
      <c r="AE1394" s="319"/>
      <c r="AF1394" s="162" t="str">
        <f t="shared" si="124"/>
        <v/>
      </c>
      <c r="AG1394" s="162" t="str">
        <f t="shared" si="121"/>
        <v/>
      </c>
      <c r="AH1394" s="164">
        <f t="shared" si="119"/>
        <v>5.5</v>
      </c>
      <c r="AI1394" s="164" t="str">
        <f t="shared" si="120"/>
        <v/>
      </c>
      <c r="AJ1394" s="368"/>
      <c r="AK1394" s="368"/>
      <c r="AL1394" s="368"/>
      <c r="AM1394" s="368"/>
      <c r="AN1394" s="368"/>
      <c r="AO1394" s="368"/>
      <c r="AP1394" s="368"/>
      <c r="AQ1394" s="368"/>
      <c r="AR1394" s="389"/>
      <c r="AS1394" s="263"/>
      <c r="AT1394" s="271"/>
      <c r="AU1394" s="389"/>
      <c r="AV1394" s="418"/>
      <c r="AW1394" s="436">
        <v>5.5</v>
      </c>
      <c r="AX1394" s="359"/>
      <c r="AY1394" s="359"/>
      <c r="AZ1394" s="359"/>
      <c r="BA1394" s="359"/>
      <c r="BB1394" s="359"/>
      <c r="BC1394" s="426"/>
      <c r="BD1394" s="359"/>
      <c r="BE1394" s="359"/>
      <c r="BF1394" s="469">
        <f t="shared" si="123"/>
        <v>5.5</v>
      </c>
      <c r="BG1394" s="469"/>
      <c r="BH1394" s="460"/>
      <c r="BI1394" s="461"/>
      <c r="BJ1394" s="505"/>
    </row>
    <row r="1395" spans="1:62" ht="15" customHeight="1" thickBot="1" x14ac:dyDescent="0.25">
      <c r="A1395" s="176">
        <v>1396</v>
      </c>
      <c r="B1395" s="291">
        <v>1</v>
      </c>
      <c r="C1395" s="167" t="s">
        <v>2933</v>
      </c>
      <c r="D1395" s="167" t="s">
        <v>2448</v>
      </c>
      <c r="E1395" s="167" t="s">
        <v>13</v>
      </c>
      <c r="F1395" s="167" t="s">
        <v>3615</v>
      </c>
      <c r="G1395" s="167"/>
      <c r="H1395" s="167" t="s">
        <v>101</v>
      </c>
      <c r="I1395" s="184">
        <v>2014</v>
      </c>
      <c r="J1395" s="181" t="s">
        <v>3605</v>
      </c>
      <c r="K1395" s="184"/>
      <c r="L1395" s="184" t="s">
        <v>19</v>
      </c>
      <c r="M1395" s="556" t="s">
        <v>4345</v>
      </c>
      <c r="N1395" s="214" t="s">
        <v>122</v>
      </c>
      <c r="O1395" s="214" t="s">
        <v>292</v>
      </c>
      <c r="P1395" s="214" t="s">
        <v>292</v>
      </c>
      <c r="Q1395" s="214" t="s">
        <v>292</v>
      </c>
      <c r="R1395" s="214" t="s">
        <v>292</v>
      </c>
      <c r="S1395" s="214" t="s">
        <v>292</v>
      </c>
      <c r="T1395" s="214" t="s">
        <v>292</v>
      </c>
      <c r="U1395" s="214" t="s">
        <v>292</v>
      </c>
      <c r="V1395" s="214" t="s">
        <v>292</v>
      </c>
      <c r="W1395" s="214" t="s">
        <v>292</v>
      </c>
      <c r="X1395" s="214" t="s">
        <v>292</v>
      </c>
      <c r="Y1395" s="214" t="s">
        <v>292</v>
      </c>
      <c r="Z1395" s="234"/>
      <c r="AA1395" s="234"/>
      <c r="AB1395" s="234"/>
      <c r="AC1395" s="234"/>
      <c r="AD1395" s="319" t="s">
        <v>3606</v>
      </c>
      <c r="AE1395" s="319"/>
      <c r="AF1395" s="162" t="str">
        <f t="shared" si="124"/>
        <v/>
      </c>
      <c r="AG1395" s="162" t="str">
        <f t="shared" si="121"/>
        <v/>
      </c>
      <c r="AH1395" s="164">
        <f t="shared" si="119"/>
        <v>2.6</v>
      </c>
      <c r="AI1395" s="164" t="str">
        <f t="shared" si="120"/>
        <v/>
      </c>
      <c r="AJ1395" s="368"/>
      <c r="AK1395" s="368"/>
      <c r="AL1395" s="368"/>
      <c r="AM1395" s="368"/>
      <c r="AN1395" s="368"/>
      <c r="AO1395" s="368"/>
      <c r="AP1395" s="368"/>
      <c r="AQ1395" s="368"/>
      <c r="AR1395" s="389"/>
      <c r="AS1395" s="263"/>
      <c r="AT1395" s="271"/>
      <c r="AU1395" s="389"/>
      <c r="AV1395" s="418"/>
      <c r="AW1395" s="436">
        <v>2.6</v>
      </c>
      <c r="AX1395" s="359"/>
      <c r="AY1395" s="359"/>
      <c r="AZ1395" s="359"/>
      <c r="BA1395" s="359"/>
      <c r="BB1395" s="359"/>
      <c r="BC1395" s="426"/>
      <c r="BD1395" s="359"/>
      <c r="BE1395" s="359"/>
      <c r="BF1395" s="469">
        <f t="shared" si="123"/>
        <v>2.6</v>
      </c>
      <c r="BG1395" s="469"/>
      <c r="BH1395" s="460"/>
      <c r="BI1395" s="461"/>
      <c r="BJ1395" s="505"/>
    </row>
    <row r="1396" spans="1:62" ht="15" customHeight="1" thickBot="1" x14ac:dyDescent="0.25">
      <c r="A1396" s="176">
        <v>1397</v>
      </c>
      <c r="B1396" s="291">
        <v>1</v>
      </c>
      <c r="C1396" s="167" t="s">
        <v>2933</v>
      </c>
      <c r="D1396" s="167" t="s">
        <v>2448</v>
      </c>
      <c r="E1396" s="167" t="s">
        <v>13</v>
      </c>
      <c r="F1396" s="167" t="s">
        <v>3615</v>
      </c>
      <c r="G1396" s="167"/>
      <c r="H1396" s="167" t="s">
        <v>3616</v>
      </c>
      <c r="I1396" s="184">
        <v>2014</v>
      </c>
      <c r="J1396" s="181" t="s">
        <v>3605</v>
      </c>
      <c r="K1396" s="184"/>
      <c r="L1396" s="184" t="s">
        <v>19</v>
      </c>
      <c r="M1396" s="556" t="s">
        <v>4345</v>
      </c>
      <c r="N1396" s="214" t="s">
        <v>122</v>
      </c>
      <c r="O1396" s="214" t="s">
        <v>292</v>
      </c>
      <c r="P1396" s="214" t="s">
        <v>292</v>
      </c>
      <c r="Q1396" s="214" t="s">
        <v>292</v>
      </c>
      <c r="R1396" s="214" t="s">
        <v>292</v>
      </c>
      <c r="S1396" s="214" t="s">
        <v>292</v>
      </c>
      <c r="T1396" s="214" t="s">
        <v>292</v>
      </c>
      <c r="U1396" s="214" t="s">
        <v>292</v>
      </c>
      <c r="V1396" s="214" t="s">
        <v>292</v>
      </c>
      <c r="W1396" s="214" t="s">
        <v>292</v>
      </c>
      <c r="X1396" s="214" t="s">
        <v>292</v>
      </c>
      <c r="Y1396" s="214" t="s">
        <v>292</v>
      </c>
      <c r="Z1396" s="234"/>
      <c r="AA1396" s="234"/>
      <c r="AB1396" s="234"/>
      <c r="AC1396" s="234"/>
      <c r="AD1396" s="319" t="s">
        <v>3606</v>
      </c>
      <c r="AE1396" s="319"/>
      <c r="AF1396" s="162" t="str">
        <f t="shared" si="124"/>
        <v/>
      </c>
      <c r="AG1396" s="162" t="str">
        <f t="shared" si="121"/>
        <v/>
      </c>
      <c r="AH1396" s="164">
        <f t="shared" si="119"/>
        <v>2.6</v>
      </c>
      <c r="AI1396" s="164" t="str">
        <f t="shared" si="120"/>
        <v/>
      </c>
      <c r="AJ1396" s="368"/>
      <c r="AK1396" s="368"/>
      <c r="AL1396" s="368"/>
      <c r="AM1396" s="368"/>
      <c r="AN1396" s="368"/>
      <c r="AO1396" s="368"/>
      <c r="AP1396" s="368"/>
      <c r="AQ1396" s="368"/>
      <c r="AR1396" s="389"/>
      <c r="AS1396" s="263"/>
      <c r="AT1396" s="271"/>
      <c r="AU1396" s="389"/>
      <c r="AV1396" s="418"/>
      <c r="AW1396" s="436">
        <v>2.6</v>
      </c>
      <c r="AX1396" s="359"/>
      <c r="AY1396" s="359"/>
      <c r="AZ1396" s="359"/>
      <c r="BA1396" s="359"/>
      <c r="BB1396" s="359"/>
      <c r="BC1396" s="426"/>
      <c r="BD1396" s="359"/>
      <c r="BE1396" s="359"/>
      <c r="BF1396" s="469">
        <f t="shared" si="123"/>
        <v>2.6</v>
      </c>
      <c r="BG1396" s="469"/>
      <c r="BH1396" s="460"/>
      <c r="BI1396" s="461"/>
      <c r="BJ1396" s="505"/>
    </row>
    <row r="1397" spans="1:62" ht="15" customHeight="1" thickBot="1" x14ac:dyDescent="0.25">
      <c r="A1397" s="176">
        <v>1398</v>
      </c>
      <c r="B1397" s="291">
        <v>1</v>
      </c>
      <c r="C1397" s="167" t="s">
        <v>2933</v>
      </c>
      <c r="D1397" s="167" t="s">
        <v>2448</v>
      </c>
      <c r="E1397" s="167" t="s">
        <v>13</v>
      </c>
      <c r="F1397" s="167"/>
      <c r="G1397" s="167"/>
      <c r="H1397" s="167" t="s">
        <v>1247</v>
      </c>
      <c r="I1397" s="184">
        <v>2014</v>
      </c>
      <c r="J1397" s="181" t="s">
        <v>3617</v>
      </c>
      <c r="K1397" s="184"/>
      <c r="L1397" s="184" t="s">
        <v>19</v>
      </c>
      <c r="M1397" s="556" t="s">
        <v>4346</v>
      </c>
      <c r="N1397" s="214" t="s">
        <v>122</v>
      </c>
      <c r="O1397" s="214" t="s">
        <v>292</v>
      </c>
      <c r="P1397" s="214" t="s">
        <v>122</v>
      </c>
      <c r="Q1397" s="214" t="s">
        <v>122</v>
      </c>
      <c r="R1397" s="214" t="s">
        <v>122</v>
      </c>
      <c r="S1397" s="214" t="s">
        <v>292</v>
      </c>
      <c r="T1397" s="214" t="s">
        <v>292</v>
      </c>
      <c r="U1397" s="214" t="s">
        <v>292</v>
      </c>
      <c r="V1397" s="214" t="s">
        <v>292</v>
      </c>
      <c r="W1397" s="214" t="s">
        <v>292</v>
      </c>
      <c r="X1397" s="214" t="s">
        <v>292</v>
      </c>
      <c r="Y1397" s="214" t="s">
        <v>292</v>
      </c>
      <c r="Z1397" s="234"/>
      <c r="AA1397" s="234" t="s">
        <v>1439</v>
      </c>
      <c r="AB1397" s="234"/>
      <c r="AC1397" s="234"/>
      <c r="AD1397" s="319" t="s">
        <v>3618</v>
      </c>
      <c r="AE1397" s="319" t="s">
        <v>3619</v>
      </c>
      <c r="AF1397" s="162">
        <f t="shared" si="124"/>
        <v>15.500000000000002</v>
      </c>
      <c r="AG1397" s="162">
        <f t="shared" si="121"/>
        <v>17.333333333333336</v>
      </c>
      <c r="AH1397" s="164">
        <f t="shared" si="119"/>
        <v>2.2500000000000004</v>
      </c>
      <c r="AI1397" s="164">
        <f t="shared" si="120"/>
        <v>2.3775000000000004</v>
      </c>
      <c r="AJ1397" s="368">
        <f>18.6/1.2</f>
        <v>15.500000000000002</v>
      </c>
      <c r="AK1397" s="368"/>
      <c r="AL1397" s="368">
        <f>(3.6-1.4)/1.2</f>
        <v>1.8333333333333335</v>
      </c>
      <c r="AM1397" s="368">
        <f>1.4/1.2</f>
        <v>1.1666666666666667</v>
      </c>
      <c r="AN1397" s="368"/>
      <c r="AO1397" s="368"/>
      <c r="AP1397" s="368"/>
      <c r="AQ1397" s="368"/>
      <c r="AR1397" s="389"/>
      <c r="AS1397" s="263">
        <f>AJ1397</f>
        <v>15.500000000000002</v>
      </c>
      <c r="AT1397" s="271">
        <f>SUM(AJ1397:AR1397)</f>
        <v>18.500000000000004</v>
      </c>
      <c r="AU1397" s="389"/>
      <c r="AV1397" s="418"/>
      <c r="AW1397" s="436">
        <f>2.7/1.2</f>
        <v>2.2500000000000004</v>
      </c>
      <c r="AX1397" s="359"/>
      <c r="AY1397" s="359">
        <f>(0.2-0.047)/1.2</f>
        <v>0.12750000000000003</v>
      </c>
      <c r="AZ1397" s="359">
        <f>0.047/1.2</f>
        <v>3.9166666666666669E-2</v>
      </c>
      <c r="BA1397" s="359"/>
      <c r="BB1397" s="359"/>
      <c r="BC1397" s="426"/>
      <c r="BD1397" s="359"/>
      <c r="BE1397" s="359"/>
      <c r="BF1397" s="469">
        <f t="shared" si="123"/>
        <v>2.2500000000000004</v>
      </c>
      <c r="BG1397" s="469">
        <f>SUM(AW1397:BE1397)</f>
        <v>2.416666666666667</v>
      </c>
      <c r="BH1397" s="460"/>
      <c r="BI1397" s="461"/>
      <c r="BJ1397" s="505"/>
    </row>
    <row r="1398" spans="1:62" ht="15" customHeight="1" thickBot="1" x14ac:dyDescent="0.25">
      <c r="A1398" s="176">
        <v>1399</v>
      </c>
      <c r="B1398" s="291">
        <v>1</v>
      </c>
      <c r="C1398" s="167" t="s">
        <v>3589</v>
      </c>
      <c r="D1398" s="167" t="s">
        <v>12</v>
      </c>
      <c r="E1398" s="167" t="s">
        <v>13</v>
      </c>
      <c r="F1398" s="167"/>
      <c r="G1398" s="167"/>
      <c r="H1398" s="167" t="s">
        <v>55</v>
      </c>
      <c r="I1398" s="184">
        <v>2014</v>
      </c>
      <c r="J1398" s="181" t="s">
        <v>3620</v>
      </c>
      <c r="K1398" s="184"/>
      <c r="L1398" s="184" t="s">
        <v>19</v>
      </c>
      <c r="M1398" s="556" t="s">
        <v>4347</v>
      </c>
      <c r="N1398" s="214" t="s">
        <v>122</v>
      </c>
      <c r="O1398" s="214" t="s">
        <v>20</v>
      </c>
      <c r="P1398" s="214" t="s">
        <v>292</v>
      </c>
      <c r="Q1398" s="214" t="s">
        <v>292</v>
      </c>
      <c r="R1398" s="214" t="s">
        <v>292</v>
      </c>
      <c r="S1398" s="214" t="s">
        <v>292</v>
      </c>
      <c r="T1398" s="214" t="s">
        <v>292</v>
      </c>
      <c r="U1398" s="214" t="s">
        <v>292</v>
      </c>
      <c r="V1398" s="214" t="s">
        <v>292</v>
      </c>
      <c r="W1398" s="214" t="s">
        <v>292</v>
      </c>
      <c r="X1398" s="214" t="s">
        <v>292</v>
      </c>
      <c r="Y1398" s="214" t="s">
        <v>292</v>
      </c>
      <c r="Z1398" s="234"/>
      <c r="AA1398" s="234" t="s">
        <v>303</v>
      </c>
      <c r="AB1398" s="234"/>
      <c r="AC1398" s="234"/>
      <c r="AD1398" s="319" t="s">
        <v>252</v>
      </c>
      <c r="AE1398" s="319"/>
      <c r="AF1398" s="162" t="str">
        <f t="shared" si="124"/>
        <v/>
      </c>
      <c r="AG1398" s="162" t="str">
        <f t="shared" si="121"/>
        <v/>
      </c>
      <c r="AH1398" s="164">
        <f t="shared" si="119"/>
        <v>1.1100000000000001</v>
      </c>
      <c r="AI1398" s="164" t="str">
        <f t="shared" si="120"/>
        <v/>
      </c>
      <c r="AJ1398" s="368"/>
      <c r="AK1398" s="368"/>
      <c r="AL1398" s="368"/>
      <c r="AM1398" s="368"/>
      <c r="AN1398" s="368"/>
      <c r="AO1398" s="368"/>
      <c r="AP1398" s="368"/>
      <c r="AQ1398" s="368"/>
      <c r="AR1398" s="389"/>
      <c r="AS1398" s="263"/>
      <c r="AT1398" s="271"/>
      <c r="AU1398" s="389"/>
      <c r="AV1398" s="418"/>
      <c r="AW1398" s="436">
        <v>1.1100000000000001</v>
      </c>
      <c r="AX1398" s="359"/>
      <c r="AY1398" s="359"/>
      <c r="AZ1398" s="359"/>
      <c r="BA1398" s="359"/>
      <c r="BB1398" s="359"/>
      <c r="BC1398" s="426"/>
      <c r="BD1398" s="359"/>
      <c r="BE1398" s="359"/>
      <c r="BF1398" s="469">
        <f t="shared" si="123"/>
        <v>1.1100000000000001</v>
      </c>
      <c r="BG1398" s="469"/>
      <c r="BH1398" s="460"/>
      <c r="BI1398" s="461"/>
      <c r="BJ1398" s="505"/>
    </row>
    <row r="1399" spans="1:62" ht="15" customHeight="1" thickBot="1" x14ac:dyDescent="0.25">
      <c r="A1399" s="176">
        <v>1400</v>
      </c>
      <c r="B1399" s="291">
        <v>1</v>
      </c>
      <c r="C1399" s="167" t="s">
        <v>2933</v>
      </c>
      <c r="D1399" s="167" t="s">
        <v>3451</v>
      </c>
      <c r="E1399" s="167" t="s">
        <v>13</v>
      </c>
      <c r="F1399" s="167" t="s">
        <v>3621</v>
      </c>
      <c r="G1399" s="167"/>
      <c r="H1399" s="167" t="s">
        <v>183</v>
      </c>
      <c r="I1399" s="184">
        <v>2014</v>
      </c>
      <c r="J1399" s="181" t="s">
        <v>3622</v>
      </c>
      <c r="K1399" s="184"/>
      <c r="L1399" s="184" t="s">
        <v>19</v>
      </c>
      <c r="M1399" s="556" t="s">
        <v>4348</v>
      </c>
      <c r="N1399" s="214" t="s">
        <v>122</v>
      </c>
      <c r="O1399" s="214" t="s">
        <v>292</v>
      </c>
      <c r="P1399" s="214" t="s">
        <v>292</v>
      </c>
      <c r="Q1399" s="214" t="s">
        <v>292</v>
      </c>
      <c r="R1399" s="214" t="s">
        <v>292</v>
      </c>
      <c r="S1399" s="214" t="s">
        <v>292</v>
      </c>
      <c r="T1399" s="214" t="s">
        <v>292</v>
      </c>
      <c r="U1399" s="214" t="s">
        <v>292</v>
      </c>
      <c r="V1399" s="214" t="s">
        <v>292</v>
      </c>
      <c r="W1399" s="214" t="s">
        <v>292</v>
      </c>
      <c r="X1399" s="214" t="s">
        <v>292</v>
      </c>
      <c r="Y1399" s="214" t="s">
        <v>292</v>
      </c>
      <c r="Z1399" s="234"/>
      <c r="AA1399" s="234"/>
      <c r="AB1399" s="234"/>
      <c r="AC1399" s="234"/>
      <c r="AD1399" s="319" t="s">
        <v>3623</v>
      </c>
      <c r="AE1399" s="319" t="s">
        <v>31</v>
      </c>
      <c r="AF1399" s="162" t="str">
        <f t="shared" si="124"/>
        <v/>
      </c>
      <c r="AG1399" s="162" t="str">
        <f t="shared" si="121"/>
        <v/>
      </c>
      <c r="AH1399" s="164">
        <f t="shared" si="119"/>
        <v>42.481391953665359</v>
      </c>
      <c r="AI1399" s="164" t="str">
        <f t="shared" si="120"/>
        <v/>
      </c>
      <c r="AJ1399" s="368"/>
      <c r="AK1399" s="368"/>
      <c r="AL1399" s="368"/>
      <c r="AM1399" s="368"/>
      <c r="AN1399" s="368"/>
      <c r="AO1399" s="368"/>
      <c r="AP1399" s="368"/>
      <c r="AQ1399" s="368"/>
      <c r="AR1399" s="389"/>
      <c r="AS1399" s="263"/>
      <c r="AT1399" s="271"/>
      <c r="AU1399" s="389"/>
      <c r="AV1399" s="418"/>
      <c r="AW1399" s="436">
        <f>(6.5+6+1.7)/0.508/0.658</f>
        <v>42.481391953665359</v>
      </c>
      <c r="AX1399" s="359"/>
      <c r="AY1399" s="359"/>
      <c r="AZ1399" s="359"/>
      <c r="BA1399" s="359"/>
      <c r="BB1399" s="359"/>
      <c r="BC1399" s="426"/>
      <c r="BD1399" s="359"/>
      <c r="BE1399" s="359"/>
      <c r="BF1399" s="469">
        <f t="shared" si="123"/>
        <v>42.481391953665359</v>
      </c>
      <c r="BG1399" s="469"/>
      <c r="BH1399" s="460"/>
      <c r="BI1399" s="461"/>
      <c r="BJ1399" s="505"/>
    </row>
    <row r="1400" spans="1:62" ht="15" customHeight="1" thickBot="1" x14ac:dyDescent="0.25">
      <c r="A1400" s="176">
        <v>1401</v>
      </c>
      <c r="B1400" s="291">
        <v>1</v>
      </c>
      <c r="C1400" s="167" t="s">
        <v>2933</v>
      </c>
      <c r="D1400" s="167" t="s">
        <v>3451</v>
      </c>
      <c r="E1400" s="167" t="s">
        <v>13</v>
      </c>
      <c r="F1400" s="167" t="s">
        <v>3624</v>
      </c>
      <c r="G1400" s="167"/>
      <c r="H1400" s="167" t="s">
        <v>183</v>
      </c>
      <c r="I1400" s="184">
        <v>2014</v>
      </c>
      <c r="J1400" s="181" t="s">
        <v>3622</v>
      </c>
      <c r="K1400" s="184"/>
      <c r="L1400" s="184" t="s">
        <v>19</v>
      </c>
      <c r="M1400" s="556" t="s">
        <v>4348</v>
      </c>
      <c r="N1400" s="214" t="s">
        <v>122</v>
      </c>
      <c r="O1400" s="214" t="s">
        <v>292</v>
      </c>
      <c r="P1400" s="214" t="s">
        <v>292</v>
      </c>
      <c r="Q1400" s="214" t="s">
        <v>292</v>
      </c>
      <c r="R1400" s="214" t="s">
        <v>292</v>
      </c>
      <c r="S1400" s="214" t="s">
        <v>292</v>
      </c>
      <c r="T1400" s="214" t="s">
        <v>292</v>
      </c>
      <c r="U1400" s="214" t="s">
        <v>292</v>
      </c>
      <c r="V1400" s="214" t="s">
        <v>292</v>
      </c>
      <c r="W1400" s="214" t="s">
        <v>292</v>
      </c>
      <c r="X1400" s="214" t="s">
        <v>292</v>
      </c>
      <c r="Y1400" s="214" t="s">
        <v>292</v>
      </c>
      <c r="Z1400" s="234"/>
      <c r="AA1400" s="234"/>
      <c r="AB1400" s="234"/>
      <c r="AC1400" s="234"/>
      <c r="AD1400" s="319" t="s">
        <v>3623</v>
      </c>
      <c r="AE1400" s="319" t="s">
        <v>31</v>
      </c>
      <c r="AF1400" s="162" t="str">
        <f t="shared" si="124"/>
        <v/>
      </c>
      <c r="AG1400" s="162" t="str">
        <f t="shared" si="121"/>
        <v/>
      </c>
      <c r="AH1400" s="164">
        <f t="shared" si="119"/>
        <v>39.489744632984703</v>
      </c>
      <c r="AI1400" s="164" t="str">
        <f t="shared" si="120"/>
        <v/>
      </c>
      <c r="AJ1400" s="368"/>
      <c r="AK1400" s="368"/>
      <c r="AL1400" s="368"/>
      <c r="AM1400" s="368"/>
      <c r="AN1400" s="368"/>
      <c r="AO1400" s="368"/>
      <c r="AP1400" s="368"/>
      <c r="AQ1400" s="368"/>
      <c r="AR1400" s="389"/>
      <c r="AS1400" s="263"/>
      <c r="AT1400" s="271"/>
      <c r="AU1400" s="389"/>
      <c r="AV1400" s="418"/>
      <c r="AW1400" s="436">
        <f>(7.3+4.6+1.3)/0.508/0.658</f>
        <v>39.489744632984703</v>
      </c>
      <c r="AX1400" s="359"/>
      <c r="AY1400" s="359"/>
      <c r="AZ1400" s="359"/>
      <c r="BA1400" s="359"/>
      <c r="BB1400" s="359"/>
      <c r="BC1400" s="426"/>
      <c r="BD1400" s="359"/>
      <c r="BE1400" s="359"/>
      <c r="BF1400" s="469">
        <f t="shared" si="123"/>
        <v>39.489744632984703</v>
      </c>
      <c r="BG1400" s="469"/>
      <c r="BH1400" s="460"/>
      <c r="BI1400" s="461"/>
      <c r="BJ1400" s="505"/>
    </row>
    <row r="1401" spans="1:62" ht="15" customHeight="1" thickBot="1" x14ac:dyDescent="0.25">
      <c r="A1401" s="176">
        <v>1402</v>
      </c>
      <c r="B1401" s="291">
        <v>1</v>
      </c>
      <c r="C1401" s="167" t="s">
        <v>2933</v>
      </c>
      <c r="D1401" s="167" t="s">
        <v>2745</v>
      </c>
      <c r="E1401" s="167" t="s">
        <v>13</v>
      </c>
      <c r="F1401" s="167" t="s">
        <v>3621</v>
      </c>
      <c r="G1401" s="167"/>
      <c r="H1401" s="167" t="s">
        <v>183</v>
      </c>
      <c r="I1401" s="184">
        <v>2014</v>
      </c>
      <c r="J1401" s="181" t="s">
        <v>3622</v>
      </c>
      <c r="K1401" s="184"/>
      <c r="L1401" s="184" t="s">
        <v>19</v>
      </c>
      <c r="M1401" s="556" t="s">
        <v>4348</v>
      </c>
      <c r="N1401" s="214" t="s">
        <v>122</v>
      </c>
      <c r="O1401" s="214" t="s">
        <v>292</v>
      </c>
      <c r="P1401" s="214" t="s">
        <v>292</v>
      </c>
      <c r="Q1401" s="214" t="s">
        <v>292</v>
      </c>
      <c r="R1401" s="214" t="s">
        <v>292</v>
      </c>
      <c r="S1401" s="214" t="s">
        <v>292</v>
      </c>
      <c r="T1401" s="214" t="s">
        <v>292</v>
      </c>
      <c r="U1401" s="214" t="s">
        <v>292</v>
      </c>
      <c r="V1401" s="214" t="s">
        <v>292</v>
      </c>
      <c r="W1401" s="214" t="s">
        <v>292</v>
      </c>
      <c r="X1401" s="214" t="s">
        <v>292</v>
      </c>
      <c r="Y1401" s="214" t="s">
        <v>292</v>
      </c>
      <c r="Z1401" s="234"/>
      <c r="AA1401" s="234"/>
      <c r="AB1401" s="234"/>
      <c r="AC1401" s="234"/>
      <c r="AD1401" s="319" t="s">
        <v>3623</v>
      </c>
      <c r="AE1401" s="319" t="s">
        <v>305</v>
      </c>
      <c r="AF1401" s="162" t="str">
        <f t="shared" si="124"/>
        <v/>
      </c>
      <c r="AG1401" s="162" t="str">
        <f t="shared" si="121"/>
        <v/>
      </c>
      <c r="AH1401" s="164">
        <f t="shared" si="119"/>
        <v>35.115332699098957</v>
      </c>
      <c r="AI1401" s="164" t="str">
        <f t="shared" si="120"/>
        <v/>
      </c>
      <c r="AJ1401" s="368"/>
      <c r="AK1401" s="368"/>
      <c r="AL1401" s="368"/>
      <c r="AM1401" s="368"/>
      <c r="AN1401" s="368"/>
      <c r="AO1401" s="368"/>
      <c r="AP1401" s="368"/>
      <c r="AQ1401" s="368"/>
      <c r="AR1401" s="389"/>
      <c r="AS1401" s="263"/>
      <c r="AT1401" s="271"/>
      <c r="AU1401" s="389"/>
      <c r="AV1401" s="418"/>
      <c r="AW1401" s="436">
        <f>(7.7+4.7+1.7)/0.667/0.602</f>
        <v>35.115332699098957</v>
      </c>
      <c r="AX1401" s="359"/>
      <c r="AY1401" s="359"/>
      <c r="AZ1401" s="359"/>
      <c r="BA1401" s="359"/>
      <c r="BB1401" s="359"/>
      <c r="BC1401" s="426"/>
      <c r="BD1401" s="359"/>
      <c r="BE1401" s="359"/>
      <c r="BF1401" s="469">
        <f t="shared" si="123"/>
        <v>35.115332699098957</v>
      </c>
      <c r="BG1401" s="469"/>
      <c r="BH1401" s="460"/>
      <c r="BI1401" s="461"/>
      <c r="BJ1401" s="505"/>
    </row>
    <row r="1402" spans="1:62" ht="15" customHeight="1" thickBot="1" x14ac:dyDescent="0.25">
      <c r="A1402" s="176">
        <v>1403</v>
      </c>
      <c r="B1402" s="291">
        <v>1</v>
      </c>
      <c r="C1402" s="167" t="s">
        <v>2933</v>
      </c>
      <c r="D1402" s="167" t="s">
        <v>2745</v>
      </c>
      <c r="E1402" s="167" t="s">
        <v>13</v>
      </c>
      <c r="F1402" s="167" t="s">
        <v>3624</v>
      </c>
      <c r="G1402" s="167"/>
      <c r="H1402" s="167" t="s">
        <v>183</v>
      </c>
      <c r="I1402" s="184">
        <v>2014</v>
      </c>
      <c r="J1402" s="181" t="s">
        <v>3622</v>
      </c>
      <c r="K1402" s="184"/>
      <c r="L1402" s="184" t="s">
        <v>19</v>
      </c>
      <c r="M1402" s="556" t="s">
        <v>4348</v>
      </c>
      <c r="N1402" s="214" t="s">
        <v>122</v>
      </c>
      <c r="O1402" s="214" t="s">
        <v>292</v>
      </c>
      <c r="P1402" s="214" t="s">
        <v>292</v>
      </c>
      <c r="Q1402" s="214" t="s">
        <v>292</v>
      </c>
      <c r="R1402" s="214" t="s">
        <v>292</v>
      </c>
      <c r="S1402" s="214" t="s">
        <v>292</v>
      </c>
      <c r="T1402" s="214" t="s">
        <v>292</v>
      </c>
      <c r="U1402" s="214" t="s">
        <v>292</v>
      </c>
      <c r="V1402" s="214" t="s">
        <v>292</v>
      </c>
      <c r="W1402" s="214" t="s">
        <v>292</v>
      </c>
      <c r="X1402" s="214" t="s">
        <v>292</v>
      </c>
      <c r="Y1402" s="214" t="s">
        <v>292</v>
      </c>
      <c r="Z1402" s="234"/>
      <c r="AA1402" s="234"/>
      <c r="AB1402" s="234"/>
      <c r="AC1402" s="234"/>
      <c r="AD1402" s="319" t="s">
        <v>3623</v>
      </c>
      <c r="AE1402" s="319" t="s">
        <v>305</v>
      </c>
      <c r="AF1402" s="162" t="str">
        <f t="shared" si="124"/>
        <v/>
      </c>
      <c r="AG1402" s="162" t="str">
        <f t="shared" si="121"/>
        <v/>
      </c>
      <c r="AH1402" s="164">
        <f t="shared" si="119"/>
        <v>25.90067092699497</v>
      </c>
      <c r="AI1402" s="164" t="str">
        <f t="shared" si="120"/>
        <v/>
      </c>
      <c r="AJ1402" s="368"/>
      <c r="AK1402" s="368"/>
      <c r="AL1402" s="368"/>
      <c r="AM1402" s="368"/>
      <c r="AN1402" s="368"/>
      <c r="AO1402" s="368"/>
      <c r="AP1402" s="368"/>
      <c r="AQ1402" s="368"/>
      <c r="AR1402" s="389"/>
      <c r="AS1402" s="263"/>
      <c r="AT1402" s="271"/>
      <c r="AU1402" s="389"/>
      <c r="AV1402" s="418"/>
      <c r="AW1402" s="436">
        <f>(6.7+3+0.7)/0.667/0.602</f>
        <v>25.90067092699497</v>
      </c>
      <c r="AX1402" s="359"/>
      <c r="AY1402" s="359"/>
      <c r="AZ1402" s="359"/>
      <c r="BA1402" s="359"/>
      <c r="BB1402" s="359"/>
      <c r="BC1402" s="426"/>
      <c r="BD1402" s="359"/>
      <c r="BE1402" s="359"/>
      <c r="BF1402" s="469">
        <f t="shared" si="123"/>
        <v>25.90067092699497</v>
      </c>
      <c r="BG1402" s="469"/>
      <c r="BH1402" s="460"/>
      <c r="BI1402" s="461"/>
      <c r="BJ1402" s="505"/>
    </row>
    <row r="1403" spans="1:62" ht="15" customHeight="1" thickBot="1" x14ac:dyDescent="0.25">
      <c r="A1403" s="176">
        <v>1404</v>
      </c>
      <c r="B1403" s="291">
        <v>1</v>
      </c>
      <c r="C1403" s="167" t="s">
        <v>975</v>
      </c>
      <c r="D1403" s="167" t="s">
        <v>3625</v>
      </c>
      <c r="E1403" s="167" t="s">
        <v>1068</v>
      </c>
      <c r="F1403" s="167" t="s">
        <v>3626</v>
      </c>
      <c r="G1403" s="167"/>
      <c r="H1403" s="167" t="s">
        <v>73</v>
      </c>
      <c r="I1403" s="184">
        <v>2013</v>
      </c>
      <c r="J1403" s="181" t="s">
        <v>3627</v>
      </c>
      <c r="K1403" s="184"/>
      <c r="L1403" s="184" t="s">
        <v>19</v>
      </c>
      <c r="M1403" s="556" t="s">
        <v>4183</v>
      </c>
      <c r="N1403" s="214" t="s">
        <v>122</v>
      </c>
      <c r="O1403" s="214" t="s">
        <v>292</v>
      </c>
      <c r="P1403" s="214" t="s">
        <v>122</v>
      </c>
      <c r="Q1403" s="214" t="s">
        <v>122</v>
      </c>
      <c r="R1403" s="214" t="s">
        <v>122</v>
      </c>
      <c r="S1403" s="214" t="s">
        <v>292</v>
      </c>
      <c r="T1403" s="214" t="s">
        <v>292</v>
      </c>
      <c r="U1403" s="214" t="s">
        <v>292</v>
      </c>
      <c r="V1403" s="214" t="s">
        <v>292</v>
      </c>
      <c r="W1403" s="214" t="s">
        <v>292</v>
      </c>
      <c r="X1403" s="214" t="s">
        <v>292</v>
      </c>
      <c r="Y1403" s="214" t="s">
        <v>292</v>
      </c>
      <c r="Z1403" s="234"/>
      <c r="AA1403" s="234"/>
      <c r="AB1403" s="234"/>
      <c r="AC1403" s="234"/>
      <c r="AD1403" s="319" t="s">
        <v>3628</v>
      </c>
      <c r="AE1403" s="319" t="s">
        <v>3629</v>
      </c>
      <c r="AF1403" s="162" t="str">
        <f t="shared" si="124"/>
        <v/>
      </c>
      <c r="AG1403" s="162" t="str">
        <f t="shared" si="121"/>
        <v/>
      </c>
      <c r="AH1403" s="164">
        <f t="shared" si="119"/>
        <v>1.98084375</v>
      </c>
      <c r="AI1403" s="164">
        <f t="shared" si="120"/>
        <v>2.1531562499999999</v>
      </c>
      <c r="AJ1403" s="368"/>
      <c r="AK1403" s="368"/>
      <c r="AL1403" s="368"/>
      <c r="AM1403" s="368"/>
      <c r="AN1403" s="368"/>
      <c r="AO1403" s="368"/>
      <c r="AP1403" s="368"/>
      <c r="AQ1403" s="368"/>
      <c r="AR1403" s="389"/>
      <c r="AS1403" s="263"/>
      <c r="AT1403" s="271"/>
      <c r="AU1403" s="389"/>
      <c r="AV1403" s="418"/>
      <c r="AW1403" s="436">
        <f>(0.5016+0.02698+0.09103+0.01426)/0.32</f>
        <v>1.98084375</v>
      </c>
      <c r="AX1403" s="359"/>
      <c r="AY1403" s="359">
        <f>(0.06658-0.01144)/0.32</f>
        <v>0.17231250000000001</v>
      </c>
      <c r="AZ1403" s="359">
        <f>(0.01144+(0.02138-0.01426))/0.32</f>
        <v>5.7999999999999996E-2</v>
      </c>
      <c r="BA1403" s="359"/>
      <c r="BB1403" s="359"/>
      <c r="BC1403" s="426"/>
      <c r="BD1403" s="359"/>
      <c r="BE1403" s="359"/>
      <c r="BF1403" s="469">
        <f t="shared" si="123"/>
        <v>1.98084375</v>
      </c>
      <c r="BG1403" s="469">
        <f>SUM(AW1403:BE1403)</f>
        <v>2.2111562499999997</v>
      </c>
      <c r="BH1403" s="460"/>
      <c r="BI1403" s="461"/>
      <c r="BJ1403" s="505"/>
    </row>
    <row r="1404" spans="1:62" ht="15" customHeight="1" thickBot="1" x14ac:dyDescent="0.25">
      <c r="A1404" s="176">
        <v>1405</v>
      </c>
      <c r="B1404" s="291">
        <v>1</v>
      </c>
      <c r="C1404" s="167" t="s">
        <v>2933</v>
      </c>
      <c r="D1404" s="167" t="s">
        <v>2448</v>
      </c>
      <c r="E1404" s="167" t="s">
        <v>13</v>
      </c>
      <c r="F1404" s="167"/>
      <c r="G1404" s="167"/>
      <c r="H1404" s="167" t="s">
        <v>3630</v>
      </c>
      <c r="I1404" s="184">
        <v>2013</v>
      </c>
      <c r="J1404" s="181" t="s">
        <v>3631</v>
      </c>
      <c r="K1404" s="184"/>
      <c r="L1404" s="184" t="s">
        <v>19</v>
      </c>
      <c r="M1404" s="556" t="s">
        <v>4349</v>
      </c>
      <c r="N1404" s="214" t="s">
        <v>122</v>
      </c>
      <c r="O1404" s="214" t="s">
        <v>292</v>
      </c>
      <c r="P1404" s="214" t="s">
        <v>122</v>
      </c>
      <c r="Q1404" s="214" t="s">
        <v>122</v>
      </c>
      <c r="R1404" s="214" t="s">
        <v>122</v>
      </c>
      <c r="S1404" s="214" t="s">
        <v>292</v>
      </c>
      <c r="T1404" s="214" t="s">
        <v>292</v>
      </c>
      <c r="U1404" s="214" t="s">
        <v>292</v>
      </c>
      <c r="V1404" s="214" t="s">
        <v>292</v>
      </c>
      <c r="W1404" s="214" t="s">
        <v>292</v>
      </c>
      <c r="X1404" s="214" t="s">
        <v>292</v>
      </c>
      <c r="Y1404" s="214" t="s">
        <v>292</v>
      </c>
      <c r="Z1404" s="234"/>
      <c r="AA1404" s="234"/>
      <c r="AB1404" s="234"/>
      <c r="AC1404" s="234"/>
      <c r="AD1404" s="319" t="s">
        <v>3632</v>
      </c>
      <c r="AE1404" s="319"/>
      <c r="AF1404" s="162">
        <f t="shared" si="124"/>
        <v>30.509999999999998</v>
      </c>
      <c r="AG1404" s="162">
        <f t="shared" si="121"/>
        <v>33.866250000000001</v>
      </c>
      <c r="AH1404" s="164">
        <f t="shared" si="119"/>
        <v>2.2311000000000001</v>
      </c>
      <c r="AI1404" s="164">
        <f t="shared" si="120"/>
        <v>2.4469799999999999</v>
      </c>
      <c r="AJ1404" s="368">
        <f>23.875+6.635</f>
        <v>30.509999999999998</v>
      </c>
      <c r="AK1404" s="368"/>
      <c r="AL1404" s="368">
        <f>4.475*0.75</f>
        <v>3.3562499999999997</v>
      </c>
      <c r="AM1404" s="368">
        <f>4.475*0.25</f>
        <v>1.1187499999999999</v>
      </c>
      <c r="AN1404" s="368"/>
      <c r="AO1404" s="368"/>
      <c r="AP1404" s="368"/>
      <c r="AQ1404" s="368"/>
      <c r="AR1404" s="389"/>
      <c r="AS1404" s="263">
        <f t="shared" ref="AS1404:AS1410" si="125">AJ1404</f>
        <v>30.509999999999998</v>
      </c>
      <c r="AT1404" s="271">
        <f>SUM(AJ1404:AR1404)</f>
        <v>34.984999999999999</v>
      </c>
      <c r="AU1404" s="389"/>
      <c r="AV1404" s="418"/>
      <c r="AW1404" s="436">
        <f>1.8781+0.353</f>
        <v>2.2311000000000001</v>
      </c>
      <c r="AX1404" s="359"/>
      <c r="AY1404" s="359">
        <f>0.257*(1-0.16)</f>
        <v>0.21587999999999999</v>
      </c>
      <c r="AZ1404" s="359">
        <f>0.257*0.16</f>
        <v>4.1120000000000004E-2</v>
      </c>
      <c r="BA1404" s="359"/>
      <c r="BB1404" s="359"/>
      <c r="BC1404" s="426"/>
      <c r="BD1404" s="359"/>
      <c r="BE1404" s="359"/>
      <c r="BF1404" s="469">
        <f t="shared" si="123"/>
        <v>2.2311000000000001</v>
      </c>
      <c r="BG1404" s="469">
        <f>SUM(AW1404:BE1404)</f>
        <v>2.4880999999999998</v>
      </c>
      <c r="BH1404" s="460"/>
      <c r="BI1404" s="461"/>
      <c r="BJ1404" s="505"/>
    </row>
    <row r="1405" spans="1:62" ht="15" customHeight="1" thickBot="1" x14ac:dyDescent="0.25">
      <c r="A1405" s="176">
        <v>1406</v>
      </c>
      <c r="B1405" s="291">
        <v>1</v>
      </c>
      <c r="C1405" s="167" t="s">
        <v>3589</v>
      </c>
      <c r="D1405" s="167" t="s">
        <v>3633</v>
      </c>
      <c r="E1405" s="167" t="s">
        <v>13</v>
      </c>
      <c r="F1405" s="167" t="s">
        <v>3634</v>
      </c>
      <c r="G1405" s="167"/>
      <c r="H1405" s="167" t="s">
        <v>1064</v>
      </c>
      <c r="I1405" s="184">
        <v>2013</v>
      </c>
      <c r="J1405" s="181" t="s">
        <v>3635</v>
      </c>
      <c r="K1405" s="184"/>
      <c r="L1405" s="184" t="s">
        <v>19</v>
      </c>
      <c r="M1405" s="556" t="s">
        <v>4350</v>
      </c>
      <c r="N1405" s="214" t="s">
        <v>122</v>
      </c>
      <c r="O1405" s="214" t="s">
        <v>292</v>
      </c>
      <c r="P1405" s="214" t="s">
        <v>292</v>
      </c>
      <c r="Q1405" s="214" t="s">
        <v>292</v>
      </c>
      <c r="R1405" s="214" t="s">
        <v>292</v>
      </c>
      <c r="S1405" s="214" t="s">
        <v>292</v>
      </c>
      <c r="T1405" s="214" t="s">
        <v>292</v>
      </c>
      <c r="U1405" s="214" t="s">
        <v>292</v>
      </c>
      <c r="V1405" s="214" t="s">
        <v>292</v>
      </c>
      <c r="W1405" s="214" t="s">
        <v>292</v>
      </c>
      <c r="X1405" s="214" t="s">
        <v>292</v>
      </c>
      <c r="Y1405" s="214" t="s">
        <v>292</v>
      </c>
      <c r="Z1405" s="234"/>
      <c r="AA1405" s="234"/>
      <c r="AB1405" s="234"/>
      <c r="AC1405" s="234"/>
      <c r="AD1405" s="319" t="s">
        <v>3636</v>
      </c>
      <c r="AE1405" s="319"/>
      <c r="AF1405" s="162">
        <f t="shared" si="124"/>
        <v>4.6619999999999999</v>
      </c>
      <c r="AG1405" s="162" t="str">
        <f t="shared" si="121"/>
        <v/>
      </c>
      <c r="AH1405" s="164">
        <f t="shared" si="119"/>
        <v>1.59</v>
      </c>
      <c r="AI1405" s="164" t="str">
        <f t="shared" si="120"/>
        <v/>
      </c>
      <c r="AJ1405" s="368">
        <f>0.111*42</f>
        <v>4.6619999999999999</v>
      </c>
      <c r="AK1405" s="368"/>
      <c r="AL1405" s="368"/>
      <c r="AM1405" s="368"/>
      <c r="AN1405" s="368"/>
      <c r="AO1405" s="368"/>
      <c r="AP1405" s="368"/>
      <c r="AQ1405" s="368"/>
      <c r="AR1405" s="389"/>
      <c r="AS1405" s="263">
        <f t="shared" si="125"/>
        <v>4.6619999999999999</v>
      </c>
      <c r="AT1405" s="271"/>
      <c r="AU1405" s="389"/>
      <c r="AV1405" s="418"/>
      <c r="AW1405" s="436">
        <v>1.59</v>
      </c>
      <c r="AX1405" s="359"/>
      <c r="AY1405" s="359"/>
      <c r="AZ1405" s="359"/>
      <c r="BA1405" s="359"/>
      <c r="BB1405" s="359"/>
      <c r="BC1405" s="426"/>
      <c r="BD1405" s="359"/>
      <c r="BE1405" s="359"/>
      <c r="BF1405" s="469">
        <f t="shared" si="123"/>
        <v>1.59</v>
      </c>
      <c r="BG1405" s="469"/>
      <c r="BH1405" s="460"/>
      <c r="BI1405" s="461"/>
      <c r="BJ1405" s="505"/>
    </row>
    <row r="1406" spans="1:62" ht="15" customHeight="1" thickBot="1" x14ac:dyDescent="0.25">
      <c r="A1406" s="176">
        <v>1407</v>
      </c>
      <c r="B1406" s="291">
        <v>1</v>
      </c>
      <c r="C1406" s="167" t="s">
        <v>3589</v>
      </c>
      <c r="D1406" s="167" t="s">
        <v>3633</v>
      </c>
      <c r="E1406" s="167" t="s">
        <v>13</v>
      </c>
      <c r="F1406" s="167" t="s">
        <v>3637</v>
      </c>
      <c r="G1406" s="167"/>
      <c r="H1406" s="167" t="s">
        <v>1064</v>
      </c>
      <c r="I1406" s="184">
        <v>2013</v>
      </c>
      <c r="J1406" s="181" t="s">
        <v>3635</v>
      </c>
      <c r="K1406" s="184"/>
      <c r="L1406" s="184" t="s">
        <v>19</v>
      </c>
      <c r="M1406" s="556" t="s">
        <v>4350</v>
      </c>
      <c r="N1406" s="214" t="s">
        <v>122</v>
      </c>
      <c r="O1406" s="214" t="s">
        <v>292</v>
      </c>
      <c r="P1406" s="214" t="s">
        <v>292</v>
      </c>
      <c r="Q1406" s="214" t="s">
        <v>292</v>
      </c>
      <c r="R1406" s="214" t="s">
        <v>292</v>
      </c>
      <c r="S1406" s="214" t="s">
        <v>292</v>
      </c>
      <c r="T1406" s="214" t="s">
        <v>292</v>
      </c>
      <c r="U1406" s="214" t="s">
        <v>292</v>
      </c>
      <c r="V1406" s="214" t="s">
        <v>292</v>
      </c>
      <c r="W1406" s="214" t="s">
        <v>292</v>
      </c>
      <c r="X1406" s="214" t="s">
        <v>292</v>
      </c>
      <c r="Y1406" s="214" t="s">
        <v>292</v>
      </c>
      <c r="Z1406" s="234"/>
      <c r="AA1406" s="234"/>
      <c r="AB1406" s="234"/>
      <c r="AC1406" s="234"/>
      <c r="AD1406" s="319" t="s">
        <v>3636</v>
      </c>
      <c r="AE1406" s="319"/>
      <c r="AF1406" s="162">
        <f t="shared" si="124"/>
        <v>3.9438</v>
      </c>
      <c r="AG1406" s="162" t="str">
        <f t="shared" si="121"/>
        <v/>
      </c>
      <c r="AH1406" s="164">
        <f t="shared" si="119"/>
        <v>1.54</v>
      </c>
      <c r="AI1406" s="164" t="str">
        <f t="shared" si="120"/>
        <v/>
      </c>
      <c r="AJ1406" s="368">
        <f>0.0939*42</f>
        <v>3.9438</v>
      </c>
      <c r="AK1406" s="368"/>
      <c r="AL1406" s="368"/>
      <c r="AM1406" s="368"/>
      <c r="AN1406" s="368"/>
      <c r="AO1406" s="368"/>
      <c r="AP1406" s="368"/>
      <c r="AQ1406" s="368"/>
      <c r="AR1406" s="389"/>
      <c r="AS1406" s="263">
        <f t="shared" si="125"/>
        <v>3.9438</v>
      </c>
      <c r="AT1406" s="271"/>
      <c r="AU1406" s="389"/>
      <c r="AV1406" s="418"/>
      <c r="AW1406" s="436">
        <v>1.54</v>
      </c>
      <c r="AX1406" s="359"/>
      <c r="AY1406" s="359"/>
      <c r="AZ1406" s="359"/>
      <c r="BA1406" s="359"/>
      <c r="BB1406" s="359"/>
      <c r="BC1406" s="426"/>
      <c r="BD1406" s="359"/>
      <c r="BE1406" s="359"/>
      <c r="BF1406" s="469">
        <f t="shared" si="123"/>
        <v>1.54</v>
      </c>
      <c r="BG1406" s="469"/>
      <c r="BH1406" s="460"/>
      <c r="BI1406" s="461"/>
      <c r="BJ1406" s="505"/>
    </row>
    <row r="1407" spans="1:62" ht="15" customHeight="1" thickBot="1" x14ac:dyDescent="0.25">
      <c r="A1407" s="176">
        <v>1408</v>
      </c>
      <c r="B1407" s="291">
        <v>1</v>
      </c>
      <c r="C1407" s="167" t="s">
        <v>3589</v>
      </c>
      <c r="D1407" s="167" t="s">
        <v>3633</v>
      </c>
      <c r="E1407" s="167" t="s">
        <v>13</v>
      </c>
      <c r="F1407" s="167" t="s">
        <v>3638</v>
      </c>
      <c r="G1407" s="167"/>
      <c r="H1407" s="167" t="s">
        <v>1064</v>
      </c>
      <c r="I1407" s="184">
        <v>2013</v>
      </c>
      <c r="J1407" s="181" t="s">
        <v>3635</v>
      </c>
      <c r="K1407" s="184"/>
      <c r="L1407" s="184" t="s">
        <v>19</v>
      </c>
      <c r="M1407" s="556" t="s">
        <v>4350</v>
      </c>
      <c r="N1407" s="214" t="s">
        <v>122</v>
      </c>
      <c r="O1407" s="214" t="s">
        <v>292</v>
      </c>
      <c r="P1407" s="214" t="s">
        <v>292</v>
      </c>
      <c r="Q1407" s="214" t="s">
        <v>292</v>
      </c>
      <c r="R1407" s="214" t="s">
        <v>292</v>
      </c>
      <c r="S1407" s="214" t="s">
        <v>292</v>
      </c>
      <c r="T1407" s="214" t="s">
        <v>292</v>
      </c>
      <c r="U1407" s="214" t="s">
        <v>292</v>
      </c>
      <c r="V1407" s="214" t="s">
        <v>292</v>
      </c>
      <c r="W1407" s="214" t="s">
        <v>292</v>
      </c>
      <c r="X1407" s="214" t="s">
        <v>292</v>
      </c>
      <c r="Y1407" s="214" t="s">
        <v>292</v>
      </c>
      <c r="Z1407" s="234"/>
      <c r="AA1407" s="234"/>
      <c r="AB1407" s="234"/>
      <c r="AC1407" s="234"/>
      <c r="AD1407" s="319" t="s">
        <v>3636</v>
      </c>
      <c r="AE1407" s="319"/>
      <c r="AF1407" s="162">
        <f t="shared" si="124"/>
        <v>3.7506000000000004</v>
      </c>
      <c r="AG1407" s="162" t="str">
        <f t="shared" si="121"/>
        <v/>
      </c>
      <c r="AH1407" s="164">
        <f t="shared" si="119"/>
        <v>1.47</v>
      </c>
      <c r="AI1407" s="164" t="str">
        <f t="shared" si="120"/>
        <v/>
      </c>
      <c r="AJ1407" s="368">
        <f>0.0893*42</f>
        <v>3.7506000000000004</v>
      </c>
      <c r="AK1407" s="368"/>
      <c r="AL1407" s="368"/>
      <c r="AM1407" s="368"/>
      <c r="AN1407" s="368"/>
      <c r="AO1407" s="368"/>
      <c r="AP1407" s="368"/>
      <c r="AQ1407" s="368"/>
      <c r="AR1407" s="389"/>
      <c r="AS1407" s="263">
        <f t="shared" si="125"/>
        <v>3.7506000000000004</v>
      </c>
      <c r="AT1407" s="271"/>
      <c r="AU1407" s="389"/>
      <c r="AV1407" s="418"/>
      <c r="AW1407" s="436">
        <v>1.47</v>
      </c>
      <c r="AX1407" s="359"/>
      <c r="AY1407" s="359"/>
      <c r="AZ1407" s="359"/>
      <c r="BA1407" s="359"/>
      <c r="BB1407" s="359"/>
      <c r="BC1407" s="426"/>
      <c r="BD1407" s="359"/>
      <c r="BE1407" s="359"/>
      <c r="BF1407" s="469">
        <f t="shared" si="123"/>
        <v>1.47</v>
      </c>
      <c r="BG1407" s="469"/>
      <c r="BH1407" s="460"/>
      <c r="BI1407" s="461"/>
      <c r="BJ1407" s="505"/>
    </row>
    <row r="1408" spans="1:62" ht="15" customHeight="1" thickBot="1" x14ac:dyDescent="0.25">
      <c r="A1408" s="176">
        <v>1409</v>
      </c>
      <c r="B1408" s="291">
        <v>1</v>
      </c>
      <c r="C1408" s="167" t="s">
        <v>2933</v>
      </c>
      <c r="D1408" s="167" t="s">
        <v>3639</v>
      </c>
      <c r="E1408" s="167" t="s">
        <v>13</v>
      </c>
      <c r="F1408" s="167" t="s">
        <v>3634</v>
      </c>
      <c r="G1408" s="167"/>
      <c r="H1408" s="167" t="s">
        <v>1064</v>
      </c>
      <c r="I1408" s="184">
        <v>2013</v>
      </c>
      <c r="J1408" s="181" t="s">
        <v>3635</v>
      </c>
      <c r="K1408" s="184"/>
      <c r="L1408" s="184" t="s">
        <v>19</v>
      </c>
      <c r="M1408" s="556" t="s">
        <v>4350</v>
      </c>
      <c r="N1408" s="214" t="s">
        <v>122</v>
      </c>
      <c r="O1408" s="214" t="s">
        <v>292</v>
      </c>
      <c r="P1408" s="214" t="s">
        <v>292</v>
      </c>
      <c r="Q1408" s="214" t="s">
        <v>292</v>
      </c>
      <c r="R1408" s="214" t="s">
        <v>292</v>
      </c>
      <c r="S1408" s="214" t="s">
        <v>292</v>
      </c>
      <c r="T1408" s="214" t="s">
        <v>292</v>
      </c>
      <c r="U1408" s="214" t="s">
        <v>292</v>
      </c>
      <c r="V1408" s="214" t="s">
        <v>292</v>
      </c>
      <c r="W1408" s="214" t="s">
        <v>292</v>
      </c>
      <c r="X1408" s="214" t="s">
        <v>292</v>
      </c>
      <c r="Y1408" s="214" t="s">
        <v>292</v>
      </c>
      <c r="Z1408" s="234"/>
      <c r="AA1408" s="234"/>
      <c r="AB1408" s="234"/>
      <c r="AC1408" s="234"/>
      <c r="AD1408" s="319" t="s">
        <v>3640</v>
      </c>
      <c r="AE1408" s="319" t="s">
        <v>3641</v>
      </c>
      <c r="AF1408" s="162">
        <f t="shared" si="124"/>
        <v>80.599700149925027</v>
      </c>
      <c r="AG1408" s="162" t="str">
        <f t="shared" si="121"/>
        <v/>
      </c>
      <c r="AH1408" s="164">
        <f t="shared" si="119"/>
        <v>27.586206896551719</v>
      </c>
      <c r="AI1408" s="164" t="str">
        <f t="shared" si="120"/>
        <v/>
      </c>
      <c r="AJ1408" s="368">
        <f>1.28*42/0.667</f>
        <v>80.599700149925027</v>
      </c>
      <c r="AK1408" s="368"/>
      <c r="AL1408" s="368"/>
      <c r="AM1408" s="368"/>
      <c r="AN1408" s="368"/>
      <c r="AO1408" s="368"/>
      <c r="AP1408" s="368"/>
      <c r="AQ1408" s="368"/>
      <c r="AR1408" s="389"/>
      <c r="AS1408" s="263">
        <f t="shared" si="125"/>
        <v>80.599700149925027</v>
      </c>
      <c r="AT1408" s="271"/>
      <c r="AU1408" s="389"/>
      <c r="AV1408" s="418"/>
      <c r="AW1408" s="436">
        <f>18.4/0.667</f>
        <v>27.586206896551719</v>
      </c>
      <c r="AX1408" s="359"/>
      <c r="AY1408" s="359"/>
      <c r="AZ1408" s="359"/>
      <c r="BA1408" s="359"/>
      <c r="BB1408" s="359"/>
      <c r="BC1408" s="426"/>
      <c r="BD1408" s="359"/>
      <c r="BE1408" s="359"/>
      <c r="BF1408" s="469">
        <f t="shared" si="123"/>
        <v>27.586206896551719</v>
      </c>
      <c r="BG1408" s="469"/>
      <c r="BH1408" s="460"/>
      <c r="BI1408" s="461"/>
      <c r="BJ1408" s="505"/>
    </row>
    <row r="1409" spans="1:62" ht="15" customHeight="1" thickBot="1" x14ac:dyDescent="0.25">
      <c r="A1409" s="176">
        <v>1410</v>
      </c>
      <c r="B1409" s="291">
        <v>1</v>
      </c>
      <c r="C1409" s="167" t="s">
        <v>2933</v>
      </c>
      <c r="D1409" s="167" t="s">
        <v>3639</v>
      </c>
      <c r="E1409" s="167" t="s">
        <v>13</v>
      </c>
      <c r="F1409" s="167" t="s">
        <v>3637</v>
      </c>
      <c r="G1409" s="167"/>
      <c r="H1409" s="167" t="s">
        <v>1064</v>
      </c>
      <c r="I1409" s="184">
        <v>2013</v>
      </c>
      <c r="J1409" s="181" t="s">
        <v>3635</v>
      </c>
      <c r="K1409" s="184"/>
      <c r="L1409" s="184" t="s">
        <v>19</v>
      </c>
      <c r="M1409" s="556" t="s">
        <v>4350</v>
      </c>
      <c r="N1409" s="214" t="s">
        <v>122</v>
      </c>
      <c r="O1409" s="214" t="s">
        <v>292</v>
      </c>
      <c r="P1409" s="214" t="s">
        <v>292</v>
      </c>
      <c r="Q1409" s="214" t="s">
        <v>292</v>
      </c>
      <c r="R1409" s="214" t="s">
        <v>292</v>
      </c>
      <c r="S1409" s="214" t="s">
        <v>292</v>
      </c>
      <c r="T1409" s="214" t="s">
        <v>292</v>
      </c>
      <c r="U1409" s="214" t="s">
        <v>292</v>
      </c>
      <c r="V1409" s="214" t="s">
        <v>292</v>
      </c>
      <c r="W1409" s="214" t="s">
        <v>292</v>
      </c>
      <c r="X1409" s="214" t="s">
        <v>292</v>
      </c>
      <c r="Y1409" s="214" t="s">
        <v>292</v>
      </c>
      <c r="Z1409" s="234"/>
      <c r="AA1409" s="234"/>
      <c r="AB1409" s="234"/>
      <c r="AC1409" s="234"/>
      <c r="AD1409" s="319" t="s">
        <v>3640</v>
      </c>
      <c r="AE1409" s="319" t="s">
        <v>3641</v>
      </c>
      <c r="AF1409" s="162">
        <f t="shared" si="124"/>
        <v>71.784107946026978</v>
      </c>
      <c r="AG1409" s="162" t="str">
        <f t="shared" si="121"/>
        <v/>
      </c>
      <c r="AH1409" s="164">
        <f t="shared" si="119"/>
        <v>26.536731634182907</v>
      </c>
      <c r="AI1409" s="164" t="str">
        <f t="shared" si="120"/>
        <v/>
      </c>
      <c r="AJ1409" s="368">
        <f>1.14*42/0.667</f>
        <v>71.784107946026978</v>
      </c>
      <c r="AK1409" s="368"/>
      <c r="AL1409" s="368"/>
      <c r="AM1409" s="368"/>
      <c r="AN1409" s="368"/>
      <c r="AO1409" s="368"/>
      <c r="AP1409" s="368"/>
      <c r="AQ1409" s="368"/>
      <c r="AR1409" s="389"/>
      <c r="AS1409" s="263">
        <f t="shared" si="125"/>
        <v>71.784107946026978</v>
      </c>
      <c r="AT1409" s="271"/>
      <c r="AU1409" s="389"/>
      <c r="AV1409" s="418"/>
      <c r="AW1409" s="436">
        <f>17.7/0.667</f>
        <v>26.536731634182907</v>
      </c>
      <c r="AX1409" s="359"/>
      <c r="AY1409" s="359"/>
      <c r="AZ1409" s="359"/>
      <c r="BA1409" s="359"/>
      <c r="BB1409" s="359"/>
      <c r="BC1409" s="426"/>
      <c r="BD1409" s="359"/>
      <c r="BE1409" s="359"/>
      <c r="BF1409" s="469">
        <f t="shared" si="123"/>
        <v>26.536731634182907</v>
      </c>
      <c r="BG1409" s="469"/>
      <c r="BH1409" s="460"/>
      <c r="BI1409" s="461"/>
      <c r="BJ1409" s="505"/>
    </row>
    <row r="1410" spans="1:62" ht="15" customHeight="1" thickBot="1" x14ac:dyDescent="0.25">
      <c r="A1410" s="176">
        <v>1411</v>
      </c>
      <c r="B1410" s="291">
        <v>1</v>
      </c>
      <c r="C1410" s="167" t="s">
        <v>2933</v>
      </c>
      <c r="D1410" s="167" t="s">
        <v>3639</v>
      </c>
      <c r="E1410" s="167" t="s">
        <v>13</v>
      </c>
      <c r="F1410" s="167" t="s">
        <v>3638</v>
      </c>
      <c r="G1410" s="167"/>
      <c r="H1410" s="167" t="s">
        <v>1064</v>
      </c>
      <c r="I1410" s="184">
        <v>2013</v>
      </c>
      <c r="J1410" s="181" t="s">
        <v>3635</v>
      </c>
      <c r="K1410" s="184"/>
      <c r="L1410" s="184" t="s">
        <v>19</v>
      </c>
      <c r="M1410" s="556" t="s">
        <v>4350</v>
      </c>
      <c r="N1410" s="214" t="s">
        <v>122</v>
      </c>
      <c r="O1410" s="214" t="s">
        <v>292</v>
      </c>
      <c r="P1410" s="214" t="s">
        <v>292</v>
      </c>
      <c r="Q1410" s="214" t="s">
        <v>292</v>
      </c>
      <c r="R1410" s="214" t="s">
        <v>292</v>
      </c>
      <c r="S1410" s="214" t="s">
        <v>292</v>
      </c>
      <c r="T1410" s="214" t="s">
        <v>292</v>
      </c>
      <c r="U1410" s="214" t="s">
        <v>292</v>
      </c>
      <c r="V1410" s="214" t="s">
        <v>292</v>
      </c>
      <c r="W1410" s="214" t="s">
        <v>292</v>
      </c>
      <c r="X1410" s="214" t="s">
        <v>292</v>
      </c>
      <c r="Y1410" s="214" t="s">
        <v>292</v>
      </c>
      <c r="Z1410" s="234"/>
      <c r="AA1410" s="234"/>
      <c r="AB1410" s="234"/>
      <c r="AC1410" s="234"/>
      <c r="AD1410" s="319" t="s">
        <v>3640</v>
      </c>
      <c r="AE1410" s="319" t="s">
        <v>3641</v>
      </c>
      <c r="AF1410" s="162">
        <f t="shared" si="124"/>
        <v>73.673163418290855</v>
      </c>
      <c r="AG1410" s="162" t="str">
        <f t="shared" si="121"/>
        <v/>
      </c>
      <c r="AH1410" s="164">
        <f t="shared" ref="AH1410:AH1473" si="126">IF(BF1410&lt;&gt;0,BF1410,"")</f>
        <v>27.286356821589202</v>
      </c>
      <c r="AI1410" s="164" t="str">
        <f t="shared" ref="AI1410:AI1473" si="127">IF(AND(SUM(AW1410:AY1410)&lt;&gt;0,SUM(AW1410:AY1410)&lt;&gt;AW1410),SUM(AW1410:AY1410),"")</f>
        <v/>
      </c>
      <c r="AJ1410" s="368">
        <f>1.17*42/0.667</f>
        <v>73.673163418290855</v>
      </c>
      <c r="AK1410" s="368"/>
      <c r="AL1410" s="368"/>
      <c r="AM1410" s="368"/>
      <c r="AN1410" s="368"/>
      <c r="AO1410" s="368"/>
      <c r="AP1410" s="368"/>
      <c r="AQ1410" s="368"/>
      <c r="AR1410" s="389"/>
      <c r="AS1410" s="263">
        <f t="shared" si="125"/>
        <v>73.673163418290855</v>
      </c>
      <c r="AT1410" s="271"/>
      <c r="AU1410" s="389"/>
      <c r="AV1410" s="418"/>
      <c r="AW1410" s="436">
        <f>18.2/0.667</f>
        <v>27.286356821589202</v>
      </c>
      <c r="AX1410" s="359"/>
      <c r="AY1410" s="359"/>
      <c r="AZ1410" s="359"/>
      <c r="BA1410" s="359"/>
      <c r="BB1410" s="359"/>
      <c r="BC1410" s="426"/>
      <c r="BD1410" s="359"/>
      <c r="BE1410" s="359"/>
      <c r="BF1410" s="469">
        <f t="shared" si="123"/>
        <v>27.286356821589202</v>
      </c>
      <c r="BG1410" s="469"/>
      <c r="BH1410" s="460"/>
      <c r="BI1410" s="461"/>
      <c r="BJ1410" s="505"/>
    </row>
    <row r="1411" spans="1:62" ht="15" customHeight="1" thickBot="1" x14ac:dyDescent="0.25">
      <c r="A1411" s="176">
        <v>1412</v>
      </c>
      <c r="B1411" s="291">
        <v>1</v>
      </c>
      <c r="C1411" s="167" t="s">
        <v>2933</v>
      </c>
      <c r="D1411" s="167" t="s">
        <v>3451</v>
      </c>
      <c r="E1411" s="167" t="s">
        <v>13</v>
      </c>
      <c r="F1411" s="167" t="s">
        <v>3642</v>
      </c>
      <c r="G1411" s="167" t="s">
        <v>122</v>
      </c>
      <c r="H1411" s="167" t="s">
        <v>73</v>
      </c>
      <c r="I1411" s="184">
        <v>2013</v>
      </c>
      <c r="J1411" s="181" t="s">
        <v>3643</v>
      </c>
      <c r="K1411" s="184"/>
      <c r="L1411" s="184" t="s">
        <v>19</v>
      </c>
      <c r="M1411" s="556" t="s">
        <v>4351</v>
      </c>
      <c r="N1411" s="214" t="s">
        <v>122</v>
      </c>
      <c r="O1411" s="214" t="s">
        <v>292</v>
      </c>
      <c r="P1411" s="214" t="s">
        <v>292</v>
      </c>
      <c r="Q1411" s="214" t="s">
        <v>292</v>
      </c>
      <c r="R1411" s="214" t="s">
        <v>292</v>
      </c>
      <c r="S1411" s="214" t="s">
        <v>292</v>
      </c>
      <c r="T1411" s="214" t="s">
        <v>292</v>
      </c>
      <c r="U1411" s="214" t="s">
        <v>292</v>
      </c>
      <c r="V1411" s="214" t="s">
        <v>292</v>
      </c>
      <c r="W1411" s="214" t="s">
        <v>292</v>
      </c>
      <c r="X1411" s="214" t="s">
        <v>292</v>
      </c>
      <c r="Y1411" s="214" t="s">
        <v>292</v>
      </c>
      <c r="Z1411" s="234"/>
      <c r="AA1411" s="234"/>
      <c r="AB1411" s="234"/>
      <c r="AC1411" s="234"/>
      <c r="AD1411" s="319" t="s">
        <v>3644</v>
      </c>
      <c r="AE1411" s="319"/>
      <c r="AF1411" s="162" t="str">
        <f t="shared" si="124"/>
        <v/>
      </c>
      <c r="AG1411" s="162" t="str">
        <f t="shared" si="121"/>
        <v/>
      </c>
      <c r="AH1411" s="164">
        <f t="shared" si="126"/>
        <v>51.7</v>
      </c>
      <c r="AI1411" s="164" t="str">
        <f t="shared" si="127"/>
        <v/>
      </c>
      <c r="AJ1411" s="368"/>
      <c r="AK1411" s="368"/>
      <c r="AL1411" s="368"/>
      <c r="AM1411" s="368"/>
      <c r="AN1411" s="368"/>
      <c r="AO1411" s="368"/>
      <c r="AP1411" s="368"/>
      <c r="AQ1411" s="368"/>
      <c r="AR1411" s="389"/>
      <c r="AS1411" s="263"/>
      <c r="AT1411" s="271"/>
      <c r="AU1411" s="389"/>
      <c r="AV1411" s="418"/>
      <c r="AW1411" s="436">
        <v>51.7</v>
      </c>
      <c r="AX1411" s="359"/>
      <c r="AY1411" s="359"/>
      <c r="AZ1411" s="359"/>
      <c r="BA1411" s="359"/>
      <c r="BB1411" s="359"/>
      <c r="BC1411" s="426"/>
      <c r="BD1411" s="359"/>
      <c r="BE1411" s="359"/>
      <c r="BF1411" s="469">
        <f t="shared" si="123"/>
        <v>51.7</v>
      </c>
      <c r="BG1411" s="469"/>
      <c r="BH1411" s="460"/>
      <c r="BI1411" s="461"/>
      <c r="BJ1411" s="505" t="s">
        <v>3645</v>
      </c>
    </row>
    <row r="1412" spans="1:62" ht="15" customHeight="1" thickBot="1" x14ac:dyDescent="0.25">
      <c r="A1412" s="176">
        <v>1413</v>
      </c>
      <c r="B1412" s="291">
        <v>1</v>
      </c>
      <c r="C1412" s="167" t="s">
        <v>2933</v>
      </c>
      <c r="D1412" s="167" t="s">
        <v>3451</v>
      </c>
      <c r="E1412" s="167" t="s">
        <v>13</v>
      </c>
      <c r="F1412" s="167" t="s">
        <v>3646</v>
      </c>
      <c r="G1412" s="167" t="s">
        <v>122</v>
      </c>
      <c r="H1412" s="167" t="s">
        <v>73</v>
      </c>
      <c r="I1412" s="184">
        <v>2013</v>
      </c>
      <c r="J1412" s="181" t="s">
        <v>3643</v>
      </c>
      <c r="K1412" s="184"/>
      <c r="L1412" s="184" t="s">
        <v>19</v>
      </c>
      <c r="M1412" s="556" t="s">
        <v>4351</v>
      </c>
      <c r="N1412" s="214" t="s">
        <v>122</v>
      </c>
      <c r="O1412" s="214" t="s">
        <v>292</v>
      </c>
      <c r="P1412" s="214" t="s">
        <v>292</v>
      </c>
      <c r="Q1412" s="214" t="s">
        <v>292</v>
      </c>
      <c r="R1412" s="214" t="s">
        <v>292</v>
      </c>
      <c r="S1412" s="214" t="s">
        <v>292</v>
      </c>
      <c r="T1412" s="214" t="s">
        <v>292</v>
      </c>
      <c r="U1412" s="214" t="s">
        <v>292</v>
      </c>
      <c r="V1412" s="214" t="s">
        <v>292</v>
      </c>
      <c r="W1412" s="214" t="s">
        <v>292</v>
      </c>
      <c r="X1412" s="214" t="s">
        <v>292</v>
      </c>
      <c r="Y1412" s="214" t="s">
        <v>292</v>
      </c>
      <c r="Z1412" s="234"/>
      <c r="AA1412" s="234"/>
      <c r="AB1412" s="234"/>
      <c r="AC1412" s="234"/>
      <c r="AD1412" s="319" t="s">
        <v>3644</v>
      </c>
      <c r="AE1412" s="319"/>
      <c r="AF1412" s="162" t="str">
        <f t="shared" si="124"/>
        <v/>
      </c>
      <c r="AG1412" s="162" t="str">
        <f t="shared" si="121"/>
        <v/>
      </c>
      <c r="AH1412" s="164">
        <f t="shared" si="126"/>
        <v>47.9</v>
      </c>
      <c r="AI1412" s="164" t="str">
        <f t="shared" si="127"/>
        <v/>
      </c>
      <c r="AJ1412" s="368"/>
      <c r="AK1412" s="368"/>
      <c r="AL1412" s="368"/>
      <c r="AM1412" s="368"/>
      <c r="AN1412" s="368"/>
      <c r="AO1412" s="368"/>
      <c r="AP1412" s="368"/>
      <c r="AQ1412" s="368"/>
      <c r="AR1412" s="389"/>
      <c r="AS1412" s="263"/>
      <c r="AT1412" s="271"/>
      <c r="AU1412" s="389"/>
      <c r="AV1412" s="418"/>
      <c r="AW1412" s="436">
        <v>47.9</v>
      </c>
      <c r="AX1412" s="359"/>
      <c r="AY1412" s="359"/>
      <c r="AZ1412" s="359"/>
      <c r="BA1412" s="359"/>
      <c r="BB1412" s="359"/>
      <c r="BC1412" s="426"/>
      <c r="BD1412" s="359"/>
      <c r="BE1412" s="359"/>
      <c r="BF1412" s="469">
        <f t="shared" si="123"/>
        <v>47.9</v>
      </c>
      <c r="BG1412" s="469"/>
      <c r="BH1412" s="460"/>
      <c r="BI1412" s="461"/>
      <c r="BJ1412" s="505" t="s">
        <v>3647</v>
      </c>
    </row>
    <row r="1413" spans="1:62" ht="15" customHeight="1" thickBot="1" x14ac:dyDescent="0.25">
      <c r="A1413" s="176">
        <v>1414</v>
      </c>
      <c r="B1413" s="291">
        <v>1</v>
      </c>
      <c r="C1413" s="167" t="s">
        <v>2933</v>
      </c>
      <c r="D1413" s="167" t="s">
        <v>3451</v>
      </c>
      <c r="E1413" s="167" t="s">
        <v>13</v>
      </c>
      <c r="F1413" s="167" t="s">
        <v>3648</v>
      </c>
      <c r="G1413" s="167" t="s">
        <v>122</v>
      </c>
      <c r="H1413" s="167" t="s">
        <v>73</v>
      </c>
      <c r="I1413" s="184">
        <v>2013</v>
      </c>
      <c r="J1413" s="181" t="s">
        <v>3643</v>
      </c>
      <c r="K1413" s="184"/>
      <c r="L1413" s="184" t="s">
        <v>19</v>
      </c>
      <c r="M1413" s="556" t="s">
        <v>4351</v>
      </c>
      <c r="N1413" s="214" t="s">
        <v>122</v>
      </c>
      <c r="O1413" s="214" t="s">
        <v>292</v>
      </c>
      <c r="P1413" s="214" t="s">
        <v>292</v>
      </c>
      <c r="Q1413" s="214" t="s">
        <v>292</v>
      </c>
      <c r="R1413" s="214" t="s">
        <v>292</v>
      </c>
      <c r="S1413" s="214" t="s">
        <v>292</v>
      </c>
      <c r="T1413" s="214" t="s">
        <v>292</v>
      </c>
      <c r="U1413" s="214" t="s">
        <v>292</v>
      </c>
      <c r="V1413" s="214" t="s">
        <v>292</v>
      </c>
      <c r="W1413" s="214" t="s">
        <v>292</v>
      </c>
      <c r="X1413" s="214" t="s">
        <v>292</v>
      </c>
      <c r="Y1413" s="214" t="s">
        <v>292</v>
      </c>
      <c r="Z1413" s="234"/>
      <c r="AA1413" s="234"/>
      <c r="AB1413" s="234"/>
      <c r="AC1413" s="234"/>
      <c r="AD1413" s="319" t="s">
        <v>3644</v>
      </c>
      <c r="AE1413" s="319"/>
      <c r="AF1413" s="162" t="str">
        <f t="shared" si="124"/>
        <v/>
      </c>
      <c r="AG1413" s="162" t="str">
        <f t="shared" si="121"/>
        <v/>
      </c>
      <c r="AH1413" s="164">
        <f t="shared" si="126"/>
        <v>38.9</v>
      </c>
      <c r="AI1413" s="164" t="str">
        <f t="shared" si="127"/>
        <v/>
      </c>
      <c r="AJ1413" s="368"/>
      <c r="AK1413" s="368"/>
      <c r="AL1413" s="368"/>
      <c r="AM1413" s="368"/>
      <c r="AN1413" s="368"/>
      <c r="AO1413" s="368"/>
      <c r="AP1413" s="368"/>
      <c r="AQ1413" s="368"/>
      <c r="AR1413" s="389"/>
      <c r="AS1413" s="263"/>
      <c r="AT1413" s="271"/>
      <c r="AU1413" s="389"/>
      <c r="AV1413" s="418"/>
      <c r="AW1413" s="436">
        <v>38.9</v>
      </c>
      <c r="AX1413" s="359"/>
      <c r="AY1413" s="359"/>
      <c r="AZ1413" s="359"/>
      <c r="BA1413" s="359"/>
      <c r="BB1413" s="359"/>
      <c r="BC1413" s="426"/>
      <c r="BD1413" s="359"/>
      <c r="BE1413" s="359"/>
      <c r="BF1413" s="469">
        <f t="shared" si="123"/>
        <v>38.9</v>
      </c>
      <c r="BG1413" s="469"/>
      <c r="BH1413" s="460"/>
      <c r="BI1413" s="461"/>
      <c r="BJ1413" s="505" t="s">
        <v>3649</v>
      </c>
    </row>
    <row r="1414" spans="1:62" ht="15" customHeight="1" thickBot="1" x14ac:dyDescent="0.25">
      <c r="A1414" s="176">
        <v>1415</v>
      </c>
      <c r="B1414" s="291">
        <v>1</v>
      </c>
      <c r="C1414" s="167" t="s">
        <v>2933</v>
      </c>
      <c r="D1414" s="167" t="s">
        <v>2745</v>
      </c>
      <c r="E1414" s="167" t="s">
        <v>13</v>
      </c>
      <c r="F1414" s="167" t="s">
        <v>3650</v>
      </c>
      <c r="G1414" s="167"/>
      <c r="H1414" s="167" t="s">
        <v>55</v>
      </c>
      <c r="I1414" s="184">
        <v>2014</v>
      </c>
      <c r="J1414" s="181" t="s">
        <v>3651</v>
      </c>
      <c r="K1414" s="184"/>
      <c r="L1414" s="184" t="s">
        <v>19</v>
      </c>
      <c r="M1414" s="556" t="s">
        <v>4352</v>
      </c>
      <c r="N1414" s="214" t="s">
        <v>122</v>
      </c>
      <c r="O1414" s="214" t="s">
        <v>292</v>
      </c>
      <c r="P1414" s="214" t="s">
        <v>292</v>
      </c>
      <c r="Q1414" s="214" t="s">
        <v>292</v>
      </c>
      <c r="R1414" s="214" t="s">
        <v>292</v>
      </c>
      <c r="S1414" s="214" t="s">
        <v>292</v>
      </c>
      <c r="T1414" s="214" t="s">
        <v>292</v>
      </c>
      <c r="U1414" s="214" t="s">
        <v>292</v>
      </c>
      <c r="V1414" s="214" t="s">
        <v>292</v>
      </c>
      <c r="W1414" s="214" t="s">
        <v>292</v>
      </c>
      <c r="X1414" s="214" t="s">
        <v>292</v>
      </c>
      <c r="Y1414" s="214" t="s">
        <v>292</v>
      </c>
      <c r="Z1414" s="234"/>
      <c r="AA1414" s="234" t="s">
        <v>303</v>
      </c>
      <c r="AB1414" s="234"/>
      <c r="AC1414" s="234"/>
      <c r="AD1414" s="319" t="s">
        <v>944</v>
      </c>
      <c r="AE1414" s="319" t="s">
        <v>3652</v>
      </c>
      <c r="AF1414" s="162" t="str">
        <f t="shared" si="124"/>
        <v/>
      </c>
      <c r="AG1414" s="162" t="str">
        <f t="shared" si="121"/>
        <v/>
      </c>
      <c r="AH1414" s="164">
        <f t="shared" si="126"/>
        <v>25.402581101475839</v>
      </c>
      <c r="AI1414" s="164" t="str">
        <f t="shared" si="127"/>
        <v/>
      </c>
      <c r="AJ1414" s="368"/>
      <c r="AK1414" s="368"/>
      <c r="AL1414" s="368"/>
      <c r="AM1414" s="368"/>
      <c r="AN1414" s="368"/>
      <c r="AO1414" s="368"/>
      <c r="AP1414" s="368"/>
      <c r="AQ1414" s="368"/>
      <c r="AR1414" s="389"/>
      <c r="AS1414" s="263"/>
      <c r="AT1414" s="271"/>
      <c r="AU1414" s="389"/>
      <c r="AV1414" s="418"/>
      <c r="AW1414" s="436">
        <f>10.2/0.667/0.602</f>
        <v>25.402581101475839</v>
      </c>
      <c r="AX1414" s="359"/>
      <c r="AY1414" s="359"/>
      <c r="AZ1414" s="359"/>
      <c r="BA1414" s="359"/>
      <c r="BB1414" s="359"/>
      <c r="BC1414" s="426"/>
      <c r="BD1414" s="359"/>
      <c r="BE1414" s="359"/>
      <c r="BF1414" s="469">
        <f t="shared" si="123"/>
        <v>25.402581101475839</v>
      </c>
      <c r="BG1414" s="469"/>
      <c r="BH1414" s="460"/>
      <c r="BI1414" s="461"/>
      <c r="BJ1414" s="505"/>
    </row>
    <row r="1415" spans="1:62" ht="15" customHeight="1" thickBot="1" x14ac:dyDescent="0.25">
      <c r="A1415" s="176">
        <v>1416</v>
      </c>
      <c r="B1415" s="291">
        <v>1</v>
      </c>
      <c r="C1415" s="167" t="s">
        <v>2933</v>
      </c>
      <c r="D1415" s="167" t="s">
        <v>2745</v>
      </c>
      <c r="E1415" s="167" t="s">
        <v>13</v>
      </c>
      <c r="F1415" s="167" t="s">
        <v>3653</v>
      </c>
      <c r="G1415" s="167"/>
      <c r="H1415" s="167" t="s">
        <v>55</v>
      </c>
      <c r="I1415" s="184">
        <v>2014</v>
      </c>
      <c r="J1415" s="181" t="s">
        <v>3651</v>
      </c>
      <c r="K1415" s="184"/>
      <c r="L1415" s="184" t="s">
        <v>19</v>
      </c>
      <c r="M1415" s="556" t="s">
        <v>4352</v>
      </c>
      <c r="N1415" s="214" t="s">
        <v>122</v>
      </c>
      <c r="O1415" s="214" t="s">
        <v>292</v>
      </c>
      <c r="P1415" s="214" t="s">
        <v>292</v>
      </c>
      <c r="Q1415" s="214" t="s">
        <v>292</v>
      </c>
      <c r="R1415" s="214" t="s">
        <v>292</v>
      </c>
      <c r="S1415" s="214" t="s">
        <v>292</v>
      </c>
      <c r="T1415" s="214" t="s">
        <v>292</v>
      </c>
      <c r="U1415" s="214" t="s">
        <v>292</v>
      </c>
      <c r="V1415" s="214" t="s">
        <v>292</v>
      </c>
      <c r="W1415" s="214" t="s">
        <v>292</v>
      </c>
      <c r="X1415" s="214" t="s">
        <v>292</v>
      </c>
      <c r="Y1415" s="214" t="s">
        <v>292</v>
      </c>
      <c r="Z1415" s="234"/>
      <c r="AA1415" s="234" t="s">
        <v>303</v>
      </c>
      <c r="AB1415" s="234"/>
      <c r="AC1415" s="234"/>
      <c r="AD1415" s="319" t="s">
        <v>944</v>
      </c>
      <c r="AE1415" s="319" t="s">
        <v>3652</v>
      </c>
      <c r="AF1415" s="162" t="str">
        <f t="shared" si="124"/>
        <v/>
      </c>
      <c r="AG1415" s="162" t="str">
        <f t="shared" si="121"/>
        <v/>
      </c>
      <c r="AH1415" s="164">
        <f t="shared" si="126"/>
        <v>26.896850578033245</v>
      </c>
      <c r="AI1415" s="164" t="str">
        <f t="shared" si="127"/>
        <v/>
      </c>
      <c r="AJ1415" s="368"/>
      <c r="AK1415" s="368"/>
      <c r="AL1415" s="368"/>
      <c r="AM1415" s="368"/>
      <c r="AN1415" s="368"/>
      <c r="AO1415" s="368"/>
      <c r="AP1415" s="368"/>
      <c r="AQ1415" s="368"/>
      <c r="AR1415" s="389"/>
      <c r="AS1415" s="263"/>
      <c r="AT1415" s="271"/>
      <c r="AU1415" s="389"/>
      <c r="AV1415" s="418"/>
      <c r="AW1415" s="436">
        <f>10.8/0.667/0.602</f>
        <v>26.896850578033245</v>
      </c>
      <c r="AX1415" s="359"/>
      <c r="AY1415" s="359"/>
      <c r="AZ1415" s="359"/>
      <c r="BA1415" s="359"/>
      <c r="BB1415" s="359"/>
      <c r="BC1415" s="426"/>
      <c r="BD1415" s="359"/>
      <c r="BE1415" s="359"/>
      <c r="BF1415" s="469">
        <f t="shared" si="123"/>
        <v>26.896850578033245</v>
      </c>
      <c r="BG1415" s="469"/>
      <c r="BH1415" s="460"/>
      <c r="BI1415" s="461"/>
      <c r="BJ1415" s="505"/>
    </row>
    <row r="1416" spans="1:62" ht="15" customHeight="1" thickBot="1" x14ac:dyDescent="0.25">
      <c r="A1416" s="176">
        <v>1417</v>
      </c>
      <c r="B1416" s="291">
        <v>1</v>
      </c>
      <c r="C1416" s="167" t="s">
        <v>2933</v>
      </c>
      <c r="D1416" s="167" t="s">
        <v>2745</v>
      </c>
      <c r="E1416" s="167" t="s">
        <v>13</v>
      </c>
      <c r="F1416" s="167" t="s">
        <v>3654</v>
      </c>
      <c r="G1416" s="167"/>
      <c r="H1416" s="167" t="s">
        <v>55</v>
      </c>
      <c r="I1416" s="184">
        <v>2014</v>
      </c>
      <c r="J1416" s="181" t="s">
        <v>3651</v>
      </c>
      <c r="K1416" s="184"/>
      <c r="L1416" s="184" t="s">
        <v>19</v>
      </c>
      <c r="M1416" s="556" t="s">
        <v>4352</v>
      </c>
      <c r="N1416" s="214" t="s">
        <v>122</v>
      </c>
      <c r="O1416" s="214" t="s">
        <v>292</v>
      </c>
      <c r="P1416" s="214" t="s">
        <v>292</v>
      </c>
      <c r="Q1416" s="214" t="s">
        <v>292</v>
      </c>
      <c r="R1416" s="214" t="s">
        <v>292</v>
      </c>
      <c r="S1416" s="214" t="s">
        <v>292</v>
      </c>
      <c r="T1416" s="214" t="s">
        <v>292</v>
      </c>
      <c r="U1416" s="214" t="s">
        <v>292</v>
      </c>
      <c r="V1416" s="214" t="s">
        <v>292</v>
      </c>
      <c r="W1416" s="214" t="s">
        <v>292</v>
      </c>
      <c r="X1416" s="214" t="s">
        <v>292</v>
      </c>
      <c r="Y1416" s="214" t="s">
        <v>292</v>
      </c>
      <c r="Z1416" s="234"/>
      <c r="AA1416" s="234" t="s">
        <v>303</v>
      </c>
      <c r="AB1416" s="234"/>
      <c r="AC1416" s="234"/>
      <c r="AD1416" s="319" t="s">
        <v>944</v>
      </c>
      <c r="AE1416" s="319" t="s">
        <v>3652</v>
      </c>
      <c r="AF1416" s="162" t="str">
        <f t="shared" si="124"/>
        <v/>
      </c>
      <c r="AG1416" s="162" t="str">
        <f t="shared" si="121"/>
        <v/>
      </c>
      <c r="AH1416" s="164">
        <f t="shared" si="126"/>
        <v>25.15353618871627</v>
      </c>
      <c r="AI1416" s="164" t="str">
        <f t="shared" si="127"/>
        <v/>
      </c>
      <c r="AJ1416" s="368"/>
      <c r="AK1416" s="368"/>
      <c r="AL1416" s="368"/>
      <c r="AM1416" s="368"/>
      <c r="AN1416" s="368"/>
      <c r="AO1416" s="368"/>
      <c r="AP1416" s="368"/>
      <c r="AQ1416" s="368"/>
      <c r="AR1416" s="389"/>
      <c r="AS1416" s="263"/>
      <c r="AT1416" s="271"/>
      <c r="AU1416" s="389"/>
      <c r="AV1416" s="418"/>
      <c r="AW1416" s="436">
        <f>10.1/0.667/0.602</f>
        <v>25.15353618871627</v>
      </c>
      <c r="AX1416" s="359"/>
      <c r="AY1416" s="359"/>
      <c r="AZ1416" s="359"/>
      <c r="BA1416" s="359"/>
      <c r="BB1416" s="359"/>
      <c r="BC1416" s="426"/>
      <c r="BD1416" s="359"/>
      <c r="BE1416" s="359"/>
      <c r="BF1416" s="469">
        <f t="shared" si="123"/>
        <v>25.15353618871627</v>
      </c>
      <c r="BG1416" s="469"/>
      <c r="BH1416" s="460"/>
      <c r="BI1416" s="461"/>
      <c r="BJ1416" s="505"/>
    </row>
    <row r="1417" spans="1:62" ht="15" customHeight="1" thickBot="1" x14ac:dyDescent="0.25">
      <c r="A1417" s="176">
        <v>1418</v>
      </c>
      <c r="B1417" s="291">
        <v>1</v>
      </c>
      <c r="C1417" s="167" t="s">
        <v>2933</v>
      </c>
      <c r="D1417" s="167" t="s">
        <v>2745</v>
      </c>
      <c r="E1417" s="167" t="s">
        <v>13</v>
      </c>
      <c r="F1417" s="167" t="s">
        <v>3655</v>
      </c>
      <c r="G1417" s="167"/>
      <c r="H1417" s="167" t="s">
        <v>55</v>
      </c>
      <c r="I1417" s="184">
        <v>2014</v>
      </c>
      <c r="J1417" s="181" t="s">
        <v>3651</v>
      </c>
      <c r="K1417" s="184"/>
      <c r="L1417" s="184" t="s">
        <v>19</v>
      </c>
      <c r="M1417" s="556" t="s">
        <v>4352</v>
      </c>
      <c r="N1417" s="214" t="s">
        <v>122</v>
      </c>
      <c r="O1417" s="214" t="s">
        <v>292</v>
      </c>
      <c r="P1417" s="214" t="s">
        <v>292</v>
      </c>
      <c r="Q1417" s="214" t="s">
        <v>292</v>
      </c>
      <c r="R1417" s="214" t="s">
        <v>292</v>
      </c>
      <c r="S1417" s="214" t="s">
        <v>292</v>
      </c>
      <c r="T1417" s="214" t="s">
        <v>292</v>
      </c>
      <c r="U1417" s="214" t="s">
        <v>292</v>
      </c>
      <c r="V1417" s="214" t="s">
        <v>292</v>
      </c>
      <c r="W1417" s="214" t="s">
        <v>292</v>
      </c>
      <c r="X1417" s="214" t="s">
        <v>292</v>
      </c>
      <c r="Y1417" s="214" t="s">
        <v>292</v>
      </c>
      <c r="Z1417" s="234"/>
      <c r="AA1417" s="234" t="s">
        <v>303</v>
      </c>
      <c r="AB1417" s="234"/>
      <c r="AC1417" s="234"/>
      <c r="AD1417" s="319" t="s">
        <v>944</v>
      </c>
      <c r="AE1417" s="319" t="s">
        <v>3652</v>
      </c>
      <c r="AF1417" s="162" t="str">
        <f t="shared" si="124"/>
        <v/>
      </c>
      <c r="AG1417" s="162" t="str">
        <f t="shared" si="121"/>
        <v/>
      </c>
      <c r="AH1417" s="164">
        <f t="shared" si="126"/>
        <v>31.628703920465011</v>
      </c>
      <c r="AI1417" s="164" t="str">
        <f t="shared" si="127"/>
        <v/>
      </c>
      <c r="AJ1417" s="368"/>
      <c r="AK1417" s="368"/>
      <c r="AL1417" s="368"/>
      <c r="AM1417" s="368"/>
      <c r="AN1417" s="368"/>
      <c r="AO1417" s="368"/>
      <c r="AP1417" s="368"/>
      <c r="AQ1417" s="368"/>
      <c r="AR1417" s="389"/>
      <c r="AS1417" s="263"/>
      <c r="AT1417" s="271"/>
      <c r="AU1417" s="389"/>
      <c r="AV1417" s="418"/>
      <c r="AW1417" s="436">
        <f>12.7/0.667/0.602</f>
        <v>31.628703920465011</v>
      </c>
      <c r="AX1417" s="359"/>
      <c r="AY1417" s="359"/>
      <c r="AZ1417" s="359"/>
      <c r="BA1417" s="359"/>
      <c r="BB1417" s="359"/>
      <c r="BC1417" s="426"/>
      <c r="BD1417" s="359"/>
      <c r="BE1417" s="359"/>
      <c r="BF1417" s="469">
        <f t="shared" si="123"/>
        <v>31.628703920465011</v>
      </c>
      <c r="BG1417" s="469"/>
      <c r="BH1417" s="460"/>
      <c r="BI1417" s="461"/>
      <c r="BJ1417" s="505"/>
    </row>
    <row r="1418" spans="1:62" ht="15" customHeight="1" thickBot="1" x14ac:dyDescent="0.25">
      <c r="A1418" s="176">
        <v>1419</v>
      </c>
      <c r="B1418" s="291">
        <v>1</v>
      </c>
      <c r="C1418" s="167" t="s">
        <v>2933</v>
      </c>
      <c r="D1418" s="167" t="s">
        <v>2745</v>
      </c>
      <c r="E1418" s="167" t="s">
        <v>13</v>
      </c>
      <c r="F1418" s="167" t="s">
        <v>3656</v>
      </c>
      <c r="G1418" s="167"/>
      <c r="H1418" s="167" t="s">
        <v>55</v>
      </c>
      <c r="I1418" s="184">
        <v>2014</v>
      </c>
      <c r="J1418" s="181" t="s">
        <v>3651</v>
      </c>
      <c r="K1418" s="184"/>
      <c r="L1418" s="184" t="s">
        <v>19</v>
      </c>
      <c r="M1418" s="556" t="s">
        <v>4352</v>
      </c>
      <c r="N1418" s="214" t="s">
        <v>122</v>
      </c>
      <c r="O1418" s="214" t="s">
        <v>292</v>
      </c>
      <c r="P1418" s="214" t="s">
        <v>292</v>
      </c>
      <c r="Q1418" s="214" t="s">
        <v>292</v>
      </c>
      <c r="R1418" s="214" t="s">
        <v>292</v>
      </c>
      <c r="S1418" s="214" t="s">
        <v>292</v>
      </c>
      <c r="T1418" s="214" t="s">
        <v>292</v>
      </c>
      <c r="U1418" s="214" t="s">
        <v>292</v>
      </c>
      <c r="V1418" s="214" t="s">
        <v>292</v>
      </c>
      <c r="W1418" s="214" t="s">
        <v>292</v>
      </c>
      <c r="X1418" s="214" t="s">
        <v>292</v>
      </c>
      <c r="Y1418" s="214" t="s">
        <v>292</v>
      </c>
      <c r="Z1418" s="234"/>
      <c r="AA1418" s="234" t="s">
        <v>303</v>
      </c>
      <c r="AB1418" s="234"/>
      <c r="AC1418" s="234"/>
      <c r="AD1418" s="319" t="s">
        <v>944</v>
      </c>
      <c r="AE1418" s="319" t="s">
        <v>3652</v>
      </c>
      <c r="AF1418" s="162" t="str">
        <f t="shared" si="124"/>
        <v/>
      </c>
      <c r="AG1418" s="162" t="str">
        <f t="shared" si="121"/>
        <v/>
      </c>
      <c r="AH1418" s="164">
        <f t="shared" si="126"/>
        <v>25.900670926994973</v>
      </c>
      <c r="AI1418" s="164" t="str">
        <f t="shared" si="127"/>
        <v/>
      </c>
      <c r="AJ1418" s="375"/>
      <c r="AK1418" s="375"/>
      <c r="AL1418" s="375"/>
      <c r="AM1418" s="375"/>
      <c r="AN1418" s="375"/>
      <c r="AO1418" s="375"/>
      <c r="AP1418" s="375"/>
      <c r="AQ1418" s="375"/>
      <c r="AR1418" s="391"/>
      <c r="AS1418" s="276"/>
      <c r="AT1418" s="277"/>
      <c r="AU1418" s="391"/>
      <c r="AV1418" s="422"/>
      <c r="AW1418" s="436">
        <f>10.4/0.667/0.602</f>
        <v>25.900670926994973</v>
      </c>
      <c r="AX1418" s="359"/>
      <c r="AY1418" s="359"/>
      <c r="AZ1418" s="359"/>
      <c r="BA1418" s="359"/>
      <c r="BB1418" s="359"/>
      <c r="BC1418" s="426"/>
      <c r="BD1418" s="359"/>
      <c r="BE1418" s="359"/>
      <c r="BF1418" s="469">
        <f t="shared" si="123"/>
        <v>25.900670926994973</v>
      </c>
      <c r="BG1418" s="469"/>
      <c r="BH1418" s="460"/>
      <c r="BI1418" s="461"/>
      <c r="BJ1418" s="505"/>
    </row>
    <row r="1419" spans="1:62" ht="15" customHeight="1" thickBot="1" x14ac:dyDescent="0.25">
      <c r="A1419" s="176">
        <v>1420</v>
      </c>
      <c r="B1419" s="291">
        <v>1</v>
      </c>
      <c r="C1419" s="167" t="s">
        <v>2933</v>
      </c>
      <c r="D1419" s="167" t="s">
        <v>2745</v>
      </c>
      <c r="E1419" s="167" t="s">
        <v>13</v>
      </c>
      <c r="F1419" s="167" t="s">
        <v>3657</v>
      </c>
      <c r="G1419" s="167"/>
      <c r="H1419" s="167" t="s">
        <v>55</v>
      </c>
      <c r="I1419" s="184">
        <v>2014</v>
      </c>
      <c r="J1419" s="181" t="s">
        <v>3651</v>
      </c>
      <c r="K1419" s="184"/>
      <c r="L1419" s="184" t="s">
        <v>19</v>
      </c>
      <c r="M1419" s="556" t="s">
        <v>4352</v>
      </c>
      <c r="N1419" s="214" t="s">
        <v>122</v>
      </c>
      <c r="O1419" s="214" t="s">
        <v>292</v>
      </c>
      <c r="P1419" s="214" t="s">
        <v>292</v>
      </c>
      <c r="Q1419" s="214" t="s">
        <v>292</v>
      </c>
      <c r="R1419" s="214" t="s">
        <v>292</v>
      </c>
      <c r="S1419" s="214" t="s">
        <v>292</v>
      </c>
      <c r="T1419" s="214" t="s">
        <v>292</v>
      </c>
      <c r="U1419" s="214" t="s">
        <v>292</v>
      </c>
      <c r="V1419" s="214" t="s">
        <v>292</v>
      </c>
      <c r="W1419" s="214" t="s">
        <v>292</v>
      </c>
      <c r="X1419" s="214" t="s">
        <v>292</v>
      </c>
      <c r="Y1419" s="214" t="s">
        <v>292</v>
      </c>
      <c r="Z1419" s="234"/>
      <c r="AA1419" s="234" t="s">
        <v>303</v>
      </c>
      <c r="AB1419" s="234"/>
      <c r="AC1419" s="234"/>
      <c r="AD1419" s="319" t="s">
        <v>944</v>
      </c>
      <c r="AE1419" s="319" t="s">
        <v>3652</v>
      </c>
      <c r="AF1419" s="162" t="str">
        <f t="shared" si="124"/>
        <v/>
      </c>
      <c r="AG1419" s="162" t="str">
        <f t="shared" si="121"/>
        <v/>
      </c>
      <c r="AH1419" s="164">
        <f t="shared" si="126"/>
        <v>26.398760752514107</v>
      </c>
      <c r="AI1419" s="164" t="str">
        <f t="shared" si="127"/>
        <v/>
      </c>
      <c r="AJ1419" s="375"/>
      <c r="AK1419" s="375"/>
      <c r="AL1419" s="375"/>
      <c r="AM1419" s="375"/>
      <c r="AN1419" s="375"/>
      <c r="AO1419" s="375"/>
      <c r="AP1419" s="375"/>
      <c r="AQ1419" s="375"/>
      <c r="AR1419" s="391"/>
      <c r="AS1419" s="276"/>
      <c r="AT1419" s="277"/>
      <c r="AU1419" s="391"/>
      <c r="AV1419" s="422"/>
      <c r="AW1419" s="436">
        <f>10.6/0.667/0.602</f>
        <v>26.398760752514107</v>
      </c>
      <c r="AX1419" s="359"/>
      <c r="AY1419" s="359"/>
      <c r="AZ1419" s="359"/>
      <c r="BA1419" s="359"/>
      <c r="BB1419" s="359"/>
      <c r="BC1419" s="426"/>
      <c r="BD1419" s="359"/>
      <c r="BE1419" s="359"/>
      <c r="BF1419" s="469">
        <f t="shared" si="123"/>
        <v>26.398760752514107</v>
      </c>
      <c r="BG1419" s="469"/>
      <c r="BH1419" s="460"/>
      <c r="BI1419" s="461"/>
      <c r="BJ1419" s="505"/>
    </row>
    <row r="1420" spans="1:62" ht="15" customHeight="1" thickBot="1" x14ac:dyDescent="0.25">
      <c r="A1420" s="176">
        <v>1421</v>
      </c>
      <c r="B1420" s="291">
        <v>1</v>
      </c>
      <c r="C1420" s="167" t="s">
        <v>3450</v>
      </c>
      <c r="D1420" s="167" t="s">
        <v>3658</v>
      </c>
      <c r="E1420" s="167" t="s">
        <v>13</v>
      </c>
      <c r="F1420" s="167" t="s">
        <v>3659</v>
      </c>
      <c r="G1420" s="167"/>
      <c r="H1420" s="167" t="s">
        <v>87</v>
      </c>
      <c r="I1420" s="184">
        <v>2013</v>
      </c>
      <c r="J1420" s="181" t="s">
        <v>3660</v>
      </c>
      <c r="K1420" s="184"/>
      <c r="L1420" s="184" t="s">
        <v>19</v>
      </c>
      <c r="M1420" s="556" t="s">
        <v>4353</v>
      </c>
      <c r="N1420" s="214" t="s">
        <v>122</v>
      </c>
      <c r="O1420" s="214" t="s">
        <v>292</v>
      </c>
      <c r="P1420" s="214" t="s">
        <v>292</v>
      </c>
      <c r="Q1420" s="214" t="s">
        <v>292</v>
      </c>
      <c r="R1420" s="214" t="s">
        <v>292</v>
      </c>
      <c r="S1420" s="214" t="s">
        <v>292</v>
      </c>
      <c r="T1420" s="214" t="s">
        <v>292</v>
      </c>
      <c r="U1420" s="214" t="s">
        <v>292</v>
      </c>
      <c r="V1420" s="214" t="s">
        <v>292</v>
      </c>
      <c r="W1420" s="214" t="s">
        <v>292</v>
      </c>
      <c r="X1420" s="214" t="s">
        <v>292</v>
      </c>
      <c r="Y1420" s="214" t="s">
        <v>292</v>
      </c>
      <c r="Z1420" s="234"/>
      <c r="AA1420" s="234" t="s">
        <v>303</v>
      </c>
      <c r="AB1420" s="234"/>
      <c r="AC1420" s="234"/>
      <c r="AD1420" s="319" t="s">
        <v>3661</v>
      </c>
      <c r="AE1420" s="319"/>
      <c r="AF1420" s="162">
        <f t="shared" si="124"/>
        <v>2.8</v>
      </c>
      <c r="AG1420" s="162" t="str">
        <f t="shared" si="121"/>
        <v/>
      </c>
      <c r="AH1420" s="164">
        <f t="shared" si="126"/>
        <v>0.11</v>
      </c>
      <c r="AI1420" s="164" t="str">
        <f t="shared" si="127"/>
        <v/>
      </c>
      <c r="AJ1420" s="375">
        <v>2.8</v>
      </c>
      <c r="AK1420" s="375"/>
      <c r="AL1420" s="375"/>
      <c r="AM1420" s="375"/>
      <c r="AN1420" s="375"/>
      <c r="AO1420" s="375"/>
      <c r="AP1420" s="375"/>
      <c r="AQ1420" s="375"/>
      <c r="AR1420" s="391"/>
      <c r="AS1420" s="276">
        <f t="shared" ref="AS1420:AS1435" si="128">AJ1420</f>
        <v>2.8</v>
      </c>
      <c r="AT1420" s="277"/>
      <c r="AU1420" s="391"/>
      <c r="AV1420" s="422"/>
      <c r="AW1420" s="436">
        <v>0.11</v>
      </c>
      <c r="AX1420" s="359"/>
      <c r="AY1420" s="359"/>
      <c r="AZ1420" s="359"/>
      <c r="BA1420" s="359"/>
      <c r="BB1420" s="359"/>
      <c r="BC1420" s="426"/>
      <c r="BD1420" s="359"/>
      <c r="BE1420" s="359"/>
      <c r="BF1420" s="469">
        <f t="shared" si="123"/>
        <v>0.11</v>
      </c>
      <c r="BG1420" s="469"/>
      <c r="BH1420" s="460"/>
      <c r="BI1420" s="461"/>
      <c r="BJ1420" s="505"/>
    </row>
    <row r="1421" spans="1:62" ht="15" customHeight="1" thickBot="1" x14ac:dyDescent="0.25">
      <c r="A1421" s="176">
        <v>1422</v>
      </c>
      <c r="B1421" s="291">
        <v>1</v>
      </c>
      <c r="C1421" s="167" t="s">
        <v>3450</v>
      </c>
      <c r="D1421" s="167" t="s">
        <v>3658</v>
      </c>
      <c r="E1421" s="167" t="s">
        <v>13</v>
      </c>
      <c r="F1421" s="167" t="s">
        <v>3662</v>
      </c>
      <c r="G1421" s="167"/>
      <c r="H1421" s="167" t="s">
        <v>87</v>
      </c>
      <c r="I1421" s="184">
        <v>2013</v>
      </c>
      <c r="J1421" s="181" t="s">
        <v>3660</v>
      </c>
      <c r="K1421" s="184"/>
      <c r="L1421" s="184" t="s">
        <v>19</v>
      </c>
      <c r="M1421" s="556" t="s">
        <v>4353</v>
      </c>
      <c r="N1421" s="214" t="s">
        <v>122</v>
      </c>
      <c r="O1421" s="214" t="s">
        <v>292</v>
      </c>
      <c r="P1421" s="214" t="s">
        <v>292</v>
      </c>
      <c r="Q1421" s="214" t="s">
        <v>292</v>
      </c>
      <c r="R1421" s="214" t="s">
        <v>292</v>
      </c>
      <c r="S1421" s="214" t="s">
        <v>292</v>
      </c>
      <c r="T1421" s="214" t="s">
        <v>292</v>
      </c>
      <c r="U1421" s="214" t="s">
        <v>292</v>
      </c>
      <c r="V1421" s="214" t="s">
        <v>292</v>
      </c>
      <c r="W1421" s="214" t="s">
        <v>292</v>
      </c>
      <c r="X1421" s="214" t="s">
        <v>292</v>
      </c>
      <c r="Y1421" s="214" t="s">
        <v>292</v>
      </c>
      <c r="Z1421" s="234"/>
      <c r="AA1421" s="234" t="s">
        <v>303</v>
      </c>
      <c r="AB1421" s="234"/>
      <c r="AC1421" s="234"/>
      <c r="AD1421" s="319" t="s">
        <v>3661</v>
      </c>
      <c r="AE1421" s="319"/>
      <c r="AF1421" s="162">
        <f t="shared" si="124"/>
        <v>4.43</v>
      </c>
      <c r="AG1421" s="162" t="str">
        <f t="shared" si="121"/>
        <v/>
      </c>
      <c r="AH1421" s="164">
        <f t="shared" si="126"/>
        <v>0.08</v>
      </c>
      <c r="AI1421" s="164" t="str">
        <f t="shared" si="127"/>
        <v/>
      </c>
      <c r="AJ1421" s="375">
        <v>4.43</v>
      </c>
      <c r="AK1421" s="375"/>
      <c r="AL1421" s="375"/>
      <c r="AM1421" s="375"/>
      <c r="AN1421" s="375"/>
      <c r="AO1421" s="375"/>
      <c r="AP1421" s="375"/>
      <c r="AQ1421" s="375"/>
      <c r="AR1421" s="391"/>
      <c r="AS1421" s="263">
        <f t="shared" si="128"/>
        <v>4.43</v>
      </c>
      <c r="AT1421" s="277"/>
      <c r="AU1421" s="391"/>
      <c r="AV1421" s="422"/>
      <c r="AW1421" s="436">
        <v>0.08</v>
      </c>
      <c r="AX1421" s="359"/>
      <c r="AY1421" s="359"/>
      <c r="AZ1421" s="359"/>
      <c r="BA1421" s="359"/>
      <c r="BB1421" s="359"/>
      <c r="BC1421" s="426"/>
      <c r="BD1421" s="359"/>
      <c r="BE1421" s="359"/>
      <c r="BF1421" s="469">
        <f t="shared" si="123"/>
        <v>0.08</v>
      </c>
      <c r="BG1421" s="469"/>
      <c r="BH1421" s="460"/>
      <c r="BI1421" s="461"/>
      <c r="BJ1421" s="505"/>
    </row>
    <row r="1422" spans="1:62" ht="15" customHeight="1" thickBot="1" x14ac:dyDescent="0.25">
      <c r="A1422" s="176">
        <v>1423</v>
      </c>
      <c r="B1422" s="291">
        <v>1</v>
      </c>
      <c r="C1422" s="167" t="s">
        <v>3450</v>
      </c>
      <c r="D1422" s="167" t="s">
        <v>3663</v>
      </c>
      <c r="E1422" s="167" t="s">
        <v>13</v>
      </c>
      <c r="F1422" s="167" t="s">
        <v>378</v>
      </c>
      <c r="G1422" s="167"/>
      <c r="H1422" s="167" t="s">
        <v>566</v>
      </c>
      <c r="I1422" s="184">
        <v>2013</v>
      </c>
      <c r="J1422" s="181" t="s">
        <v>3664</v>
      </c>
      <c r="K1422" s="184"/>
      <c r="L1422" s="184" t="s">
        <v>19</v>
      </c>
      <c r="M1422" s="556" t="s">
        <v>4354</v>
      </c>
      <c r="N1422" s="214" t="s">
        <v>122</v>
      </c>
      <c r="O1422" s="214" t="s">
        <v>292</v>
      </c>
      <c r="P1422" s="214" t="s">
        <v>292</v>
      </c>
      <c r="Q1422" s="214" t="s">
        <v>292</v>
      </c>
      <c r="R1422" s="214" t="s">
        <v>292</v>
      </c>
      <c r="S1422" s="214" t="s">
        <v>292</v>
      </c>
      <c r="T1422" s="214" t="s">
        <v>292</v>
      </c>
      <c r="U1422" s="214" t="s">
        <v>292</v>
      </c>
      <c r="V1422" s="214" t="s">
        <v>292</v>
      </c>
      <c r="W1422" s="214" t="s">
        <v>292</v>
      </c>
      <c r="X1422" s="214" t="s">
        <v>292</v>
      </c>
      <c r="Y1422" s="214" t="s">
        <v>292</v>
      </c>
      <c r="Z1422" s="234"/>
      <c r="AA1422" s="234" t="s">
        <v>303</v>
      </c>
      <c r="AB1422" s="234"/>
      <c r="AC1422" s="234"/>
      <c r="AD1422" s="319" t="s">
        <v>3665</v>
      </c>
      <c r="AE1422" s="319"/>
      <c r="AF1422" s="162">
        <f t="shared" si="124"/>
        <v>2.85</v>
      </c>
      <c r="AG1422" s="162" t="str">
        <f t="shared" si="121"/>
        <v/>
      </c>
      <c r="AH1422" s="164">
        <f t="shared" si="126"/>
        <v>0.12</v>
      </c>
      <c r="AI1422" s="164" t="str">
        <f t="shared" si="127"/>
        <v/>
      </c>
      <c r="AJ1422" s="375">
        <v>2.85</v>
      </c>
      <c r="AK1422" s="375"/>
      <c r="AL1422" s="375"/>
      <c r="AM1422" s="375"/>
      <c r="AN1422" s="375"/>
      <c r="AO1422" s="375"/>
      <c r="AP1422" s="375"/>
      <c r="AQ1422" s="375"/>
      <c r="AR1422" s="391"/>
      <c r="AS1422" s="263">
        <f t="shared" si="128"/>
        <v>2.85</v>
      </c>
      <c r="AT1422" s="277"/>
      <c r="AU1422" s="391"/>
      <c r="AV1422" s="422"/>
      <c r="AW1422" s="436">
        <v>0.12</v>
      </c>
      <c r="AX1422" s="359"/>
      <c r="AY1422" s="359"/>
      <c r="AZ1422" s="359"/>
      <c r="BA1422" s="359"/>
      <c r="BB1422" s="359"/>
      <c r="BC1422" s="426"/>
      <c r="BD1422" s="359"/>
      <c r="BE1422" s="359"/>
      <c r="BF1422" s="469">
        <f t="shared" si="123"/>
        <v>0.12</v>
      </c>
      <c r="BG1422" s="469"/>
      <c r="BH1422" s="460"/>
      <c r="BI1422" s="461"/>
      <c r="BJ1422" s="505"/>
    </row>
    <row r="1423" spans="1:62" ht="15" customHeight="1" thickBot="1" x14ac:dyDescent="0.25">
      <c r="A1423" s="176">
        <v>1424</v>
      </c>
      <c r="B1423" s="291">
        <v>1</v>
      </c>
      <c r="C1423" s="167" t="s">
        <v>3450</v>
      </c>
      <c r="D1423" s="167" t="s">
        <v>3663</v>
      </c>
      <c r="E1423" s="167" t="s">
        <v>13</v>
      </c>
      <c r="F1423" s="167" t="s">
        <v>379</v>
      </c>
      <c r="G1423" s="167"/>
      <c r="H1423" s="167" t="s">
        <v>566</v>
      </c>
      <c r="I1423" s="184">
        <v>2013</v>
      </c>
      <c r="J1423" s="181" t="s">
        <v>3664</v>
      </c>
      <c r="K1423" s="184"/>
      <c r="L1423" s="184" t="s">
        <v>19</v>
      </c>
      <c r="M1423" s="556" t="s">
        <v>4354</v>
      </c>
      <c r="N1423" s="214" t="s">
        <v>122</v>
      </c>
      <c r="O1423" s="214" t="s">
        <v>292</v>
      </c>
      <c r="P1423" s="214" t="s">
        <v>292</v>
      </c>
      <c r="Q1423" s="214" t="s">
        <v>292</v>
      </c>
      <c r="R1423" s="214" t="s">
        <v>292</v>
      </c>
      <c r="S1423" s="214" t="s">
        <v>292</v>
      </c>
      <c r="T1423" s="214" t="s">
        <v>292</v>
      </c>
      <c r="U1423" s="214" t="s">
        <v>292</v>
      </c>
      <c r="V1423" s="214" t="s">
        <v>292</v>
      </c>
      <c r="W1423" s="214" t="s">
        <v>292</v>
      </c>
      <c r="X1423" s="214" t="s">
        <v>292</v>
      </c>
      <c r="Y1423" s="214" t="s">
        <v>292</v>
      </c>
      <c r="Z1423" s="234"/>
      <c r="AA1423" s="234" t="s">
        <v>303</v>
      </c>
      <c r="AB1423" s="234"/>
      <c r="AC1423" s="234"/>
      <c r="AD1423" s="319" t="s">
        <v>3665</v>
      </c>
      <c r="AE1423" s="319"/>
      <c r="AF1423" s="162">
        <f t="shared" si="124"/>
        <v>2.1</v>
      </c>
      <c r="AG1423" s="162" t="str">
        <f t="shared" si="121"/>
        <v/>
      </c>
      <c r="AH1423" s="164">
        <f t="shared" si="126"/>
        <v>0.04</v>
      </c>
      <c r="AI1423" s="164" t="str">
        <f t="shared" si="127"/>
        <v/>
      </c>
      <c r="AJ1423" s="375">
        <v>2.1</v>
      </c>
      <c r="AK1423" s="375"/>
      <c r="AL1423" s="375"/>
      <c r="AM1423" s="375"/>
      <c r="AN1423" s="375"/>
      <c r="AO1423" s="375"/>
      <c r="AP1423" s="375"/>
      <c r="AQ1423" s="375"/>
      <c r="AR1423" s="391"/>
      <c r="AS1423" s="263">
        <f t="shared" si="128"/>
        <v>2.1</v>
      </c>
      <c r="AT1423" s="277"/>
      <c r="AU1423" s="391"/>
      <c r="AV1423" s="422"/>
      <c r="AW1423" s="436">
        <v>0.04</v>
      </c>
      <c r="AX1423" s="359"/>
      <c r="AY1423" s="359"/>
      <c r="AZ1423" s="359"/>
      <c r="BA1423" s="359"/>
      <c r="BB1423" s="359"/>
      <c r="BC1423" s="426"/>
      <c r="BD1423" s="359"/>
      <c r="BE1423" s="359"/>
      <c r="BF1423" s="469">
        <f t="shared" si="123"/>
        <v>0.04</v>
      </c>
      <c r="BG1423" s="469"/>
      <c r="BH1423" s="460"/>
      <c r="BI1423" s="461"/>
      <c r="BJ1423" s="505"/>
    </row>
    <row r="1424" spans="1:62" ht="15" customHeight="1" thickBot="1" x14ac:dyDescent="0.25">
      <c r="A1424" s="176">
        <v>1425</v>
      </c>
      <c r="B1424" s="291">
        <v>1</v>
      </c>
      <c r="C1424" s="167" t="s">
        <v>3450</v>
      </c>
      <c r="D1424" s="167" t="s">
        <v>2769</v>
      </c>
      <c r="E1424" s="167" t="s">
        <v>13</v>
      </c>
      <c r="F1424" s="167" t="s">
        <v>378</v>
      </c>
      <c r="G1424" s="167"/>
      <c r="H1424" s="167" t="s">
        <v>566</v>
      </c>
      <c r="I1424" s="184">
        <v>2013</v>
      </c>
      <c r="J1424" s="181" t="s">
        <v>3664</v>
      </c>
      <c r="K1424" s="184"/>
      <c r="L1424" s="184" t="s">
        <v>19</v>
      </c>
      <c r="M1424" s="556" t="s">
        <v>4354</v>
      </c>
      <c r="N1424" s="214" t="s">
        <v>122</v>
      </c>
      <c r="O1424" s="214" t="s">
        <v>292</v>
      </c>
      <c r="P1424" s="214" t="s">
        <v>292</v>
      </c>
      <c r="Q1424" s="214" t="s">
        <v>292</v>
      </c>
      <c r="R1424" s="214" t="s">
        <v>292</v>
      </c>
      <c r="S1424" s="214" t="s">
        <v>292</v>
      </c>
      <c r="T1424" s="214" t="s">
        <v>292</v>
      </c>
      <c r="U1424" s="214" t="s">
        <v>292</v>
      </c>
      <c r="V1424" s="214" t="s">
        <v>292</v>
      </c>
      <c r="W1424" s="214" t="s">
        <v>292</v>
      </c>
      <c r="X1424" s="214" t="s">
        <v>292</v>
      </c>
      <c r="Y1424" s="214" t="s">
        <v>292</v>
      </c>
      <c r="Z1424" s="234"/>
      <c r="AA1424" s="234" t="s">
        <v>303</v>
      </c>
      <c r="AB1424" s="234"/>
      <c r="AC1424" s="234"/>
      <c r="AD1424" s="319" t="s">
        <v>3666</v>
      </c>
      <c r="AE1424" s="319"/>
      <c r="AF1424" s="162">
        <f t="shared" si="124"/>
        <v>2.87</v>
      </c>
      <c r="AG1424" s="162" t="str">
        <f t="shared" si="121"/>
        <v/>
      </c>
      <c r="AH1424" s="164">
        <f t="shared" si="126"/>
        <v>0.13</v>
      </c>
      <c r="AI1424" s="164" t="str">
        <f t="shared" si="127"/>
        <v/>
      </c>
      <c r="AJ1424" s="375">
        <v>2.87</v>
      </c>
      <c r="AK1424" s="375"/>
      <c r="AL1424" s="375"/>
      <c r="AM1424" s="375"/>
      <c r="AN1424" s="375"/>
      <c r="AO1424" s="375"/>
      <c r="AP1424" s="375"/>
      <c r="AQ1424" s="375"/>
      <c r="AR1424" s="391"/>
      <c r="AS1424" s="263">
        <f t="shared" si="128"/>
        <v>2.87</v>
      </c>
      <c r="AT1424" s="277"/>
      <c r="AU1424" s="391"/>
      <c r="AV1424" s="422"/>
      <c r="AW1424" s="436">
        <v>0.13</v>
      </c>
      <c r="AX1424" s="359"/>
      <c r="AY1424" s="359"/>
      <c r="AZ1424" s="359"/>
      <c r="BA1424" s="359"/>
      <c r="BB1424" s="359"/>
      <c r="BC1424" s="426"/>
      <c r="BD1424" s="359"/>
      <c r="BE1424" s="359"/>
      <c r="BF1424" s="469">
        <f t="shared" si="123"/>
        <v>0.13</v>
      </c>
      <c r="BG1424" s="469"/>
      <c r="BH1424" s="460"/>
      <c r="BI1424" s="461"/>
      <c r="BJ1424" s="505"/>
    </row>
    <row r="1425" spans="1:62" ht="15" customHeight="1" thickBot="1" x14ac:dyDescent="0.25">
      <c r="A1425" s="176">
        <v>1426</v>
      </c>
      <c r="B1425" s="291">
        <v>1</v>
      </c>
      <c r="C1425" s="167" t="s">
        <v>3450</v>
      </c>
      <c r="D1425" s="167" t="s">
        <v>2769</v>
      </c>
      <c r="E1425" s="167" t="s">
        <v>13</v>
      </c>
      <c r="F1425" s="167" t="s">
        <v>379</v>
      </c>
      <c r="G1425" s="167"/>
      <c r="H1425" s="167" t="s">
        <v>566</v>
      </c>
      <c r="I1425" s="184">
        <v>2013</v>
      </c>
      <c r="J1425" s="181" t="s">
        <v>3664</v>
      </c>
      <c r="K1425" s="184"/>
      <c r="L1425" s="184" t="s">
        <v>19</v>
      </c>
      <c r="M1425" s="556" t="s">
        <v>4354</v>
      </c>
      <c r="N1425" s="214" t="s">
        <v>122</v>
      </c>
      <c r="O1425" s="214" t="s">
        <v>292</v>
      </c>
      <c r="P1425" s="214" t="s">
        <v>292</v>
      </c>
      <c r="Q1425" s="214" t="s">
        <v>292</v>
      </c>
      <c r="R1425" s="214" t="s">
        <v>292</v>
      </c>
      <c r="S1425" s="214" t="s">
        <v>292</v>
      </c>
      <c r="T1425" s="214" t="s">
        <v>292</v>
      </c>
      <c r="U1425" s="214" t="s">
        <v>292</v>
      </c>
      <c r="V1425" s="214" t="s">
        <v>292</v>
      </c>
      <c r="W1425" s="214" t="s">
        <v>292</v>
      </c>
      <c r="X1425" s="214" t="s">
        <v>292</v>
      </c>
      <c r="Y1425" s="214" t="s">
        <v>292</v>
      </c>
      <c r="Z1425" s="234"/>
      <c r="AA1425" s="234" t="s">
        <v>303</v>
      </c>
      <c r="AB1425" s="234"/>
      <c r="AC1425" s="234"/>
      <c r="AD1425" s="319" t="s">
        <v>3666</v>
      </c>
      <c r="AE1425" s="319"/>
      <c r="AF1425" s="162">
        <f t="shared" si="124"/>
        <v>2.38</v>
      </c>
      <c r="AG1425" s="162" t="str">
        <f t="shared" si="121"/>
        <v/>
      </c>
      <c r="AH1425" s="164">
        <f t="shared" si="126"/>
        <v>0.04</v>
      </c>
      <c r="AI1425" s="164" t="str">
        <f t="shared" si="127"/>
        <v/>
      </c>
      <c r="AJ1425" s="375">
        <v>2.38</v>
      </c>
      <c r="AK1425" s="375"/>
      <c r="AL1425" s="375"/>
      <c r="AM1425" s="375"/>
      <c r="AN1425" s="375"/>
      <c r="AO1425" s="375"/>
      <c r="AP1425" s="375"/>
      <c r="AQ1425" s="375"/>
      <c r="AR1425" s="391"/>
      <c r="AS1425" s="263">
        <f t="shared" si="128"/>
        <v>2.38</v>
      </c>
      <c r="AT1425" s="277"/>
      <c r="AU1425" s="391"/>
      <c r="AV1425" s="422"/>
      <c r="AW1425" s="436">
        <v>0.04</v>
      </c>
      <c r="AX1425" s="359"/>
      <c r="AY1425" s="359"/>
      <c r="AZ1425" s="359"/>
      <c r="BA1425" s="359"/>
      <c r="BB1425" s="359"/>
      <c r="BC1425" s="426"/>
      <c r="BD1425" s="359"/>
      <c r="BE1425" s="359"/>
      <c r="BF1425" s="469">
        <f t="shared" si="123"/>
        <v>0.04</v>
      </c>
      <c r="BG1425" s="469"/>
      <c r="BH1425" s="460"/>
      <c r="BI1425" s="461"/>
      <c r="BJ1425" s="505"/>
    </row>
    <row r="1426" spans="1:62" ht="15" customHeight="1" thickBot="1" x14ac:dyDescent="0.25">
      <c r="A1426" s="176">
        <v>1427</v>
      </c>
      <c r="B1426" s="291">
        <v>1</v>
      </c>
      <c r="C1426" s="167" t="s">
        <v>3589</v>
      </c>
      <c r="D1426" s="167" t="s">
        <v>12</v>
      </c>
      <c r="E1426" s="167" t="s">
        <v>13</v>
      </c>
      <c r="F1426" s="167" t="s">
        <v>3667</v>
      </c>
      <c r="G1426" s="167"/>
      <c r="H1426" s="167" t="s">
        <v>165</v>
      </c>
      <c r="I1426" s="184">
        <v>2013</v>
      </c>
      <c r="J1426" s="181" t="s">
        <v>3668</v>
      </c>
      <c r="K1426" s="184"/>
      <c r="L1426" s="184" t="s">
        <v>19</v>
      </c>
      <c r="M1426" s="556" t="s">
        <v>4355</v>
      </c>
      <c r="N1426" s="214" t="s">
        <v>122</v>
      </c>
      <c r="O1426" s="214" t="s">
        <v>122</v>
      </c>
      <c r="P1426" s="214" t="s">
        <v>292</v>
      </c>
      <c r="Q1426" s="214" t="s">
        <v>292</v>
      </c>
      <c r="R1426" s="214" t="s">
        <v>292</v>
      </c>
      <c r="S1426" s="214" t="s">
        <v>292</v>
      </c>
      <c r="T1426" s="214" t="s">
        <v>292</v>
      </c>
      <c r="U1426" s="214" t="s">
        <v>292</v>
      </c>
      <c r="V1426" s="214" t="s">
        <v>292</v>
      </c>
      <c r="W1426" s="214" t="s">
        <v>292</v>
      </c>
      <c r="X1426" s="214" t="s">
        <v>292</v>
      </c>
      <c r="Y1426" s="214" t="s">
        <v>292</v>
      </c>
      <c r="Z1426" s="234"/>
      <c r="AA1426" s="234" t="s">
        <v>3669</v>
      </c>
      <c r="AB1426" s="234"/>
      <c r="AC1426" s="234"/>
      <c r="AD1426" s="319" t="s">
        <v>343</v>
      </c>
      <c r="AE1426" s="319"/>
      <c r="AF1426" s="162">
        <f t="shared" si="124"/>
        <v>4.29</v>
      </c>
      <c r="AG1426" s="162" t="str">
        <f t="shared" si="121"/>
        <v/>
      </c>
      <c r="AH1426" s="164">
        <f t="shared" si="126"/>
        <v>1.45</v>
      </c>
      <c r="AI1426" s="164" t="str">
        <f t="shared" si="127"/>
        <v/>
      </c>
      <c r="AJ1426" s="375">
        <v>4.29</v>
      </c>
      <c r="AK1426" s="375"/>
      <c r="AL1426" s="375"/>
      <c r="AM1426" s="375"/>
      <c r="AN1426" s="375"/>
      <c r="AO1426" s="375"/>
      <c r="AP1426" s="375"/>
      <c r="AQ1426" s="375"/>
      <c r="AR1426" s="391"/>
      <c r="AS1426" s="263">
        <f t="shared" si="128"/>
        <v>4.29</v>
      </c>
      <c r="AT1426" s="277"/>
      <c r="AU1426" s="391"/>
      <c r="AV1426" s="422"/>
      <c r="AW1426" s="436">
        <v>1.45</v>
      </c>
      <c r="AX1426" s="359"/>
      <c r="AY1426" s="359"/>
      <c r="AZ1426" s="359"/>
      <c r="BA1426" s="359"/>
      <c r="BB1426" s="359"/>
      <c r="BC1426" s="426"/>
      <c r="BD1426" s="359"/>
      <c r="BE1426" s="359"/>
      <c r="BF1426" s="469">
        <f t="shared" si="123"/>
        <v>1.45</v>
      </c>
      <c r="BG1426" s="469"/>
      <c r="BH1426" s="460"/>
      <c r="BI1426" s="461"/>
      <c r="BJ1426" s="505"/>
    </row>
    <row r="1427" spans="1:62" ht="15" customHeight="1" thickBot="1" x14ac:dyDescent="0.25">
      <c r="A1427" s="176">
        <v>1428</v>
      </c>
      <c r="B1427" s="291">
        <v>1</v>
      </c>
      <c r="C1427" s="167" t="s">
        <v>3589</v>
      </c>
      <c r="D1427" s="167" t="s">
        <v>12</v>
      </c>
      <c r="E1427" s="167" t="s">
        <v>13</v>
      </c>
      <c r="F1427" s="167" t="s">
        <v>3670</v>
      </c>
      <c r="G1427" s="167"/>
      <c r="H1427" s="167" t="s">
        <v>165</v>
      </c>
      <c r="I1427" s="184">
        <v>2013</v>
      </c>
      <c r="J1427" s="181" t="s">
        <v>3668</v>
      </c>
      <c r="K1427" s="184"/>
      <c r="L1427" s="184" t="s">
        <v>19</v>
      </c>
      <c r="M1427" s="556" t="s">
        <v>4355</v>
      </c>
      <c r="N1427" s="214" t="s">
        <v>122</v>
      </c>
      <c r="O1427" s="214" t="s">
        <v>122</v>
      </c>
      <c r="P1427" s="214" t="s">
        <v>292</v>
      </c>
      <c r="Q1427" s="214" t="s">
        <v>292</v>
      </c>
      <c r="R1427" s="214" t="s">
        <v>292</v>
      </c>
      <c r="S1427" s="214" t="s">
        <v>292</v>
      </c>
      <c r="T1427" s="214" t="s">
        <v>292</v>
      </c>
      <c r="U1427" s="214" t="s">
        <v>292</v>
      </c>
      <c r="V1427" s="214" t="s">
        <v>292</v>
      </c>
      <c r="W1427" s="214" t="s">
        <v>292</v>
      </c>
      <c r="X1427" s="214" t="s">
        <v>292</v>
      </c>
      <c r="Y1427" s="214" t="s">
        <v>292</v>
      </c>
      <c r="Z1427" s="234"/>
      <c r="AA1427" s="234" t="s">
        <v>3669</v>
      </c>
      <c r="AB1427" s="234"/>
      <c r="AC1427" s="234"/>
      <c r="AD1427" s="319" t="s">
        <v>343</v>
      </c>
      <c r="AE1427" s="319"/>
      <c r="AF1427" s="162">
        <f t="shared" si="124"/>
        <v>3.97</v>
      </c>
      <c r="AG1427" s="162" t="str">
        <f t="shared" ref="AG1427:AG1490" si="129">IF(AND(SUM(AJ1427:AL1427)&lt;&gt;0,SUM(AJ1427:AL1427)&lt;&gt;AJ1427),SUM(AJ1427:AL1427),"")</f>
        <v/>
      </c>
      <c r="AH1427" s="164">
        <f t="shared" si="126"/>
        <v>1.33</v>
      </c>
      <c r="AI1427" s="164" t="str">
        <f t="shared" si="127"/>
        <v/>
      </c>
      <c r="AJ1427" s="375">
        <v>3.97</v>
      </c>
      <c r="AK1427" s="375"/>
      <c r="AL1427" s="375"/>
      <c r="AM1427" s="375"/>
      <c r="AN1427" s="375"/>
      <c r="AO1427" s="375"/>
      <c r="AP1427" s="375"/>
      <c r="AQ1427" s="375"/>
      <c r="AR1427" s="391"/>
      <c r="AS1427" s="276">
        <f t="shared" si="128"/>
        <v>3.97</v>
      </c>
      <c r="AT1427" s="277"/>
      <c r="AU1427" s="391"/>
      <c r="AV1427" s="422"/>
      <c r="AW1427" s="436">
        <v>1.33</v>
      </c>
      <c r="AX1427" s="359"/>
      <c r="AY1427" s="359"/>
      <c r="AZ1427" s="359"/>
      <c r="BA1427" s="359"/>
      <c r="BB1427" s="359"/>
      <c r="BC1427" s="426"/>
      <c r="BD1427" s="359"/>
      <c r="BE1427" s="359"/>
      <c r="BF1427" s="469">
        <f t="shared" si="123"/>
        <v>1.33</v>
      </c>
      <c r="BG1427" s="469"/>
      <c r="BH1427" s="460"/>
      <c r="BI1427" s="461"/>
      <c r="BJ1427" s="505"/>
    </row>
    <row r="1428" spans="1:62" ht="15" customHeight="1" thickBot="1" x14ac:dyDescent="0.25">
      <c r="A1428" s="176">
        <v>1429</v>
      </c>
      <c r="B1428" s="291">
        <v>1</v>
      </c>
      <c r="C1428" s="167" t="s">
        <v>3589</v>
      </c>
      <c r="D1428" s="167" t="s">
        <v>12</v>
      </c>
      <c r="E1428" s="167" t="s">
        <v>13</v>
      </c>
      <c r="F1428" s="167" t="s">
        <v>3671</v>
      </c>
      <c r="G1428" s="167"/>
      <c r="H1428" s="167" t="s">
        <v>165</v>
      </c>
      <c r="I1428" s="184">
        <v>2013</v>
      </c>
      <c r="J1428" s="181" t="s">
        <v>3668</v>
      </c>
      <c r="K1428" s="184"/>
      <c r="L1428" s="184" t="s">
        <v>19</v>
      </c>
      <c r="M1428" s="556" t="s">
        <v>4355</v>
      </c>
      <c r="N1428" s="214" t="s">
        <v>122</v>
      </c>
      <c r="O1428" s="214" t="s">
        <v>122</v>
      </c>
      <c r="P1428" s="214" t="s">
        <v>292</v>
      </c>
      <c r="Q1428" s="214" t="s">
        <v>292</v>
      </c>
      <c r="R1428" s="214" t="s">
        <v>292</v>
      </c>
      <c r="S1428" s="214" t="s">
        <v>292</v>
      </c>
      <c r="T1428" s="214" t="s">
        <v>292</v>
      </c>
      <c r="U1428" s="214" t="s">
        <v>292</v>
      </c>
      <c r="V1428" s="214" t="s">
        <v>292</v>
      </c>
      <c r="W1428" s="214" t="s">
        <v>292</v>
      </c>
      <c r="X1428" s="214" t="s">
        <v>292</v>
      </c>
      <c r="Y1428" s="214" t="s">
        <v>292</v>
      </c>
      <c r="Z1428" s="234"/>
      <c r="AA1428" s="234" t="s">
        <v>3669</v>
      </c>
      <c r="AB1428" s="234"/>
      <c r="AC1428" s="234"/>
      <c r="AD1428" s="319" t="s">
        <v>343</v>
      </c>
      <c r="AE1428" s="319"/>
      <c r="AF1428" s="162">
        <f t="shared" si="124"/>
        <v>3.93</v>
      </c>
      <c r="AG1428" s="162" t="str">
        <f t="shared" si="129"/>
        <v/>
      </c>
      <c r="AH1428" s="164">
        <f t="shared" si="126"/>
        <v>1.29</v>
      </c>
      <c r="AI1428" s="164" t="str">
        <f t="shared" si="127"/>
        <v/>
      </c>
      <c r="AJ1428" s="375">
        <v>3.93</v>
      </c>
      <c r="AK1428" s="375"/>
      <c r="AL1428" s="375"/>
      <c r="AM1428" s="375"/>
      <c r="AN1428" s="375"/>
      <c r="AO1428" s="375"/>
      <c r="AP1428" s="375"/>
      <c r="AQ1428" s="375"/>
      <c r="AR1428" s="391"/>
      <c r="AS1428" s="276">
        <f t="shared" si="128"/>
        <v>3.93</v>
      </c>
      <c r="AT1428" s="277"/>
      <c r="AU1428" s="391"/>
      <c r="AV1428" s="422"/>
      <c r="AW1428" s="436">
        <v>1.29</v>
      </c>
      <c r="AX1428" s="359"/>
      <c r="AY1428" s="359"/>
      <c r="AZ1428" s="359"/>
      <c r="BA1428" s="359"/>
      <c r="BB1428" s="359"/>
      <c r="BC1428" s="426"/>
      <c r="BD1428" s="359"/>
      <c r="BE1428" s="359"/>
      <c r="BF1428" s="469">
        <f t="shared" si="123"/>
        <v>1.29</v>
      </c>
      <c r="BG1428" s="469"/>
      <c r="BH1428" s="460"/>
      <c r="BI1428" s="461"/>
      <c r="BJ1428" s="505"/>
    </row>
    <row r="1429" spans="1:62" ht="15" customHeight="1" thickBot="1" x14ac:dyDescent="0.25">
      <c r="A1429" s="176">
        <v>1430</v>
      </c>
      <c r="B1429" s="291">
        <v>1</v>
      </c>
      <c r="C1429" s="167" t="s">
        <v>3589</v>
      </c>
      <c r="D1429" s="167" t="s">
        <v>12</v>
      </c>
      <c r="E1429" s="167" t="s">
        <v>13</v>
      </c>
      <c r="F1429" s="167" t="s">
        <v>3672</v>
      </c>
      <c r="G1429" s="167"/>
      <c r="H1429" s="167" t="s">
        <v>165</v>
      </c>
      <c r="I1429" s="184">
        <v>2013</v>
      </c>
      <c r="J1429" s="181" t="s">
        <v>3668</v>
      </c>
      <c r="K1429" s="184"/>
      <c r="L1429" s="184" t="s">
        <v>19</v>
      </c>
      <c r="M1429" s="556" t="s">
        <v>4355</v>
      </c>
      <c r="N1429" s="214" t="s">
        <v>122</v>
      </c>
      <c r="O1429" s="214" t="s">
        <v>122</v>
      </c>
      <c r="P1429" s="214" t="s">
        <v>292</v>
      </c>
      <c r="Q1429" s="214" t="s">
        <v>292</v>
      </c>
      <c r="R1429" s="214" t="s">
        <v>292</v>
      </c>
      <c r="S1429" s="214" t="s">
        <v>292</v>
      </c>
      <c r="T1429" s="214" t="s">
        <v>292</v>
      </c>
      <c r="U1429" s="214" t="s">
        <v>292</v>
      </c>
      <c r="V1429" s="214" t="s">
        <v>292</v>
      </c>
      <c r="W1429" s="214" t="s">
        <v>292</v>
      </c>
      <c r="X1429" s="214" t="s">
        <v>292</v>
      </c>
      <c r="Y1429" s="214" t="s">
        <v>292</v>
      </c>
      <c r="Z1429" s="234"/>
      <c r="AA1429" s="234" t="s">
        <v>3669</v>
      </c>
      <c r="AB1429" s="234"/>
      <c r="AC1429" s="234"/>
      <c r="AD1429" s="319" t="s">
        <v>343</v>
      </c>
      <c r="AE1429" s="319"/>
      <c r="AF1429" s="162">
        <f t="shared" si="124"/>
        <v>3.75</v>
      </c>
      <c r="AG1429" s="162" t="str">
        <f t="shared" si="129"/>
        <v/>
      </c>
      <c r="AH1429" s="164">
        <f t="shared" si="126"/>
        <v>1.17</v>
      </c>
      <c r="AI1429" s="164" t="str">
        <f t="shared" si="127"/>
        <v/>
      </c>
      <c r="AJ1429" s="375">
        <v>3.75</v>
      </c>
      <c r="AK1429" s="375"/>
      <c r="AL1429" s="375"/>
      <c r="AM1429" s="375"/>
      <c r="AN1429" s="375"/>
      <c r="AO1429" s="375"/>
      <c r="AP1429" s="375"/>
      <c r="AQ1429" s="375"/>
      <c r="AR1429" s="391"/>
      <c r="AS1429" s="276">
        <f t="shared" si="128"/>
        <v>3.75</v>
      </c>
      <c r="AT1429" s="277"/>
      <c r="AU1429" s="391"/>
      <c r="AV1429" s="422"/>
      <c r="AW1429" s="436">
        <v>1.17</v>
      </c>
      <c r="AX1429" s="359"/>
      <c r="AY1429" s="359"/>
      <c r="AZ1429" s="359"/>
      <c r="BA1429" s="359"/>
      <c r="BB1429" s="359"/>
      <c r="BC1429" s="426"/>
      <c r="BD1429" s="359"/>
      <c r="BE1429" s="359"/>
      <c r="BF1429" s="469">
        <f t="shared" si="123"/>
        <v>1.17</v>
      </c>
      <c r="BG1429" s="469"/>
      <c r="BH1429" s="460"/>
      <c r="BI1429" s="461"/>
      <c r="BJ1429" s="505"/>
    </row>
    <row r="1430" spans="1:62" ht="15" customHeight="1" thickBot="1" x14ac:dyDescent="0.25">
      <c r="A1430" s="176">
        <v>1431</v>
      </c>
      <c r="B1430" s="291">
        <v>1</v>
      </c>
      <c r="C1430" s="167" t="s">
        <v>3589</v>
      </c>
      <c r="D1430" s="167" t="s">
        <v>12</v>
      </c>
      <c r="E1430" s="167" t="s">
        <v>13</v>
      </c>
      <c r="F1430" s="167" t="s">
        <v>3673</v>
      </c>
      <c r="G1430" s="167"/>
      <c r="H1430" s="167" t="s">
        <v>165</v>
      </c>
      <c r="I1430" s="184">
        <v>2013</v>
      </c>
      <c r="J1430" s="181" t="s">
        <v>3668</v>
      </c>
      <c r="K1430" s="184"/>
      <c r="L1430" s="184" t="s">
        <v>19</v>
      </c>
      <c r="M1430" s="556" t="s">
        <v>4355</v>
      </c>
      <c r="N1430" s="214" t="s">
        <v>122</v>
      </c>
      <c r="O1430" s="214" t="s">
        <v>122</v>
      </c>
      <c r="P1430" s="214" t="s">
        <v>292</v>
      </c>
      <c r="Q1430" s="214" t="s">
        <v>292</v>
      </c>
      <c r="R1430" s="214" t="s">
        <v>292</v>
      </c>
      <c r="S1430" s="214" t="s">
        <v>292</v>
      </c>
      <c r="T1430" s="214" t="s">
        <v>292</v>
      </c>
      <c r="U1430" s="214" t="s">
        <v>292</v>
      </c>
      <c r="V1430" s="214" t="s">
        <v>292</v>
      </c>
      <c r="W1430" s="214" t="s">
        <v>292</v>
      </c>
      <c r="X1430" s="214" t="s">
        <v>292</v>
      </c>
      <c r="Y1430" s="214" t="s">
        <v>292</v>
      </c>
      <c r="Z1430" s="234"/>
      <c r="AA1430" s="234" t="s">
        <v>3669</v>
      </c>
      <c r="AB1430" s="234"/>
      <c r="AC1430" s="234"/>
      <c r="AD1430" s="319" t="s">
        <v>343</v>
      </c>
      <c r="AE1430" s="319"/>
      <c r="AF1430" s="162">
        <f t="shared" si="124"/>
        <v>3.98</v>
      </c>
      <c r="AG1430" s="162" t="str">
        <f t="shared" si="129"/>
        <v/>
      </c>
      <c r="AH1430" s="164">
        <f t="shared" si="126"/>
        <v>1.28</v>
      </c>
      <c r="AI1430" s="164" t="str">
        <f t="shared" si="127"/>
        <v/>
      </c>
      <c r="AJ1430" s="375">
        <v>3.98</v>
      </c>
      <c r="AK1430" s="375"/>
      <c r="AL1430" s="375"/>
      <c r="AM1430" s="375"/>
      <c r="AN1430" s="375"/>
      <c r="AO1430" s="375"/>
      <c r="AP1430" s="375"/>
      <c r="AQ1430" s="375"/>
      <c r="AR1430" s="391"/>
      <c r="AS1430" s="276">
        <f t="shared" si="128"/>
        <v>3.98</v>
      </c>
      <c r="AT1430" s="277"/>
      <c r="AU1430" s="391"/>
      <c r="AV1430" s="422"/>
      <c r="AW1430" s="436">
        <v>1.28</v>
      </c>
      <c r="AX1430" s="359"/>
      <c r="AY1430" s="359"/>
      <c r="AZ1430" s="359"/>
      <c r="BA1430" s="359"/>
      <c r="BB1430" s="359"/>
      <c r="BC1430" s="426"/>
      <c r="BD1430" s="359"/>
      <c r="BE1430" s="359"/>
      <c r="BF1430" s="469">
        <f t="shared" si="123"/>
        <v>1.28</v>
      </c>
      <c r="BG1430" s="469"/>
      <c r="BH1430" s="460"/>
      <c r="BI1430" s="461"/>
      <c r="BJ1430" s="505"/>
    </row>
    <row r="1431" spans="1:62" ht="15" customHeight="1" thickBot="1" x14ac:dyDescent="0.25">
      <c r="A1431" s="176">
        <v>1432</v>
      </c>
      <c r="B1431" s="291">
        <v>1</v>
      </c>
      <c r="C1431" s="167" t="s">
        <v>3589</v>
      </c>
      <c r="D1431" s="167" t="s">
        <v>12</v>
      </c>
      <c r="E1431" s="167" t="s">
        <v>13</v>
      </c>
      <c r="F1431" s="167" t="s">
        <v>3674</v>
      </c>
      <c r="G1431" s="167"/>
      <c r="H1431" s="167" t="s">
        <v>165</v>
      </c>
      <c r="I1431" s="184">
        <v>2013</v>
      </c>
      <c r="J1431" s="181" t="s">
        <v>3668</v>
      </c>
      <c r="K1431" s="184"/>
      <c r="L1431" s="184" t="s">
        <v>19</v>
      </c>
      <c r="M1431" s="556" t="s">
        <v>4355</v>
      </c>
      <c r="N1431" s="214" t="s">
        <v>122</v>
      </c>
      <c r="O1431" s="214" t="s">
        <v>122</v>
      </c>
      <c r="P1431" s="214" t="s">
        <v>292</v>
      </c>
      <c r="Q1431" s="214" t="s">
        <v>292</v>
      </c>
      <c r="R1431" s="214" t="s">
        <v>292</v>
      </c>
      <c r="S1431" s="214" t="s">
        <v>292</v>
      </c>
      <c r="T1431" s="214" t="s">
        <v>292</v>
      </c>
      <c r="U1431" s="214" t="s">
        <v>292</v>
      </c>
      <c r="V1431" s="214" t="s">
        <v>292</v>
      </c>
      <c r="W1431" s="214" t="s">
        <v>292</v>
      </c>
      <c r="X1431" s="214" t="s">
        <v>292</v>
      </c>
      <c r="Y1431" s="214" t="s">
        <v>292</v>
      </c>
      <c r="Z1431" s="234"/>
      <c r="AA1431" s="234" t="s">
        <v>3669</v>
      </c>
      <c r="AB1431" s="234"/>
      <c r="AC1431" s="234"/>
      <c r="AD1431" s="319" t="s">
        <v>343</v>
      </c>
      <c r="AE1431" s="319"/>
      <c r="AF1431" s="162">
        <f t="shared" si="124"/>
        <v>3.87</v>
      </c>
      <c r="AG1431" s="162" t="str">
        <f t="shared" si="129"/>
        <v/>
      </c>
      <c r="AH1431" s="164">
        <f t="shared" si="126"/>
        <v>1.1599999999999999</v>
      </c>
      <c r="AI1431" s="164" t="str">
        <f t="shared" si="127"/>
        <v/>
      </c>
      <c r="AJ1431" s="375">
        <v>3.87</v>
      </c>
      <c r="AK1431" s="375"/>
      <c r="AL1431" s="375"/>
      <c r="AM1431" s="375"/>
      <c r="AN1431" s="375"/>
      <c r="AO1431" s="375"/>
      <c r="AP1431" s="375"/>
      <c r="AQ1431" s="375"/>
      <c r="AR1431" s="391"/>
      <c r="AS1431" s="276">
        <f t="shared" si="128"/>
        <v>3.87</v>
      </c>
      <c r="AT1431" s="277"/>
      <c r="AU1431" s="391"/>
      <c r="AV1431" s="422"/>
      <c r="AW1431" s="436">
        <v>1.1599999999999999</v>
      </c>
      <c r="AX1431" s="359"/>
      <c r="AY1431" s="359"/>
      <c r="AZ1431" s="359"/>
      <c r="BA1431" s="359"/>
      <c r="BB1431" s="359"/>
      <c r="BC1431" s="426"/>
      <c r="BD1431" s="359"/>
      <c r="BE1431" s="359"/>
      <c r="BF1431" s="469">
        <f t="shared" si="123"/>
        <v>1.1599999999999999</v>
      </c>
      <c r="BG1431" s="469"/>
      <c r="BH1431" s="460"/>
      <c r="BI1431" s="461"/>
      <c r="BJ1431" s="505"/>
    </row>
    <row r="1432" spans="1:62" ht="15" customHeight="1" thickBot="1" x14ac:dyDescent="0.25">
      <c r="A1432" s="176">
        <v>1433</v>
      </c>
      <c r="B1432" s="291">
        <v>1</v>
      </c>
      <c r="C1432" s="167" t="s">
        <v>975</v>
      </c>
      <c r="D1432" s="167" t="s">
        <v>1984</v>
      </c>
      <c r="E1432" s="167" t="s">
        <v>13</v>
      </c>
      <c r="F1432" s="166" t="s">
        <v>3675</v>
      </c>
      <c r="G1432" s="167"/>
      <c r="H1432" s="167" t="s">
        <v>3676</v>
      </c>
      <c r="I1432" s="184">
        <v>2013</v>
      </c>
      <c r="J1432" s="181" t="s">
        <v>3677</v>
      </c>
      <c r="K1432" s="184"/>
      <c r="L1432" s="184" t="s">
        <v>19</v>
      </c>
      <c r="M1432" s="556" t="s">
        <v>4356</v>
      </c>
      <c r="N1432" s="214" t="s">
        <v>122</v>
      </c>
      <c r="O1432" s="214" t="s">
        <v>292</v>
      </c>
      <c r="P1432" s="214" t="s">
        <v>292</v>
      </c>
      <c r="Q1432" s="214" t="s">
        <v>292</v>
      </c>
      <c r="R1432" s="214" t="s">
        <v>292</v>
      </c>
      <c r="S1432" s="214" t="s">
        <v>292</v>
      </c>
      <c r="T1432" s="214" t="s">
        <v>292</v>
      </c>
      <c r="U1432" s="214" t="s">
        <v>292</v>
      </c>
      <c r="V1432" s="214" t="s">
        <v>292</v>
      </c>
      <c r="W1432" s="214" t="s">
        <v>292</v>
      </c>
      <c r="X1432" s="214" t="s">
        <v>292</v>
      </c>
      <c r="Y1432" s="214" t="s">
        <v>292</v>
      </c>
      <c r="Z1432" s="234"/>
      <c r="AA1432" s="234"/>
      <c r="AB1432" s="234"/>
      <c r="AC1432" s="234"/>
      <c r="AD1432" s="319" t="s">
        <v>3678</v>
      </c>
      <c r="AE1432" s="319" t="s">
        <v>3679</v>
      </c>
      <c r="AF1432" s="162">
        <f t="shared" si="124"/>
        <v>77.418918918918919</v>
      </c>
      <c r="AG1432" s="162" t="str">
        <f t="shared" si="129"/>
        <v/>
      </c>
      <c r="AH1432" s="164">
        <f t="shared" si="126"/>
        <v>4.6675675675675681</v>
      </c>
      <c r="AI1432" s="164" t="str">
        <f t="shared" si="127"/>
        <v/>
      </c>
      <c r="AJ1432" s="375">
        <f>28.645/0.37</f>
        <v>77.418918918918919</v>
      </c>
      <c r="AK1432" s="375"/>
      <c r="AL1432" s="375"/>
      <c r="AM1432" s="375"/>
      <c r="AN1432" s="375"/>
      <c r="AO1432" s="375"/>
      <c r="AP1432" s="375"/>
      <c r="AQ1432" s="375"/>
      <c r="AR1432" s="391"/>
      <c r="AS1432" s="276">
        <f t="shared" si="128"/>
        <v>77.418918918918919</v>
      </c>
      <c r="AT1432" s="277"/>
      <c r="AU1432" s="391"/>
      <c r="AV1432" s="422"/>
      <c r="AW1432" s="436">
        <f>1.727/0.37</f>
        <v>4.6675675675675681</v>
      </c>
      <c r="AX1432" s="359"/>
      <c r="AY1432" s="359"/>
      <c r="AZ1432" s="359"/>
      <c r="BA1432" s="359"/>
      <c r="BB1432" s="359"/>
      <c r="BC1432" s="426"/>
      <c r="BD1432" s="359"/>
      <c r="BE1432" s="359"/>
      <c r="BF1432" s="469">
        <f t="shared" si="123"/>
        <v>4.6675675675675681</v>
      </c>
      <c r="BG1432" s="469"/>
      <c r="BH1432" s="460"/>
      <c r="BI1432" s="461"/>
      <c r="BJ1432" s="505"/>
    </row>
    <row r="1433" spans="1:62" ht="15" customHeight="1" thickBot="1" x14ac:dyDescent="0.25">
      <c r="A1433" s="176">
        <v>1434</v>
      </c>
      <c r="B1433" s="291">
        <v>1</v>
      </c>
      <c r="C1433" s="167" t="s">
        <v>975</v>
      </c>
      <c r="D1433" s="167" t="s">
        <v>1984</v>
      </c>
      <c r="E1433" s="167" t="s">
        <v>13</v>
      </c>
      <c r="F1433" s="167" t="s">
        <v>3680</v>
      </c>
      <c r="G1433" s="167"/>
      <c r="H1433" s="167" t="s">
        <v>3676</v>
      </c>
      <c r="I1433" s="184">
        <v>2013</v>
      </c>
      <c r="J1433" s="181" t="s">
        <v>3677</v>
      </c>
      <c r="K1433" s="184"/>
      <c r="L1433" s="184" t="s">
        <v>19</v>
      </c>
      <c r="M1433" s="556" t="s">
        <v>4356</v>
      </c>
      <c r="N1433" s="214" t="s">
        <v>122</v>
      </c>
      <c r="O1433" s="214" t="s">
        <v>292</v>
      </c>
      <c r="P1433" s="214" t="s">
        <v>292</v>
      </c>
      <c r="Q1433" s="214" t="s">
        <v>292</v>
      </c>
      <c r="R1433" s="214" t="s">
        <v>292</v>
      </c>
      <c r="S1433" s="214" t="s">
        <v>292</v>
      </c>
      <c r="T1433" s="214" t="s">
        <v>292</v>
      </c>
      <c r="U1433" s="214" t="s">
        <v>292</v>
      </c>
      <c r="V1433" s="214" t="s">
        <v>292</v>
      </c>
      <c r="W1433" s="214" t="s">
        <v>292</v>
      </c>
      <c r="X1433" s="214" t="s">
        <v>292</v>
      </c>
      <c r="Y1433" s="214" t="s">
        <v>292</v>
      </c>
      <c r="Z1433" s="234"/>
      <c r="AA1433" s="234"/>
      <c r="AB1433" s="234"/>
      <c r="AC1433" s="234"/>
      <c r="AD1433" s="319" t="s">
        <v>3678</v>
      </c>
      <c r="AE1433" s="319" t="s">
        <v>3679</v>
      </c>
      <c r="AF1433" s="162">
        <f t="shared" si="124"/>
        <v>89.040540540540547</v>
      </c>
      <c r="AG1433" s="162" t="str">
        <f t="shared" si="129"/>
        <v/>
      </c>
      <c r="AH1433" s="164">
        <f t="shared" si="126"/>
        <v>5.4729729729729728</v>
      </c>
      <c r="AI1433" s="164" t="str">
        <f t="shared" si="127"/>
        <v/>
      </c>
      <c r="AJ1433" s="375">
        <f>32.945/0.37</f>
        <v>89.040540540540547</v>
      </c>
      <c r="AK1433" s="375"/>
      <c r="AL1433" s="375"/>
      <c r="AM1433" s="375"/>
      <c r="AN1433" s="375"/>
      <c r="AO1433" s="375"/>
      <c r="AP1433" s="375"/>
      <c r="AQ1433" s="375"/>
      <c r="AR1433" s="391"/>
      <c r="AS1433" s="276">
        <f t="shared" si="128"/>
        <v>89.040540540540547</v>
      </c>
      <c r="AT1433" s="277"/>
      <c r="AU1433" s="391"/>
      <c r="AV1433" s="422"/>
      <c r="AW1433" s="436">
        <f>2.025/0.37</f>
        <v>5.4729729729729728</v>
      </c>
      <c r="AX1433" s="359"/>
      <c r="AY1433" s="359"/>
      <c r="AZ1433" s="359"/>
      <c r="BA1433" s="359"/>
      <c r="BB1433" s="359"/>
      <c r="BC1433" s="426"/>
      <c r="BD1433" s="359"/>
      <c r="BE1433" s="359"/>
      <c r="BF1433" s="469">
        <f t="shared" si="123"/>
        <v>5.4729729729729728</v>
      </c>
      <c r="BG1433" s="469"/>
      <c r="BH1433" s="460"/>
      <c r="BI1433" s="461"/>
      <c r="BJ1433" s="505"/>
    </row>
    <row r="1434" spans="1:62" ht="15" customHeight="1" thickBot="1" x14ac:dyDescent="0.25">
      <c r="A1434" s="176">
        <v>1435</v>
      </c>
      <c r="B1434" s="291">
        <v>1</v>
      </c>
      <c r="C1434" s="167" t="s">
        <v>975</v>
      </c>
      <c r="D1434" s="167" t="s">
        <v>1984</v>
      </c>
      <c r="E1434" s="167" t="s">
        <v>13</v>
      </c>
      <c r="F1434" s="166" t="s">
        <v>3681</v>
      </c>
      <c r="G1434" s="167"/>
      <c r="H1434" s="167" t="s">
        <v>3676</v>
      </c>
      <c r="I1434" s="184">
        <v>2013</v>
      </c>
      <c r="J1434" s="181" t="s">
        <v>3677</v>
      </c>
      <c r="K1434" s="184"/>
      <c r="L1434" s="184" t="s">
        <v>19</v>
      </c>
      <c r="M1434" s="556" t="s">
        <v>4356</v>
      </c>
      <c r="N1434" s="214" t="s">
        <v>122</v>
      </c>
      <c r="O1434" s="214" t="s">
        <v>292</v>
      </c>
      <c r="P1434" s="214" t="s">
        <v>292</v>
      </c>
      <c r="Q1434" s="214" t="s">
        <v>292</v>
      </c>
      <c r="R1434" s="214" t="s">
        <v>292</v>
      </c>
      <c r="S1434" s="214" t="s">
        <v>292</v>
      </c>
      <c r="T1434" s="214" t="s">
        <v>292</v>
      </c>
      <c r="U1434" s="214" t="s">
        <v>292</v>
      </c>
      <c r="V1434" s="214" t="s">
        <v>292</v>
      </c>
      <c r="W1434" s="214" t="s">
        <v>292</v>
      </c>
      <c r="X1434" s="214" t="s">
        <v>292</v>
      </c>
      <c r="Y1434" s="214" t="s">
        <v>292</v>
      </c>
      <c r="Z1434" s="234"/>
      <c r="AA1434" s="234"/>
      <c r="AB1434" s="234"/>
      <c r="AC1434" s="234"/>
      <c r="AD1434" s="319" t="s">
        <v>3678</v>
      </c>
      <c r="AE1434" s="319" t="s">
        <v>3679</v>
      </c>
      <c r="AF1434" s="162">
        <f t="shared" si="124"/>
        <v>99.086486486486478</v>
      </c>
      <c r="AG1434" s="162" t="str">
        <f t="shared" si="129"/>
        <v/>
      </c>
      <c r="AH1434" s="164">
        <f t="shared" si="126"/>
        <v>4.7621621621621619</v>
      </c>
      <c r="AI1434" s="164" t="str">
        <f t="shared" si="127"/>
        <v/>
      </c>
      <c r="AJ1434" s="375">
        <f>36.662/0.37</f>
        <v>99.086486486486478</v>
      </c>
      <c r="AK1434" s="375"/>
      <c r="AL1434" s="375"/>
      <c r="AM1434" s="375"/>
      <c r="AN1434" s="375"/>
      <c r="AO1434" s="375"/>
      <c r="AP1434" s="375"/>
      <c r="AQ1434" s="375"/>
      <c r="AR1434" s="391"/>
      <c r="AS1434" s="276">
        <f t="shared" si="128"/>
        <v>99.086486486486478</v>
      </c>
      <c r="AT1434" s="277"/>
      <c r="AU1434" s="391"/>
      <c r="AV1434" s="422"/>
      <c r="AW1434" s="436">
        <f>1.762/0.37</f>
        <v>4.7621621621621619</v>
      </c>
      <c r="AX1434" s="359"/>
      <c r="AY1434" s="359"/>
      <c r="AZ1434" s="359"/>
      <c r="BA1434" s="359"/>
      <c r="BB1434" s="359"/>
      <c r="BC1434" s="426"/>
      <c r="BD1434" s="359"/>
      <c r="BE1434" s="359"/>
      <c r="BF1434" s="469">
        <f t="shared" si="123"/>
        <v>4.7621621621621619</v>
      </c>
      <c r="BG1434" s="469"/>
      <c r="BH1434" s="460"/>
      <c r="BI1434" s="461"/>
      <c r="BJ1434" s="505"/>
    </row>
    <row r="1435" spans="1:62" ht="15" customHeight="1" thickBot="1" x14ac:dyDescent="0.25">
      <c r="A1435" s="176">
        <v>1436</v>
      </c>
      <c r="B1435" s="291">
        <v>1</v>
      </c>
      <c r="C1435" s="167" t="s">
        <v>975</v>
      </c>
      <c r="D1435" s="167" t="s">
        <v>1984</v>
      </c>
      <c r="E1435" s="167" t="s">
        <v>13</v>
      </c>
      <c r="F1435" s="166" t="s">
        <v>3682</v>
      </c>
      <c r="G1435" s="167"/>
      <c r="H1435" s="167" t="s">
        <v>3676</v>
      </c>
      <c r="I1435" s="184">
        <v>2013</v>
      </c>
      <c r="J1435" s="181" t="s">
        <v>3677</v>
      </c>
      <c r="K1435" s="184"/>
      <c r="L1435" s="184" t="s">
        <v>19</v>
      </c>
      <c r="M1435" s="556" t="s">
        <v>4356</v>
      </c>
      <c r="N1435" s="214" t="s">
        <v>122</v>
      </c>
      <c r="O1435" s="214" t="s">
        <v>292</v>
      </c>
      <c r="P1435" s="214" t="s">
        <v>292</v>
      </c>
      <c r="Q1435" s="214" t="s">
        <v>292</v>
      </c>
      <c r="R1435" s="214" t="s">
        <v>292</v>
      </c>
      <c r="S1435" s="214" t="s">
        <v>292</v>
      </c>
      <c r="T1435" s="214" t="s">
        <v>292</v>
      </c>
      <c r="U1435" s="214" t="s">
        <v>292</v>
      </c>
      <c r="V1435" s="214" t="s">
        <v>292</v>
      </c>
      <c r="W1435" s="214" t="s">
        <v>292</v>
      </c>
      <c r="X1435" s="214" t="s">
        <v>292</v>
      </c>
      <c r="Y1435" s="214" t="s">
        <v>292</v>
      </c>
      <c r="Z1435" s="234"/>
      <c r="AA1435" s="234"/>
      <c r="AB1435" s="234"/>
      <c r="AC1435" s="234"/>
      <c r="AD1435" s="319" t="s">
        <v>3678</v>
      </c>
      <c r="AE1435" s="319" t="s">
        <v>3679</v>
      </c>
      <c r="AF1435" s="162">
        <f t="shared" si="124"/>
        <v>86.994594594594602</v>
      </c>
      <c r="AG1435" s="162" t="str">
        <f t="shared" si="129"/>
        <v/>
      </c>
      <c r="AH1435" s="164">
        <f t="shared" si="126"/>
        <v>5.2027027027027026</v>
      </c>
      <c r="AI1435" s="164" t="str">
        <f t="shared" si="127"/>
        <v/>
      </c>
      <c r="AJ1435" s="375">
        <f>32.188/0.37</f>
        <v>86.994594594594602</v>
      </c>
      <c r="AK1435" s="375"/>
      <c r="AL1435" s="375"/>
      <c r="AM1435" s="375"/>
      <c r="AN1435" s="375"/>
      <c r="AO1435" s="375"/>
      <c r="AP1435" s="375"/>
      <c r="AQ1435" s="375"/>
      <c r="AR1435" s="391"/>
      <c r="AS1435" s="276">
        <f t="shared" si="128"/>
        <v>86.994594594594602</v>
      </c>
      <c r="AT1435" s="277"/>
      <c r="AU1435" s="391"/>
      <c r="AV1435" s="422"/>
      <c r="AW1435" s="436">
        <f>1.925/0.37</f>
        <v>5.2027027027027026</v>
      </c>
      <c r="AX1435" s="359"/>
      <c r="AY1435" s="359"/>
      <c r="AZ1435" s="359"/>
      <c r="BA1435" s="359"/>
      <c r="BB1435" s="359"/>
      <c r="BC1435" s="426"/>
      <c r="BD1435" s="359"/>
      <c r="BE1435" s="359"/>
      <c r="BF1435" s="469">
        <f t="shared" si="123"/>
        <v>5.2027027027027026</v>
      </c>
      <c r="BG1435" s="469"/>
      <c r="BH1435" s="460"/>
      <c r="BI1435" s="461"/>
      <c r="BJ1435" s="505"/>
    </row>
    <row r="1436" spans="1:62" ht="15" customHeight="1" thickBot="1" x14ac:dyDescent="0.25">
      <c r="A1436" s="176">
        <v>1437</v>
      </c>
      <c r="B1436" s="291">
        <v>1</v>
      </c>
      <c r="C1436" s="167" t="s">
        <v>3589</v>
      </c>
      <c r="D1436" s="167" t="s">
        <v>12</v>
      </c>
      <c r="E1436" s="167" t="s">
        <v>13</v>
      </c>
      <c r="F1436" s="167" t="s">
        <v>3683</v>
      </c>
      <c r="G1436" s="167"/>
      <c r="H1436" s="167" t="s">
        <v>376</v>
      </c>
      <c r="I1436" s="184">
        <v>2006</v>
      </c>
      <c r="J1436" s="181" t="s">
        <v>3684</v>
      </c>
      <c r="K1436" s="184"/>
      <c r="L1436" s="184" t="s">
        <v>19</v>
      </c>
      <c r="M1436" s="556" t="s">
        <v>4357</v>
      </c>
      <c r="N1436" s="214" t="s">
        <v>122</v>
      </c>
      <c r="O1436" s="214" t="s">
        <v>292</v>
      </c>
      <c r="P1436" s="214" t="s">
        <v>292</v>
      </c>
      <c r="Q1436" s="214" t="s">
        <v>292</v>
      </c>
      <c r="R1436" s="214" t="s">
        <v>292</v>
      </c>
      <c r="S1436" s="214" t="s">
        <v>292</v>
      </c>
      <c r="T1436" s="214" t="s">
        <v>292</v>
      </c>
      <c r="U1436" s="214" t="s">
        <v>292</v>
      </c>
      <c r="V1436" s="214" t="s">
        <v>292</v>
      </c>
      <c r="W1436" s="214" t="s">
        <v>292</v>
      </c>
      <c r="X1436" s="214" t="s">
        <v>292</v>
      </c>
      <c r="Y1436" s="214" t="s">
        <v>292</v>
      </c>
      <c r="Z1436" s="234"/>
      <c r="AA1436" s="234" t="s">
        <v>3685</v>
      </c>
      <c r="AB1436" s="234"/>
      <c r="AC1436" s="234"/>
      <c r="AD1436" s="319" t="s">
        <v>3686</v>
      </c>
      <c r="AE1436" s="319"/>
      <c r="AF1436" s="162" t="str">
        <f t="shared" si="124"/>
        <v/>
      </c>
      <c r="AG1436" s="162" t="str">
        <f t="shared" si="129"/>
        <v/>
      </c>
      <c r="AH1436" s="164">
        <f t="shared" si="126"/>
        <v>1.103</v>
      </c>
      <c r="AI1436" s="164" t="str">
        <f t="shared" si="127"/>
        <v/>
      </c>
      <c r="AJ1436" s="375"/>
      <c r="AK1436" s="375"/>
      <c r="AL1436" s="375"/>
      <c r="AM1436" s="375"/>
      <c r="AN1436" s="375"/>
      <c r="AO1436" s="375"/>
      <c r="AP1436" s="375"/>
      <c r="AQ1436" s="375"/>
      <c r="AR1436" s="391"/>
      <c r="AS1436" s="276"/>
      <c r="AT1436" s="277"/>
      <c r="AU1436" s="391"/>
      <c r="AV1436" s="422"/>
      <c r="AW1436" s="436">
        <v>1.103</v>
      </c>
      <c r="AX1436" s="359"/>
      <c r="AY1436" s="359"/>
      <c r="AZ1436" s="359"/>
      <c r="BA1436" s="359"/>
      <c r="BB1436" s="359"/>
      <c r="BC1436" s="426"/>
      <c r="BD1436" s="359"/>
      <c r="BE1436" s="359"/>
      <c r="BF1436" s="469">
        <f t="shared" si="123"/>
        <v>1.103</v>
      </c>
      <c r="BG1436" s="469"/>
      <c r="BH1436" s="460"/>
      <c r="BI1436" s="461"/>
      <c r="BJ1436" s="505"/>
    </row>
    <row r="1437" spans="1:62" ht="15" customHeight="1" thickBot="1" x14ac:dyDescent="0.25">
      <c r="A1437" s="176">
        <v>1438</v>
      </c>
      <c r="B1437" s="291">
        <v>1</v>
      </c>
      <c r="C1437" s="167" t="s">
        <v>3589</v>
      </c>
      <c r="D1437" s="167" t="s">
        <v>12</v>
      </c>
      <c r="E1437" s="167" t="s">
        <v>13</v>
      </c>
      <c r="F1437" s="167" t="s">
        <v>3687</v>
      </c>
      <c r="G1437" s="167"/>
      <c r="H1437" s="167" t="s">
        <v>376</v>
      </c>
      <c r="I1437" s="184">
        <v>2006</v>
      </c>
      <c r="J1437" s="181" t="s">
        <v>3684</v>
      </c>
      <c r="K1437" s="184"/>
      <c r="L1437" s="184" t="s">
        <v>19</v>
      </c>
      <c r="M1437" s="556" t="s">
        <v>4357</v>
      </c>
      <c r="N1437" s="214" t="s">
        <v>122</v>
      </c>
      <c r="O1437" s="214" t="s">
        <v>292</v>
      </c>
      <c r="P1437" s="214" t="s">
        <v>292</v>
      </c>
      <c r="Q1437" s="214" t="s">
        <v>292</v>
      </c>
      <c r="R1437" s="214" t="s">
        <v>292</v>
      </c>
      <c r="S1437" s="214" t="s">
        <v>292</v>
      </c>
      <c r="T1437" s="214" t="s">
        <v>292</v>
      </c>
      <c r="U1437" s="214" t="s">
        <v>292</v>
      </c>
      <c r="V1437" s="214" t="s">
        <v>292</v>
      </c>
      <c r="W1437" s="214" t="s">
        <v>292</v>
      </c>
      <c r="X1437" s="214" t="s">
        <v>292</v>
      </c>
      <c r="Y1437" s="214" t="s">
        <v>292</v>
      </c>
      <c r="Z1437" s="234"/>
      <c r="AA1437" s="234" t="s">
        <v>3685</v>
      </c>
      <c r="AB1437" s="234"/>
      <c r="AC1437" s="234"/>
      <c r="AD1437" s="319" t="s">
        <v>3686</v>
      </c>
      <c r="AE1437" s="319"/>
      <c r="AF1437" s="162" t="str">
        <f t="shared" si="124"/>
        <v/>
      </c>
      <c r="AG1437" s="162" t="str">
        <f t="shared" si="129"/>
        <v/>
      </c>
      <c r="AH1437" s="164">
        <f t="shared" si="126"/>
        <v>1.0840000000000001</v>
      </c>
      <c r="AI1437" s="164" t="str">
        <f t="shared" si="127"/>
        <v/>
      </c>
      <c r="AJ1437" s="375"/>
      <c r="AK1437" s="375"/>
      <c r="AL1437" s="375"/>
      <c r="AM1437" s="375"/>
      <c r="AN1437" s="375"/>
      <c r="AO1437" s="375"/>
      <c r="AP1437" s="375"/>
      <c r="AQ1437" s="375"/>
      <c r="AR1437" s="391"/>
      <c r="AS1437" s="276"/>
      <c r="AT1437" s="277"/>
      <c r="AU1437" s="391"/>
      <c r="AV1437" s="422"/>
      <c r="AW1437" s="436">
        <v>1.0840000000000001</v>
      </c>
      <c r="AX1437" s="359"/>
      <c r="AY1437" s="359"/>
      <c r="AZ1437" s="359"/>
      <c r="BA1437" s="359"/>
      <c r="BB1437" s="359"/>
      <c r="BC1437" s="426"/>
      <c r="BD1437" s="359"/>
      <c r="BE1437" s="359"/>
      <c r="BF1437" s="469">
        <f t="shared" si="123"/>
        <v>1.0840000000000001</v>
      </c>
      <c r="BG1437" s="469"/>
      <c r="BH1437" s="460"/>
      <c r="BI1437" s="461"/>
      <c r="BJ1437" s="505"/>
    </row>
    <row r="1438" spans="1:62" ht="15" customHeight="1" thickBot="1" x14ac:dyDescent="0.25">
      <c r="A1438" s="176">
        <v>1439</v>
      </c>
      <c r="B1438" s="291">
        <v>1</v>
      </c>
      <c r="C1438" s="167" t="s">
        <v>3589</v>
      </c>
      <c r="D1438" s="167" t="s">
        <v>12</v>
      </c>
      <c r="E1438" s="167" t="s">
        <v>13</v>
      </c>
      <c r="F1438" s="167" t="s">
        <v>3688</v>
      </c>
      <c r="G1438" s="167"/>
      <c r="H1438" s="167" t="s">
        <v>376</v>
      </c>
      <c r="I1438" s="184">
        <v>2006</v>
      </c>
      <c r="J1438" s="181" t="s">
        <v>3684</v>
      </c>
      <c r="K1438" s="184"/>
      <c r="L1438" s="184" t="s">
        <v>19</v>
      </c>
      <c r="M1438" s="556" t="s">
        <v>4357</v>
      </c>
      <c r="N1438" s="214" t="s">
        <v>122</v>
      </c>
      <c r="O1438" s="214" t="s">
        <v>292</v>
      </c>
      <c r="P1438" s="214" t="s">
        <v>292</v>
      </c>
      <c r="Q1438" s="214" t="s">
        <v>292</v>
      </c>
      <c r="R1438" s="214" t="s">
        <v>292</v>
      </c>
      <c r="S1438" s="214" t="s">
        <v>292</v>
      </c>
      <c r="T1438" s="214" t="s">
        <v>292</v>
      </c>
      <c r="U1438" s="214" t="s">
        <v>292</v>
      </c>
      <c r="V1438" s="214" t="s">
        <v>292</v>
      </c>
      <c r="W1438" s="214" t="s">
        <v>292</v>
      </c>
      <c r="X1438" s="214" t="s">
        <v>292</v>
      </c>
      <c r="Y1438" s="214" t="s">
        <v>292</v>
      </c>
      <c r="Z1438" s="234"/>
      <c r="AA1438" s="234" t="s">
        <v>3685</v>
      </c>
      <c r="AB1438" s="234"/>
      <c r="AC1438" s="234"/>
      <c r="AD1438" s="319" t="s">
        <v>3686</v>
      </c>
      <c r="AE1438" s="319"/>
      <c r="AF1438" s="162" t="str">
        <f t="shared" si="124"/>
        <v/>
      </c>
      <c r="AG1438" s="162" t="str">
        <f t="shared" si="129"/>
        <v/>
      </c>
      <c r="AH1438" s="164">
        <f t="shared" si="126"/>
        <v>1.0409999999999999</v>
      </c>
      <c r="AI1438" s="164" t="str">
        <f t="shared" si="127"/>
        <v/>
      </c>
      <c r="AJ1438" s="375"/>
      <c r="AK1438" s="375"/>
      <c r="AL1438" s="375"/>
      <c r="AM1438" s="375"/>
      <c r="AN1438" s="375"/>
      <c r="AO1438" s="375"/>
      <c r="AP1438" s="375"/>
      <c r="AQ1438" s="375"/>
      <c r="AR1438" s="391"/>
      <c r="AS1438" s="276"/>
      <c r="AT1438" s="277"/>
      <c r="AU1438" s="391"/>
      <c r="AV1438" s="422"/>
      <c r="AW1438" s="436">
        <v>1.0409999999999999</v>
      </c>
      <c r="AX1438" s="359"/>
      <c r="AY1438" s="359"/>
      <c r="AZ1438" s="359"/>
      <c r="BA1438" s="359"/>
      <c r="BB1438" s="359"/>
      <c r="BC1438" s="426"/>
      <c r="BD1438" s="359"/>
      <c r="BE1438" s="359"/>
      <c r="BF1438" s="469">
        <f t="shared" si="123"/>
        <v>1.0409999999999999</v>
      </c>
      <c r="BG1438" s="469"/>
      <c r="BH1438" s="460"/>
      <c r="BI1438" s="461"/>
      <c r="BJ1438" s="505"/>
    </row>
    <row r="1439" spans="1:62" ht="15" customHeight="1" thickBot="1" x14ac:dyDescent="0.25">
      <c r="A1439" s="176">
        <v>1440</v>
      </c>
      <c r="B1439" s="291">
        <v>1</v>
      </c>
      <c r="C1439" s="167" t="s">
        <v>3589</v>
      </c>
      <c r="D1439" s="167" t="s">
        <v>12</v>
      </c>
      <c r="E1439" s="167" t="s">
        <v>13</v>
      </c>
      <c r="F1439" s="167" t="s">
        <v>3689</v>
      </c>
      <c r="G1439" s="167"/>
      <c r="H1439" s="167" t="s">
        <v>376</v>
      </c>
      <c r="I1439" s="184">
        <v>2006</v>
      </c>
      <c r="J1439" s="181" t="s">
        <v>3684</v>
      </c>
      <c r="K1439" s="184"/>
      <c r="L1439" s="184" t="s">
        <v>19</v>
      </c>
      <c r="M1439" s="556" t="s">
        <v>4357</v>
      </c>
      <c r="N1439" s="214" t="s">
        <v>122</v>
      </c>
      <c r="O1439" s="214" t="s">
        <v>292</v>
      </c>
      <c r="P1439" s="214" t="s">
        <v>292</v>
      </c>
      <c r="Q1439" s="214" t="s">
        <v>292</v>
      </c>
      <c r="R1439" s="214" t="s">
        <v>292</v>
      </c>
      <c r="S1439" s="214" t="s">
        <v>292</v>
      </c>
      <c r="T1439" s="214" t="s">
        <v>292</v>
      </c>
      <c r="U1439" s="214" t="s">
        <v>292</v>
      </c>
      <c r="V1439" s="214" t="s">
        <v>292</v>
      </c>
      <c r="W1439" s="214" t="s">
        <v>292</v>
      </c>
      <c r="X1439" s="214" t="s">
        <v>292</v>
      </c>
      <c r="Y1439" s="214" t="s">
        <v>292</v>
      </c>
      <c r="Z1439" s="234"/>
      <c r="AA1439" s="234" t="s">
        <v>3685</v>
      </c>
      <c r="AB1439" s="234"/>
      <c r="AC1439" s="234"/>
      <c r="AD1439" s="319" t="s">
        <v>3686</v>
      </c>
      <c r="AE1439" s="319"/>
      <c r="AF1439" s="162" t="str">
        <f t="shared" si="124"/>
        <v/>
      </c>
      <c r="AG1439" s="162" t="str">
        <f t="shared" si="129"/>
        <v/>
      </c>
      <c r="AH1439" s="164">
        <f t="shared" si="126"/>
        <v>1.145</v>
      </c>
      <c r="AI1439" s="164" t="str">
        <f t="shared" si="127"/>
        <v/>
      </c>
      <c r="AJ1439" s="375"/>
      <c r="AK1439" s="375"/>
      <c r="AL1439" s="375"/>
      <c r="AM1439" s="375"/>
      <c r="AN1439" s="375"/>
      <c r="AO1439" s="375"/>
      <c r="AP1439" s="375"/>
      <c r="AQ1439" s="375"/>
      <c r="AR1439" s="391"/>
      <c r="AS1439" s="276"/>
      <c r="AT1439" s="277"/>
      <c r="AU1439" s="391"/>
      <c r="AV1439" s="422"/>
      <c r="AW1439" s="436">
        <v>1.145</v>
      </c>
      <c r="AX1439" s="359"/>
      <c r="AY1439" s="359"/>
      <c r="AZ1439" s="359"/>
      <c r="BA1439" s="359"/>
      <c r="BB1439" s="359"/>
      <c r="BC1439" s="426"/>
      <c r="BD1439" s="359"/>
      <c r="BE1439" s="359"/>
      <c r="BF1439" s="469">
        <f t="shared" si="123"/>
        <v>1.145</v>
      </c>
      <c r="BG1439" s="469"/>
      <c r="BH1439" s="460"/>
      <c r="BI1439" s="461"/>
      <c r="BJ1439" s="505"/>
    </row>
    <row r="1440" spans="1:62" ht="15" customHeight="1" thickBot="1" x14ac:dyDescent="0.25">
      <c r="A1440" s="176">
        <v>1441</v>
      </c>
      <c r="B1440" s="291">
        <v>1</v>
      </c>
      <c r="C1440" s="167" t="s">
        <v>3589</v>
      </c>
      <c r="D1440" s="167" t="s">
        <v>12</v>
      </c>
      <c r="E1440" s="167" t="s">
        <v>13</v>
      </c>
      <c r="F1440" s="167" t="s">
        <v>3690</v>
      </c>
      <c r="G1440" s="167"/>
      <c r="H1440" s="167" t="s">
        <v>376</v>
      </c>
      <c r="I1440" s="184">
        <v>2006</v>
      </c>
      <c r="J1440" s="181" t="s">
        <v>3684</v>
      </c>
      <c r="K1440" s="184"/>
      <c r="L1440" s="184" t="s">
        <v>19</v>
      </c>
      <c r="M1440" s="556" t="s">
        <v>4357</v>
      </c>
      <c r="N1440" s="214" t="s">
        <v>122</v>
      </c>
      <c r="O1440" s="214" t="s">
        <v>292</v>
      </c>
      <c r="P1440" s="214" t="s">
        <v>292</v>
      </c>
      <c r="Q1440" s="214" t="s">
        <v>292</v>
      </c>
      <c r="R1440" s="214" t="s">
        <v>292</v>
      </c>
      <c r="S1440" s="214" t="s">
        <v>292</v>
      </c>
      <c r="T1440" s="214" t="s">
        <v>292</v>
      </c>
      <c r="U1440" s="214" t="s">
        <v>292</v>
      </c>
      <c r="V1440" s="214" t="s">
        <v>292</v>
      </c>
      <c r="W1440" s="214" t="s">
        <v>292</v>
      </c>
      <c r="X1440" s="214" t="s">
        <v>292</v>
      </c>
      <c r="Y1440" s="214" t="s">
        <v>292</v>
      </c>
      <c r="Z1440" s="234"/>
      <c r="AA1440" s="234" t="s">
        <v>3685</v>
      </c>
      <c r="AB1440" s="234"/>
      <c r="AC1440" s="234"/>
      <c r="AD1440" s="319" t="s">
        <v>3686</v>
      </c>
      <c r="AE1440" s="319"/>
      <c r="AF1440" s="162" t="str">
        <f t="shared" si="124"/>
        <v/>
      </c>
      <c r="AG1440" s="162" t="str">
        <f t="shared" si="129"/>
        <v/>
      </c>
      <c r="AH1440" s="164">
        <f t="shared" si="126"/>
        <v>1.0920000000000001</v>
      </c>
      <c r="AI1440" s="164" t="str">
        <f t="shared" si="127"/>
        <v/>
      </c>
      <c r="AJ1440" s="375"/>
      <c r="AK1440" s="375"/>
      <c r="AL1440" s="375"/>
      <c r="AM1440" s="375"/>
      <c r="AN1440" s="375"/>
      <c r="AO1440" s="375"/>
      <c r="AP1440" s="375"/>
      <c r="AQ1440" s="375"/>
      <c r="AR1440" s="391"/>
      <c r="AS1440" s="276"/>
      <c r="AT1440" s="277"/>
      <c r="AU1440" s="391"/>
      <c r="AV1440" s="422"/>
      <c r="AW1440" s="436">
        <v>1.0920000000000001</v>
      </c>
      <c r="AX1440" s="359"/>
      <c r="AY1440" s="359"/>
      <c r="AZ1440" s="359"/>
      <c r="BA1440" s="359"/>
      <c r="BB1440" s="359"/>
      <c r="BC1440" s="426"/>
      <c r="BD1440" s="359"/>
      <c r="BE1440" s="359"/>
      <c r="BF1440" s="469">
        <f t="shared" si="123"/>
        <v>1.0920000000000001</v>
      </c>
      <c r="BG1440" s="469"/>
      <c r="BH1440" s="460"/>
      <c r="BI1440" s="461"/>
      <c r="BJ1440" s="505"/>
    </row>
    <row r="1441" spans="1:62" ht="15" customHeight="1" thickBot="1" x14ac:dyDescent="0.25">
      <c r="A1441" s="176">
        <v>1442</v>
      </c>
      <c r="B1441" s="291">
        <v>1</v>
      </c>
      <c r="C1441" s="167" t="s">
        <v>3589</v>
      </c>
      <c r="D1441" s="167" t="s">
        <v>12</v>
      </c>
      <c r="E1441" s="167" t="s">
        <v>13</v>
      </c>
      <c r="F1441" s="166" t="s">
        <v>3691</v>
      </c>
      <c r="G1441" s="167"/>
      <c r="H1441" s="167" t="s">
        <v>376</v>
      </c>
      <c r="I1441" s="184">
        <v>2006</v>
      </c>
      <c r="J1441" s="181" t="s">
        <v>3684</v>
      </c>
      <c r="K1441" s="184"/>
      <c r="L1441" s="184" t="s">
        <v>19</v>
      </c>
      <c r="M1441" s="556" t="s">
        <v>4357</v>
      </c>
      <c r="N1441" s="214" t="s">
        <v>122</v>
      </c>
      <c r="O1441" s="214" t="s">
        <v>292</v>
      </c>
      <c r="P1441" s="214" t="s">
        <v>292</v>
      </c>
      <c r="Q1441" s="214" t="s">
        <v>292</v>
      </c>
      <c r="R1441" s="214" t="s">
        <v>292</v>
      </c>
      <c r="S1441" s="214" t="s">
        <v>292</v>
      </c>
      <c r="T1441" s="214" t="s">
        <v>292</v>
      </c>
      <c r="U1441" s="214" t="s">
        <v>292</v>
      </c>
      <c r="V1441" s="214" t="s">
        <v>292</v>
      </c>
      <c r="W1441" s="214" t="s">
        <v>292</v>
      </c>
      <c r="X1441" s="214" t="s">
        <v>292</v>
      </c>
      <c r="Y1441" s="214" t="s">
        <v>292</v>
      </c>
      <c r="Z1441" s="234"/>
      <c r="AA1441" s="234" t="s">
        <v>3685</v>
      </c>
      <c r="AB1441" s="234"/>
      <c r="AC1441" s="234"/>
      <c r="AD1441" s="319" t="s">
        <v>3686</v>
      </c>
      <c r="AE1441" s="319"/>
      <c r="AF1441" s="162" t="str">
        <f t="shared" si="124"/>
        <v/>
      </c>
      <c r="AG1441" s="162" t="str">
        <f t="shared" si="129"/>
        <v/>
      </c>
      <c r="AH1441" s="164">
        <f t="shared" si="126"/>
        <v>1.0329999999999999</v>
      </c>
      <c r="AI1441" s="164" t="str">
        <f t="shared" si="127"/>
        <v/>
      </c>
      <c r="AJ1441" s="375"/>
      <c r="AK1441" s="375"/>
      <c r="AL1441" s="375"/>
      <c r="AM1441" s="375"/>
      <c r="AN1441" s="375"/>
      <c r="AO1441" s="375"/>
      <c r="AP1441" s="375"/>
      <c r="AQ1441" s="375"/>
      <c r="AR1441" s="391"/>
      <c r="AS1441" s="276"/>
      <c r="AT1441" s="277"/>
      <c r="AU1441" s="391"/>
      <c r="AV1441" s="422"/>
      <c r="AW1441" s="436">
        <v>1.0329999999999999</v>
      </c>
      <c r="AX1441" s="359"/>
      <c r="AY1441" s="359"/>
      <c r="AZ1441" s="359"/>
      <c r="BA1441" s="359"/>
      <c r="BB1441" s="359"/>
      <c r="BC1441" s="426"/>
      <c r="BD1441" s="359"/>
      <c r="BE1441" s="359"/>
      <c r="BF1441" s="469">
        <f t="shared" si="123"/>
        <v>1.0329999999999999</v>
      </c>
      <c r="BG1441" s="469"/>
      <c r="BH1441" s="460"/>
      <c r="BI1441" s="461"/>
      <c r="BJ1441" s="505"/>
    </row>
    <row r="1442" spans="1:62" ht="15" customHeight="1" thickBot="1" x14ac:dyDescent="0.25">
      <c r="A1442" s="176">
        <v>1443</v>
      </c>
      <c r="B1442" s="291">
        <v>1</v>
      </c>
      <c r="C1442" s="167" t="s">
        <v>3589</v>
      </c>
      <c r="D1442" s="167" t="s">
        <v>12</v>
      </c>
      <c r="E1442" s="167" t="s">
        <v>13</v>
      </c>
      <c r="F1442" s="167" t="s">
        <v>3692</v>
      </c>
      <c r="G1442" s="167"/>
      <c r="H1442" s="167" t="s">
        <v>376</v>
      </c>
      <c r="I1442" s="184">
        <v>2006</v>
      </c>
      <c r="J1442" s="181" t="s">
        <v>3684</v>
      </c>
      <c r="K1442" s="184"/>
      <c r="L1442" s="184" t="s">
        <v>19</v>
      </c>
      <c r="M1442" s="556" t="s">
        <v>4357</v>
      </c>
      <c r="N1442" s="214" t="s">
        <v>122</v>
      </c>
      <c r="O1442" s="214" t="s">
        <v>292</v>
      </c>
      <c r="P1442" s="214" t="s">
        <v>292</v>
      </c>
      <c r="Q1442" s="214" t="s">
        <v>292</v>
      </c>
      <c r="R1442" s="214" t="s">
        <v>292</v>
      </c>
      <c r="S1442" s="214" t="s">
        <v>292</v>
      </c>
      <c r="T1442" s="214" t="s">
        <v>292</v>
      </c>
      <c r="U1442" s="214" t="s">
        <v>292</v>
      </c>
      <c r="V1442" s="214" t="s">
        <v>292</v>
      </c>
      <c r="W1442" s="214" t="s">
        <v>292</v>
      </c>
      <c r="X1442" s="214" t="s">
        <v>292</v>
      </c>
      <c r="Y1442" s="214" t="s">
        <v>292</v>
      </c>
      <c r="Z1442" s="234"/>
      <c r="AA1442" s="234" t="s">
        <v>3685</v>
      </c>
      <c r="AB1442" s="234"/>
      <c r="AC1442" s="234"/>
      <c r="AD1442" s="319" t="s">
        <v>3686</v>
      </c>
      <c r="AE1442" s="319"/>
      <c r="AF1442" s="162" t="str">
        <f t="shared" si="124"/>
        <v/>
      </c>
      <c r="AG1442" s="162" t="str">
        <f t="shared" si="129"/>
        <v/>
      </c>
      <c r="AH1442" s="164">
        <f t="shared" si="126"/>
        <v>1.2</v>
      </c>
      <c r="AI1442" s="164" t="str">
        <f t="shared" si="127"/>
        <v/>
      </c>
      <c r="AJ1442" s="375"/>
      <c r="AK1442" s="375"/>
      <c r="AL1442" s="375"/>
      <c r="AM1442" s="375"/>
      <c r="AN1442" s="375"/>
      <c r="AO1442" s="375"/>
      <c r="AP1442" s="375"/>
      <c r="AQ1442" s="375"/>
      <c r="AR1442" s="391"/>
      <c r="AS1442" s="276"/>
      <c r="AT1442" s="277"/>
      <c r="AU1442" s="391"/>
      <c r="AV1442" s="422"/>
      <c r="AW1442" s="436">
        <v>1.2</v>
      </c>
      <c r="AX1442" s="359"/>
      <c r="AY1442" s="359"/>
      <c r="AZ1442" s="359"/>
      <c r="BA1442" s="359"/>
      <c r="BB1442" s="359"/>
      <c r="BC1442" s="426"/>
      <c r="BD1442" s="359"/>
      <c r="BE1442" s="359"/>
      <c r="BF1442" s="469">
        <f t="shared" si="123"/>
        <v>1.2</v>
      </c>
      <c r="BG1442" s="469"/>
      <c r="BH1442" s="460"/>
      <c r="BI1442" s="461"/>
      <c r="BJ1442" s="505"/>
    </row>
    <row r="1443" spans="1:62" ht="15" customHeight="1" thickBot="1" x14ac:dyDescent="0.25">
      <c r="A1443" s="176">
        <v>1444</v>
      </c>
      <c r="B1443" s="291">
        <v>1</v>
      </c>
      <c r="C1443" s="167" t="s">
        <v>3589</v>
      </c>
      <c r="D1443" s="167" t="s">
        <v>12</v>
      </c>
      <c r="E1443" s="167" t="s">
        <v>13</v>
      </c>
      <c r="F1443" s="167" t="s">
        <v>3693</v>
      </c>
      <c r="G1443" s="167"/>
      <c r="H1443" s="167" t="s">
        <v>376</v>
      </c>
      <c r="I1443" s="184">
        <v>2006</v>
      </c>
      <c r="J1443" s="181" t="s">
        <v>3684</v>
      </c>
      <c r="K1443" s="184"/>
      <c r="L1443" s="184" t="s">
        <v>19</v>
      </c>
      <c r="M1443" s="556" t="s">
        <v>4357</v>
      </c>
      <c r="N1443" s="214" t="s">
        <v>122</v>
      </c>
      <c r="O1443" s="214" t="s">
        <v>292</v>
      </c>
      <c r="P1443" s="214" t="s">
        <v>292</v>
      </c>
      <c r="Q1443" s="214" t="s">
        <v>292</v>
      </c>
      <c r="R1443" s="214" t="s">
        <v>292</v>
      </c>
      <c r="S1443" s="214" t="s">
        <v>292</v>
      </c>
      <c r="T1443" s="214" t="s">
        <v>292</v>
      </c>
      <c r="U1443" s="214" t="s">
        <v>292</v>
      </c>
      <c r="V1443" s="214" t="s">
        <v>292</v>
      </c>
      <c r="W1443" s="214" t="s">
        <v>292</v>
      </c>
      <c r="X1443" s="214" t="s">
        <v>292</v>
      </c>
      <c r="Y1443" s="214" t="s">
        <v>292</v>
      </c>
      <c r="Z1443" s="234"/>
      <c r="AA1443" s="234" t="s">
        <v>3685</v>
      </c>
      <c r="AB1443" s="234"/>
      <c r="AC1443" s="234"/>
      <c r="AD1443" s="319" t="s">
        <v>3686</v>
      </c>
      <c r="AE1443" s="319"/>
      <c r="AF1443" s="162" t="str">
        <f t="shared" si="124"/>
        <v/>
      </c>
      <c r="AG1443" s="162" t="str">
        <f t="shared" si="129"/>
        <v/>
      </c>
      <c r="AH1443" s="164">
        <f t="shared" si="126"/>
        <v>1.1319999999999999</v>
      </c>
      <c r="AI1443" s="164" t="str">
        <f t="shared" si="127"/>
        <v/>
      </c>
      <c r="AJ1443" s="375"/>
      <c r="AK1443" s="375"/>
      <c r="AL1443" s="375"/>
      <c r="AM1443" s="375"/>
      <c r="AN1443" s="375"/>
      <c r="AO1443" s="375"/>
      <c r="AP1443" s="375"/>
      <c r="AQ1443" s="375"/>
      <c r="AR1443" s="391"/>
      <c r="AS1443" s="276"/>
      <c r="AT1443" s="277"/>
      <c r="AU1443" s="391"/>
      <c r="AV1443" s="422"/>
      <c r="AW1443" s="436">
        <v>1.1319999999999999</v>
      </c>
      <c r="AX1443" s="359"/>
      <c r="AY1443" s="359"/>
      <c r="AZ1443" s="359"/>
      <c r="BA1443" s="359"/>
      <c r="BB1443" s="359"/>
      <c r="BC1443" s="426"/>
      <c r="BD1443" s="359"/>
      <c r="BE1443" s="359"/>
      <c r="BF1443" s="469">
        <f t="shared" ref="BF1443:BF1452" si="130">AW1443</f>
        <v>1.1319999999999999</v>
      </c>
      <c r="BG1443" s="469"/>
      <c r="BH1443" s="460"/>
      <c r="BI1443" s="461"/>
      <c r="BJ1443" s="505"/>
    </row>
    <row r="1444" spans="1:62" ht="15" customHeight="1" thickBot="1" x14ac:dyDescent="0.25">
      <c r="A1444" s="176">
        <v>1445</v>
      </c>
      <c r="B1444" s="291">
        <v>1</v>
      </c>
      <c r="C1444" s="167" t="s">
        <v>3589</v>
      </c>
      <c r="D1444" s="167" t="s">
        <v>12</v>
      </c>
      <c r="E1444" s="167" t="s">
        <v>13</v>
      </c>
      <c r="F1444" s="167" t="s">
        <v>3694</v>
      </c>
      <c r="G1444" s="167"/>
      <c r="H1444" s="167" t="s">
        <v>376</v>
      </c>
      <c r="I1444" s="184">
        <v>2006</v>
      </c>
      <c r="J1444" s="181" t="s">
        <v>3684</v>
      </c>
      <c r="K1444" s="184"/>
      <c r="L1444" s="184" t="s">
        <v>19</v>
      </c>
      <c r="M1444" s="556" t="s">
        <v>4357</v>
      </c>
      <c r="N1444" s="214" t="s">
        <v>122</v>
      </c>
      <c r="O1444" s="214" t="s">
        <v>292</v>
      </c>
      <c r="P1444" s="214" t="s">
        <v>292</v>
      </c>
      <c r="Q1444" s="214" t="s">
        <v>292</v>
      </c>
      <c r="R1444" s="214" t="s">
        <v>292</v>
      </c>
      <c r="S1444" s="214" t="s">
        <v>292</v>
      </c>
      <c r="T1444" s="214" t="s">
        <v>292</v>
      </c>
      <c r="U1444" s="214" t="s">
        <v>292</v>
      </c>
      <c r="V1444" s="214" t="s">
        <v>292</v>
      </c>
      <c r="W1444" s="214" t="s">
        <v>292</v>
      </c>
      <c r="X1444" s="214" t="s">
        <v>292</v>
      </c>
      <c r="Y1444" s="214" t="s">
        <v>292</v>
      </c>
      <c r="Z1444" s="234"/>
      <c r="AA1444" s="234" t="s">
        <v>3685</v>
      </c>
      <c r="AB1444" s="234"/>
      <c r="AC1444" s="234"/>
      <c r="AD1444" s="319" t="s">
        <v>3686</v>
      </c>
      <c r="AE1444" s="319"/>
      <c r="AF1444" s="162" t="str">
        <f t="shared" si="124"/>
        <v/>
      </c>
      <c r="AG1444" s="162" t="str">
        <f t="shared" si="129"/>
        <v/>
      </c>
      <c r="AH1444" s="164">
        <f t="shared" si="126"/>
        <v>1.0469999999999999</v>
      </c>
      <c r="AI1444" s="164" t="str">
        <f t="shared" si="127"/>
        <v/>
      </c>
      <c r="AJ1444" s="375"/>
      <c r="AK1444" s="375"/>
      <c r="AL1444" s="375"/>
      <c r="AM1444" s="375"/>
      <c r="AN1444" s="375"/>
      <c r="AO1444" s="375"/>
      <c r="AP1444" s="375"/>
      <c r="AQ1444" s="375"/>
      <c r="AR1444" s="391"/>
      <c r="AS1444" s="276"/>
      <c r="AT1444" s="277"/>
      <c r="AU1444" s="391"/>
      <c r="AV1444" s="422"/>
      <c r="AW1444" s="436">
        <v>1.0469999999999999</v>
      </c>
      <c r="AX1444" s="359"/>
      <c r="AY1444" s="359"/>
      <c r="AZ1444" s="359"/>
      <c r="BA1444" s="359"/>
      <c r="BB1444" s="359"/>
      <c r="BC1444" s="426"/>
      <c r="BD1444" s="359"/>
      <c r="BE1444" s="359"/>
      <c r="BF1444" s="469">
        <f t="shared" si="130"/>
        <v>1.0469999999999999</v>
      </c>
      <c r="BG1444" s="469"/>
      <c r="BH1444" s="460"/>
      <c r="BI1444" s="461"/>
      <c r="BJ1444" s="505"/>
    </row>
    <row r="1445" spans="1:62" ht="15" customHeight="1" thickBot="1" x14ac:dyDescent="0.25">
      <c r="A1445" s="176">
        <v>1446</v>
      </c>
      <c r="B1445" s="291">
        <v>1</v>
      </c>
      <c r="C1445" s="167" t="s">
        <v>3450</v>
      </c>
      <c r="D1445" s="167" t="s">
        <v>1739</v>
      </c>
      <c r="E1445" s="167" t="s">
        <v>13</v>
      </c>
      <c r="F1445" s="167" t="s">
        <v>3695</v>
      </c>
      <c r="G1445" s="167" t="s">
        <v>122</v>
      </c>
      <c r="H1445" s="167" t="s">
        <v>700</v>
      </c>
      <c r="I1445" s="184">
        <v>2006</v>
      </c>
      <c r="J1445" s="181" t="s">
        <v>3696</v>
      </c>
      <c r="K1445" s="184"/>
      <c r="L1445" s="184" t="s">
        <v>19</v>
      </c>
      <c r="M1445" s="556" t="s">
        <v>4153</v>
      </c>
      <c r="N1445" s="214" t="s">
        <v>122</v>
      </c>
      <c r="O1445" s="214" t="s">
        <v>292</v>
      </c>
      <c r="P1445" s="214" t="s">
        <v>292</v>
      </c>
      <c r="Q1445" s="214" t="s">
        <v>292</v>
      </c>
      <c r="R1445" s="214" t="s">
        <v>292</v>
      </c>
      <c r="S1445" s="214" t="s">
        <v>292</v>
      </c>
      <c r="T1445" s="214" t="s">
        <v>292</v>
      </c>
      <c r="U1445" s="214" t="s">
        <v>292</v>
      </c>
      <c r="V1445" s="214" t="s">
        <v>292</v>
      </c>
      <c r="W1445" s="214" t="s">
        <v>292</v>
      </c>
      <c r="X1445" s="214" t="s">
        <v>292</v>
      </c>
      <c r="Y1445" s="214" t="s">
        <v>292</v>
      </c>
      <c r="Z1445" s="234"/>
      <c r="AA1445" s="234"/>
      <c r="AB1445" s="234"/>
      <c r="AC1445" s="234"/>
      <c r="AD1445" s="320" t="s">
        <v>3697</v>
      </c>
      <c r="AE1445" s="319" t="s">
        <v>485</v>
      </c>
      <c r="AF1445" s="162">
        <f t="shared" si="124"/>
        <v>0.41699999999999998</v>
      </c>
      <c r="AG1445" s="162" t="str">
        <f t="shared" si="129"/>
        <v/>
      </c>
      <c r="AH1445" s="164">
        <f t="shared" si="126"/>
        <v>3.9699999999999999E-2</v>
      </c>
      <c r="AI1445" s="164" t="str">
        <f t="shared" si="127"/>
        <v/>
      </c>
      <c r="AJ1445" s="375">
        <v>0.41699999999999998</v>
      </c>
      <c r="AK1445" s="375"/>
      <c r="AL1445" s="375"/>
      <c r="AM1445" s="375"/>
      <c r="AN1445" s="375"/>
      <c r="AO1445" s="375"/>
      <c r="AP1445" s="375"/>
      <c r="AQ1445" s="375"/>
      <c r="AR1445" s="391"/>
      <c r="AS1445" s="276">
        <f>AJ1445</f>
        <v>0.41699999999999998</v>
      </c>
      <c r="AT1445" s="277"/>
      <c r="AU1445" s="391"/>
      <c r="AV1445" s="422"/>
      <c r="AW1445" s="436">
        <v>3.9699999999999999E-2</v>
      </c>
      <c r="AX1445" s="359"/>
      <c r="AY1445" s="359"/>
      <c r="AZ1445" s="359"/>
      <c r="BA1445" s="359"/>
      <c r="BB1445" s="359"/>
      <c r="BC1445" s="426"/>
      <c r="BD1445" s="359"/>
      <c r="BE1445" s="359"/>
      <c r="BF1445" s="469">
        <f t="shared" si="130"/>
        <v>3.9699999999999999E-2</v>
      </c>
      <c r="BG1445" s="469"/>
      <c r="BH1445" s="460"/>
      <c r="BI1445" s="461"/>
      <c r="BJ1445" s="505"/>
    </row>
    <row r="1446" spans="1:62" ht="15" customHeight="1" thickBot="1" x14ac:dyDescent="0.25">
      <c r="A1446" s="176">
        <v>1447</v>
      </c>
      <c r="B1446" s="291">
        <v>1</v>
      </c>
      <c r="C1446" s="167" t="s">
        <v>3450</v>
      </c>
      <c r="D1446" s="167" t="s">
        <v>1739</v>
      </c>
      <c r="E1446" s="167" t="s">
        <v>13</v>
      </c>
      <c r="F1446" s="167" t="s">
        <v>3698</v>
      </c>
      <c r="G1446" s="167" t="s">
        <v>122</v>
      </c>
      <c r="H1446" s="167" t="s">
        <v>700</v>
      </c>
      <c r="I1446" s="184">
        <v>2006</v>
      </c>
      <c r="J1446" s="181" t="s">
        <v>3696</v>
      </c>
      <c r="K1446" s="184"/>
      <c r="L1446" s="184" t="s">
        <v>19</v>
      </c>
      <c r="M1446" s="556" t="s">
        <v>4153</v>
      </c>
      <c r="N1446" s="214" t="s">
        <v>122</v>
      </c>
      <c r="O1446" s="214" t="s">
        <v>292</v>
      </c>
      <c r="P1446" s="214" t="s">
        <v>292</v>
      </c>
      <c r="Q1446" s="214" t="s">
        <v>292</v>
      </c>
      <c r="R1446" s="214" t="s">
        <v>292</v>
      </c>
      <c r="S1446" s="214" t="s">
        <v>292</v>
      </c>
      <c r="T1446" s="214" t="s">
        <v>292</v>
      </c>
      <c r="U1446" s="214" t="s">
        <v>292</v>
      </c>
      <c r="V1446" s="214" t="s">
        <v>292</v>
      </c>
      <c r="W1446" s="214" t="s">
        <v>292</v>
      </c>
      <c r="X1446" s="214" t="s">
        <v>292</v>
      </c>
      <c r="Y1446" s="214" t="s">
        <v>292</v>
      </c>
      <c r="Z1446" s="234"/>
      <c r="AA1446" s="234"/>
      <c r="AB1446" s="234"/>
      <c r="AC1446" s="234"/>
      <c r="AD1446" s="320" t="s">
        <v>3697</v>
      </c>
      <c r="AE1446" s="319" t="s">
        <v>640</v>
      </c>
      <c r="AF1446" s="162">
        <f t="shared" si="124"/>
        <v>0.44600000000000001</v>
      </c>
      <c r="AG1446" s="162" t="str">
        <f t="shared" si="129"/>
        <v/>
      </c>
      <c r="AH1446" s="164">
        <f t="shared" si="126"/>
        <v>4.0599999999999997E-2</v>
      </c>
      <c r="AI1446" s="164" t="str">
        <f t="shared" si="127"/>
        <v/>
      </c>
      <c r="AJ1446" s="375">
        <v>0.44600000000000001</v>
      </c>
      <c r="AK1446" s="375"/>
      <c r="AL1446" s="375"/>
      <c r="AM1446" s="375"/>
      <c r="AN1446" s="375"/>
      <c r="AO1446" s="375"/>
      <c r="AP1446" s="375"/>
      <c r="AQ1446" s="375"/>
      <c r="AR1446" s="391"/>
      <c r="AS1446" s="276">
        <f>AJ1446</f>
        <v>0.44600000000000001</v>
      </c>
      <c r="AT1446" s="277"/>
      <c r="AU1446" s="391"/>
      <c r="AV1446" s="422"/>
      <c r="AW1446" s="436">
        <v>4.0599999999999997E-2</v>
      </c>
      <c r="AX1446" s="359"/>
      <c r="AY1446" s="359"/>
      <c r="AZ1446" s="359"/>
      <c r="BA1446" s="359"/>
      <c r="BB1446" s="359"/>
      <c r="BC1446" s="426"/>
      <c r="BD1446" s="359"/>
      <c r="BE1446" s="359"/>
      <c r="BF1446" s="469">
        <f t="shared" si="130"/>
        <v>4.0599999999999997E-2</v>
      </c>
      <c r="BG1446" s="469"/>
      <c r="BH1446" s="460"/>
      <c r="BI1446" s="461"/>
      <c r="BJ1446" s="505"/>
    </row>
    <row r="1447" spans="1:62" ht="15" customHeight="1" thickBot="1" x14ac:dyDescent="0.25">
      <c r="A1447" s="176">
        <v>1448</v>
      </c>
      <c r="B1447" s="291">
        <v>1</v>
      </c>
      <c r="C1447" s="167" t="s">
        <v>3450</v>
      </c>
      <c r="D1447" s="167" t="s">
        <v>1739</v>
      </c>
      <c r="E1447" s="167" t="s">
        <v>13</v>
      </c>
      <c r="F1447" s="167" t="s">
        <v>3699</v>
      </c>
      <c r="G1447" s="167" t="s">
        <v>122</v>
      </c>
      <c r="H1447" s="167" t="s">
        <v>700</v>
      </c>
      <c r="I1447" s="184">
        <v>2006</v>
      </c>
      <c r="J1447" s="181" t="s">
        <v>3696</v>
      </c>
      <c r="K1447" s="184"/>
      <c r="L1447" s="184" t="s">
        <v>19</v>
      </c>
      <c r="M1447" s="556" t="s">
        <v>4153</v>
      </c>
      <c r="N1447" s="214" t="s">
        <v>122</v>
      </c>
      <c r="O1447" s="214" t="s">
        <v>292</v>
      </c>
      <c r="P1447" s="214" t="s">
        <v>292</v>
      </c>
      <c r="Q1447" s="214" t="s">
        <v>292</v>
      </c>
      <c r="R1447" s="214" t="s">
        <v>292</v>
      </c>
      <c r="S1447" s="214" t="s">
        <v>292</v>
      </c>
      <c r="T1447" s="214" t="s">
        <v>292</v>
      </c>
      <c r="U1447" s="214" t="s">
        <v>292</v>
      </c>
      <c r="V1447" s="214" t="s">
        <v>292</v>
      </c>
      <c r="W1447" s="214" t="s">
        <v>292</v>
      </c>
      <c r="X1447" s="214" t="s">
        <v>292</v>
      </c>
      <c r="Y1447" s="214" t="s">
        <v>292</v>
      </c>
      <c r="Z1447" s="234"/>
      <c r="AA1447" s="234"/>
      <c r="AB1447" s="234"/>
      <c r="AC1447" s="234"/>
      <c r="AD1447" s="320" t="s">
        <v>3697</v>
      </c>
      <c r="AE1447" s="319" t="s">
        <v>3700</v>
      </c>
      <c r="AF1447" s="162">
        <f t="shared" si="124"/>
        <v>0.71050000000000002</v>
      </c>
      <c r="AG1447" s="162" t="str">
        <f t="shared" si="129"/>
        <v/>
      </c>
      <c r="AH1447" s="164">
        <f t="shared" si="126"/>
        <v>9.5500000000000002E-2</v>
      </c>
      <c r="AI1447" s="164" t="str">
        <f t="shared" si="127"/>
        <v/>
      </c>
      <c r="AJ1447" s="516">
        <v>0.71050000000000002</v>
      </c>
      <c r="AK1447" s="375"/>
      <c r="AL1447" s="375"/>
      <c r="AM1447" s="375"/>
      <c r="AN1447" s="375"/>
      <c r="AO1447" s="375"/>
      <c r="AP1447" s="375"/>
      <c r="AQ1447" s="375"/>
      <c r="AR1447" s="391"/>
      <c r="AS1447" s="276">
        <f>AJ1447</f>
        <v>0.71050000000000002</v>
      </c>
      <c r="AT1447" s="277"/>
      <c r="AU1447" s="391"/>
      <c r="AV1447" s="422"/>
      <c r="AW1447" s="436">
        <v>9.5500000000000002E-2</v>
      </c>
      <c r="AX1447" s="359"/>
      <c r="AY1447" s="359"/>
      <c r="AZ1447" s="359"/>
      <c r="BA1447" s="359"/>
      <c r="BB1447" s="359"/>
      <c r="BC1447" s="426"/>
      <c r="BD1447" s="359"/>
      <c r="BE1447" s="359"/>
      <c r="BF1447" s="469">
        <f t="shared" si="130"/>
        <v>9.5500000000000002E-2</v>
      </c>
      <c r="BG1447" s="469"/>
      <c r="BH1447" s="460"/>
      <c r="BI1447" s="461"/>
      <c r="BJ1447" s="505"/>
    </row>
    <row r="1448" spans="1:62" ht="15" customHeight="1" thickBot="1" x14ac:dyDescent="0.25">
      <c r="A1448" s="176">
        <v>1449</v>
      </c>
      <c r="B1448" s="291">
        <v>1</v>
      </c>
      <c r="C1448" s="167" t="s">
        <v>3450</v>
      </c>
      <c r="D1448" s="167" t="s">
        <v>1739</v>
      </c>
      <c r="E1448" s="167" t="s">
        <v>13</v>
      </c>
      <c r="F1448" s="167" t="s">
        <v>3701</v>
      </c>
      <c r="G1448" s="167" t="s">
        <v>122</v>
      </c>
      <c r="H1448" s="167" t="s">
        <v>700</v>
      </c>
      <c r="I1448" s="184">
        <v>2006</v>
      </c>
      <c r="J1448" s="181" t="s">
        <v>3696</v>
      </c>
      <c r="K1448" s="184"/>
      <c r="L1448" s="184" t="s">
        <v>19</v>
      </c>
      <c r="M1448" s="556" t="s">
        <v>4153</v>
      </c>
      <c r="N1448" s="214" t="s">
        <v>122</v>
      </c>
      <c r="O1448" s="214" t="s">
        <v>292</v>
      </c>
      <c r="P1448" s="214" t="s">
        <v>292</v>
      </c>
      <c r="Q1448" s="214" t="s">
        <v>292</v>
      </c>
      <c r="R1448" s="214" t="s">
        <v>292</v>
      </c>
      <c r="S1448" s="214" t="s">
        <v>292</v>
      </c>
      <c r="T1448" s="214" t="s">
        <v>292</v>
      </c>
      <c r="U1448" s="214" t="s">
        <v>292</v>
      </c>
      <c r="V1448" s="214" t="s">
        <v>292</v>
      </c>
      <c r="W1448" s="214" t="s">
        <v>292</v>
      </c>
      <c r="X1448" s="214" t="s">
        <v>292</v>
      </c>
      <c r="Y1448" s="214" t="s">
        <v>292</v>
      </c>
      <c r="Z1448" s="234"/>
      <c r="AA1448" s="234"/>
      <c r="AB1448" s="234"/>
      <c r="AC1448" s="234"/>
      <c r="AD1448" s="320" t="s">
        <v>3697</v>
      </c>
      <c r="AE1448" s="319" t="s">
        <v>3702</v>
      </c>
      <c r="AF1448" s="162">
        <f t="shared" si="124"/>
        <v>0.54500000000000004</v>
      </c>
      <c r="AG1448" s="162" t="str">
        <f t="shared" si="129"/>
        <v/>
      </c>
      <c r="AH1448" s="164">
        <f t="shared" si="126"/>
        <v>6.268E-2</v>
      </c>
      <c r="AI1448" s="164" t="str">
        <f t="shared" si="127"/>
        <v/>
      </c>
      <c r="AJ1448" s="517">
        <v>0.54500000000000004</v>
      </c>
      <c r="AK1448" s="375"/>
      <c r="AL1448" s="375"/>
      <c r="AM1448" s="375"/>
      <c r="AN1448" s="375"/>
      <c r="AO1448" s="375"/>
      <c r="AP1448" s="375"/>
      <c r="AQ1448" s="375"/>
      <c r="AR1448" s="391"/>
      <c r="AS1448" s="276">
        <f>AJ1448</f>
        <v>0.54500000000000004</v>
      </c>
      <c r="AT1448" s="277"/>
      <c r="AU1448" s="391"/>
      <c r="AV1448" s="422"/>
      <c r="AW1448" s="436">
        <v>6.268E-2</v>
      </c>
      <c r="AX1448" s="359"/>
      <c r="AY1448" s="359"/>
      <c r="AZ1448" s="359"/>
      <c r="BA1448" s="359"/>
      <c r="BB1448" s="359"/>
      <c r="BC1448" s="426"/>
      <c r="BD1448" s="359"/>
      <c r="BE1448" s="359"/>
      <c r="BF1448" s="469">
        <f t="shared" si="130"/>
        <v>6.268E-2</v>
      </c>
      <c r="BG1448" s="469"/>
      <c r="BH1448" s="460"/>
      <c r="BI1448" s="461"/>
      <c r="BJ1448" s="505"/>
    </row>
    <row r="1449" spans="1:62" ht="15" customHeight="1" thickBot="1" x14ac:dyDescent="0.25">
      <c r="A1449" s="176">
        <v>1450</v>
      </c>
      <c r="B1449" s="291">
        <v>1</v>
      </c>
      <c r="C1449" s="167" t="s">
        <v>3450</v>
      </c>
      <c r="D1449" s="167" t="s">
        <v>1739</v>
      </c>
      <c r="E1449" s="167" t="s">
        <v>13</v>
      </c>
      <c r="F1449" s="167" t="s">
        <v>3703</v>
      </c>
      <c r="G1449" s="167" t="s">
        <v>122</v>
      </c>
      <c r="H1449" s="167" t="s">
        <v>700</v>
      </c>
      <c r="I1449" s="184">
        <v>2006</v>
      </c>
      <c r="J1449" s="181" t="s">
        <v>3696</v>
      </c>
      <c r="K1449" s="184"/>
      <c r="L1449" s="184" t="s">
        <v>19</v>
      </c>
      <c r="M1449" s="556" t="s">
        <v>4153</v>
      </c>
      <c r="N1449" s="214" t="s">
        <v>122</v>
      </c>
      <c r="O1449" s="214" t="s">
        <v>292</v>
      </c>
      <c r="P1449" s="214" t="s">
        <v>292</v>
      </c>
      <c r="Q1449" s="214" t="s">
        <v>292</v>
      </c>
      <c r="R1449" s="214" t="s">
        <v>292</v>
      </c>
      <c r="S1449" s="214" t="s">
        <v>292</v>
      </c>
      <c r="T1449" s="214" t="s">
        <v>292</v>
      </c>
      <c r="U1449" s="214" t="s">
        <v>292</v>
      </c>
      <c r="V1449" s="214" t="s">
        <v>292</v>
      </c>
      <c r="W1449" s="214" t="s">
        <v>292</v>
      </c>
      <c r="X1449" s="214" t="s">
        <v>292</v>
      </c>
      <c r="Y1449" s="214" t="s">
        <v>292</v>
      </c>
      <c r="Z1449" s="234"/>
      <c r="AA1449" s="234"/>
      <c r="AB1449" s="234"/>
      <c r="AC1449" s="234"/>
      <c r="AD1449" s="320" t="s">
        <v>3697</v>
      </c>
      <c r="AE1449" s="319" t="s">
        <v>3704</v>
      </c>
      <c r="AF1449" s="162">
        <f t="shared" si="124"/>
        <v>0.68300000000000005</v>
      </c>
      <c r="AG1449" s="162" t="str">
        <f t="shared" si="129"/>
        <v/>
      </c>
      <c r="AH1449" s="164">
        <f t="shared" si="126"/>
        <v>9.4600000000000004E-2</v>
      </c>
      <c r="AI1449" s="164" t="str">
        <f t="shared" si="127"/>
        <v/>
      </c>
      <c r="AJ1449" s="375">
        <v>0.68300000000000005</v>
      </c>
      <c r="AK1449" s="375"/>
      <c r="AL1449" s="375"/>
      <c r="AM1449" s="375"/>
      <c r="AN1449" s="375"/>
      <c r="AO1449" s="375"/>
      <c r="AP1449" s="375"/>
      <c r="AQ1449" s="375"/>
      <c r="AR1449" s="391"/>
      <c r="AS1449" s="276">
        <f>AJ1449</f>
        <v>0.68300000000000005</v>
      </c>
      <c r="AT1449" s="277"/>
      <c r="AU1449" s="391"/>
      <c r="AV1449" s="422"/>
      <c r="AW1449" s="436">
        <v>9.4600000000000004E-2</v>
      </c>
      <c r="AX1449" s="359"/>
      <c r="AY1449" s="359"/>
      <c r="AZ1449" s="359"/>
      <c r="BA1449" s="359"/>
      <c r="BB1449" s="359"/>
      <c r="BC1449" s="426"/>
      <c r="BD1449" s="359"/>
      <c r="BE1449" s="359"/>
      <c r="BF1449" s="469">
        <f t="shared" si="130"/>
        <v>9.4600000000000004E-2</v>
      </c>
      <c r="BG1449" s="469"/>
      <c r="BH1449" s="460"/>
      <c r="BI1449" s="461"/>
      <c r="BJ1449" s="505"/>
    </row>
    <row r="1450" spans="1:62" ht="15" customHeight="1" thickBot="1" x14ac:dyDescent="0.25">
      <c r="A1450" s="176">
        <v>1451</v>
      </c>
      <c r="B1450" s="291">
        <v>1</v>
      </c>
      <c r="C1450" s="167" t="s">
        <v>975</v>
      </c>
      <c r="D1450" s="167" t="s">
        <v>1986</v>
      </c>
      <c r="E1450" s="167" t="s">
        <v>778</v>
      </c>
      <c r="F1450" s="167" t="s">
        <v>3705</v>
      </c>
      <c r="G1450" s="167" t="s">
        <v>292</v>
      </c>
      <c r="H1450" s="167" t="s">
        <v>80</v>
      </c>
      <c r="I1450" s="184">
        <v>2006</v>
      </c>
      <c r="J1450" s="184" t="s">
        <v>3706</v>
      </c>
      <c r="K1450" s="184"/>
      <c r="L1450" s="184" t="s">
        <v>19</v>
      </c>
      <c r="M1450" s="556" t="s">
        <v>4358</v>
      </c>
      <c r="N1450" s="214" t="s">
        <v>122</v>
      </c>
      <c r="O1450" s="214" t="s">
        <v>292</v>
      </c>
      <c r="P1450" s="214" t="s">
        <v>122</v>
      </c>
      <c r="Q1450" s="214" t="s">
        <v>122</v>
      </c>
      <c r="R1450" s="214" t="s">
        <v>292</v>
      </c>
      <c r="S1450" s="214" t="s">
        <v>122</v>
      </c>
      <c r="T1450" s="214" t="s">
        <v>122</v>
      </c>
      <c r="U1450" s="214" t="s">
        <v>122</v>
      </c>
      <c r="V1450" s="214" t="s">
        <v>122</v>
      </c>
      <c r="W1450" s="214" t="s">
        <v>122</v>
      </c>
      <c r="X1450" s="214" t="s">
        <v>292</v>
      </c>
      <c r="Y1450" s="214" t="s">
        <v>292</v>
      </c>
      <c r="Z1450" s="234"/>
      <c r="AA1450" s="234"/>
      <c r="AB1450" s="234" t="s">
        <v>122</v>
      </c>
      <c r="AC1450" s="234"/>
      <c r="AD1450" s="319" t="s">
        <v>3707</v>
      </c>
      <c r="AE1450" s="319"/>
      <c r="AF1450" s="162" t="str">
        <f t="shared" si="124"/>
        <v/>
      </c>
      <c r="AG1450" s="162" t="str">
        <f t="shared" si="129"/>
        <v/>
      </c>
      <c r="AH1450" s="164">
        <f t="shared" si="126"/>
        <v>9.8648880000000005</v>
      </c>
      <c r="AI1450" s="164">
        <f t="shared" si="127"/>
        <v>10.8784896</v>
      </c>
      <c r="AJ1450" s="375"/>
      <c r="AK1450" s="375"/>
      <c r="AL1450" s="375"/>
      <c r="AM1450" s="375"/>
      <c r="AN1450" s="375"/>
      <c r="AO1450" s="375"/>
      <c r="AP1450" s="375"/>
      <c r="AQ1450" s="375"/>
      <c r="AR1450" s="391"/>
      <c r="AS1450" s="276"/>
      <c r="AT1450" s="277"/>
      <c r="AU1450" s="391"/>
      <c r="AV1450" s="422"/>
      <c r="AW1450" s="436">
        <f>20.856*0.473</f>
        <v>9.8648880000000005</v>
      </c>
      <c r="AX1450" s="359"/>
      <c r="AY1450" s="359">
        <f>20.856*0.0486</f>
        <v>1.0136016000000001</v>
      </c>
      <c r="AZ1450" s="359"/>
      <c r="BA1450" s="359">
        <v>0.36299999999999999</v>
      </c>
      <c r="BB1450" s="359">
        <f>20.856*0.177</f>
        <v>3.6915119999999999</v>
      </c>
      <c r="BC1450" s="359">
        <f>20.856*0.284</f>
        <v>5.9231040000000004</v>
      </c>
      <c r="BD1450" s="359"/>
      <c r="BE1450" s="359"/>
      <c r="BF1450" s="469">
        <f t="shared" si="130"/>
        <v>9.8648880000000005</v>
      </c>
      <c r="BG1450" s="469">
        <f>SUM(AW1450:BE1450)</f>
        <v>20.856105599999999</v>
      </c>
      <c r="BH1450" s="460"/>
      <c r="BI1450" s="461"/>
      <c r="BJ1450" s="505"/>
    </row>
    <row r="1451" spans="1:62" ht="15" customHeight="1" thickBot="1" x14ac:dyDescent="0.25">
      <c r="A1451" s="176">
        <v>1452</v>
      </c>
      <c r="B1451" s="291">
        <v>1</v>
      </c>
      <c r="C1451" s="167" t="s">
        <v>2933</v>
      </c>
      <c r="D1451" s="167" t="s">
        <v>2931</v>
      </c>
      <c r="E1451" s="167" t="s">
        <v>13</v>
      </c>
      <c r="F1451" s="167"/>
      <c r="G1451" s="167"/>
      <c r="H1451" s="167" t="s">
        <v>80</v>
      </c>
      <c r="I1451" s="184">
        <v>2007</v>
      </c>
      <c r="J1451" s="184" t="s">
        <v>3708</v>
      </c>
      <c r="K1451" s="184"/>
      <c r="L1451" s="184" t="s">
        <v>9</v>
      </c>
      <c r="M1451" s="556" t="s">
        <v>4359</v>
      </c>
      <c r="N1451" s="214" t="s">
        <v>122</v>
      </c>
      <c r="O1451" s="214" t="s">
        <v>292</v>
      </c>
      <c r="P1451" s="214" t="s">
        <v>122</v>
      </c>
      <c r="Q1451" s="214" t="s">
        <v>122</v>
      </c>
      <c r="R1451" s="214" t="s">
        <v>292</v>
      </c>
      <c r="S1451" s="214" t="s">
        <v>122</v>
      </c>
      <c r="T1451" s="214" t="s">
        <v>292</v>
      </c>
      <c r="U1451" s="214" t="s">
        <v>292</v>
      </c>
      <c r="V1451" s="214" t="s">
        <v>292</v>
      </c>
      <c r="W1451" s="214" t="s">
        <v>292</v>
      </c>
      <c r="X1451" s="214" t="s">
        <v>292</v>
      </c>
      <c r="Y1451" s="214" t="s">
        <v>292</v>
      </c>
      <c r="Z1451" s="234"/>
      <c r="AA1451" s="234"/>
      <c r="AB1451" s="234"/>
      <c r="AC1451" s="234"/>
      <c r="AD1451" s="319" t="s">
        <v>581</v>
      </c>
      <c r="AE1451" s="319" t="s">
        <v>3709</v>
      </c>
      <c r="AF1451" s="162" t="str">
        <f t="shared" si="124"/>
        <v/>
      </c>
      <c r="AG1451" s="162" t="str">
        <f t="shared" si="129"/>
        <v/>
      </c>
      <c r="AH1451" s="164">
        <f t="shared" si="126"/>
        <v>4.9128943758573387</v>
      </c>
      <c r="AI1451" s="164">
        <f t="shared" si="127"/>
        <v>5.1197530864197534</v>
      </c>
      <c r="AJ1451" s="375"/>
      <c r="AK1451" s="375"/>
      <c r="AL1451" s="375"/>
      <c r="AM1451" s="375"/>
      <c r="AN1451" s="375"/>
      <c r="AO1451" s="375"/>
      <c r="AP1451" s="375"/>
      <c r="AQ1451" s="375"/>
      <c r="AR1451" s="391"/>
      <c r="AS1451" s="276"/>
      <c r="AT1451" s="277"/>
      <c r="AU1451" s="391"/>
      <c r="AV1451" s="422"/>
      <c r="AW1451" s="436">
        <f>3.77*(0.4+0.13+0.14+0.05+0.23)/0.729</f>
        <v>4.9128943758573387</v>
      </c>
      <c r="AX1451" s="359"/>
      <c r="AY1451" s="436">
        <f>3.77*0.04/0.729</f>
        <v>0.20685871056241428</v>
      </c>
      <c r="AZ1451" s="359"/>
      <c r="BA1451" s="359">
        <f>3.77*0.01/0.729</f>
        <v>5.1714677640603571E-2</v>
      </c>
      <c r="BB1451" s="436"/>
      <c r="BC1451" s="458"/>
      <c r="BD1451" s="359"/>
      <c r="BE1451" s="359"/>
      <c r="BF1451" s="469">
        <f t="shared" si="130"/>
        <v>4.9128943758573387</v>
      </c>
      <c r="BG1451" s="469">
        <f>SUM(AW1451:BE1451)</f>
        <v>5.171467764060357</v>
      </c>
      <c r="BH1451" s="460"/>
      <c r="BI1451" s="461"/>
      <c r="BJ1451" s="505"/>
    </row>
    <row r="1452" spans="1:62" ht="15" customHeight="1" thickBot="1" x14ac:dyDescent="0.25">
      <c r="A1452" s="176">
        <v>1453</v>
      </c>
      <c r="B1452" s="291">
        <v>1</v>
      </c>
      <c r="C1452" s="167" t="s">
        <v>2933</v>
      </c>
      <c r="D1452" s="167" t="s">
        <v>2745</v>
      </c>
      <c r="E1452" s="167" t="s">
        <v>13</v>
      </c>
      <c r="F1452" s="167" t="s">
        <v>3710</v>
      </c>
      <c r="G1452" s="167"/>
      <c r="H1452" s="167" t="s">
        <v>1284</v>
      </c>
      <c r="I1452" s="184">
        <v>2007</v>
      </c>
      <c r="J1452" s="181" t="s">
        <v>3711</v>
      </c>
      <c r="K1452" s="184"/>
      <c r="L1452" s="184" t="s">
        <v>19</v>
      </c>
      <c r="M1452" s="556" t="s">
        <v>4360</v>
      </c>
      <c r="N1452" s="214" t="s">
        <v>122</v>
      </c>
      <c r="O1452" s="214" t="s">
        <v>292</v>
      </c>
      <c r="P1452" s="214" t="s">
        <v>292</v>
      </c>
      <c r="Q1452" s="214" t="s">
        <v>292</v>
      </c>
      <c r="R1452" s="214" t="s">
        <v>292</v>
      </c>
      <c r="S1452" s="214" t="s">
        <v>292</v>
      </c>
      <c r="T1452" s="214" t="s">
        <v>292</v>
      </c>
      <c r="U1452" s="214" t="s">
        <v>292</v>
      </c>
      <c r="V1452" s="214" t="s">
        <v>292</v>
      </c>
      <c r="W1452" s="214" t="s">
        <v>292</v>
      </c>
      <c r="X1452" s="214" t="s">
        <v>292</v>
      </c>
      <c r="Y1452" s="214" t="s">
        <v>292</v>
      </c>
      <c r="Z1452" s="214" t="s">
        <v>292</v>
      </c>
      <c r="AA1452" s="234" t="s">
        <v>3712</v>
      </c>
      <c r="AB1452" s="234"/>
      <c r="AC1452" s="234"/>
      <c r="AD1452" s="319" t="s">
        <v>3713</v>
      </c>
      <c r="AE1452" s="319"/>
      <c r="AF1452" s="162">
        <f t="shared" si="124"/>
        <v>169</v>
      </c>
      <c r="AG1452" s="162" t="str">
        <f t="shared" si="129"/>
        <v/>
      </c>
      <c r="AH1452" s="164">
        <f t="shared" si="126"/>
        <v>36.4</v>
      </c>
      <c r="AI1452" s="164" t="str">
        <f t="shared" si="127"/>
        <v/>
      </c>
      <c r="AJ1452" s="375">
        <v>169</v>
      </c>
      <c r="AK1452" s="375"/>
      <c r="AL1452" s="375"/>
      <c r="AM1452" s="375"/>
      <c r="AN1452" s="375"/>
      <c r="AO1452" s="375"/>
      <c r="AP1452" s="375"/>
      <c r="AQ1452" s="375"/>
      <c r="AR1452" s="391"/>
      <c r="AS1452" s="276">
        <f>AJ1452</f>
        <v>169</v>
      </c>
      <c r="AT1452" s="277"/>
      <c r="AU1452" s="391"/>
      <c r="AV1452" s="422"/>
      <c r="AW1452" s="436">
        <v>36.4</v>
      </c>
      <c r="AX1452" s="359"/>
      <c r="AY1452" s="359"/>
      <c r="AZ1452" s="359"/>
      <c r="BA1452" s="359"/>
      <c r="BB1452" s="359"/>
      <c r="BC1452" s="426"/>
      <c r="BD1452" s="359"/>
      <c r="BE1452" s="359"/>
      <c r="BF1452" s="469">
        <f t="shared" si="130"/>
        <v>36.4</v>
      </c>
      <c r="BG1452" s="469"/>
      <c r="BH1452" s="460"/>
      <c r="BI1452" s="461"/>
      <c r="BJ1452" s="505"/>
    </row>
    <row r="1453" spans="1:62" ht="15" customHeight="1" thickBot="1" x14ac:dyDescent="0.25">
      <c r="A1453" s="176">
        <v>1454</v>
      </c>
      <c r="B1453" s="291">
        <v>1</v>
      </c>
      <c r="C1453" s="167" t="s">
        <v>11</v>
      </c>
      <c r="D1453" s="167" t="s">
        <v>12</v>
      </c>
      <c r="E1453" s="167" t="s">
        <v>13</v>
      </c>
      <c r="F1453" s="167"/>
      <c r="G1453" s="167"/>
      <c r="H1453" s="167" t="s">
        <v>101</v>
      </c>
      <c r="I1453" s="184">
        <v>2008</v>
      </c>
      <c r="J1453" s="181" t="s">
        <v>3714</v>
      </c>
      <c r="K1453" s="184"/>
      <c r="L1453" s="184" t="s">
        <v>19</v>
      </c>
      <c r="M1453" s="556" t="s">
        <v>4361</v>
      </c>
      <c r="N1453" s="214" t="s">
        <v>122</v>
      </c>
      <c r="O1453" s="214" t="s">
        <v>122</v>
      </c>
      <c r="P1453" s="214" t="s">
        <v>122</v>
      </c>
      <c r="Q1453" s="214" t="s">
        <v>122</v>
      </c>
      <c r="R1453" s="214" t="s">
        <v>122</v>
      </c>
      <c r="S1453" s="214" t="s">
        <v>122</v>
      </c>
      <c r="T1453" s="214" t="s">
        <v>122</v>
      </c>
      <c r="U1453" s="214" t="s">
        <v>122</v>
      </c>
      <c r="V1453" s="214" t="s">
        <v>122</v>
      </c>
      <c r="W1453" s="214" t="s">
        <v>292</v>
      </c>
      <c r="X1453" s="214" t="s">
        <v>292</v>
      </c>
      <c r="Y1453" s="214" t="s">
        <v>292</v>
      </c>
      <c r="Z1453" s="234"/>
      <c r="AA1453" s="234"/>
      <c r="AB1453" s="234"/>
      <c r="AC1453" s="234"/>
      <c r="AD1453" s="319" t="s">
        <v>1410</v>
      </c>
      <c r="AE1453" s="319"/>
      <c r="AF1453" s="162" t="str">
        <f t="shared" ref="AF1453:AF1516" si="131">IF(AS1453&lt;&gt;0,AS1453,"")</f>
        <v/>
      </c>
      <c r="AG1453" s="162" t="str">
        <f t="shared" si="129"/>
        <v/>
      </c>
      <c r="AH1453" s="164" t="str">
        <f t="shared" si="126"/>
        <v/>
      </c>
      <c r="AI1453" s="164" t="str">
        <f t="shared" si="127"/>
        <v/>
      </c>
      <c r="AJ1453" s="375"/>
      <c r="AK1453" s="375"/>
      <c r="AL1453" s="375"/>
      <c r="AM1453" s="375"/>
      <c r="AN1453" s="375"/>
      <c r="AO1453" s="375"/>
      <c r="AP1453" s="375"/>
      <c r="AQ1453" s="375"/>
      <c r="AR1453" s="391"/>
      <c r="AS1453" s="276"/>
      <c r="AT1453" s="277">
        <v>5.8</v>
      </c>
      <c r="AU1453" s="391"/>
      <c r="AV1453" s="422"/>
      <c r="AW1453" s="436"/>
      <c r="AX1453" s="359"/>
      <c r="AY1453" s="359"/>
      <c r="AZ1453" s="359"/>
      <c r="BA1453" s="359"/>
      <c r="BB1453" s="359"/>
      <c r="BC1453" s="426"/>
      <c r="BD1453" s="359"/>
      <c r="BE1453" s="359"/>
      <c r="BF1453" s="469"/>
      <c r="BG1453" s="469">
        <v>1.1399999999999999</v>
      </c>
      <c r="BH1453" s="460"/>
      <c r="BI1453" s="461"/>
      <c r="BJ1453" s="505"/>
    </row>
    <row r="1454" spans="1:62" ht="15" customHeight="1" thickBot="1" x14ac:dyDescent="0.25">
      <c r="A1454" s="176">
        <v>1455</v>
      </c>
      <c r="B1454" s="291">
        <v>1</v>
      </c>
      <c r="C1454" s="167" t="s">
        <v>11</v>
      </c>
      <c r="D1454" s="167" t="s">
        <v>426</v>
      </c>
      <c r="E1454" s="167" t="s">
        <v>13</v>
      </c>
      <c r="F1454" s="167"/>
      <c r="G1454" s="167"/>
      <c r="H1454" s="167" t="s">
        <v>101</v>
      </c>
      <c r="I1454" s="184">
        <v>2008</v>
      </c>
      <c r="J1454" s="181" t="s">
        <v>3714</v>
      </c>
      <c r="K1454" s="184"/>
      <c r="L1454" s="184" t="s">
        <v>19</v>
      </c>
      <c r="M1454" s="556" t="s">
        <v>4361</v>
      </c>
      <c r="N1454" s="214" t="s">
        <v>122</v>
      </c>
      <c r="O1454" s="214" t="s">
        <v>122</v>
      </c>
      <c r="P1454" s="214" t="s">
        <v>122</v>
      </c>
      <c r="Q1454" s="214" t="s">
        <v>122</v>
      </c>
      <c r="R1454" s="214" t="s">
        <v>122</v>
      </c>
      <c r="S1454" s="214" t="s">
        <v>122</v>
      </c>
      <c r="T1454" s="214" t="s">
        <v>122</v>
      </c>
      <c r="U1454" s="214" t="s">
        <v>122</v>
      </c>
      <c r="V1454" s="214" t="s">
        <v>122</v>
      </c>
      <c r="W1454" s="214" t="s">
        <v>292</v>
      </c>
      <c r="X1454" s="214" t="s">
        <v>292</v>
      </c>
      <c r="Y1454" s="214" t="s">
        <v>292</v>
      </c>
      <c r="Z1454" s="234"/>
      <c r="AA1454" s="234"/>
      <c r="AB1454" s="234"/>
      <c r="AC1454" s="234"/>
      <c r="AD1454" s="319" t="s">
        <v>1410</v>
      </c>
      <c r="AE1454" s="319"/>
      <c r="AF1454" s="162" t="str">
        <f t="shared" si="131"/>
        <v/>
      </c>
      <c r="AG1454" s="162" t="str">
        <f t="shared" si="129"/>
        <v/>
      </c>
      <c r="AH1454" s="164" t="str">
        <f t="shared" si="126"/>
        <v/>
      </c>
      <c r="AI1454" s="164" t="str">
        <f t="shared" si="127"/>
        <v/>
      </c>
      <c r="AJ1454" s="375"/>
      <c r="AK1454" s="375"/>
      <c r="AL1454" s="375"/>
      <c r="AM1454" s="375"/>
      <c r="AN1454" s="375"/>
      <c r="AO1454" s="375"/>
      <c r="AP1454" s="375"/>
      <c r="AQ1454" s="375"/>
      <c r="AR1454" s="391"/>
      <c r="AS1454" s="276"/>
      <c r="AT1454" s="277">
        <v>40</v>
      </c>
      <c r="AU1454" s="391"/>
      <c r="AV1454" s="422"/>
      <c r="AW1454" s="436"/>
      <c r="AX1454" s="359"/>
      <c r="AY1454" s="359"/>
      <c r="AZ1454" s="359"/>
      <c r="BA1454" s="359"/>
      <c r="BB1454" s="359"/>
      <c r="BC1454" s="426"/>
      <c r="BD1454" s="359"/>
      <c r="BE1454" s="359"/>
      <c r="BF1454" s="469"/>
      <c r="BG1454" s="469">
        <v>10.7</v>
      </c>
      <c r="BH1454" s="460"/>
      <c r="BI1454" s="461"/>
      <c r="BJ1454" s="505"/>
    </row>
    <row r="1455" spans="1:62" ht="15" customHeight="1" thickBot="1" x14ac:dyDescent="0.25">
      <c r="A1455" s="176">
        <v>1456</v>
      </c>
      <c r="B1455" s="291">
        <v>1</v>
      </c>
      <c r="C1455" s="167" t="s">
        <v>11</v>
      </c>
      <c r="D1455" s="167" t="s">
        <v>140</v>
      </c>
      <c r="E1455" s="167" t="s">
        <v>13</v>
      </c>
      <c r="F1455" s="167"/>
      <c r="G1455" s="167"/>
      <c r="H1455" s="167" t="s">
        <v>101</v>
      </c>
      <c r="I1455" s="184">
        <v>2008</v>
      </c>
      <c r="J1455" s="181" t="s">
        <v>3714</v>
      </c>
      <c r="K1455" s="184"/>
      <c r="L1455" s="184" t="s">
        <v>19</v>
      </c>
      <c r="M1455" s="556" t="s">
        <v>4361</v>
      </c>
      <c r="N1455" s="214" t="s">
        <v>122</v>
      </c>
      <c r="O1455" s="214" t="s">
        <v>122</v>
      </c>
      <c r="P1455" s="214" t="s">
        <v>122</v>
      </c>
      <c r="Q1455" s="214" t="s">
        <v>122</v>
      </c>
      <c r="R1455" s="214" t="s">
        <v>122</v>
      </c>
      <c r="S1455" s="214" t="s">
        <v>122</v>
      </c>
      <c r="T1455" s="214" t="s">
        <v>122</v>
      </c>
      <c r="U1455" s="214" t="s">
        <v>122</v>
      </c>
      <c r="V1455" s="214" t="s">
        <v>122</v>
      </c>
      <c r="W1455" s="214" t="s">
        <v>292</v>
      </c>
      <c r="X1455" s="214" t="s">
        <v>292</v>
      </c>
      <c r="Y1455" s="214" t="s">
        <v>292</v>
      </c>
      <c r="Z1455" s="234"/>
      <c r="AA1455" s="234"/>
      <c r="AB1455" s="234"/>
      <c r="AC1455" s="234"/>
      <c r="AD1455" s="319" t="s">
        <v>1410</v>
      </c>
      <c r="AE1455" s="319"/>
      <c r="AF1455" s="162" t="str">
        <f t="shared" si="131"/>
        <v/>
      </c>
      <c r="AG1455" s="162" t="str">
        <f t="shared" si="129"/>
        <v/>
      </c>
      <c r="AH1455" s="164" t="str">
        <f t="shared" si="126"/>
        <v/>
      </c>
      <c r="AI1455" s="164" t="str">
        <f t="shared" si="127"/>
        <v/>
      </c>
      <c r="AJ1455" s="375"/>
      <c r="AK1455" s="375"/>
      <c r="AL1455" s="375"/>
      <c r="AM1455" s="375"/>
      <c r="AN1455" s="375"/>
      <c r="AO1455" s="375"/>
      <c r="AP1455" s="375"/>
      <c r="AQ1455" s="375"/>
      <c r="AR1455" s="391"/>
      <c r="AS1455" s="276"/>
      <c r="AT1455" s="277">
        <v>8.9</v>
      </c>
      <c r="AU1455" s="391"/>
      <c r="AV1455" s="422"/>
      <c r="AW1455" s="436"/>
      <c r="AX1455" s="359"/>
      <c r="AY1455" s="359"/>
      <c r="AZ1455" s="359"/>
      <c r="BA1455" s="359"/>
      <c r="BB1455" s="359"/>
      <c r="BC1455" s="426"/>
      <c r="BD1455" s="359"/>
      <c r="BE1455" s="359"/>
      <c r="BF1455" s="469"/>
      <c r="BG1455" s="469">
        <v>1.45</v>
      </c>
      <c r="BH1455" s="460"/>
      <c r="BI1455" s="461"/>
      <c r="BJ1455" s="505"/>
    </row>
    <row r="1456" spans="1:62" ht="15" customHeight="1" thickBot="1" x14ac:dyDescent="0.25">
      <c r="A1456" s="176">
        <v>1457</v>
      </c>
      <c r="B1456" s="291">
        <v>1</v>
      </c>
      <c r="C1456" s="167" t="s">
        <v>975</v>
      </c>
      <c r="D1456" s="167" t="s">
        <v>3056</v>
      </c>
      <c r="E1456" s="167" t="s">
        <v>1068</v>
      </c>
      <c r="F1456" s="167" t="s">
        <v>3715</v>
      </c>
      <c r="G1456" s="167"/>
      <c r="H1456" s="167" t="s">
        <v>1064</v>
      </c>
      <c r="I1456" s="184">
        <v>2008</v>
      </c>
      <c r="J1456" s="181" t="s">
        <v>3716</v>
      </c>
      <c r="K1456" s="184"/>
      <c r="L1456" s="184" t="s">
        <v>19</v>
      </c>
      <c r="M1456" s="556" t="s">
        <v>4362</v>
      </c>
      <c r="N1456" s="214" t="s">
        <v>122</v>
      </c>
      <c r="O1456" s="214" t="s">
        <v>292</v>
      </c>
      <c r="P1456" s="214" t="s">
        <v>122</v>
      </c>
      <c r="Q1456" s="214" t="s">
        <v>122</v>
      </c>
      <c r="R1456" s="214" t="s">
        <v>292</v>
      </c>
      <c r="S1456" s="214" t="s">
        <v>122</v>
      </c>
      <c r="T1456" s="214" t="s">
        <v>292</v>
      </c>
      <c r="U1456" s="214" t="s">
        <v>122</v>
      </c>
      <c r="V1456" s="214" t="s">
        <v>292</v>
      </c>
      <c r="W1456" s="214" t="s">
        <v>292</v>
      </c>
      <c r="X1456" s="214" t="s">
        <v>292</v>
      </c>
      <c r="Y1456" s="214" t="s">
        <v>292</v>
      </c>
      <c r="Z1456" s="234"/>
      <c r="AA1456" s="234"/>
      <c r="AB1456" s="234"/>
      <c r="AC1456" s="234"/>
      <c r="AD1456" s="319" t="s">
        <v>3717</v>
      </c>
      <c r="AE1456" s="319"/>
      <c r="AF1456" s="162" t="str">
        <f t="shared" si="131"/>
        <v/>
      </c>
      <c r="AG1456" s="162" t="str">
        <f t="shared" si="129"/>
        <v/>
      </c>
      <c r="AH1456" s="164">
        <f t="shared" si="126"/>
        <v>2.25</v>
      </c>
      <c r="AI1456" s="164">
        <f t="shared" si="127"/>
        <v>2.3311000000000002</v>
      </c>
      <c r="AJ1456" s="375"/>
      <c r="AK1456" s="375"/>
      <c r="AL1456" s="375"/>
      <c r="AM1456" s="375"/>
      <c r="AN1456" s="375"/>
      <c r="AO1456" s="375"/>
      <c r="AP1456" s="375"/>
      <c r="AQ1456" s="375"/>
      <c r="AR1456" s="391"/>
      <c r="AS1456" s="276"/>
      <c r="AT1456" s="277"/>
      <c r="AU1456" s="391"/>
      <c r="AV1456" s="422"/>
      <c r="AW1456" s="436">
        <v>2.25</v>
      </c>
      <c r="AX1456" s="359">
        <v>8.1100000000000005E-2</v>
      </c>
      <c r="AY1456" s="359">
        <v>0</v>
      </c>
      <c r="AZ1456" s="359"/>
      <c r="BA1456" s="359">
        <f>0.3478+0.021268</f>
        <v>0.36906800000000001</v>
      </c>
      <c r="BB1456" s="359"/>
      <c r="BC1456" s="426">
        <v>0.33040000000000003</v>
      </c>
      <c r="BD1456" s="359"/>
      <c r="BE1456" s="359"/>
      <c r="BF1456" s="469">
        <f t="shared" ref="BF1456:BF1487" si="132">AW1456</f>
        <v>2.25</v>
      </c>
      <c r="BG1456" s="469">
        <f>SUM(AW1456:BE1456)</f>
        <v>3.0305680000000002</v>
      </c>
      <c r="BH1456" s="460"/>
      <c r="BI1456" s="461"/>
      <c r="BJ1456" s="505"/>
    </row>
    <row r="1457" spans="1:62" ht="15" customHeight="1" thickBot="1" x14ac:dyDescent="0.25">
      <c r="A1457" s="176">
        <v>1458</v>
      </c>
      <c r="B1457" s="291">
        <v>1</v>
      </c>
      <c r="C1457" s="167" t="s">
        <v>162</v>
      </c>
      <c r="D1457" s="167" t="s">
        <v>3513</v>
      </c>
      <c r="E1457" s="167" t="s">
        <v>13</v>
      </c>
      <c r="F1457" s="167" t="s">
        <v>3718</v>
      </c>
      <c r="G1457" s="167"/>
      <c r="H1457" s="167" t="s">
        <v>1284</v>
      </c>
      <c r="I1457" s="184">
        <v>2008</v>
      </c>
      <c r="J1457" s="181" t="s">
        <v>3719</v>
      </c>
      <c r="K1457" s="184"/>
      <c r="L1457" s="184" t="s">
        <v>19</v>
      </c>
      <c r="M1457" s="556" t="s">
        <v>4363</v>
      </c>
      <c r="N1457" s="214" t="s">
        <v>122</v>
      </c>
      <c r="O1457" s="214" t="s">
        <v>292</v>
      </c>
      <c r="P1457" s="214" t="s">
        <v>122</v>
      </c>
      <c r="Q1457" s="214" t="s">
        <v>292</v>
      </c>
      <c r="R1457" s="214" t="s">
        <v>122</v>
      </c>
      <c r="S1457" s="214" t="s">
        <v>122</v>
      </c>
      <c r="T1457" s="214" t="s">
        <v>292</v>
      </c>
      <c r="U1457" s="214" t="s">
        <v>292</v>
      </c>
      <c r="V1457" s="214" t="s">
        <v>292</v>
      </c>
      <c r="W1457" s="214" t="s">
        <v>292</v>
      </c>
      <c r="X1457" s="214" t="s">
        <v>292</v>
      </c>
      <c r="Y1457" s="214" t="s">
        <v>292</v>
      </c>
      <c r="Z1457" s="234"/>
      <c r="AA1457" s="234" t="s">
        <v>3720</v>
      </c>
      <c r="AB1457" s="234" t="s">
        <v>122</v>
      </c>
      <c r="AC1457" s="234"/>
      <c r="AD1457" s="319" t="s">
        <v>3721</v>
      </c>
      <c r="AE1457" s="319" t="s">
        <v>485</v>
      </c>
      <c r="AF1457" s="162" t="str">
        <f t="shared" si="131"/>
        <v/>
      </c>
      <c r="AG1457" s="162" t="str">
        <f t="shared" si="129"/>
        <v/>
      </c>
      <c r="AH1457" s="164">
        <f t="shared" si="126"/>
        <v>0.81</v>
      </c>
      <c r="AI1457" s="164">
        <f t="shared" si="127"/>
        <v>0.81742500000000007</v>
      </c>
      <c r="AJ1457" s="375"/>
      <c r="AK1457" s="375"/>
      <c r="AL1457" s="375"/>
      <c r="AM1457" s="375"/>
      <c r="AN1457" s="375"/>
      <c r="AO1457" s="375"/>
      <c r="AP1457" s="375"/>
      <c r="AQ1457" s="375"/>
      <c r="AR1457" s="391"/>
      <c r="AS1457" s="276"/>
      <c r="AT1457" s="277"/>
      <c r="AU1457" s="391"/>
      <c r="AV1457" s="422"/>
      <c r="AW1457" s="436">
        <v>0.81</v>
      </c>
      <c r="AX1457" s="359">
        <v>5.5599999999999998E-3</v>
      </c>
      <c r="AY1457" s="359">
        <f>0.001865</f>
        <v>1.8649999999999999E-3</v>
      </c>
      <c r="AZ1457" s="359">
        <v>5.8799999999999998E-2</v>
      </c>
      <c r="BA1457" s="359">
        <f>(0.0896+0.0357)/1000</f>
        <v>1.2529999999999998E-4</v>
      </c>
      <c r="BB1457" s="359"/>
      <c r="BC1457" s="426"/>
      <c r="BD1457" s="359"/>
      <c r="BE1457" s="359"/>
      <c r="BF1457" s="469">
        <f t="shared" si="132"/>
        <v>0.81</v>
      </c>
      <c r="BG1457" s="469">
        <f>SUM(AW1457:BE1457)</f>
        <v>0.87635030000000003</v>
      </c>
      <c r="BH1457" s="460"/>
      <c r="BI1457" s="461"/>
      <c r="BJ1457" s="505"/>
    </row>
    <row r="1458" spans="1:62" ht="15" customHeight="1" thickBot="1" x14ac:dyDescent="0.25">
      <c r="A1458" s="176">
        <v>1459</v>
      </c>
      <c r="B1458" s="291">
        <v>1</v>
      </c>
      <c r="C1458" s="167" t="s">
        <v>162</v>
      </c>
      <c r="D1458" s="167" t="s">
        <v>2311</v>
      </c>
      <c r="E1458" s="167" t="s">
        <v>13</v>
      </c>
      <c r="F1458" s="167" t="s">
        <v>3718</v>
      </c>
      <c r="G1458" s="167"/>
      <c r="H1458" s="167" t="s">
        <v>1284</v>
      </c>
      <c r="I1458" s="184">
        <v>2008</v>
      </c>
      <c r="J1458" s="181" t="s">
        <v>3719</v>
      </c>
      <c r="K1458" s="184"/>
      <c r="L1458" s="184" t="s">
        <v>19</v>
      </c>
      <c r="M1458" s="556" t="s">
        <v>4363</v>
      </c>
      <c r="N1458" s="214" t="s">
        <v>122</v>
      </c>
      <c r="O1458" s="214" t="s">
        <v>292</v>
      </c>
      <c r="P1458" s="214" t="s">
        <v>122</v>
      </c>
      <c r="Q1458" s="214" t="s">
        <v>292</v>
      </c>
      <c r="R1458" s="214" t="s">
        <v>122</v>
      </c>
      <c r="S1458" s="214" t="s">
        <v>122</v>
      </c>
      <c r="T1458" s="214" t="s">
        <v>292</v>
      </c>
      <c r="U1458" s="214" t="s">
        <v>292</v>
      </c>
      <c r="V1458" s="214" t="s">
        <v>292</v>
      </c>
      <c r="W1458" s="214" t="s">
        <v>292</v>
      </c>
      <c r="X1458" s="214" t="s">
        <v>292</v>
      </c>
      <c r="Y1458" s="214" t="s">
        <v>292</v>
      </c>
      <c r="Z1458" s="234"/>
      <c r="AA1458" s="234" t="s">
        <v>3720</v>
      </c>
      <c r="AB1458" s="234" t="s">
        <v>122</v>
      </c>
      <c r="AC1458" s="234"/>
      <c r="AD1458" s="319" t="s">
        <v>3721</v>
      </c>
      <c r="AE1458" s="319" t="s">
        <v>485</v>
      </c>
      <c r="AF1458" s="162" t="str">
        <f t="shared" si="131"/>
        <v/>
      </c>
      <c r="AG1458" s="162" t="str">
        <f t="shared" si="129"/>
        <v/>
      </c>
      <c r="AH1458" s="164">
        <f t="shared" si="126"/>
        <v>0.20200000000000001</v>
      </c>
      <c r="AI1458" s="164">
        <f t="shared" si="127"/>
        <v>0.20942500000000003</v>
      </c>
      <c r="AJ1458" s="375"/>
      <c r="AK1458" s="375"/>
      <c r="AL1458" s="375"/>
      <c r="AM1458" s="375"/>
      <c r="AN1458" s="375"/>
      <c r="AO1458" s="375"/>
      <c r="AP1458" s="375"/>
      <c r="AQ1458" s="375"/>
      <c r="AR1458" s="391"/>
      <c r="AS1458" s="276"/>
      <c r="AT1458" s="277"/>
      <c r="AU1458" s="391"/>
      <c r="AV1458" s="422"/>
      <c r="AW1458" s="436">
        <v>0.20200000000000001</v>
      </c>
      <c r="AX1458" s="359">
        <v>5.5599999999999998E-3</v>
      </c>
      <c r="AY1458" s="359">
        <f>0.001865</f>
        <v>1.8649999999999999E-3</v>
      </c>
      <c r="AZ1458" s="359">
        <v>5.8799999999999998E-2</v>
      </c>
      <c r="BA1458" s="359">
        <f>(0.0896+0.0357)/1000</f>
        <v>1.2529999999999998E-4</v>
      </c>
      <c r="BB1458" s="359"/>
      <c r="BC1458" s="426"/>
      <c r="BD1458" s="359"/>
      <c r="BE1458" s="359"/>
      <c r="BF1458" s="469">
        <f t="shared" si="132"/>
        <v>0.20200000000000001</v>
      </c>
      <c r="BG1458" s="469">
        <f>SUM(AW1458:BE1458)</f>
        <v>0.26835030000000004</v>
      </c>
      <c r="BH1458" s="460"/>
      <c r="BI1458" s="461"/>
      <c r="BJ1458" s="505"/>
    </row>
    <row r="1459" spans="1:62" ht="15" customHeight="1" thickBot="1" x14ac:dyDescent="0.25">
      <c r="A1459" s="176">
        <v>1460</v>
      </c>
      <c r="B1459" s="291">
        <v>1</v>
      </c>
      <c r="C1459" s="167" t="s">
        <v>162</v>
      </c>
      <c r="D1459" s="167" t="s">
        <v>3513</v>
      </c>
      <c r="E1459" s="167" t="s">
        <v>13</v>
      </c>
      <c r="F1459" s="167" t="s">
        <v>3722</v>
      </c>
      <c r="G1459" s="167"/>
      <c r="H1459" s="167" t="s">
        <v>1284</v>
      </c>
      <c r="I1459" s="184">
        <v>2008</v>
      </c>
      <c r="J1459" s="181" t="s">
        <v>3719</v>
      </c>
      <c r="K1459" s="184"/>
      <c r="L1459" s="184" t="s">
        <v>19</v>
      </c>
      <c r="M1459" s="556" t="s">
        <v>4363</v>
      </c>
      <c r="N1459" s="214" t="s">
        <v>122</v>
      </c>
      <c r="O1459" s="214" t="s">
        <v>292</v>
      </c>
      <c r="P1459" s="214" t="s">
        <v>122</v>
      </c>
      <c r="Q1459" s="214" t="s">
        <v>292</v>
      </c>
      <c r="R1459" s="214" t="s">
        <v>122</v>
      </c>
      <c r="S1459" s="214" t="s">
        <v>122</v>
      </c>
      <c r="T1459" s="214" t="s">
        <v>292</v>
      </c>
      <c r="U1459" s="214" t="s">
        <v>292</v>
      </c>
      <c r="V1459" s="214" t="s">
        <v>292</v>
      </c>
      <c r="W1459" s="214" t="s">
        <v>292</v>
      </c>
      <c r="X1459" s="214" t="s">
        <v>292</v>
      </c>
      <c r="Y1459" s="214" t="s">
        <v>292</v>
      </c>
      <c r="Z1459" s="234"/>
      <c r="AA1459" s="234" t="s">
        <v>3720</v>
      </c>
      <c r="AB1459" s="234" t="s">
        <v>122</v>
      </c>
      <c r="AC1459" s="234"/>
      <c r="AD1459" s="319" t="s">
        <v>3721</v>
      </c>
      <c r="AE1459" s="319" t="s">
        <v>485</v>
      </c>
      <c r="AF1459" s="162" t="str">
        <f t="shared" si="131"/>
        <v/>
      </c>
      <c r="AG1459" s="162" t="str">
        <f t="shared" si="129"/>
        <v/>
      </c>
      <c r="AH1459" s="164">
        <f t="shared" si="126"/>
        <v>0.81</v>
      </c>
      <c r="AI1459" s="164">
        <f t="shared" si="127"/>
        <v>0.81556000000000006</v>
      </c>
      <c r="AJ1459" s="375"/>
      <c r="AK1459" s="375"/>
      <c r="AL1459" s="375"/>
      <c r="AM1459" s="375"/>
      <c r="AN1459" s="375"/>
      <c r="AO1459" s="375"/>
      <c r="AP1459" s="375"/>
      <c r="AQ1459" s="375"/>
      <c r="AR1459" s="391"/>
      <c r="AS1459" s="276"/>
      <c r="AT1459" s="277"/>
      <c r="AU1459" s="391"/>
      <c r="AV1459" s="422"/>
      <c r="AW1459" s="436">
        <v>0.81</v>
      </c>
      <c r="AX1459" s="359">
        <v>5.5599999999999998E-3</v>
      </c>
      <c r="AY1459" s="359"/>
      <c r="AZ1459" s="359">
        <v>7.4190000000000006E-2</v>
      </c>
      <c r="BA1459" s="359">
        <f>(0.0824+0.0221)/1000</f>
        <v>1.0450000000000001E-4</v>
      </c>
      <c r="BB1459" s="359"/>
      <c r="BC1459" s="426"/>
      <c r="BD1459" s="359"/>
      <c r="BE1459" s="359"/>
      <c r="BF1459" s="469">
        <f t="shared" si="132"/>
        <v>0.81</v>
      </c>
      <c r="BG1459" s="469">
        <f>SUM(AW1459:BE1459)</f>
        <v>0.88985449999999999</v>
      </c>
      <c r="BH1459" s="460"/>
      <c r="BI1459" s="461"/>
      <c r="BJ1459" s="505"/>
    </row>
    <row r="1460" spans="1:62" ht="15" customHeight="1" thickBot="1" x14ac:dyDescent="0.25">
      <c r="A1460" s="176">
        <v>1461</v>
      </c>
      <c r="B1460" s="291">
        <v>1</v>
      </c>
      <c r="C1460" s="167" t="s">
        <v>162</v>
      </c>
      <c r="D1460" s="167" t="s">
        <v>2311</v>
      </c>
      <c r="E1460" s="167" t="s">
        <v>13</v>
      </c>
      <c r="F1460" s="167" t="s">
        <v>3722</v>
      </c>
      <c r="G1460" s="167"/>
      <c r="H1460" s="167" t="s">
        <v>1284</v>
      </c>
      <c r="I1460" s="184">
        <v>2008</v>
      </c>
      <c r="J1460" s="181" t="s">
        <v>3719</v>
      </c>
      <c r="K1460" s="184"/>
      <c r="L1460" s="184" t="s">
        <v>19</v>
      </c>
      <c r="M1460" s="556" t="s">
        <v>4363</v>
      </c>
      <c r="N1460" s="214" t="s">
        <v>122</v>
      </c>
      <c r="O1460" s="214" t="s">
        <v>292</v>
      </c>
      <c r="P1460" s="214" t="s">
        <v>122</v>
      </c>
      <c r="Q1460" s="214" t="s">
        <v>292</v>
      </c>
      <c r="R1460" s="214" t="s">
        <v>122</v>
      </c>
      <c r="S1460" s="214" t="s">
        <v>122</v>
      </c>
      <c r="T1460" s="214" t="s">
        <v>292</v>
      </c>
      <c r="U1460" s="214" t="s">
        <v>292</v>
      </c>
      <c r="V1460" s="214" t="s">
        <v>292</v>
      </c>
      <c r="W1460" s="214" t="s">
        <v>292</v>
      </c>
      <c r="X1460" s="214" t="s">
        <v>292</v>
      </c>
      <c r="Y1460" s="214" t="s">
        <v>292</v>
      </c>
      <c r="Z1460" s="234"/>
      <c r="AA1460" s="234" t="s">
        <v>3720</v>
      </c>
      <c r="AB1460" s="234" t="s">
        <v>122</v>
      </c>
      <c r="AC1460" s="234"/>
      <c r="AD1460" s="319" t="s">
        <v>3721</v>
      </c>
      <c r="AE1460" s="319" t="s">
        <v>485</v>
      </c>
      <c r="AF1460" s="162" t="str">
        <f t="shared" si="131"/>
        <v/>
      </c>
      <c r="AG1460" s="162" t="str">
        <f t="shared" si="129"/>
        <v/>
      </c>
      <c r="AH1460" s="164">
        <f t="shared" si="126"/>
        <v>0.20200000000000001</v>
      </c>
      <c r="AI1460" s="164">
        <f t="shared" si="127"/>
        <v>0.20756000000000002</v>
      </c>
      <c r="AJ1460" s="375"/>
      <c r="AK1460" s="375"/>
      <c r="AL1460" s="375"/>
      <c r="AM1460" s="375"/>
      <c r="AN1460" s="375"/>
      <c r="AO1460" s="375"/>
      <c r="AP1460" s="375"/>
      <c r="AQ1460" s="375"/>
      <c r="AR1460" s="391"/>
      <c r="AS1460" s="276"/>
      <c r="AT1460" s="277"/>
      <c r="AU1460" s="391"/>
      <c r="AV1460" s="422"/>
      <c r="AW1460" s="436">
        <v>0.20200000000000001</v>
      </c>
      <c r="AX1460" s="359">
        <v>5.5599999999999998E-3</v>
      </c>
      <c r="AY1460" s="359"/>
      <c r="AZ1460" s="359">
        <v>7.4190000000000006E-2</v>
      </c>
      <c r="BA1460" s="359">
        <f>(0.0824+0.0221)/1000</f>
        <v>1.0450000000000001E-4</v>
      </c>
      <c r="BB1460" s="359"/>
      <c r="BC1460" s="426"/>
      <c r="BD1460" s="359"/>
      <c r="BE1460" s="359"/>
      <c r="BF1460" s="469">
        <f t="shared" si="132"/>
        <v>0.20200000000000001</v>
      </c>
      <c r="BG1460" s="469">
        <f>SUM(AW1460:BE1460)</f>
        <v>0.28185450000000006</v>
      </c>
      <c r="BH1460" s="460"/>
      <c r="BI1460" s="461"/>
      <c r="BJ1460" s="505"/>
    </row>
    <row r="1461" spans="1:62" ht="15" customHeight="1" thickBot="1" x14ac:dyDescent="0.25">
      <c r="A1461" s="176">
        <v>1462</v>
      </c>
      <c r="B1461" s="291">
        <v>1</v>
      </c>
      <c r="C1461" s="167" t="s">
        <v>3589</v>
      </c>
      <c r="D1461" s="167" t="s">
        <v>12</v>
      </c>
      <c r="E1461" s="167" t="s">
        <v>13</v>
      </c>
      <c r="F1461" s="167" t="s">
        <v>3723</v>
      </c>
      <c r="G1461" s="167"/>
      <c r="H1461" s="167" t="s">
        <v>42</v>
      </c>
      <c r="I1461" s="184">
        <v>2008</v>
      </c>
      <c r="J1461" s="181" t="s">
        <v>3724</v>
      </c>
      <c r="K1461" s="184"/>
      <c r="L1461" s="184" t="s">
        <v>19</v>
      </c>
      <c r="M1461" s="556" t="s">
        <v>4364</v>
      </c>
      <c r="N1461" s="214" t="s">
        <v>122</v>
      </c>
      <c r="O1461" s="214" t="s">
        <v>292</v>
      </c>
      <c r="P1461" s="214" t="s">
        <v>292</v>
      </c>
      <c r="Q1461" s="214" t="s">
        <v>292</v>
      </c>
      <c r="R1461" s="214" t="s">
        <v>292</v>
      </c>
      <c r="S1461" s="214" t="s">
        <v>292</v>
      </c>
      <c r="T1461" s="214" t="s">
        <v>292</v>
      </c>
      <c r="U1461" s="214" t="s">
        <v>292</v>
      </c>
      <c r="V1461" s="214" t="s">
        <v>292</v>
      </c>
      <c r="W1461" s="214" t="s">
        <v>292</v>
      </c>
      <c r="X1461" s="214" t="s">
        <v>292</v>
      </c>
      <c r="Y1461" s="214" t="s">
        <v>292</v>
      </c>
      <c r="Z1461" s="234"/>
      <c r="AA1461" s="234" t="s">
        <v>3725</v>
      </c>
      <c r="AB1461" s="234"/>
      <c r="AC1461" s="234"/>
      <c r="AD1461" s="319" t="s">
        <v>252</v>
      </c>
      <c r="AE1461" s="319"/>
      <c r="AF1461" s="162">
        <f t="shared" si="131"/>
        <v>5.77</v>
      </c>
      <c r="AG1461" s="162" t="str">
        <f t="shared" si="129"/>
        <v/>
      </c>
      <c r="AH1461" s="164">
        <f t="shared" si="126"/>
        <v>1.56</v>
      </c>
      <c r="AI1461" s="164" t="str">
        <f t="shared" si="127"/>
        <v/>
      </c>
      <c r="AJ1461" s="392">
        <v>5.77</v>
      </c>
      <c r="AK1461" s="375"/>
      <c r="AL1461" s="375"/>
      <c r="AM1461" s="375"/>
      <c r="AN1461" s="375"/>
      <c r="AO1461" s="375"/>
      <c r="AP1461" s="375"/>
      <c r="AQ1461" s="375"/>
      <c r="AR1461" s="391"/>
      <c r="AS1461" s="276">
        <f>AJ1461</f>
        <v>5.77</v>
      </c>
      <c r="AT1461" s="277"/>
      <c r="AU1461" s="391"/>
      <c r="AV1461" s="422"/>
      <c r="AW1461" s="436">
        <v>1.56</v>
      </c>
      <c r="AX1461" s="359"/>
      <c r="AY1461" s="359"/>
      <c r="AZ1461" s="359"/>
      <c r="BA1461" s="359"/>
      <c r="BB1461" s="359"/>
      <c r="BC1461" s="426"/>
      <c r="BD1461" s="359"/>
      <c r="BE1461" s="359"/>
      <c r="BF1461" s="469">
        <f t="shared" si="132"/>
        <v>1.56</v>
      </c>
      <c r="BG1461" s="469"/>
      <c r="BH1461" s="460"/>
      <c r="BI1461" s="461"/>
      <c r="BJ1461" s="505"/>
    </row>
    <row r="1462" spans="1:62" ht="15" customHeight="1" thickBot="1" x14ac:dyDescent="0.25">
      <c r="A1462" s="176">
        <v>1463</v>
      </c>
      <c r="B1462" s="291">
        <v>1</v>
      </c>
      <c r="C1462" s="167" t="s">
        <v>3589</v>
      </c>
      <c r="D1462" s="167" t="s">
        <v>12</v>
      </c>
      <c r="E1462" s="167" t="s">
        <v>13</v>
      </c>
      <c r="F1462" s="167" t="s">
        <v>3726</v>
      </c>
      <c r="G1462" s="167"/>
      <c r="H1462" s="167" t="s">
        <v>42</v>
      </c>
      <c r="I1462" s="184">
        <v>2008</v>
      </c>
      <c r="J1462" s="181" t="s">
        <v>3724</v>
      </c>
      <c r="K1462" s="184"/>
      <c r="L1462" s="184" t="s">
        <v>19</v>
      </c>
      <c r="M1462" s="556" t="s">
        <v>4364</v>
      </c>
      <c r="N1462" s="214" t="s">
        <v>122</v>
      </c>
      <c r="O1462" s="214" t="s">
        <v>292</v>
      </c>
      <c r="P1462" s="214" t="s">
        <v>292</v>
      </c>
      <c r="Q1462" s="214" t="s">
        <v>292</v>
      </c>
      <c r="R1462" s="214" t="s">
        <v>292</v>
      </c>
      <c r="S1462" s="214" t="s">
        <v>292</v>
      </c>
      <c r="T1462" s="214" t="s">
        <v>292</v>
      </c>
      <c r="U1462" s="214" t="s">
        <v>292</v>
      </c>
      <c r="V1462" s="214" t="s">
        <v>292</v>
      </c>
      <c r="W1462" s="214" t="s">
        <v>292</v>
      </c>
      <c r="X1462" s="214" t="s">
        <v>292</v>
      </c>
      <c r="Y1462" s="214" t="s">
        <v>292</v>
      </c>
      <c r="Z1462" s="234"/>
      <c r="AA1462" s="234" t="s">
        <v>3725</v>
      </c>
      <c r="AB1462" s="234"/>
      <c r="AC1462" s="234"/>
      <c r="AD1462" s="319" t="s">
        <v>252</v>
      </c>
      <c r="AE1462" s="319"/>
      <c r="AF1462" s="162">
        <f t="shared" si="131"/>
        <v>6.91</v>
      </c>
      <c r="AG1462" s="162" t="str">
        <f t="shared" si="129"/>
        <v/>
      </c>
      <c r="AH1462" s="164">
        <f t="shared" si="126"/>
        <v>1.61</v>
      </c>
      <c r="AI1462" s="164" t="str">
        <f t="shared" si="127"/>
        <v/>
      </c>
      <c r="AJ1462" s="392">
        <v>6.91</v>
      </c>
      <c r="AK1462" s="375"/>
      <c r="AL1462" s="375"/>
      <c r="AM1462" s="375"/>
      <c r="AN1462" s="375"/>
      <c r="AO1462" s="375"/>
      <c r="AP1462" s="375"/>
      <c r="AQ1462" s="375"/>
      <c r="AR1462" s="391"/>
      <c r="AS1462" s="276">
        <f>AJ1462</f>
        <v>6.91</v>
      </c>
      <c r="AT1462" s="277"/>
      <c r="AU1462" s="391"/>
      <c r="AV1462" s="422"/>
      <c r="AW1462" s="436">
        <v>1.61</v>
      </c>
      <c r="AX1462" s="359"/>
      <c r="AY1462" s="359"/>
      <c r="AZ1462" s="359"/>
      <c r="BA1462" s="359"/>
      <c r="BB1462" s="359"/>
      <c r="BC1462" s="426"/>
      <c r="BD1462" s="359"/>
      <c r="BE1462" s="359"/>
      <c r="BF1462" s="469">
        <f t="shared" si="132"/>
        <v>1.61</v>
      </c>
      <c r="BG1462" s="469"/>
      <c r="BH1462" s="460"/>
      <c r="BI1462" s="461"/>
      <c r="BJ1462" s="505"/>
    </row>
    <row r="1463" spans="1:62" ht="15" customHeight="1" thickBot="1" x14ac:dyDescent="0.25">
      <c r="A1463" s="176">
        <v>1464</v>
      </c>
      <c r="B1463" s="291">
        <v>1</v>
      </c>
      <c r="C1463" s="167" t="s">
        <v>2933</v>
      </c>
      <c r="D1463" s="167" t="s">
        <v>2745</v>
      </c>
      <c r="E1463" s="167" t="s">
        <v>13</v>
      </c>
      <c r="F1463" s="167" t="s">
        <v>3727</v>
      </c>
      <c r="G1463" s="167"/>
      <c r="H1463" s="167" t="s">
        <v>183</v>
      </c>
      <c r="I1463" s="184">
        <v>2008</v>
      </c>
      <c r="J1463" s="181" t="s">
        <v>3728</v>
      </c>
      <c r="K1463" s="184"/>
      <c r="L1463" s="184" t="s">
        <v>19</v>
      </c>
      <c r="M1463" s="556" t="s">
        <v>4365</v>
      </c>
      <c r="N1463" s="214" t="s">
        <v>122</v>
      </c>
      <c r="O1463" s="214" t="s">
        <v>292</v>
      </c>
      <c r="P1463" s="214" t="s">
        <v>292</v>
      </c>
      <c r="Q1463" s="214" t="s">
        <v>292</v>
      </c>
      <c r="R1463" s="214" t="s">
        <v>292</v>
      </c>
      <c r="S1463" s="214" t="s">
        <v>292</v>
      </c>
      <c r="T1463" s="214" t="s">
        <v>292</v>
      </c>
      <c r="U1463" s="214" t="s">
        <v>292</v>
      </c>
      <c r="V1463" s="214" t="s">
        <v>292</v>
      </c>
      <c r="W1463" s="214" t="s">
        <v>292</v>
      </c>
      <c r="X1463" s="214" t="s">
        <v>292</v>
      </c>
      <c r="Y1463" s="214" t="s">
        <v>292</v>
      </c>
      <c r="Z1463" s="234"/>
      <c r="AA1463" s="234" t="s">
        <v>3729</v>
      </c>
      <c r="AB1463" s="234"/>
      <c r="AC1463" s="234"/>
      <c r="AD1463" s="319" t="s">
        <v>3497</v>
      </c>
      <c r="AE1463" s="319" t="s">
        <v>3652</v>
      </c>
      <c r="AF1463" s="162" t="str">
        <f t="shared" si="131"/>
        <v/>
      </c>
      <c r="AG1463" s="162" t="str">
        <f t="shared" si="129"/>
        <v/>
      </c>
      <c r="AH1463" s="164">
        <f t="shared" si="126"/>
        <v>30.408383847943142</v>
      </c>
      <c r="AI1463" s="164" t="str">
        <f t="shared" si="127"/>
        <v/>
      </c>
      <c r="AJ1463" s="375"/>
      <c r="AK1463" s="375"/>
      <c r="AL1463" s="375"/>
      <c r="AM1463" s="375"/>
      <c r="AN1463" s="375"/>
      <c r="AO1463" s="375"/>
      <c r="AP1463" s="375"/>
      <c r="AQ1463" s="375"/>
      <c r="AR1463" s="391"/>
      <c r="AS1463" s="276"/>
      <c r="AT1463" s="277"/>
      <c r="AU1463" s="391"/>
      <c r="AV1463" s="422"/>
      <c r="AW1463" s="436">
        <f>12.21/0.667/0.602</f>
        <v>30.408383847943142</v>
      </c>
      <c r="AX1463" s="359"/>
      <c r="AY1463" s="359"/>
      <c r="AZ1463" s="359"/>
      <c r="BA1463" s="359"/>
      <c r="BB1463" s="359"/>
      <c r="BC1463" s="426"/>
      <c r="BD1463" s="359"/>
      <c r="BE1463" s="359"/>
      <c r="BF1463" s="469">
        <f t="shared" si="132"/>
        <v>30.408383847943142</v>
      </c>
      <c r="BG1463" s="469"/>
      <c r="BH1463" s="460"/>
      <c r="BI1463" s="461"/>
      <c r="BJ1463" s="505"/>
    </row>
    <row r="1464" spans="1:62" ht="15" customHeight="1" thickBot="1" x14ac:dyDescent="0.25">
      <c r="A1464" s="176">
        <v>1465</v>
      </c>
      <c r="B1464" s="291">
        <v>1</v>
      </c>
      <c r="C1464" s="167" t="s">
        <v>2933</v>
      </c>
      <c r="D1464" s="167" t="s">
        <v>2745</v>
      </c>
      <c r="E1464" s="167" t="s">
        <v>13</v>
      </c>
      <c r="F1464" s="167" t="s">
        <v>3730</v>
      </c>
      <c r="G1464" s="167"/>
      <c r="H1464" s="167" t="s">
        <v>183</v>
      </c>
      <c r="I1464" s="184">
        <v>2008</v>
      </c>
      <c r="J1464" s="181" t="s">
        <v>3728</v>
      </c>
      <c r="K1464" s="184"/>
      <c r="L1464" s="184" t="s">
        <v>19</v>
      </c>
      <c r="M1464" s="556" t="s">
        <v>4365</v>
      </c>
      <c r="N1464" s="214" t="s">
        <v>122</v>
      </c>
      <c r="O1464" s="214" t="s">
        <v>292</v>
      </c>
      <c r="P1464" s="214" t="s">
        <v>292</v>
      </c>
      <c r="Q1464" s="214" t="s">
        <v>292</v>
      </c>
      <c r="R1464" s="214" t="s">
        <v>292</v>
      </c>
      <c r="S1464" s="214" t="s">
        <v>292</v>
      </c>
      <c r="T1464" s="214" t="s">
        <v>292</v>
      </c>
      <c r="U1464" s="214" t="s">
        <v>292</v>
      </c>
      <c r="V1464" s="214" t="s">
        <v>292</v>
      </c>
      <c r="W1464" s="214" t="s">
        <v>292</v>
      </c>
      <c r="X1464" s="214" t="s">
        <v>292</v>
      </c>
      <c r="Y1464" s="214" t="s">
        <v>292</v>
      </c>
      <c r="Z1464" s="234"/>
      <c r="AA1464" s="234" t="s">
        <v>3729</v>
      </c>
      <c r="AB1464" s="234"/>
      <c r="AC1464" s="234"/>
      <c r="AD1464" s="319" t="s">
        <v>3497</v>
      </c>
      <c r="AE1464" s="319" t="s">
        <v>3652</v>
      </c>
      <c r="AF1464" s="162" t="str">
        <f t="shared" si="131"/>
        <v/>
      </c>
      <c r="AG1464" s="162" t="str">
        <f t="shared" si="129"/>
        <v/>
      </c>
      <c r="AH1464" s="164">
        <f t="shared" si="126"/>
        <v>25.053918223612449</v>
      </c>
      <c r="AI1464" s="164" t="str">
        <f t="shared" si="127"/>
        <v/>
      </c>
      <c r="AJ1464" s="375"/>
      <c r="AK1464" s="375"/>
      <c r="AL1464" s="375"/>
      <c r="AM1464" s="375"/>
      <c r="AN1464" s="375"/>
      <c r="AO1464" s="375"/>
      <c r="AP1464" s="375"/>
      <c r="AQ1464" s="375"/>
      <c r="AR1464" s="391"/>
      <c r="AS1464" s="276"/>
      <c r="AT1464" s="277"/>
      <c r="AU1464" s="391"/>
      <c r="AV1464" s="422"/>
      <c r="AW1464" s="436">
        <f>10.06/0.667/0.602</f>
        <v>25.053918223612449</v>
      </c>
      <c r="AX1464" s="359"/>
      <c r="AY1464" s="359"/>
      <c r="AZ1464" s="359"/>
      <c r="BA1464" s="359"/>
      <c r="BB1464" s="359"/>
      <c r="BC1464" s="426"/>
      <c r="BD1464" s="359"/>
      <c r="BE1464" s="359"/>
      <c r="BF1464" s="469">
        <f t="shared" si="132"/>
        <v>25.053918223612449</v>
      </c>
      <c r="BG1464" s="469"/>
      <c r="BH1464" s="460"/>
      <c r="BI1464" s="461"/>
      <c r="BJ1464" s="505"/>
    </row>
    <row r="1465" spans="1:62" ht="15" customHeight="1" thickBot="1" x14ac:dyDescent="0.25">
      <c r="A1465" s="176">
        <v>1466</v>
      </c>
      <c r="B1465" s="291">
        <v>1</v>
      </c>
      <c r="C1465" s="167" t="s">
        <v>2933</v>
      </c>
      <c r="D1465" s="167" t="s">
        <v>2745</v>
      </c>
      <c r="E1465" s="167" t="s">
        <v>13</v>
      </c>
      <c r="F1465" s="167" t="s">
        <v>3731</v>
      </c>
      <c r="G1465" s="167"/>
      <c r="H1465" s="167" t="s">
        <v>183</v>
      </c>
      <c r="I1465" s="184">
        <v>2008</v>
      </c>
      <c r="J1465" s="181" t="s">
        <v>3728</v>
      </c>
      <c r="K1465" s="184"/>
      <c r="L1465" s="184" t="s">
        <v>19</v>
      </c>
      <c r="M1465" s="556" t="s">
        <v>4365</v>
      </c>
      <c r="N1465" s="214" t="s">
        <v>122</v>
      </c>
      <c r="O1465" s="214" t="s">
        <v>292</v>
      </c>
      <c r="P1465" s="214" t="s">
        <v>292</v>
      </c>
      <c r="Q1465" s="214" t="s">
        <v>292</v>
      </c>
      <c r="R1465" s="214" t="s">
        <v>292</v>
      </c>
      <c r="S1465" s="214" t="s">
        <v>292</v>
      </c>
      <c r="T1465" s="214" t="s">
        <v>292</v>
      </c>
      <c r="U1465" s="214" t="s">
        <v>292</v>
      </c>
      <c r="V1465" s="214" t="s">
        <v>292</v>
      </c>
      <c r="W1465" s="214" t="s">
        <v>292</v>
      </c>
      <c r="X1465" s="214" t="s">
        <v>292</v>
      </c>
      <c r="Y1465" s="214" t="s">
        <v>292</v>
      </c>
      <c r="Z1465" s="234"/>
      <c r="AA1465" s="234" t="s">
        <v>3729</v>
      </c>
      <c r="AB1465" s="234"/>
      <c r="AC1465" s="234"/>
      <c r="AD1465" s="319" t="s">
        <v>3497</v>
      </c>
      <c r="AE1465" s="319" t="s">
        <v>3652</v>
      </c>
      <c r="AF1465" s="162" t="str">
        <f t="shared" si="131"/>
        <v/>
      </c>
      <c r="AG1465" s="162" t="str">
        <f t="shared" si="129"/>
        <v/>
      </c>
      <c r="AH1465" s="164">
        <f t="shared" si="126"/>
        <v>25.825957453167099</v>
      </c>
      <c r="AI1465" s="164" t="str">
        <f t="shared" si="127"/>
        <v/>
      </c>
      <c r="AJ1465" s="375"/>
      <c r="AK1465" s="375"/>
      <c r="AL1465" s="375"/>
      <c r="AM1465" s="375"/>
      <c r="AN1465" s="375"/>
      <c r="AO1465" s="375"/>
      <c r="AP1465" s="375"/>
      <c r="AQ1465" s="375"/>
      <c r="AR1465" s="391"/>
      <c r="AS1465" s="276"/>
      <c r="AT1465" s="277"/>
      <c r="AU1465" s="391"/>
      <c r="AV1465" s="422"/>
      <c r="AW1465" s="436">
        <f>10.37/0.667/0.602</f>
        <v>25.825957453167099</v>
      </c>
      <c r="AX1465" s="359"/>
      <c r="AY1465" s="359"/>
      <c r="AZ1465" s="359"/>
      <c r="BA1465" s="359"/>
      <c r="BB1465" s="359"/>
      <c r="BC1465" s="426"/>
      <c r="BD1465" s="359"/>
      <c r="BE1465" s="359"/>
      <c r="BF1465" s="469">
        <f t="shared" si="132"/>
        <v>25.825957453167099</v>
      </c>
      <c r="BG1465" s="469"/>
      <c r="BH1465" s="460"/>
      <c r="BI1465" s="461"/>
      <c r="BJ1465" s="505"/>
    </row>
    <row r="1466" spans="1:62" ht="15" customHeight="1" thickBot="1" x14ac:dyDescent="0.25">
      <c r="A1466" s="176">
        <v>1467</v>
      </c>
      <c r="B1466" s="291">
        <v>1</v>
      </c>
      <c r="C1466" s="167" t="s">
        <v>975</v>
      </c>
      <c r="D1466" s="167" t="s">
        <v>3059</v>
      </c>
      <c r="E1466" s="167" t="s">
        <v>13</v>
      </c>
      <c r="F1466" s="167" t="s">
        <v>3732</v>
      </c>
      <c r="G1466" s="167"/>
      <c r="H1466" s="167" t="s">
        <v>101</v>
      </c>
      <c r="I1466" s="184">
        <v>2008</v>
      </c>
      <c r="J1466" s="181" t="s">
        <v>3733</v>
      </c>
      <c r="K1466" s="184"/>
      <c r="L1466" s="184" t="s">
        <v>19</v>
      </c>
      <c r="M1466" s="556" t="s">
        <v>4366</v>
      </c>
      <c r="N1466" s="214" t="s">
        <v>122</v>
      </c>
      <c r="O1466" s="214" t="s">
        <v>292</v>
      </c>
      <c r="P1466" s="214" t="s">
        <v>122</v>
      </c>
      <c r="Q1466" s="214" t="s">
        <v>292</v>
      </c>
      <c r="R1466" s="214" t="s">
        <v>292</v>
      </c>
      <c r="S1466" s="214" t="s">
        <v>122</v>
      </c>
      <c r="T1466" s="214" t="s">
        <v>122</v>
      </c>
      <c r="U1466" s="214" t="s">
        <v>122</v>
      </c>
      <c r="V1466" s="214" t="s">
        <v>122</v>
      </c>
      <c r="W1466" s="214" t="s">
        <v>122</v>
      </c>
      <c r="X1466" s="214" t="s">
        <v>292</v>
      </c>
      <c r="Y1466" s="214" t="s">
        <v>292</v>
      </c>
      <c r="Z1466" s="234"/>
      <c r="AA1466" s="234"/>
      <c r="AB1466" s="234"/>
      <c r="AC1466" s="234"/>
      <c r="AD1466" s="319" t="s">
        <v>3734</v>
      </c>
      <c r="AE1466" s="319" t="s">
        <v>3735</v>
      </c>
      <c r="AF1466" s="162">
        <f t="shared" si="131"/>
        <v>1066.6666666666667</v>
      </c>
      <c r="AG1466" s="162" t="str">
        <f t="shared" si="129"/>
        <v/>
      </c>
      <c r="AH1466" s="164">
        <f t="shared" si="126"/>
        <v>105.66666666666667</v>
      </c>
      <c r="AI1466" s="164" t="str">
        <f t="shared" si="127"/>
        <v/>
      </c>
      <c r="AJ1466" s="375">
        <f>320/0.3</f>
        <v>1066.6666666666667</v>
      </c>
      <c r="AK1466" s="375"/>
      <c r="AL1466" s="375"/>
      <c r="AM1466" s="375"/>
      <c r="AN1466" s="375">
        <f>10/0.3</f>
        <v>33.333333333333336</v>
      </c>
      <c r="AO1466" s="375"/>
      <c r="AP1466" s="375">
        <f>25/0.3</f>
        <v>83.333333333333343</v>
      </c>
      <c r="AQ1466" s="375"/>
      <c r="AR1466" s="391"/>
      <c r="AS1466" s="276">
        <f>AJ1466</f>
        <v>1066.6666666666667</v>
      </c>
      <c r="AT1466" s="277">
        <f>SUM(AJ1466:AR1466)</f>
        <v>1183.3333333333333</v>
      </c>
      <c r="AU1466" s="391"/>
      <c r="AV1466" s="422"/>
      <c r="AW1466" s="436">
        <f>31.7/0.3</f>
        <v>105.66666666666667</v>
      </c>
      <c r="AX1466" s="359"/>
      <c r="AY1466" s="359"/>
      <c r="AZ1466" s="359"/>
      <c r="BA1466" s="359">
        <f>(0.008814+0.54)/0.3</f>
        <v>1.8293800000000002</v>
      </c>
      <c r="BB1466" s="359">
        <f>0.357/0.3</f>
        <v>1.19</v>
      </c>
      <c r="BC1466" s="426">
        <f>2.98/0.3</f>
        <v>9.9333333333333336</v>
      </c>
      <c r="BD1466" s="359">
        <f>0.00183/0.3</f>
        <v>6.1000000000000004E-3</v>
      </c>
      <c r="BE1466" s="359"/>
      <c r="BF1466" s="469">
        <f t="shared" si="132"/>
        <v>105.66666666666667</v>
      </c>
      <c r="BG1466" s="469">
        <f>SUM(AW1466:BE1466)</f>
        <v>118.62548000000001</v>
      </c>
      <c r="BH1466" s="460"/>
      <c r="BI1466" s="461"/>
      <c r="BJ1466" s="505"/>
    </row>
    <row r="1467" spans="1:62" ht="15" customHeight="1" thickBot="1" x14ac:dyDescent="0.25">
      <c r="A1467" s="176">
        <v>1468</v>
      </c>
      <c r="B1467" s="291">
        <v>1</v>
      </c>
      <c r="C1467" s="167" t="s">
        <v>975</v>
      </c>
      <c r="D1467" s="167" t="s">
        <v>3059</v>
      </c>
      <c r="E1467" s="167" t="s">
        <v>13</v>
      </c>
      <c r="F1467" s="167" t="s">
        <v>3736</v>
      </c>
      <c r="G1467" s="167"/>
      <c r="H1467" s="167" t="s">
        <v>101</v>
      </c>
      <c r="I1467" s="184">
        <v>2008</v>
      </c>
      <c r="J1467" s="181" t="s">
        <v>3733</v>
      </c>
      <c r="K1467" s="184"/>
      <c r="L1467" s="184" t="s">
        <v>19</v>
      </c>
      <c r="M1467" s="556" t="s">
        <v>4366</v>
      </c>
      <c r="N1467" s="214" t="s">
        <v>122</v>
      </c>
      <c r="O1467" s="214" t="s">
        <v>292</v>
      </c>
      <c r="P1467" s="214" t="s">
        <v>122</v>
      </c>
      <c r="Q1467" s="214" t="s">
        <v>292</v>
      </c>
      <c r="R1467" s="214" t="s">
        <v>292</v>
      </c>
      <c r="S1467" s="214" t="s">
        <v>122</v>
      </c>
      <c r="T1467" s="214" t="s">
        <v>122</v>
      </c>
      <c r="U1467" s="214" t="s">
        <v>122</v>
      </c>
      <c r="V1467" s="214" t="s">
        <v>122</v>
      </c>
      <c r="W1467" s="214" t="s">
        <v>122</v>
      </c>
      <c r="X1467" s="214" t="s">
        <v>292</v>
      </c>
      <c r="Y1467" s="214" t="s">
        <v>292</v>
      </c>
      <c r="Z1467" s="234"/>
      <c r="AA1467" s="234"/>
      <c r="AB1467" s="234"/>
      <c r="AC1467" s="234"/>
      <c r="AD1467" s="319" t="s">
        <v>3734</v>
      </c>
      <c r="AE1467" s="319" t="s">
        <v>3735</v>
      </c>
      <c r="AF1467" s="162">
        <f t="shared" si="131"/>
        <v>250</v>
      </c>
      <c r="AG1467" s="162" t="str">
        <f t="shared" si="129"/>
        <v/>
      </c>
      <c r="AH1467" s="164">
        <f t="shared" si="126"/>
        <v>37</v>
      </c>
      <c r="AI1467" s="164" t="str">
        <f t="shared" si="127"/>
        <v/>
      </c>
      <c r="AJ1467" s="375">
        <f>75/0.3</f>
        <v>250</v>
      </c>
      <c r="AK1467" s="375"/>
      <c r="AL1467" s="375"/>
      <c r="AM1467" s="375"/>
      <c r="AN1467" s="375">
        <f>10/0.3</f>
        <v>33.333333333333336</v>
      </c>
      <c r="AO1467" s="375"/>
      <c r="AP1467" s="375">
        <f>25/0.3</f>
        <v>83.333333333333343</v>
      </c>
      <c r="AQ1467" s="375"/>
      <c r="AR1467" s="391"/>
      <c r="AS1467" s="263">
        <f>AJ1467</f>
        <v>250</v>
      </c>
      <c r="AT1467" s="271">
        <f>SUM(AJ1467:AR1467)</f>
        <v>366.66666666666663</v>
      </c>
      <c r="AU1467" s="391"/>
      <c r="AV1467" s="422"/>
      <c r="AW1467" s="436">
        <f>11.1/0.3</f>
        <v>37</v>
      </c>
      <c r="AX1467" s="359"/>
      <c r="AY1467" s="359"/>
      <c r="AZ1467" s="359"/>
      <c r="BA1467" s="359">
        <f>(0.008814+0.54)/0.3</f>
        <v>1.8293800000000002</v>
      </c>
      <c r="BB1467" s="359">
        <f>0.357/0.3</f>
        <v>1.19</v>
      </c>
      <c r="BC1467" s="426">
        <f>2.98/0.3</f>
        <v>9.9333333333333336</v>
      </c>
      <c r="BD1467" s="359">
        <f>0.00183/0.3</f>
        <v>6.1000000000000004E-3</v>
      </c>
      <c r="BE1467" s="359"/>
      <c r="BF1467" s="469">
        <f t="shared" si="132"/>
        <v>37</v>
      </c>
      <c r="BG1467" s="469">
        <f>SUM(AW1467:BE1467)</f>
        <v>49.958813333333339</v>
      </c>
      <c r="BH1467" s="460"/>
      <c r="BI1467" s="461"/>
      <c r="BJ1467" s="505"/>
    </row>
    <row r="1468" spans="1:62" ht="15" customHeight="1" thickBot="1" x14ac:dyDescent="0.25">
      <c r="A1468" s="176">
        <v>1469</v>
      </c>
      <c r="B1468" s="291">
        <v>1</v>
      </c>
      <c r="C1468" s="167" t="s">
        <v>2933</v>
      </c>
      <c r="D1468" s="167" t="s">
        <v>3451</v>
      </c>
      <c r="E1468" s="167" t="s">
        <v>13</v>
      </c>
      <c r="F1468" s="167" t="s">
        <v>378</v>
      </c>
      <c r="G1468" s="167"/>
      <c r="H1468" s="167" t="s">
        <v>108</v>
      </c>
      <c r="I1468" s="184">
        <v>2009</v>
      </c>
      <c r="J1468" s="181" t="s">
        <v>3737</v>
      </c>
      <c r="K1468" s="184"/>
      <c r="L1468" s="184" t="s">
        <v>19</v>
      </c>
      <c r="M1468" s="556" t="s">
        <v>4367</v>
      </c>
      <c r="N1468" s="214" t="s">
        <v>122</v>
      </c>
      <c r="O1468" s="214" t="s">
        <v>292</v>
      </c>
      <c r="P1468" s="214" t="s">
        <v>292</v>
      </c>
      <c r="Q1468" s="214" t="s">
        <v>292</v>
      </c>
      <c r="R1468" s="214" t="s">
        <v>292</v>
      </c>
      <c r="S1468" s="214" t="s">
        <v>292</v>
      </c>
      <c r="T1468" s="214" t="s">
        <v>292</v>
      </c>
      <c r="U1468" s="214" t="s">
        <v>292</v>
      </c>
      <c r="V1468" s="214" t="s">
        <v>292</v>
      </c>
      <c r="W1468" s="214" t="s">
        <v>292</v>
      </c>
      <c r="X1468" s="214" t="s">
        <v>292</v>
      </c>
      <c r="Y1468" s="214" t="s">
        <v>292</v>
      </c>
      <c r="Z1468" s="234"/>
      <c r="AA1468" s="234"/>
      <c r="AB1468" s="234"/>
      <c r="AC1468" s="234"/>
      <c r="AD1468" s="319" t="s">
        <v>3738</v>
      </c>
      <c r="AE1468" s="319" t="s">
        <v>3739</v>
      </c>
      <c r="AF1468" s="162" t="str">
        <f t="shared" si="131"/>
        <v/>
      </c>
      <c r="AG1468" s="162" t="str">
        <f t="shared" si="129"/>
        <v/>
      </c>
      <c r="AH1468" s="164">
        <f t="shared" si="126"/>
        <v>43.617021276595743</v>
      </c>
      <c r="AI1468" s="164" t="str">
        <f t="shared" si="127"/>
        <v/>
      </c>
      <c r="AJ1468" s="375"/>
      <c r="AK1468" s="375"/>
      <c r="AL1468" s="375"/>
      <c r="AM1468" s="375"/>
      <c r="AN1468" s="375"/>
      <c r="AO1468" s="375"/>
      <c r="AP1468" s="375"/>
      <c r="AQ1468" s="375"/>
      <c r="AR1468" s="391"/>
      <c r="AS1468" s="263"/>
      <c r="AT1468" s="271"/>
      <c r="AU1468" s="391"/>
      <c r="AV1468" s="422"/>
      <c r="AW1468" s="436">
        <f>28.7/0.658</f>
        <v>43.617021276595743</v>
      </c>
      <c r="AX1468" s="359"/>
      <c r="AY1468" s="359"/>
      <c r="AZ1468" s="359"/>
      <c r="BA1468" s="359"/>
      <c r="BB1468" s="359"/>
      <c r="BC1468" s="426"/>
      <c r="BD1468" s="359"/>
      <c r="BE1468" s="359"/>
      <c r="BF1468" s="469">
        <f t="shared" si="132"/>
        <v>43.617021276595743</v>
      </c>
      <c r="BG1468" s="469"/>
      <c r="BH1468" s="460"/>
      <c r="BI1468" s="461"/>
      <c r="BJ1468" s="505"/>
    </row>
    <row r="1469" spans="1:62" ht="15" customHeight="1" thickBot="1" x14ac:dyDescent="0.25">
      <c r="A1469" s="176">
        <v>1470</v>
      </c>
      <c r="B1469" s="291">
        <v>1</v>
      </c>
      <c r="C1469" s="167" t="s">
        <v>2933</v>
      </c>
      <c r="D1469" s="167" t="s">
        <v>3451</v>
      </c>
      <c r="E1469" s="167" t="s">
        <v>13</v>
      </c>
      <c r="F1469" s="167" t="s">
        <v>3740</v>
      </c>
      <c r="G1469" s="167"/>
      <c r="H1469" s="167" t="s">
        <v>108</v>
      </c>
      <c r="I1469" s="184">
        <v>2009</v>
      </c>
      <c r="J1469" s="181" t="s">
        <v>3737</v>
      </c>
      <c r="K1469" s="184"/>
      <c r="L1469" s="184" t="s">
        <v>19</v>
      </c>
      <c r="M1469" s="556" t="s">
        <v>4367</v>
      </c>
      <c r="N1469" s="214" t="s">
        <v>122</v>
      </c>
      <c r="O1469" s="214" t="s">
        <v>292</v>
      </c>
      <c r="P1469" s="214" t="s">
        <v>292</v>
      </c>
      <c r="Q1469" s="214" t="s">
        <v>292</v>
      </c>
      <c r="R1469" s="214" t="s">
        <v>292</v>
      </c>
      <c r="S1469" s="214" t="s">
        <v>292</v>
      </c>
      <c r="T1469" s="214" t="s">
        <v>292</v>
      </c>
      <c r="U1469" s="214" t="s">
        <v>292</v>
      </c>
      <c r="V1469" s="214" t="s">
        <v>292</v>
      </c>
      <c r="W1469" s="214" t="s">
        <v>292</v>
      </c>
      <c r="X1469" s="214" t="s">
        <v>292</v>
      </c>
      <c r="Y1469" s="214" t="s">
        <v>292</v>
      </c>
      <c r="Z1469" s="234"/>
      <c r="AA1469" s="234"/>
      <c r="AB1469" s="234"/>
      <c r="AC1469" s="234"/>
      <c r="AD1469" s="319" t="s">
        <v>3738</v>
      </c>
      <c r="AE1469" s="319" t="s">
        <v>3739</v>
      </c>
      <c r="AF1469" s="162" t="str">
        <f t="shared" si="131"/>
        <v/>
      </c>
      <c r="AG1469" s="162" t="str">
        <f t="shared" si="129"/>
        <v/>
      </c>
      <c r="AH1469" s="164">
        <f t="shared" si="126"/>
        <v>166.71732522796353</v>
      </c>
      <c r="AI1469" s="164" t="str">
        <f t="shared" si="127"/>
        <v/>
      </c>
      <c r="AJ1469" s="375"/>
      <c r="AK1469" s="375"/>
      <c r="AL1469" s="375"/>
      <c r="AM1469" s="375"/>
      <c r="AN1469" s="375"/>
      <c r="AO1469" s="375"/>
      <c r="AP1469" s="375"/>
      <c r="AQ1469" s="375"/>
      <c r="AR1469" s="391"/>
      <c r="AS1469" s="276"/>
      <c r="AT1469" s="277"/>
      <c r="AU1469" s="391"/>
      <c r="AV1469" s="422"/>
      <c r="AW1469" s="436">
        <f>109.7/0.658</f>
        <v>166.71732522796353</v>
      </c>
      <c r="AX1469" s="359"/>
      <c r="AY1469" s="359"/>
      <c r="AZ1469" s="359"/>
      <c r="BA1469" s="359"/>
      <c r="BB1469" s="359"/>
      <c r="BC1469" s="426"/>
      <c r="BD1469" s="359"/>
      <c r="BE1469" s="359"/>
      <c r="BF1469" s="469">
        <f t="shared" si="132"/>
        <v>166.71732522796353</v>
      </c>
      <c r="BG1469" s="469"/>
      <c r="BH1469" s="460"/>
      <c r="BI1469" s="461"/>
      <c r="BJ1469" s="505"/>
    </row>
    <row r="1470" spans="1:62" ht="15" customHeight="1" thickBot="1" x14ac:dyDescent="0.25">
      <c r="A1470" s="176">
        <v>1471</v>
      </c>
      <c r="B1470" s="291">
        <v>1</v>
      </c>
      <c r="C1470" s="167" t="s">
        <v>2933</v>
      </c>
      <c r="D1470" s="167" t="s">
        <v>2745</v>
      </c>
      <c r="E1470" s="167" t="s">
        <v>13</v>
      </c>
      <c r="F1470" s="167" t="s">
        <v>378</v>
      </c>
      <c r="G1470" s="167"/>
      <c r="H1470" s="167" t="s">
        <v>108</v>
      </c>
      <c r="I1470" s="184">
        <v>2009</v>
      </c>
      <c r="J1470" s="181" t="s">
        <v>3737</v>
      </c>
      <c r="K1470" s="184"/>
      <c r="L1470" s="184" t="s">
        <v>19</v>
      </c>
      <c r="M1470" s="556" t="s">
        <v>4367</v>
      </c>
      <c r="N1470" s="214" t="s">
        <v>122</v>
      </c>
      <c r="O1470" s="214" t="s">
        <v>292</v>
      </c>
      <c r="P1470" s="214" t="s">
        <v>292</v>
      </c>
      <c r="Q1470" s="214" t="s">
        <v>292</v>
      </c>
      <c r="R1470" s="214" t="s">
        <v>292</v>
      </c>
      <c r="S1470" s="214" t="s">
        <v>292</v>
      </c>
      <c r="T1470" s="214" t="s">
        <v>292</v>
      </c>
      <c r="U1470" s="214" t="s">
        <v>292</v>
      </c>
      <c r="V1470" s="214" t="s">
        <v>292</v>
      </c>
      <c r="W1470" s="214" t="s">
        <v>292</v>
      </c>
      <c r="X1470" s="214" t="s">
        <v>292</v>
      </c>
      <c r="Y1470" s="214" t="s">
        <v>292</v>
      </c>
      <c r="Z1470" s="234"/>
      <c r="AA1470" s="234"/>
      <c r="AB1470" s="234"/>
      <c r="AC1470" s="234"/>
      <c r="AD1470" s="319" t="s">
        <v>3741</v>
      </c>
      <c r="AE1470" s="319" t="s">
        <v>3652</v>
      </c>
      <c r="AF1470" s="162" t="str">
        <f t="shared" si="131"/>
        <v/>
      </c>
      <c r="AG1470" s="162" t="str">
        <f t="shared" si="129"/>
        <v/>
      </c>
      <c r="AH1470" s="164">
        <f t="shared" si="126"/>
        <v>38.6019614777329</v>
      </c>
      <c r="AI1470" s="164" t="str">
        <f t="shared" si="127"/>
        <v/>
      </c>
      <c r="AJ1470" s="375"/>
      <c r="AK1470" s="375"/>
      <c r="AL1470" s="375"/>
      <c r="AM1470" s="375"/>
      <c r="AN1470" s="375"/>
      <c r="AO1470" s="375"/>
      <c r="AP1470" s="375"/>
      <c r="AQ1470" s="375"/>
      <c r="AR1470" s="391"/>
      <c r="AS1470" s="276"/>
      <c r="AT1470" s="277"/>
      <c r="AU1470" s="391"/>
      <c r="AV1470" s="422"/>
      <c r="AW1470" s="436">
        <f>15.5/0.667/0.602</f>
        <v>38.6019614777329</v>
      </c>
      <c r="AX1470" s="359"/>
      <c r="AY1470" s="359"/>
      <c r="AZ1470" s="359"/>
      <c r="BA1470" s="359"/>
      <c r="BB1470" s="359"/>
      <c r="BC1470" s="426"/>
      <c r="BD1470" s="359"/>
      <c r="BE1470" s="359"/>
      <c r="BF1470" s="469">
        <f t="shared" si="132"/>
        <v>38.6019614777329</v>
      </c>
      <c r="BG1470" s="469"/>
      <c r="BH1470" s="460"/>
      <c r="BI1470" s="461"/>
      <c r="BJ1470" s="505"/>
    </row>
    <row r="1471" spans="1:62" ht="15" customHeight="1" thickBot="1" x14ac:dyDescent="0.25">
      <c r="A1471" s="176">
        <v>1472</v>
      </c>
      <c r="B1471" s="291">
        <v>1</v>
      </c>
      <c r="C1471" s="167" t="s">
        <v>2933</v>
      </c>
      <c r="D1471" s="167" t="s">
        <v>2745</v>
      </c>
      <c r="E1471" s="167" t="s">
        <v>13</v>
      </c>
      <c r="F1471" s="167" t="s">
        <v>3742</v>
      </c>
      <c r="G1471" s="167"/>
      <c r="H1471" s="167" t="s">
        <v>108</v>
      </c>
      <c r="I1471" s="184">
        <v>2009</v>
      </c>
      <c r="J1471" s="181" t="s">
        <v>3737</v>
      </c>
      <c r="K1471" s="184"/>
      <c r="L1471" s="184" t="s">
        <v>19</v>
      </c>
      <c r="M1471" s="556" t="s">
        <v>4367</v>
      </c>
      <c r="N1471" s="214" t="s">
        <v>122</v>
      </c>
      <c r="O1471" s="214" t="s">
        <v>292</v>
      </c>
      <c r="P1471" s="214" t="s">
        <v>292</v>
      </c>
      <c r="Q1471" s="214" t="s">
        <v>292</v>
      </c>
      <c r="R1471" s="214" t="s">
        <v>292</v>
      </c>
      <c r="S1471" s="214" t="s">
        <v>292</v>
      </c>
      <c r="T1471" s="214" t="s">
        <v>292</v>
      </c>
      <c r="U1471" s="214" t="s">
        <v>292</v>
      </c>
      <c r="V1471" s="214" t="s">
        <v>292</v>
      </c>
      <c r="W1471" s="214" t="s">
        <v>292</v>
      </c>
      <c r="X1471" s="214" t="s">
        <v>292</v>
      </c>
      <c r="Y1471" s="214" t="s">
        <v>292</v>
      </c>
      <c r="Z1471" s="234"/>
      <c r="AA1471" s="234"/>
      <c r="AB1471" s="234"/>
      <c r="AC1471" s="234"/>
      <c r="AD1471" s="319" t="s">
        <v>3741</v>
      </c>
      <c r="AE1471" s="319" t="s">
        <v>3652</v>
      </c>
      <c r="AF1471" s="162" t="str">
        <f t="shared" si="131"/>
        <v/>
      </c>
      <c r="AG1471" s="162" t="str">
        <f t="shared" si="129"/>
        <v/>
      </c>
      <c r="AH1471" s="164">
        <f t="shared" si="126"/>
        <v>118.54537847355391</v>
      </c>
      <c r="AI1471" s="164" t="str">
        <f t="shared" si="127"/>
        <v/>
      </c>
      <c r="AJ1471" s="375"/>
      <c r="AK1471" s="375"/>
      <c r="AL1471" s="375"/>
      <c r="AM1471" s="375"/>
      <c r="AN1471" s="375"/>
      <c r="AO1471" s="375"/>
      <c r="AP1471" s="375"/>
      <c r="AQ1471" s="375"/>
      <c r="AR1471" s="391"/>
      <c r="AS1471" s="276"/>
      <c r="AT1471" s="277"/>
      <c r="AU1471" s="391"/>
      <c r="AV1471" s="422"/>
      <c r="AW1471" s="436">
        <f>47.6/0.667/0.602</f>
        <v>118.54537847355391</v>
      </c>
      <c r="AX1471" s="359"/>
      <c r="AY1471" s="359"/>
      <c r="AZ1471" s="359"/>
      <c r="BA1471" s="359"/>
      <c r="BB1471" s="359"/>
      <c r="BC1471" s="426"/>
      <c r="BD1471" s="359"/>
      <c r="BE1471" s="359"/>
      <c r="BF1471" s="469">
        <f t="shared" si="132"/>
        <v>118.54537847355391</v>
      </c>
      <c r="BG1471" s="469"/>
      <c r="BH1471" s="460"/>
      <c r="BI1471" s="461"/>
      <c r="BJ1471" s="505"/>
    </row>
    <row r="1472" spans="1:62" ht="15" customHeight="1" thickBot="1" x14ac:dyDescent="0.25">
      <c r="A1472" s="176">
        <v>1473</v>
      </c>
      <c r="B1472" s="291">
        <v>1</v>
      </c>
      <c r="C1472" s="167" t="s">
        <v>975</v>
      </c>
      <c r="D1472" s="167" t="s">
        <v>1986</v>
      </c>
      <c r="E1472" s="167" t="s">
        <v>1068</v>
      </c>
      <c r="F1472" s="167" t="s">
        <v>3743</v>
      </c>
      <c r="G1472" s="167"/>
      <c r="H1472" s="167" t="s">
        <v>1135</v>
      </c>
      <c r="I1472" s="184">
        <v>2009</v>
      </c>
      <c r="J1472" s="184" t="s">
        <v>3744</v>
      </c>
      <c r="K1472" s="184"/>
      <c r="L1472" s="184" t="s">
        <v>83</v>
      </c>
      <c r="M1472" s="556" t="s">
        <v>4368</v>
      </c>
      <c r="N1472" s="214" t="s">
        <v>122</v>
      </c>
      <c r="O1472" s="214" t="s">
        <v>292</v>
      </c>
      <c r="P1472" s="214" t="s">
        <v>122</v>
      </c>
      <c r="Q1472" s="214" t="s">
        <v>122</v>
      </c>
      <c r="R1472" s="214"/>
      <c r="S1472" s="214" t="s">
        <v>122</v>
      </c>
      <c r="T1472" s="214" t="s">
        <v>292</v>
      </c>
      <c r="U1472" s="214" t="s">
        <v>292</v>
      </c>
      <c r="V1472" s="214" t="s">
        <v>292</v>
      </c>
      <c r="W1472" s="214" t="s">
        <v>292</v>
      </c>
      <c r="X1472" s="214" t="s">
        <v>292</v>
      </c>
      <c r="Y1472" s="214" t="s">
        <v>292</v>
      </c>
      <c r="Z1472" s="234"/>
      <c r="AA1472" s="234"/>
      <c r="AB1472" s="234"/>
      <c r="AC1472" s="234"/>
      <c r="AD1472" s="319" t="s">
        <v>3745</v>
      </c>
      <c r="AE1472" s="319"/>
      <c r="AF1472" s="162">
        <f t="shared" si="131"/>
        <v>1.19529</v>
      </c>
      <c r="AG1472" s="162">
        <f t="shared" si="129"/>
        <v>1.42272</v>
      </c>
      <c r="AH1472" s="164">
        <f t="shared" si="126"/>
        <v>1.2008000000000001</v>
      </c>
      <c r="AI1472" s="164">
        <f t="shared" si="127"/>
        <v>1.2128080000000001</v>
      </c>
      <c r="AJ1472" s="375">
        <f>0.699*AT1472</f>
        <v>1.19529</v>
      </c>
      <c r="AK1472" s="375"/>
      <c r="AL1472" s="375">
        <f>0.133*AT1472</f>
        <v>0.22743000000000002</v>
      </c>
      <c r="AM1472" s="375"/>
      <c r="AN1472" s="375">
        <f>0.224*AT1472</f>
        <v>0.38303999999999999</v>
      </c>
      <c r="AO1472" s="375"/>
      <c r="AP1472" s="375"/>
      <c r="AQ1472" s="375"/>
      <c r="AR1472" s="391"/>
      <c r="AS1472" s="276">
        <f>AJ1472</f>
        <v>1.19529</v>
      </c>
      <c r="AT1472" s="277">
        <v>1.71</v>
      </c>
      <c r="AU1472" s="391"/>
      <c r="AV1472" s="422"/>
      <c r="AW1472" s="436">
        <f>0.76*BG1472</f>
        <v>1.2008000000000001</v>
      </c>
      <c r="AX1472" s="359"/>
      <c r="AY1472" s="359">
        <f>0.0076*BG1472</f>
        <v>1.2008000000000001E-2</v>
      </c>
      <c r="AZ1472" s="359"/>
      <c r="BA1472" s="359">
        <f>0.237*BG1472</f>
        <v>0.37446000000000002</v>
      </c>
      <c r="BB1472" s="359"/>
      <c r="BC1472" s="426"/>
      <c r="BD1472" s="359"/>
      <c r="BE1472" s="359"/>
      <c r="BF1472" s="469">
        <f t="shared" si="132"/>
        <v>1.2008000000000001</v>
      </c>
      <c r="BG1472" s="469">
        <v>1.58</v>
      </c>
      <c r="BH1472" s="460"/>
      <c r="BI1472" s="461"/>
      <c r="BJ1472" s="505"/>
    </row>
    <row r="1473" spans="1:62" ht="15" customHeight="1" thickBot="1" x14ac:dyDescent="0.25">
      <c r="A1473" s="176">
        <v>1474</v>
      </c>
      <c r="B1473" s="291">
        <v>1</v>
      </c>
      <c r="C1473" s="167" t="s">
        <v>975</v>
      </c>
      <c r="D1473" s="167" t="s">
        <v>1986</v>
      </c>
      <c r="E1473" s="167" t="s">
        <v>1068</v>
      </c>
      <c r="F1473" s="167" t="s">
        <v>3746</v>
      </c>
      <c r="G1473" s="167"/>
      <c r="H1473" s="167" t="s">
        <v>1135</v>
      </c>
      <c r="I1473" s="184">
        <v>2009</v>
      </c>
      <c r="J1473" s="184" t="s">
        <v>3744</v>
      </c>
      <c r="K1473" s="184"/>
      <c r="L1473" s="184" t="s">
        <v>83</v>
      </c>
      <c r="M1473" s="556" t="s">
        <v>4368</v>
      </c>
      <c r="N1473" s="214" t="s">
        <v>122</v>
      </c>
      <c r="O1473" s="214" t="s">
        <v>292</v>
      </c>
      <c r="P1473" s="214" t="s">
        <v>122</v>
      </c>
      <c r="Q1473" s="214" t="s">
        <v>122</v>
      </c>
      <c r="R1473" s="214"/>
      <c r="S1473" s="214" t="s">
        <v>122</v>
      </c>
      <c r="T1473" s="214" t="s">
        <v>292</v>
      </c>
      <c r="U1473" s="214" t="s">
        <v>292</v>
      </c>
      <c r="V1473" s="214" t="s">
        <v>292</v>
      </c>
      <c r="W1473" s="214" t="s">
        <v>292</v>
      </c>
      <c r="X1473" s="214" t="s">
        <v>292</v>
      </c>
      <c r="Y1473" s="214" t="s">
        <v>292</v>
      </c>
      <c r="Z1473" s="234"/>
      <c r="AA1473" s="234"/>
      <c r="AB1473" s="234"/>
      <c r="AC1473" s="234"/>
      <c r="AD1473" s="319" t="s">
        <v>3745</v>
      </c>
      <c r="AE1473" s="319"/>
      <c r="AF1473" s="162">
        <f t="shared" si="131"/>
        <v>3.4701600000000004</v>
      </c>
      <c r="AG1473" s="162">
        <f t="shared" si="129"/>
        <v>7.4121400000000008</v>
      </c>
      <c r="AH1473" s="164">
        <f t="shared" si="126"/>
        <v>3.4438</v>
      </c>
      <c r="AI1473" s="164">
        <f t="shared" si="127"/>
        <v>4.883</v>
      </c>
      <c r="AJ1473" s="375">
        <f>0.456*AT1473</f>
        <v>3.4701600000000004</v>
      </c>
      <c r="AK1473" s="375"/>
      <c r="AL1473" s="375">
        <f>0.518*AT1473</f>
        <v>3.9419800000000005</v>
      </c>
      <c r="AM1473" s="375"/>
      <c r="AN1473" s="375">
        <f>0.0311*AT1473</f>
        <v>0.23667099999999999</v>
      </c>
      <c r="AO1473" s="375"/>
      <c r="AP1473" s="375"/>
      <c r="AQ1473" s="375"/>
      <c r="AR1473" s="391"/>
      <c r="AS1473" s="263">
        <f>AJ1473</f>
        <v>3.4701600000000004</v>
      </c>
      <c r="AT1473" s="276">
        <v>7.61</v>
      </c>
      <c r="AU1473" s="391"/>
      <c r="AV1473" s="422"/>
      <c r="AW1473" s="436">
        <f>0.67*BG1473</f>
        <v>3.4438</v>
      </c>
      <c r="AX1473" s="359"/>
      <c r="AY1473" s="359">
        <f>0.28*BG1473</f>
        <v>1.4392</v>
      </c>
      <c r="AZ1473" s="359"/>
      <c r="BA1473" s="359">
        <f>0.05*BG1473</f>
        <v>0.25700000000000001</v>
      </c>
      <c r="BB1473" s="359"/>
      <c r="BC1473" s="426"/>
      <c r="BD1473" s="359"/>
      <c r="BE1473" s="359"/>
      <c r="BF1473" s="469">
        <f t="shared" si="132"/>
        <v>3.4438</v>
      </c>
      <c r="BG1473" s="469">
        <v>5.14</v>
      </c>
      <c r="BH1473" s="460"/>
      <c r="BI1473" s="461"/>
      <c r="BJ1473" s="505"/>
    </row>
    <row r="1474" spans="1:62" ht="15" customHeight="1" thickBot="1" x14ac:dyDescent="0.25">
      <c r="A1474" s="176">
        <v>1475</v>
      </c>
      <c r="B1474" s="291">
        <v>1</v>
      </c>
      <c r="C1474" s="167" t="s">
        <v>259</v>
      </c>
      <c r="D1474" s="167" t="s">
        <v>2236</v>
      </c>
      <c r="E1474" s="167"/>
      <c r="F1474" s="167" t="s">
        <v>378</v>
      </c>
      <c r="G1474" s="167"/>
      <c r="H1474" s="167" t="s">
        <v>1284</v>
      </c>
      <c r="I1474" s="184">
        <v>2009</v>
      </c>
      <c r="J1474" s="181" t="s">
        <v>3747</v>
      </c>
      <c r="K1474" s="184"/>
      <c r="L1474" s="184" t="s">
        <v>19</v>
      </c>
      <c r="M1474" s="556" t="s">
        <v>4369</v>
      </c>
      <c r="N1474" s="214" t="s">
        <v>122</v>
      </c>
      <c r="O1474" s="214" t="s">
        <v>292</v>
      </c>
      <c r="P1474" s="214" t="s">
        <v>292</v>
      </c>
      <c r="Q1474" s="214" t="s">
        <v>292</v>
      </c>
      <c r="R1474" s="214" t="s">
        <v>292</v>
      </c>
      <c r="S1474" s="214" t="s">
        <v>292</v>
      </c>
      <c r="T1474" s="214" t="s">
        <v>292</v>
      </c>
      <c r="U1474" s="214" t="s">
        <v>292</v>
      </c>
      <c r="V1474" s="214" t="s">
        <v>292</v>
      </c>
      <c r="W1474" s="214" t="s">
        <v>292</v>
      </c>
      <c r="X1474" s="214" t="s">
        <v>292</v>
      </c>
      <c r="Y1474" s="214" t="s">
        <v>292</v>
      </c>
      <c r="Z1474" s="234"/>
      <c r="AA1474" s="234"/>
      <c r="AB1474" s="234"/>
      <c r="AC1474" s="234"/>
      <c r="AD1474" s="319" t="s">
        <v>3748</v>
      </c>
      <c r="AE1474" s="319"/>
      <c r="AF1474" s="162" t="str">
        <f t="shared" si="131"/>
        <v/>
      </c>
      <c r="AG1474" s="162" t="str">
        <f t="shared" si="129"/>
        <v/>
      </c>
      <c r="AH1474" s="164">
        <f t="shared" ref="AH1474:AH1537" si="133">IF(BF1474&lt;&gt;0,BF1474,"")</f>
        <v>1.5</v>
      </c>
      <c r="AI1474" s="164" t="str">
        <f t="shared" ref="AI1474:AI1537" si="134">IF(AND(SUM(AW1474:AY1474)&lt;&gt;0,SUM(AW1474:AY1474)&lt;&gt;AW1474),SUM(AW1474:AY1474),"")</f>
        <v/>
      </c>
      <c r="AJ1474" s="375"/>
      <c r="AK1474" s="375"/>
      <c r="AL1474" s="375"/>
      <c r="AM1474" s="375"/>
      <c r="AN1474" s="375"/>
      <c r="AO1474" s="375"/>
      <c r="AP1474" s="375"/>
      <c r="AQ1474" s="375"/>
      <c r="AR1474" s="391"/>
      <c r="AS1474" s="263"/>
      <c r="AT1474" s="276"/>
      <c r="AU1474" s="391"/>
      <c r="AV1474" s="422"/>
      <c r="AW1474" s="436">
        <v>1.5</v>
      </c>
      <c r="AX1474" s="359"/>
      <c r="AY1474" s="359"/>
      <c r="AZ1474" s="359"/>
      <c r="BA1474" s="359"/>
      <c r="BB1474" s="359"/>
      <c r="BC1474" s="426"/>
      <c r="BD1474" s="359"/>
      <c r="BE1474" s="359"/>
      <c r="BF1474" s="469">
        <f t="shared" si="132"/>
        <v>1.5</v>
      </c>
      <c r="BG1474" s="469"/>
      <c r="BH1474" s="460"/>
      <c r="BI1474" s="461"/>
      <c r="BJ1474" s="505"/>
    </row>
    <row r="1475" spans="1:62" ht="15" customHeight="1" thickBot="1" x14ac:dyDescent="0.25">
      <c r="A1475" s="176">
        <v>1476</v>
      </c>
      <c r="B1475" s="291">
        <v>1</v>
      </c>
      <c r="C1475" s="167" t="s">
        <v>259</v>
      </c>
      <c r="D1475" s="167" t="s">
        <v>2236</v>
      </c>
      <c r="E1475" s="167"/>
      <c r="F1475" s="167" t="s">
        <v>3749</v>
      </c>
      <c r="G1475" s="167"/>
      <c r="H1475" s="167" t="s">
        <v>1284</v>
      </c>
      <c r="I1475" s="184">
        <v>2009</v>
      </c>
      <c r="J1475" s="181" t="s">
        <v>3747</v>
      </c>
      <c r="K1475" s="184"/>
      <c r="L1475" s="184" t="s">
        <v>19</v>
      </c>
      <c r="M1475" s="556" t="s">
        <v>4369</v>
      </c>
      <c r="N1475" s="214" t="s">
        <v>122</v>
      </c>
      <c r="O1475" s="214" t="s">
        <v>292</v>
      </c>
      <c r="P1475" s="214" t="s">
        <v>292</v>
      </c>
      <c r="Q1475" s="214" t="s">
        <v>292</v>
      </c>
      <c r="R1475" s="214" t="s">
        <v>292</v>
      </c>
      <c r="S1475" s="214" t="s">
        <v>292</v>
      </c>
      <c r="T1475" s="214" t="s">
        <v>292</v>
      </c>
      <c r="U1475" s="214" t="s">
        <v>292</v>
      </c>
      <c r="V1475" s="214" t="s">
        <v>292</v>
      </c>
      <c r="W1475" s="214" t="s">
        <v>292</v>
      </c>
      <c r="X1475" s="214" t="s">
        <v>292</v>
      </c>
      <c r="Y1475" s="214" t="s">
        <v>292</v>
      </c>
      <c r="Z1475" s="234"/>
      <c r="AA1475" s="234"/>
      <c r="AB1475" s="234"/>
      <c r="AC1475" s="234"/>
      <c r="AD1475" s="319" t="s">
        <v>3748</v>
      </c>
      <c r="AE1475" s="319"/>
      <c r="AF1475" s="162" t="str">
        <f t="shared" si="131"/>
        <v/>
      </c>
      <c r="AG1475" s="162" t="str">
        <f t="shared" si="129"/>
        <v/>
      </c>
      <c r="AH1475" s="164">
        <f t="shared" si="133"/>
        <v>1.33</v>
      </c>
      <c r="AI1475" s="164" t="str">
        <f t="shared" si="134"/>
        <v/>
      </c>
      <c r="AJ1475" s="375"/>
      <c r="AK1475" s="375"/>
      <c r="AL1475" s="375"/>
      <c r="AM1475" s="375"/>
      <c r="AN1475" s="375"/>
      <c r="AO1475" s="375"/>
      <c r="AP1475" s="375"/>
      <c r="AQ1475" s="375"/>
      <c r="AR1475" s="391"/>
      <c r="AS1475" s="276"/>
      <c r="AT1475" s="277"/>
      <c r="AU1475" s="391"/>
      <c r="AV1475" s="422"/>
      <c r="AW1475" s="436">
        <v>1.33</v>
      </c>
      <c r="AX1475" s="359"/>
      <c r="AY1475" s="359"/>
      <c r="AZ1475" s="359"/>
      <c r="BA1475" s="359"/>
      <c r="BB1475" s="359"/>
      <c r="BC1475" s="426"/>
      <c r="BD1475" s="359"/>
      <c r="BE1475" s="359"/>
      <c r="BF1475" s="469">
        <f t="shared" si="132"/>
        <v>1.33</v>
      </c>
      <c r="BG1475" s="469"/>
      <c r="BH1475" s="460"/>
      <c r="BI1475" s="461"/>
      <c r="BJ1475" s="505"/>
    </row>
    <row r="1476" spans="1:62" ht="15" customHeight="1" thickBot="1" x14ac:dyDescent="0.25">
      <c r="A1476" s="176">
        <v>1477</v>
      </c>
      <c r="B1476" s="291">
        <v>1</v>
      </c>
      <c r="C1476" s="167" t="s">
        <v>259</v>
      </c>
      <c r="D1476" s="167" t="s">
        <v>2236</v>
      </c>
      <c r="E1476" s="167"/>
      <c r="F1476" s="167" t="s">
        <v>379</v>
      </c>
      <c r="G1476" s="167"/>
      <c r="H1476" s="167" t="s">
        <v>1284</v>
      </c>
      <c r="I1476" s="184">
        <v>2009</v>
      </c>
      <c r="J1476" s="181" t="s">
        <v>3747</v>
      </c>
      <c r="K1476" s="184"/>
      <c r="L1476" s="184" t="s">
        <v>19</v>
      </c>
      <c r="M1476" s="556" t="s">
        <v>4369</v>
      </c>
      <c r="N1476" s="214" t="s">
        <v>122</v>
      </c>
      <c r="O1476" s="214" t="s">
        <v>292</v>
      </c>
      <c r="P1476" s="214" t="s">
        <v>292</v>
      </c>
      <c r="Q1476" s="214" t="s">
        <v>292</v>
      </c>
      <c r="R1476" s="214" t="s">
        <v>292</v>
      </c>
      <c r="S1476" s="214" t="s">
        <v>292</v>
      </c>
      <c r="T1476" s="214" t="s">
        <v>292</v>
      </c>
      <c r="U1476" s="214" t="s">
        <v>292</v>
      </c>
      <c r="V1476" s="214" t="s">
        <v>292</v>
      </c>
      <c r="W1476" s="214" t="s">
        <v>292</v>
      </c>
      <c r="X1476" s="214" t="s">
        <v>292</v>
      </c>
      <c r="Y1476" s="214" t="s">
        <v>292</v>
      </c>
      <c r="Z1476" s="234"/>
      <c r="AA1476" s="234"/>
      <c r="AB1476" s="234"/>
      <c r="AC1476" s="234"/>
      <c r="AD1476" s="319" t="s">
        <v>3748</v>
      </c>
      <c r="AE1476" s="319"/>
      <c r="AF1476" s="162" t="str">
        <f t="shared" si="131"/>
        <v/>
      </c>
      <c r="AG1476" s="162" t="str">
        <f t="shared" si="129"/>
        <v/>
      </c>
      <c r="AH1476" s="164">
        <f t="shared" si="133"/>
        <v>1.62</v>
      </c>
      <c r="AI1476" s="164" t="str">
        <f t="shared" si="134"/>
        <v/>
      </c>
      <c r="AJ1476" s="375"/>
      <c r="AK1476" s="375"/>
      <c r="AL1476" s="375"/>
      <c r="AM1476" s="375"/>
      <c r="AN1476" s="375"/>
      <c r="AO1476" s="375"/>
      <c r="AP1476" s="375"/>
      <c r="AQ1476" s="375"/>
      <c r="AR1476" s="391"/>
      <c r="AS1476" s="276"/>
      <c r="AT1476" s="277"/>
      <c r="AU1476" s="391"/>
      <c r="AV1476" s="422"/>
      <c r="AW1476" s="436">
        <v>1.62</v>
      </c>
      <c r="AX1476" s="359"/>
      <c r="AY1476" s="359"/>
      <c r="AZ1476" s="359"/>
      <c r="BA1476" s="359"/>
      <c r="BB1476" s="359"/>
      <c r="BC1476" s="426"/>
      <c r="BD1476" s="359"/>
      <c r="BE1476" s="359"/>
      <c r="BF1476" s="469">
        <f t="shared" si="132"/>
        <v>1.62</v>
      </c>
      <c r="BG1476" s="469"/>
      <c r="BH1476" s="460"/>
      <c r="BI1476" s="461"/>
      <c r="BJ1476" s="505"/>
    </row>
    <row r="1477" spans="1:62" ht="15" customHeight="1" thickBot="1" x14ac:dyDescent="0.25">
      <c r="A1477" s="176">
        <v>1478</v>
      </c>
      <c r="B1477" s="291">
        <v>1</v>
      </c>
      <c r="C1477" s="167" t="s">
        <v>162</v>
      </c>
      <c r="D1477" s="171" t="s">
        <v>2057</v>
      </c>
      <c r="E1477" s="167"/>
      <c r="F1477" s="167" t="s">
        <v>3750</v>
      </c>
      <c r="G1477" s="167"/>
      <c r="H1477" s="167" t="s">
        <v>108</v>
      </c>
      <c r="I1477" s="184">
        <v>2009</v>
      </c>
      <c r="J1477" s="181" t="s">
        <v>3751</v>
      </c>
      <c r="K1477" s="184"/>
      <c r="L1477" s="184" t="s">
        <v>19</v>
      </c>
      <c r="M1477" s="556" t="s">
        <v>4370</v>
      </c>
      <c r="N1477" s="214" t="s">
        <v>122</v>
      </c>
      <c r="O1477" s="214" t="s">
        <v>292</v>
      </c>
      <c r="P1477" s="214" t="s">
        <v>292</v>
      </c>
      <c r="Q1477" s="214" t="s">
        <v>122</v>
      </c>
      <c r="R1477" s="214" t="s">
        <v>292</v>
      </c>
      <c r="S1477" s="214" t="s">
        <v>122</v>
      </c>
      <c r="T1477" s="214" t="s">
        <v>292</v>
      </c>
      <c r="U1477" s="214" t="s">
        <v>292</v>
      </c>
      <c r="V1477" s="214" t="s">
        <v>292</v>
      </c>
      <c r="W1477" s="214" t="s">
        <v>292</v>
      </c>
      <c r="X1477" s="214" t="s">
        <v>292</v>
      </c>
      <c r="Y1477" s="214" t="s">
        <v>122</v>
      </c>
      <c r="Z1477" s="234"/>
      <c r="AA1477" s="234"/>
      <c r="AB1477" s="234"/>
      <c r="AC1477" s="234"/>
      <c r="AD1477" s="319" t="s">
        <v>3752</v>
      </c>
      <c r="AE1477" s="319"/>
      <c r="AF1477" s="162" t="str">
        <f t="shared" si="131"/>
        <v/>
      </c>
      <c r="AG1477" s="162" t="str">
        <f t="shared" si="129"/>
        <v/>
      </c>
      <c r="AH1477" s="164">
        <f t="shared" si="133"/>
        <v>0.23067000000000001</v>
      </c>
      <c r="AI1477" s="164">
        <f t="shared" si="134"/>
        <v>0.27423000000000003</v>
      </c>
      <c r="AJ1477" s="375"/>
      <c r="AK1477" s="375"/>
      <c r="AL1477" s="375"/>
      <c r="AM1477" s="375"/>
      <c r="AN1477" s="375"/>
      <c r="AO1477" s="375"/>
      <c r="AP1477" s="375"/>
      <c r="AQ1477" s="375"/>
      <c r="AR1477" s="391"/>
      <c r="AS1477" s="276"/>
      <c r="AT1477" s="277"/>
      <c r="AU1477" s="391"/>
      <c r="AV1477" s="422"/>
      <c r="AW1477" s="436">
        <f>BG1477-(AY1477+BA1477)</f>
        <v>0.23067000000000001</v>
      </c>
      <c r="AX1477" s="359"/>
      <c r="AY1477" s="359">
        <f>BG1477*0.132</f>
        <v>4.3560000000000001E-2</v>
      </c>
      <c r="AZ1477" s="359"/>
      <c r="BA1477" s="359">
        <f>BG1477*0.169</f>
        <v>5.5770000000000007E-2</v>
      </c>
      <c r="BB1477" s="359"/>
      <c r="BC1477" s="426"/>
      <c r="BD1477" s="359"/>
      <c r="BE1477" s="359"/>
      <c r="BF1477" s="469">
        <f t="shared" si="132"/>
        <v>0.23067000000000001</v>
      </c>
      <c r="BG1477" s="469">
        <v>0.33</v>
      </c>
      <c r="BH1477" s="460"/>
      <c r="BI1477" s="461"/>
      <c r="BJ1477" s="505"/>
    </row>
    <row r="1478" spans="1:62" ht="15" customHeight="1" thickBot="1" x14ac:dyDescent="0.25">
      <c r="A1478" s="176">
        <v>1479</v>
      </c>
      <c r="B1478" s="291">
        <v>1</v>
      </c>
      <c r="C1478" s="167" t="s">
        <v>162</v>
      </c>
      <c r="D1478" s="171" t="s">
        <v>2057</v>
      </c>
      <c r="E1478" s="167"/>
      <c r="F1478" s="167" t="s">
        <v>3753</v>
      </c>
      <c r="G1478" s="167"/>
      <c r="H1478" s="167" t="s">
        <v>73</v>
      </c>
      <c r="I1478" s="184">
        <v>2009</v>
      </c>
      <c r="J1478" s="181" t="s">
        <v>3751</v>
      </c>
      <c r="K1478" s="184"/>
      <c r="L1478" s="184" t="s">
        <v>19</v>
      </c>
      <c r="M1478" s="556" t="s">
        <v>4370</v>
      </c>
      <c r="N1478" s="214" t="s">
        <v>122</v>
      </c>
      <c r="O1478" s="214" t="s">
        <v>292</v>
      </c>
      <c r="P1478" s="214" t="s">
        <v>292</v>
      </c>
      <c r="Q1478" s="214" t="s">
        <v>122</v>
      </c>
      <c r="R1478" s="214" t="s">
        <v>292</v>
      </c>
      <c r="S1478" s="214" t="s">
        <v>122</v>
      </c>
      <c r="T1478" s="214" t="s">
        <v>292</v>
      </c>
      <c r="U1478" s="214" t="s">
        <v>292</v>
      </c>
      <c r="V1478" s="214" t="s">
        <v>292</v>
      </c>
      <c r="W1478" s="214" t="s">
        <v>292</v>
      </c>
      <c r="X1478" s="214" t="s">
        <v>292</v>
      </c>
      <c r="Y1478" s="214" t="s">
        <v>122</v>
      </c>
      <c r="Z1478" s="234"/>
      <c r="AA1478" s="234"/>
      <c r="AB1478" s="234"/>
      <c r="AC1478" s="234"/>
      <c r="AD1478" s="319" t="s">
        <v>3752</v>
      </c>
      <c r="AE1478" s="319"/>
      <c r="AF1478" s="162" t="str">
        <f t="shared" si="131"/>
        <v/>
      </c>
      <c r="AG1478" s="162" t="str">
        <f t="shared" si="129"/>
        <v/>
      </c>
      <c r="AH1478" s="164">
        <f t="shared" si="133"/>
        <v>0.21042</v>
      </c>
      <c r="AI1478" s="164">
        <f t="shared" si="134"/>
        <v>0.24149999999999999</v>
      </c>
      <c r="AJ1478" s="375"/>
      <c r="AK1478" s="375"/>
      <c r="AL1478" s="375"/>
      <c r="AM1478" s="375"/>
      <c r="AN1478" s="375"/>
      <c r="AO1478" s="375"/>
      <c r="AP1478" s="375"/>
      <c r="AQ1478" s="375"/>
      <c r="AR1478" s="391"/>
      <c r="AS1478" s="276"/>
      <c r="AT1478" s="277"/>
      <c r="AU1478" s="391"/>
      <c r="AV1478" s="422"/>
      <c r="AW1478" s="436">
        <f>BG1478-(AY1478+BA1478)</f>
        <v>0.21042</v>
      </c>
      <c r="AX1478" s="359"/>
      <c r="AY1478" s="359">
        <f>BG1478*0.074</f>
        <v>3.1079999999999997E-2</v>
      </c>
      <c r="AZ1478" s="359"/>
      <c r="BA1478" s="359">
        <f>BG1478*0.425</f>
        <v>0.17849999999999999</v>
      </c>
      <c r="BB1478" s="359"/>
      <c r="BC1478" s="426"/>
      <c r="BD1478" s="359"/>
      <c r="BE1478" s="359"/>
      <c r="BF1478" s="469">
        <f t="shared" si="132"/>
        <v>0.21042</v>
      </c>
      <c r="BG1478" s="469">
        <v>0.42</v>
      </c>
      <c r="BH1478" s="460"/>
      <c r="BI1478" s="461"/>
      <c r="BJ1478" s="505"/>
    </row>
    <row r="1479" spans="1:62" ht="15" customHeight="1" thickBot="1" x14ac:dyDescent="0.25">
      <c r="A1479" s="176">
        <v>1480</v>
      </c>
      <c r="B1479" s="291">
        <v>1</v>
      </c>
      <c r="C1479" s="167" t="s">
        <v>162</v>
      </c>
      <c r="D1479" s="171" t="s">
        <v>3754</v>
      </c>
      <c r="E1479" s="167"/>
      <c r="F1479" s="167" t="s">
        <v>3755</v>
      </c>
      <c r="G1479" s="167"/>
      <c r="H1479" s="167" t="s">
        <v>108</v>
      </c>
      <c r="I1479" s="184">
        <v>2009</v>
      </c>
      <c r="J1479" s="181" t="s">
        <v>3751</v>
      </c>
      <c r="K1479" s="184"/>
      <c r="L1479" s="184" t="s">
        <v>19</v>
      </c>
      <c r="M1479" s="556" t="s">
        <v>4370</v>
      </c>
      <c r="N1479" s="214" t="s">
        <v>122</v>
      </c>
      <c r="O1479" s="214" t="s">
        <v>292</v>
      </c>
      <c r="P1479" s="214" t="s">
        <v>292</v>
      </c>
      <c r="Q1479" s="214" t="s">
        <v>122</v>
      </c>
      <c r="R1479" s="214" t="s">
        <v>292</v>
      </c>
      <c r="S1479" s="214" t="s">
        <v>122</v>
      </c>
      <c r="T1479" s="214" t="s">
        <v>292</v>
      </c>
      <c r="U1479" s="214" t="s">
        <v>292</v>
      </c>
      <c r="V1479" s="214" t="s">
        <v>292</v>
      </c>
      <c r="W1479" s="214" t="s">
        <v>292</v>
      </c>
      <c r="X1479" s="214" t="s">
        <v>292</v>
      </c>
      <c r="Y1479" s="214" t="s">
        <v>122</v>
      </c>
      <c r="Z1479" s="234"/>
      <c r="AA1479" s="234"/>
      <c r="AB1479" s="234"/>
      <c r="AC1479" s="234"/>
      <c r="AD1479" s="319" t="s">
        <v>3752</v>
      </c>
      <c r="AE1479" s="319"/>
      <c r="AF1479" s="162" t="str">
        <f t="shared" si="131"/>
        <v/>
      </c>
      <c r="AG1479" s="162" t="str">
        <f t="shared" si="129"/>
        <v/>
      </c>
      <c r="AH1479" s="164">
        <f t="shared" si="133"/>
        <v>2.45756</v>
      </c>
      <c r="AI1479" s="164">
        <f t="shared" si="134"/>
        <v>2.5492599999999999</v>
      </c>
      <c r="AJ1479" s="375"/>
      <c r="AK1479" s="375"/>
      <c r="AL1479" s="375"/>
      <c r="AM1479" s="375"/>
      <c r="AN1479" s="375"/>
      <c r="AO1479" s="375"/>
      <c r="AP1479" s="375"/>
      <c r="AQ1479" s="375"/>
      <c r="AR1479" s="391"/>
      <c r="AS1479" s="276"/>
      <c r="AT1479" s="277"/>
      <c r="AU1479" s="391"/>
      <c r="AV1479" s="422"/>
      <c r="AW1479" s="436">
        <f>BG1479-(AY1479+BA1479)</f>
        <v>2.45756</v>
      </c>
      <c r="AX1479" s="359"/>
      <c r="AY1479" s="359">
        <f>BG1479*0.035</f>
        <v>9.1700000000000018E-2</v>
      </c>
      <c r="AZ1479" s="359"/>
      <c r="BA1479" s="359">
        <f>BG1479*0.027</f>
        <v>7.0739999999999997E-2</v>
      </c>
      <c r="BB1479" s="359"/>
      <c r="BC1479" s="426"/>
      <c r="BD1479" s="359"/>
      <c r="BE1479" s="359"/>
      <c r="BF1479" s="469">
        <f t="shared" si="132"/>
        <v>2.45756</v>
      </c>
      <c r="BG1479" s="469">
        <v>2.62</v>
      </c>
      <c r="BH1479" s="460"/>
      <c r="BI1479" s="461"/>
      <c r="BJ1479" s="505"/>
    </row>
    <row r="1480" spans="1:62" ht="15" customHeight="1" thickBot="1" x14ac:dyDescent="0.25">
      <c r="A1480" s="176">
        <v>1481</v>
      </c>
      <c r="B1480" s="291">
        <v>1</v>
      </c>
      <c r="C1480" s="167" t="s">
        <v>162</v>
      </c>
      <c r="D1480" s="171" t="s">
        <v>2057</v>
      </c>
      <c r="E1480" s="167"/>
      <c r="F1480" s="167" t="s">
        <v>3756</v>
      </c>
      <c r="G1480" s="167"/>
      <c r="H1480" s="167" t="s">
        <v>108</v>
      </c>
      <c r="I1480" s="184">
        <v>2009</v>
      </c>
      <c r="J1480" s="181" t="s">
        <v>3751</v>
      </c>
      <c r="K1480" s="184"/>
      <c r="L1480" s="184" t="s">
        <v>19</v>
      </c>
      <c r="M1480" s="556" t="s">
        <v>4370</v>
      </c>
      <c r="N1480" s="214" t="s">
        <v>122</v>
      </c>
      <c r="O1480" s="214" t="s">
        <v>292</v>
      </c>
      <c r="P1480" s="214" t="s">
        <v>292</v>
      </c>
      <c r="Q1480" s="214" t="s">
        <v>122</v>
      </c>
      <c r="R1480" s="214" t="s">
        <v>292</v>
      </c>
      <c r="S1480" s="214" t="s">
        <v>122</v>
      </c>
      <c r="T1480" s="214" t="s">
        <v>292</v>
      </c>
      <c r="U1480" s="214" t="s">
        <v>292</v>
      </c>
      <c r="V1480" s="214" t="s">
        <v>292</v>
      </c>
      <c r="W1480" s="214" t="s">
        <v>292</v>
      </c>
      <c r="X1480" s="214" t="s">
        <v>292</v>
      </c>
      <c r="Y1480" s="214" t="s">
        <v>122</v>
      </c>
      <c r="Z1480" s="234"/>
      <c r="AA1480" s="234"/>
      <c r="AB1480" s="234"/>
      <c r="AC1480" s="234"/>
      <c r="AD1480" s="319" t="s">
        <v>3752</v>
      </c>
      <c r="AE1480" s="319"/>
      <c r="AF1480" s="162" t="str">
        <f t="shared" si="131"/>
        <v/>
      </c>
      <c r="AG1480" s="162" t="str">
        <f t="shared" si="129"/>
        <v/>
      </c>
      <c r="AH1480" s="164">
        <f t="shared" si="133"/>
        <v>9.7200000000000009E-2</v>
      </c>
      <c r="AI1480" s="164">
        <f t="shared" si="134"/>
        <v>0.18359999999999999</v>
      </c>
      <c r="AJ1480" s="375"/>
      <c r="AK1480" s="375"/>
      <c r="AL1480" s="375"/>
      <c r="AM1480" s="375"/>
      <c r="AN1480" s="375"/>
      <c r="AO1480" s="375"/>
      <c r="AP1480" s="375"/>
      <c r="AQ1480" s="375"/>
      <c r="AR1480" s="391"/>
      <c r="AS1480" s="276"/>
      <c r="AT1480" s="277"/>
      <c r="AU1480" s="391"/>
      <c r="AV1480" s="422"/>
      <c r="AW1480" s="436">
        <f>BG1480-(AY1480+BA1480)</f>
        <v>9.7200000000000009E-2</v>
      </c>
      <c r="AX1480" s="359"/>
      <c r="AY1480" s="359">
        <f>BG1480*0.36</f>
        <v>8.6399999999999991E-2</v>
      </c>
      <c r="AZ1480" s="359"/>
      <c r="BA1480" s="359">
        <f>BG1480*0.235</f>
        <v>5.6399999999999992E-2</v>
      </c>
      <c r="BB1480" s="359"/>
      <c r="BC1480" s="426"/>
      <c r="BD1480" s="359"/>
      <c r="BE1480" s="359"/>
      <c r="BF1480" s="469">
        <f t="shared" si="132"/>
        <v>9.7200000000000009E-2</v>
      </c>
      <c r="BG1480" s="469">
        <v>0.24</v>
      </c>
      <c r="BH1480" s="460"/>
      <c r="BI1480" s="461"/>
      <c r="BJ1480" s="505"/>
    </row>
    <row r="1481" spans="1:62" ht="15" customHeight="1" thickBot="1" x14ac:dyDescent="0.25">
      <c r="A1481" s="176">
        <v>1482</v>
      </c>
      <c r="B1481" s="291">
        <v>1</v>
      </c>
      <c r="C1481" s="167" t="s">
        <v>259</v>
      </c>
      <c r="D1481" s="167" t="s">
        <v>3068</v>
      </c>
      <c r="E1481" s="167"/>
      <c r="F1481" s="167"/>
      <c r="G1481" s="167"/>
      <c r="H1481" s="167" t="s">
        <v>1436</v>
      </c>
      <c r="I1481" s="184">
        <v>2009</v>
      </c>
      <c r="J1481" s="181" t="s">
        <v>3757</v>
      </c>
      <c r="K1481" s="184"/>
      <c r="L1481" s="184" t="s">
        <v>19</v>
      </c>
      <c r="M1481" s="556" t="s">
        <v>4371</v>
      </c>
      <c r="N1481" s="214" t="s">
        <v>122</v>
      </c>
      <c r="O1481" s="214" t="s">
        <v>292</v>
      </c>
      <c r="P1481" s="214" t="s">
        <v>122</v>
      </c>
      <c r="Q1481" s="214" t="s">
        <v>122</v>
      </c>
      <c r="R1481" s="214" t="s">
        <v>292</v>
      </c>
      <c r="S1481" s="214" t="s">
        <v>292</v>
      </c>
      <c r="T1481" s="214" t="s">
        <v>292</v>
      </c>
      <c r="U1481" s="214" t="s">
        <v>292</v>
      </c>
      <c r="V1481" s="214" t="s">
        <v>292</v>
      </c>
      <c r="W1481" s="214" t="s">
        <v>292</v>
      </c>
      <c r="X1481" s="214" t="s">
        <v>292</v>
      </c>
      <c r="Y1481" s="214" t="s">
        <v>292</v>
      </c>
      <c r="Z1481" s="234"/>
      <c r="AA1481" s="234" t="s">
        <v>3758</v>
      </c>
      <c r="AB1481" s="234"/>
      <c r="AC1481" s="234"/>
      <c r="AD1481" s="319" t="s">
        <v>3759</v>
      </c>
      <c r="AE1481" s="319"/>
      <c r="AF1481" s="162">
        <f t="shared" si="131"/>
        <v>1.456</v>
      </c>
      <c r="AG1481" s="162">
        <f t="shared" si="129"/>
        <v>1.8596999999999999</v>
      </c>
      <c r="AH1481" s="164">
        <f t="shared" si="133"/>
        <v>2.4506189999999997</v>
      </c>
      <c r="AI1481" s="164">
        <f t="shared" si="134"/>
        <v>2.4929999999999999</v>
      </c>
      <c r="AJ1481" s="375">
        <v>1.456</v>
      </c>
      <c r="AK1481" s="375">
        <v>0.23769999999999999</v>
      </c>
      <c r="AL1481" s="375">
        <v>0.16600000000000001</v>
      </c>
      <c r="AM1481" s="375"/>
      <c r="AN1481" s="375"/>
      <c r="AO1481" s="375"/>
      <c r="AP1481" s="375"/>
      <c r="AQ1481" s="375"/>
      <c r="AR1481" s="391"/>
      <c r="AS1481" s="276">
        <f>AJ1481</f>
        <v>1.456</v>
      </c>
      <c r="AT1481" s="277">
        <f>SUM(AJ1481:AR1481)</f>
        <v>1.8596999999999999</v>
      </c>
      <c r="AU1481" s="391"/>
      <c r="AV1481" s="422"/>
      <c r="AW1481" s="436">
        <f>(0.95+0.02+0.013)*BG1481</f>
        <v>2.4506189999999997</v>
      </c>
      <c r="AX1481" s="359">
        <f>0.00703*BG1481</f>
        <v>1.7525789999999999E-2</v>
      </c>
      <c r="AY1481" s="359">
        <f>BG1481-AW1481-AX1481</f>
        <v>2.4855210000000225E-2</v>
      </c>
      <c r="AZ1481" s="359"/>
      <c r="BA1481" s="359"/>
      <c r="BB1481" s="359"/>
      <c r="BC1481" s="426"/>
      <c r="BD1481" s="359"/>
      <c r="BE1481" s="359"/>
      <c r="BF1481" s="469">
        <f t="shared" si="132"/>
        <v>2.4506189999999997</v>
      </c>
      <c r="BG1481" s="469">
        <v>2.4929999999999999</v>
      </c>
      <c r="BH1481" s="460"/>
      <c r="BI1481" s="461"/>
      <c r="BJ1481" s="505"/>
    </row>
    <row r="1482" spans="1:62" ht="15" customHeight="1" thickBot="1" x14ac:dyDescent="0.25">
      <c r="A1482" s="176">
        <v>1483</v>
      </c>
      <c r="B1482" s="291">
        <v>1</v>
      </c>
      <c r="C1482" s="167" t="s">
        <v>3589</v>
      </c>
      <c r="D1482" s="167" t="s">
        <v>12</v>
      </c>
      <c r="E1482" s="167"/>
      <c r="F1482" s="167" t="s">
        <v>3760</v>
      </c>
      <c r="G1482" s="167"/>
      <c r="H1482" s="167" t="s">
        <v>42</v>
      </c>
      <c r="I1482" s="184">
        <v>2009</v>
      </c>
      <c r="J1482" s="181" t="s">
        <v>3761</v>
      </c>
      <c r="K1482" s="184"/>
      <c r="L1482" s="184" t="s">
        <v>19</v>
      </c>
      <c r="M1482" s="556" t="s">
        <v>4372</v>
      </c>
      <c r="N1482" s="214" t="s">
        <v>122</v>
      </c>
      <c r="O1482" s="214" t="s">
        <v>292</v>
      </c>
      <c r="P1482" s="214" t="s">
        <v>292</v>
      </c>
      <c r="Q1482" s="214" t="s">
        <v>292</v>
      </c>
      <c r="R1482" s="214" t="s">
        <v>292</v>
      </c>
      <c r="S1482" s="214" t="s">
        <v>292</v>
      </c>
      <c r="T1482" s="214" t="s">
        <v>292</v>
      </c>
      <c r="U1482" s="214" t="s">
        <v>292</v>
      </c>
      <c r="V1482" s="214" t="s">
        <v>292</v>
      </c>
      <c r="W1482" s="214" t="s">
        <v>292</v>
      </c>
      <c r="X1482" s="214" t="s">
        <v>292</v>
      </c>
      <c r="Y1482" s="214" t="s">
        <v>292</v>
      </c>
      <c r="Z1482" s="234"/>
      <c r="AA1482" s="234"/>
      <c r="AB1482" s="234"/>
      <c r="AC1482" s="234"/>
      <c r="AD1482" s="319" t="s">
        <v>252</v>
      </c>
      <c r="AE1482" s="319"/>
      <c r="AF1482" s="162">
        <f t="shared" si="131"/>
        <v>5.3</v>
      </c>
      <c r="AG1482" s="162" t="str">
        <f t="shared" si="129"/>
        <v/>
      </c>
      <c r="AH1482" s="164">
        <f t="shared" si="133"/>
        <v>1.36</v>
      </c>
      <c r="AI1482" s="164" t="str">
        <f t="shared" si="134"/>
        <v/>
      </c>
      <c r="AJ1482" s="375">
        <v>5.3</v>
      </c>
      <c r="AK1482" s="375"/>
      <c r="AL1482" s="375"/>
      <c r="AM1482" s="375"/>
      <c r="AN1482" s="375"/>
      <c r="AO1482" s="375"/>
      <c r="AP1482" s="375"/>
      <c r="AQ1482" s="375"/>
      <c r="AR1482" s="391"/>
      <c r="AS1482" s="263">
        <f>AJ1482</f>
        <v>5.3</v>
      </c>
      <c r="AT1482" s="276"/>
      <c r="AU1482" s="391"/>
      <c r="AV1482" s="422"/>
      <c r="AW1482" s="436">
        <v>1.36</v>
      </c>
      <c r="AX1482" s="359"/>
      <c r="AY1482" s="359"/>
      <c r="AZ1482" s="359"/>
      <c r="BA1482" s="359"/>
      <c r="BB1482" s="359"/>
      <c r="BC1482" s="426"/>
      <c r="BD1482" s="359"/>
      <c r="BE1482" s="359"/>
      <c r="BF1482" s="469">
        <f t="shared" si="132"/>
        <v>1.36</v>
      </c>
      <c r="BG1482" s="469"/>
      <c r="BH1482" s="460" t="s">
        <v>3762</v>
      </c>
      <c r="BI1482" s="461"/>
      <c r="BJ1482" s="505"/>
    </row>
    <row r="1483" spans="1:62" ht="15" customHeight="1" thickBot="1" x14ac:dyDescent="0.25">
      <c r="A1483" s="176">
        <v>1484</v>
      </c>
      <c r="B1483" s="291">
        <v>1</v>
      </c>
      <c r="C1483" s="167" t="s">
        <v>24</v>
      </c>
      <c r="D1483" s="167" t="s">
        <v>2745</v>
      </c>
      <c r="E1483" s="167"/>
      <c r="F1483" s="167" t="s">
        <v>3763</v>
      </c>
      <c r="G1483" s="167"/>
      <c r="H1483" s="167" t="s">
        <v>108</v>
      </c>
      <c r="I1483" s="184">
        <v>2012</v>
      </c>
      <c r="J1483" s="181" t="s">
        <v>3764</v>
      </c>
      <c r="K1483" s="184"/>
      <c r="L1483" s="184" t="s">
        <v>19</v>
      </c>
      <c r="M1483" s="556" t="s">
        <v>4373</v>
      </c>
      <c r="N1483" s="214" t="s">
        <v>122</v>
      </c>
      <c r="O1483" s="214" t="s">
        <v>292</v>
      </c>
      <c r="P1483" s="214" t="s">
        <v>292</v>
      </c>
      <c r="Q1483" s="214" t="s">
        <v>122</v>
      </c>
      <c r="R1483" s="214" t="s">
        <v>292</v>
      </c>
      <c r="S1483" s="214" t="s">
        <v>122</v>
      </c>
      <c r="T1483" s="214" t="s">
        <v>292</v>
      </c>
      <c r="U1483" s="214" t="s">
        <v>292</v>
      </c>
      <c r="V1483" s="214" t="s">
        <v>292</v>
      </c>
      <c r="W1483" s="214" t="s">
        <v>292</v>
      </c>
      <c r="X1483" s="214" t="s">
        <v>292</v>
      </c>
      <c r="Y1483" s="214" t="s">
        <v>292</v>
      </c>
      <c r="Z1483" s="234"/>
      <c r="AA1483" s="234"/>
      <c r="AB1483" s="234"/>
      <c r="AC1483" s="234"/>
      <c r="AD1483" s="319" t="s">
        <v>3765</v>
      </c>
      <c r="AE1483" s="319"/>
      <c r="AF1483" s="162" t="str">
        <f t="shared" si="131"/>
        <v/>
      </c>
      <c r="AG1483" s="162" t="str">
        <f t="shared" si="129"/>
        <v/>
      </c>
      <c r="AH1483" s="164">
        <f t="shared" si="133"/>
        <v>33.57</v>
      </c>
      <c r="AI1483" s="164">
        <f t="shared" si="134"/>
        <v>33.770000000000003</v>
      </c>
      <c r="AJ1483" s="375"/>
      <c r="AK1483" s="375"/>
      <c r="AL1483" s="375"/>
      <c r="AM1483" s="375"/>
      <c r="AN1483" s="375"/>
      <c r="AO1483" s="375"/>
      <c r="AP1483" s="375"/>
      <c r="AQ1483" s="375"/>
      <c r="AR1483" s="391"/>
      <c r="AS1483" s="263"/>
      <c r="AT1483" s="277"/>
      <c r="AU1483" s="391"/>
      <c r="AV1483" s="422"/>
      <c r="AW1483" s="436">
        <f>18.73+3.55+1.97+9.19+0.13</f>
        <v>33.57</v>
      </c>
      <c r="AX1483" s="359"/>
      <c r="AY1483" s="359">
        <v>0.2</v>
      </c>
      <c r="AZ1483" s="359"/>
      <c r="BA1483" s="359">
        <v>8.3699999999999997E-2</v>
      </c>
      <c r="BB1483" s="359"/>
      <c r="BC1483" s="426"/>
      <c r="BD1483" s="359"/>
      <c r="BE1483" s="359"/>
      <c r="BF1483" s="469">
        <f t="shared" si="132"/>
        <v>33.57</v>
      </c>
      <c r="BG1483" s="469">
        <f>SUM(AW1483:BE1483)</f>
        <v>33.853700000000003</v>
      </c>
      <c r="BH1483" s="460"/>
      <c r="BI1483" s="461"/>
      <c r="BJ1483" s="505"/>
    </row>
    <row r="1484" spans="1:62" ht="15" customHeight="1" thickBot="1" x14ac:dyDescent="0.25">
      <c r="A1484" s="176">
        <v>1485</v>
      </c>
      <c r="B1484" s="291">
        <v>1</v>
      </c>
      <c r="C1484" s="167" t="s">
        <v>24</v>
      </c>
      <c r="D1484" s="167" t="s">
        <v>2745</v>
      </c>
      <c r="E1484" s="167"/>
      <c r="F1484" s="167" t="s">
        <v>3766</v>
      </c>
      <c r="G1484" s="167"/>
      <c r="H1484" s="167" t="s">
        <v>108</v>
      </c>
      <c r="I1484" s="184">
        <v>2012</v>
      </c>
      <c r="J1484" s="181" t="s">
        <v>3764</v>
      </c>
      <c r="K1484" s="184"/>
      <c r="L1484" s="184" t="s">
        <v>19</v>
      </c>
      <c r="M1484" s="556" t="s">
        <v>4373</v>
      </c>
      <c r="N1484" s="214" t="s">
        <v>122</v>
      </c>
      <c r="O1484" s="214" t="s">
        <v>292</v>
      </c>
      <c r="P1484" s="214" t="s">
        <v>292</v>
      </c>
      <c r="Q1484" s="214" t="s">
        <v>122</v>
      </c>
      <c r="R1484" s="214" t="s">
        <v>292</v>
      </c>
      <c r="S1484" s="214" t="s">
        <v>122</v>
      </c>
      <c r="T1484" s="214" t="s">
        <v>292</v>
      </c>
      <c r="U1484" s="214" t="s">
        <v>292</v>
      </c>
      <c r="V1484" s="214" t="s">
        <v>292</v>
      </c>
      <c r="W1484" s="214" t="s">
        <v>292</v>
      </c>
      <c r="X1484" s="214" t="s">
        <v>292</v>
      </c>
      <c r="Y1484" s="214" t="s">
        <v>292</v>
      </c>
      <c r="Z1484" s="234"/>
      <c r="AA1484" s="234"/>
      <c r="AB1484" s="234"/>
      <c r="AC1484" s="234"/>
      <c r="AD1484" s="319" t="s">
        <v>3765</v>
      </c>
      <c r="AE1484" s="319"/>
      <c r="AF1484" s="162" t="str">
        <f t="shared" si="131"/>
        <v/>
      </c>
      <c r="AG1484" s="162" t="str">
        <f t="shared" si="129"/>
        <v/>
      </c>
      <c r="AH1484" s="164">
        <f t="shared" si="133"/>
        <v>33.710000000000008</v>
      </c>
      <c r="AI1484" s="164">
        <f t="shared" si="134"/>
        <v>33.910000000000011</v>
      </c>
      <c r="AJ1484" s="375"/>
      <c r="AK1484" s="375"/>
      <c r="AL1484" s="375"/>
      <c r="AM1484" s="375"/>
      <c r="AN1484" s="375"/>
      <c r="AO1484" s="375"/>
      <c r="AP1484" s="375"/>
      <c r="AQ1484" s="375"/>
      <c r="AR1484" s="391"/>
      <c r="AS1484" s="276"/>
      <c r="AT1484" s="277"/>
      <c r="AU1484" s="391"/>
      <c r="AV1484" s="422"/>
      <c r="AW1484" s="436">
        <f>20.34+4.08+2.14+6.73+0.42</f>
        <v>33.710000000000008</v>
      </c>
      <c r="AX1484" s="359"/>
      <c r="AY1484" s="359">
        <v>0.2</v>
      </c>
      <c r="AZ1484" s="359"/>
      <c r="BA1484" s="359">
        <v>7.9500000000000001E-2</v>
      </c>
      <c r="BB1484" s="359"/>
      <c r="BC1484" s="426"/>
      <c r="BD1484" s="359"/>
      <c r="BE1484" s="359"/>
      <c r="BF1484" s="469">
        <f t="shared" si="132"/>
        <v>33.710000000000008</v>
      </c>
      <c r="BG1484" s="469">
        <f>SUM(AW1484:BE1484)</f>
        <v>33.989500000000014</v>
      </c>
      <c r="BH1484" s="460"/>
      <c r="BI1484" s="461"/>
      <c r="BJ1484" s="505"/>
    </row>
    <row r="1485" spans="1:62" ht="15" customHeight="1" thickBot="1" x14ac:dyDescent="0.25">
      <c r="A1485" s="176">
        <v>1486</v>
      </c>
      <c r="B1485" s="291">
        <v>1</v>
      </c>
      <c r="C1485" s="167" t="s">
        <v>24</v>
      </c>
      <c r="D1485" s="167" t="s">
        <v>2745</v>
      </c>
      <c r="E1485" s="167"/>
      <c r="F1485" s="167" t="s">
        <v>3767</v>
      </c>
      <c r="G1485" s="167"/>
      <c r="H1485" s="167" t="s">
        <v>375</v>
      </c>
      <c r="I1485" s="184">
        <v>2012</v>
      </c>
      <c r="J1485" s="181" t="s">
        <v>3764</v>
      </c>
      <c r="K1485" s="184"/>
      <c r="L1485" s="184" t="s">
        <v>19</v>
      </c>
      <c r="M1485" s="556" t="s">
        <v>4373</v>
      </c>
      <c r="N1485" s="214" t="s">
        <v>122</v>
      </c>
      <c r="O1485" s="214" t="s">
        <v>292</v>
      </c>
      <c r="P1485" s="214" t="s">
        <v>292</v>
      </c>
      <c r="Q1485" s="214" t="s">
        <v>122</v>
      </c>
      <c r="R1485" s="214" t="s">
        <v>292</v>
      </c>
      <c r="S1485" s="214" t="s">
        <v>122</v>
      </c>
      <c r="T1485" s="214" t="s">
        <v>292</v>
      </c>
      <c r="U1485" s="214" t="s">
        <v>292</v>
      </c>
      <c r="V1485" s="214" t="s">
        <v>292</v>
      </c>
      <c r="W1485" s="214" t="s">
        <v>292</v>
      </c>
      <c r="X1485" s="214" t="s">
        <v>292</v>
      </c>
      <c r="Y1485" s="214" t="s">
        <v>292</v>
      </c>
      <c r="Z1485" s="234"/>
      <c r="AA1485" s="234"/>
      <c r="AB1485" s="234"/>
      <c r="AC1485" s="234"/>
      <c r="AD1485" s="319" t="s">
        <v>3765</v>
      </c>
      <c r="AE1485" s="319"/>
      <c r="AF1485" s="162" t="str">
        <f t="shared" si="131"/>
        <v/>
      </c>
      <c r="AG1485" s="162" t="str">
        <f t="shared" si="129"/>
        <v/>
      </c>
      <c r="AH1485" s="164">
        <f t="shared" si="133"/>
        <v>44.75</v>
      </c>
      <c r="AI1485" s="164">
        <f t="shared" si="134"/>
        <v>44.95</v>
      </c>
      <c r="AJ1485" s="375"/>
      <c r="AK1485" s="375"/>
      <c r="AL1485" s="375"/>
      <c r="AM1485" s="375"/>
      <c r="AN1485" s="375"/>
      <c r="AO1485" s="375"/>
      <c r="AP1485" s="375"/>
      <c r="AQ1485" s="375"/>
      <c r="AR1485" s="391"/>
      <c r="AS1485" s="276"/>
      <c r="AT1485" s="277"/>
      <c r="AU1485" s="391"/>
      <c r="AV1485" s="422"/>
      <c r="AW1485" s="436">
        <f>35.72+6.98+0.62+1.23+0.2</f>
        <v>44.75</v>
      </c>
      <c r="AX1485" s="359"/>
      <c r="AY1485" s="359">
        <v>0.2</v>
      </c>
      <c r="AZ1485" s="359"/>
      <c r="BA1485" s="359">
        <v>0.1179</v>
      </c>
      <c r="BB1485" s="359"/>
      <c r="BC1485" s="426"/>
      <c r="BD1485" s="359"/>
      <c r="BE1485" s="359"/>
      <c r="BF1485" s="469">
        <f t="shared" si="132"/>
        <v>44.75</v>
      </c>
      <c r="BG1485" s="469">
        <f>SUM(AW1485:BE1485)</f>
        <v>45.067900000000002</v>
      </c>
      <c r="BH1485" s="460"/>
      <c r="BI1485" s="461"/>
      <c r="BJ1485" s="505"/>
    </row>
    <row r="1486" spans="1:62" ht="15" customHeight="1" thickBot="1" x14ac:dyDescent="0.25">
      <c r="A1486" s="176">
        <v>1487</v>
      </c>
      <c r="B1486" s="291">
        <v>1</v>
      </c>
      <c r="C1486" s="167" t="s">
        <v>3589</v>
      </c>
      <c r="D1486" s="167" t="s">
        <v>12</v>
      </c>
      <c r="E1486" s="167"/>
      <c r="F1486" s="167" t="s">
        <v>379</v>
      </c>
      <c r="G1486" s="167"/>
      <c r="H1486" s="167" t="s">
        <v>165</v>
      </c>
      <c r="I1486" s="184">
        <v>2009</v>
      </c>
      <c r="J1486" s="181" t="s">
        <v>3768</v>
      </c>
      <c r="K1486" s="184"/>
      <c r="L1486" s="184" t="s">
        <v>19</v>
      </c>
      <c r="M1486" s="556" t="s">
        <v>4374</v>
      </c>
      <c r="N1486" s="214" t="s">
        <v>122</v>
      </c>
      <c r="O1486" s="214" t="s">
        <v>292</v>
      </c>
      <c r="P1486" s="214" t="s">
        <v>292</v>
      </c>
      <c r="Q1486" s="214" t="s">
        <v>292</v>
      </c>
      <c r="R1486" s="214" t="s">
        <v>292</v>
      </c>
      <c r="S1486" s="214" t="s">
        <v>292</v>
      </c>
      <c r="T1486" s="214" t="s">
        <v>292</v>
      </c>
      <c r="U1486" s="214" t="s">
        <v>292</v>
      </c>
      <c r="V1486" s="214" t="s">
        <v>292</v>
      </c>
      <c r="W1486" s="214" t="s">
        <v>292</v>
      </c>
      <c r="X1486" s="214" t="s">
        <v>292</v>
      </c>
      <c r="Y1486" s="214" t="s">
        <v>292</v>
      </c>
      <c r="Z1486" s="234"/>
      <c r="AA1486" s="234" t="s">
        <v>3106</v>
      </c>
      <c r="AB1486" s="234"/>
      <c r="AC1486" s="234"/>
      <c r="AD1486" s="319" t="s">
        <v>3769</v>
      </c>
      <c r="AE1486" s="319" t="s">
        <v>485</v>
      </c>
      <c r="AF1486" s="162">
        <f t="shared" si="131"/>
        <v>2.6</v>
      </c>
      <c r="AG1486" s="162" t="str">
        <f t="shared" si="129"/>
        <v/>
      </c>
      <c r="AH1486" s="164">
        <f t="shared" si="133"/>
        <v>1.0820000000000001</v>
      </c>
      <c r="AI1486" s="164" t="str">
        <f t="shared" si="134"/>
        <v/>
      </c>
      <c r="AJ1486" s="375">
        <v>2.6</v>
      </c>
      <c r="AK1486" s="375"/>
      <c r="AL1486" s="375"/>
      <c r="AM1486" s="375"/>
      <c r="AN1486" s="375"/>
      <c r="AO1486" s="375"/>
      <c r="AP1486" s="375"/>
      <c r="AQ1486" s="375"/>
      <c r="AR1486" s="391"/>
      <c r="AS1486" s="276">
        <f>AJ1486</f>
        <v>2.6</v>
      </c>
      <c r="AT1486" s="277"/>
      <c r="AU1486" s="391"/>
      <c r="AV1486" s="422" t="s">
        <v>3770</v>
      </c>
      <c r="AW1486" s="436">
        <v>1.0820000000000001</v>
      </c>
      <c r="AX1486" s="359"/>
      <c r="AY1486" s="359"/>
      <c r="AZ1486" s="359"/>
      <c r="BA1486" s="359"/>
      <c r="BB1486" s="359"/>
      <c r="BC1486" s="426"/>
      <c r="BD1486" s="359"/>
      <c r="BE1486" s="359"/>
      <c r="BF1486" s="469">
        <f t="shared" si="132"/>
        <v>1.0820000000000001</v>
      </c>
      <c r="BG1486" s="469"/>
      <c r="BH1486" s="460" t="s">
        <v>3771</v>
      </c>
      <c r="BI1486" s="461"/>
      <c r="BJ1486" s="505"/>
    </row>
    <row r="1487" spans="1:62" ht="15" customHeight="1" thickBot="1" x14ac:dyDescent="0.25">
      <c r="A1487" s="176">
        <v>1488</v>
      </c>
      <c r="B1487" s="291">
        <v>1</v>
      </c>
      <c r="C1487" s="167" t="s">
        <v>3589</v>
      </c>
      <c r="D1487" s="167" t="s">
        <v>12</v>
      </c>
      <c r="E1487" s="167"/>
      <c r="F1487" s="167" t="s">
        <v>378</v>
      </c>
      <c r="G1487" s="167"/>
      <c r="H1487" s="167" t="s">
        <v>165</v>
      </c>
      <c r="I1487" s="184">
        <v>2009</v>
      </c>
      <c r="J1487" s="181" t="s">
        <v>3768</v>
      </c>
      <c r="K1487" s="184"/>
      <c r="L1487" s="184" t="s">
        <v>19</v>
      </c>
      <c r="M1487" s="556" t="s">
        <v>4374</v>
      </c>
      <c r="N1487" s="214" t="s">
        <v>122</v>
      </c>
      <c r="O1487" s="214" t="s">
        <v>292</v>
      </c>
      <c r="P1487" s="214" t="s">
        <v>292</v>
      </c>
      <c r="Q1487" s="214" t="s">
        <v>292</v>
      </c>
      <c r="R1487" s="214" t="s">
        <v>292</v>
      </c>
      <c r="S1487" s="214" t="s">
        <v>292</v>
      </c>
      <c r="T1487" s="214" t="s">
        <v>292</v>
      </c>
      <c r="U1487" s="214" t="s">
        <v>292</v>
      </c>
      <c r="V1487" s="214" t="s">
        <v>292</v>
      </c>
      <c r="W1487" s="214" t="s">
        <v>292</v>
      </c>
      <c r="X1487" s="214" t="s">
        <v>292</v>
      </c>
      <c r="Y1487" s="214" t="s">
        <v>292</v>
      </c>
      <c r="Z1487" s="234"/>
      <c r="AA1487" s="234" t="s">
        <v>3106</v>
      </c>
      <c r="AB1487" s="234"/>
      <c r="AC1487" s="234"/>
      <c r="AD1487" s="319" t="s">
        <v>3769</v>
      </c>
      <c r="AE1487" s="319" t="s">
        <v>485</v>
      </c>
      <c r="AF1487" s="162">
        <f t="shared" si="131"/>
        <v>2.8</v>
      </c>
      <c r="AG1487" s="162" t="str">
        <f t="shared" si="129"/>
        <v/>
      </c>
      <c r="AH1487" s="164">
        <f t="shared" si="133"/>
        <v>1.0369999999999999</v>
      </c>
      <c r="AI1487" s="164" t="str">
        <f t="shared" si="134"/>
        <v/>
      </c>
      <c r="AJ1487" s="375">
        <v>2.8</v>
      </c>
      <c r="AK1487" s="375"/>
      <c r="AL1487" s="375"/>
      <c r="AM1487" s="375"/>
      <c r="AN1487" s="375"/>
      <c r="AO1487" s="375"/>
      <c r="AP1487" s="375"/>
      <c r="AQ1487" s="375"/>
      <c r="AR1487" s="391"/>
      <c r="AS1487" s="263">
        <f>AJ1487</f>
        <v>2.8</v>
      </c>
      <c r="AT1487" s="277"/>
      <c r="AU1487" s="391"/>
      <c r="AV1487" s="422" t="s">
        <v>3772</v>
      </c>
      <c r="AW1487" s="436">
        <v>1.0369999999999999</v>
      </c>
      <c r="AX1487" s="359"/>
      <c r="AY1487" s="359"/>
      <c r="AZ1487" s="359"/>
      <c r="BA1487" s="359"/>
      <c r="BB1487" s="359"/>
      <c r="BC1487" s="426"/>
      <c r="BD1487" s="359"/>
      <c r="BE1487" s="359"/>
      <c r="BF1487" s="469">
        <f t="shared" si="132"/>
        <v>1.0369999999999999</v>
      </c>
      <c r="BG1487" s="469"/>
      <c r="BH1487" s="460" t="s">
        <v>3773</v>
      </c>
      <c r="BI1487" s="461"/>
      <c r="BJ1487" s="505"/>
    </row>
    <row r="1488" spans="1:62" ht="15" customHeight="1" thickBot="1" x14ac:dyDescent="0.25">
      <c r="A1488" s="176">
        <v>1489</v>
      </c>
      <c r="B1488" s="291">
        <v>1</v>
      </c>
      <c r="C1488" s="167" t="s">
        <v>975</v>
      </c>
      <c r="D1488" s="167" t="s">
        <v>1984</v>
      </c>
      <c r="E1488" s="167"/>
      <c r="F1488" s="167" t="s">
        <v>3774</v>
      </c>
      <c r="G1488" s="167"/>
      <c r="H1488" s="167" t="s">
        <v>1064</v>
      </c>
      <c r="I1488" s="184">
        <v>2009</v>
      </c>
      <c r="J1488" s="181" t="s">
        <v>3775</v>
      </c>
      <c r="K1488" s="184"/>
      <c r="L1488" s="184" t="s">
        <v>83</v>
      </c>
      <c r="M1488" s="556" t="s">
        <v>4375</v>
      </c>
      <c r="N1488" s="214" t="s">
        <v>122</v>
      </c>
      <c r="O1488" s="214" t="s">
        <v>292</v>
      </c>
      <c r="P1488" s="214" t="s">
        <v>292</v>
      </c>
      <c r="Q1488" s="214" t="s">
        <v>122</v>
      </c>
      <c r="R1488" s="214" t="s">
        <v>122</v>
      </c>
      <c r="S1488" s="214" t="s">
        <v>122</v>
      </c>
      <c r="T1488" s="214" t="s">
        <v>292</v>
      </c>
      <c r="U1488" s="214" t="s">
        <v>292</v>
      </c>
      <c r="V1488" s="214" t="s">
        <v>292</v>
      </c>
      <c r="W1488" s="214" t="s">
        <v>292</v>
      </c>
      <c r="X1488" s="214" t="s">
        <v>292</v>
      </c>
      <c r="Y1488" s="214" t="s">
        <v>292</v>
      </c>
      <c r="Z1488" s="234"/>
      <c r="AA1488" s="234"/>
      <c r="AB1488" s="234"/>
      <c r="AC1488" s="234"/>
      <c r="AD1488" s="319" t="s">
        <v>3776</v>
      </c>
      <c r="AE1488" s="319"/>
      <c r="AF1488" s="162" t="str">
        <f t="shared" si="131"/>
        <v/>
      </c>
      <c r="AG1488" s="162" t="str">
        <f t="shared" si="129"/>
        <v/>
      </c>
      <c r="AH1488" s="164">
        <f t="shared" si="133"/>
        <v>2.8600000000000003</v>
      </c>
      <c r="AI1488" s="164">
        <f t="shared" si="134"/>
        <v>2.89</v>
      </c>
      <c r="AJ1488" s="375"/>
      <c r="AK1488" s="375"/>
      <c r="AL1488" s="375"/>
      <c r="AM1488" s="375"/>
      <c r="AN1488" s="375"/>
      <c r="AO1488" s="375"/>
      <c r="AP1488" s="375"/>
      <c r="AQ1488" s="375"/>
      <c r="AR1488" s="391"/>
      <c r="AS1488" s="263"/>
      <c r="AT1488" s="277">
        <v>55.4</v>
      </c>
      <c r="AU1488" s="391"/>
      <c r="AV1488" s="422"/>
      <c r="AW1488" s="436">
        <f>2.72+0.14</f>
        <v>2.8600000000000003</v>
      </c>
      <c r="AX1488" s="359"/>
      <c r="AY1488" s="359">
        <v>0.03</v>
      </c>
      <c r="AZ1488" s="359">
        <v>0.2</v>
      </c>
      <c r="BA1488" s="359">
        <v>0.51</v>
      </c>
      <c r="BB1488" s="359"/>
      <c r="BC1488" s="426"/>
      <c r="BD1488" s="359"/>
      <c r="BE1488" s="359"/>
      <c r="BF1488" s="469">
        <f t="shared" ref="BF1488:BF1519" si="135">AW1488</f>
        <v>2.8600000000000003</v>
      </c>
      <c r="BG1488" s="469">
        <f t="shared" ref="BG1488:BG1509" si="136">SUM(AW1488:BE1488)</f>
        <v>3.6000000000000005</v>
      </c>
      <c r="BH1488" s="460"/>
      <c r="BI1488" s="461"/>
      <c r="BJ1488" s="505"/>
    </row>
    <row r="1489" spans="1:62" ht="15" customHeight="1" thickBot="1" x14ac:dyDescent="0.25">
      <c r="A1489" s="176">
        <v>1490</v>
      </c>
      <c r="B1489" s="291">
        <v>1</v>
      </c>
      <c r="C1489" s="167" t="s">
        <v>975</v>
      </c>
      <c r="D1489" s="167" t="s">
        <v>1984</v>
      </c>
      <c r="E1489" s="167"/>
      <c r="F1489" s="167" t="s">
        <v>3777</v>
      </c>
      <c r="G1489" s="167"/>
      <c r="H1489" s="167" t="s">
        <v>1064</v>
      </c>
      <c r="I1489" s="184">
        <v>2009</v>
      </c>
      <c r="J1489" s="181" t="s">
        <v>3775</v>
      </c>
      <c r="K1489" s="184"/>
      <c r="L1489" s="184" t="s">
        <v>83</v>
      </c>
      <c r="M1489" s="556" t="s">
        <v>4375</v>
      </c>
      <c r="N1489" s="214" t="s">
        <v>122</v>
      </c>
      <c r="O1489" s="214" t="s">
        <v>292</v>
      </c>
      <c r="P1489" s="214" t="s">
        <v>292</v>
      </c>
      <c r="Q1489" s="214" t="s">
        <v>122</v>
      </c>
      <c r="R1489" s="214" t="s">
        <v>122</v>
      </c>
      <c r="S1489" s="214" t="s">
        <v>122</v>
      </c>
      <c r="T1489" s="214" t="s">
        <v>292</v>
      </c>
      <c r="U1489" s="214" t="s">
        <v>292</v>
      </c>
      <c r="V1489" s="214" t="s">
        <v>292</v>
      </c>
      <c r="W1489" s="214" t="s">
        <v>292</v>
      </c>
      <c r="X1489" s="214" t="s">
        <v>292</v>
      </c>
      <c r="Y1489" s="214" t="s">
        <v>292</v>
      </c>
      <c r="Z1489" s="234"/>
      <c r="AA1489" s="234"/>
      <c r="AB1489" s="234"/>
      <c r="AC1489" s="234"/>
      <c r="AD1489" s="319" t="s">
        <v>3776</v>
      </c>
      <c r="AE1489" s="319"/>
      <c r="AF1489" s="162" t="str">
        <f t="shared" si="131"/>
        <v/>
      </c>
      <c r="AG1489" s="162" t="str">
        <f t="shared" si="129"/>
        <v/>
      </c>
      <c r="AH1489" s="164">
        <f t="shared" si="133"/>
        <v>2.8600000000000003</v>
      </c>
      <c r="AI1489" s="164">
        <f t="shared" si="134"/>
        <v>2.89</v>
      </c>
      <c r="AJ1489" s="375"/>
      <c r="AK1489" s="375"/>
      <c r="AL1489" s="375"/>
      <c r="AM1489" s="375"/>
      <c r="AN1489" s="375"/>
      <c r="AO1489" s="375"/>
      <c r="AP1489" s="375"/>
      <c r="AQ1489" s="375"/>
      <c r="AR1489" s="391"/>
      <c r="AS1489" s="276"/>
      <c r="AT1489" s="277">
        <v>49.9</v>
      </c>
      <c r="AU1489" s="391"/>
      <c r="AV1489" s="422"/>
      <c r="AW1489" s="436">
        <f>2.72+0.14</f>
        <v>2.8600000000000003</v>
      </c>
      <c r="AX1489" s="359"/>
      <c r="AY1489" s="359">
        <v>0.03</v>
      </c>
      <c r="AZ1489" s="359">
        <v>0.2</v>
      </c>
      <c r="BA1489" s="359">
        <v>0.2</v>
      </c>
      <c r="BB1489" s="359"/>
      <c r="BC1489" s="426"/>
      <c r="BD1489" s="359"/>
      <c r="BE1489" s="359"/>
      <c r="BF1489" s="469">
        <f t="shared" si="135"/>
        <v>2.8600000000000003</v>
      </c>
      <c r="BG1489" s="469">
        <f t="shared" si="136"/>
        <v>3.2900000000000005</v>
      </c>
      <c r="BH1489" s="460"/>
      <c r="BI1489" s="461"/>
      <c r="BJ1489" s="505"/>
    </row>
    <row r="1490" spans="1:62" ht="15" customHeight="1" thickBot="1" x14ac:dyDescent="0.25">
      <c r="A1490" s="176">
        <v>1491</v>
      </c>
      <c r="B1490" s="291">
        <v>1</v>
      </c>
      <c r="C1490" s="167" t="s">
        <v>975</v>
      </c>
      <c r="D1490" s="167" t="s">
        <v>1984</v>
      </c>
      <c r="E1490" s="167"/>
      <c r="F1490" s="167" t="s">
        <v>3778</v>
      </c>
      <c r="G1490" s="167"/>
      <c r="H1490" s="167" t="s">
        <v>1064</v>
      </c>
      <c r="I1490" s="184">
        <v>2009</v>
      </c>
      <c r="J1490" s="181" t="s">
        <v>3775</v>
      </c>
      <c r="K1490" s="184"/>
      <c r="L1490" s="184" t="s">
        <v>83</v>
      </c>
      <c r="M1490" s="556" t="s">
        <v>4375</v>
      </c>
      <c r="N1490" s="214" t="s">
        <v>122</v>
      </c>
      <c r="O1490" s="214" t="s">
        <v>292</v>
      </c>
      <c r="P1490" s="214" t="s">
        <v>292</v>
      </c>
      <c r="Q1490" s="214" t="s">
        <v>122</v>
      </c>
      <c r="R1490" s="214" t="s">
        <v>122</v>
      </c>
      <c r="S1490" s="214" t="s">
        <v>122</v>
      </c>
      <c r="T1490" s="214" t="s">
        <v>292</v>
      </c>
      <c r="U1490" s="214" t="s">
        <v>292</v>
      </c>
      <c r="V1490" s="214" t="s">
        <v>292</v>
      </c>
      <c r="W1490" s="214" t="s">
        <v>292</v>
      </c>
      <c r="X1490" s="214" t="s">
        <v>292</v>
      </c>
      <c r="Y1490" s="214" t="s">
        <v>292</v>
      </c>
      <c r="Z1490" s="234"/>
      <c r="AA1490" s="234"/>
      <c r="AB1490" s="234"/>
      <c r="AC1490" s="234"/>
      <c r="AD1490" s="319" t="s">
        <v>3776</v>
      </c>
      <c r="AE1490" s="319"/>
      <c r="AF1490" s="162" t="str">
        <f t="shared" si="131"/>
        <v/>
      </c>
      <c r="AG1490" s="162" t="str">
        <f t="shared" si="129"/>
        <v/>
      </c>
      <c r="AH1490" s="164">
        <f t="shared" si="133"/>
        <v>2.8600000000000003</v>
      </c>
      <c r="AI1490" s="164">
        <f t="shared" si="134"/>
        <v>2.89</v>
      </c>
      <c r="AJ1490" s="375"/>
      <c r="AK1490" s="375"/>
      <c r="AL1490" s="375"/>
      <c r="AM1490" s="375"/>
      <c r="AN1490" s="375"/>
      <c r="AO1490" s="375"/>
      <c r="AP1490" s="375"/>
      <c r="AQ1490" s="375"/>
      <c r="AR1490" s="391"/>
      <c r="AS1490" s="276"/>
      <c r="AT1490" s="277">
        <v>62.3</v>
      </c>
      <c r="AU1490" s="391"/>
      <c r="AV1490" s="422"/>
      <c r="AW1490" s="436">
        <f>2.72+0.14</f>
        <v>2.8600000000000003</v>
      </c>
      <c r="AX1490" s="359"/>
      <c r="AY1490" s="359">
        <v>0.03</v>
      </c>
      <c r="AZ1490" s="359">
        <v>0.2</v>
      </c>
      <c r="BA1490" s="359">
        <v>1.05</v>
      </c>
      <c r="BB1490" s="359"/>
      <c r="BC1490" s="426"/>
      <c r="BD1490" s="359"/>
      <c r="BE1490" s="359"/>
      <c r="BF1490" s="469">
        <f t="shared" si="135"/>
        <v>2.8600000000000003</v>
      </c>
      <c r="BG1490" s="469">
        <f t="shared" si="136"/>
        <v>4.1400000000000006</v>
      </c>
      <c r="BH1490" s="460"/>
      <c r="BI1490" s="461"/>
      <c r="BJ1490" s="505"/>
    </row>
    <row r="1491" spans="1:62" ht="15" customHeight="1" thickBot="1" x14ac:dyDescent="0.25">
      <c r="A1491" s="176">
        <v>1492</v>
      </c>
      <c r="B1491" s="291">
        <v>1</v>
      </c>
      <c r="C1491" s="167" t="s">
        <v>975</v>
      </c>
      <c r="D1491" s="167" t="s">
        <v>1984</v>
      </c>
      <c r="E1491" s="167"/>
      <c r="F1491" s="167" t="s">
        <v>3779</v>
      </c>
      <c r="G1491" s="167"/>
      <c r="H1491" s="167" t="s">
        <v>1064</v>
      </c>
      <c r="I1491" s="184">
        <v>2009</v>
      </c>
      <c r="J1491" s="181" t="s">
        <v>3775</v>
      </c>
      <c r="K1491" s="184"/>
      <c r="L1491" s="184" t="s">
        <v>83</v>
      </c>
      <c r="M1491" s="556" t="s">
        <v>4375</v>
      </c>
      <c r="N1491" s="214" t="s">
        <v>122</v>
      </c>
      <c r="O1491" s="214" t="s">
        <v>292</v>
      </c>
      <c r="P1491" s="214" t="s">
        <v>292</v>
      </c>
      <c r="Q1491" s="214" t="s">
        <v>122</v>
      </c>
      <c r="R1491" s="214" t="s">
        <v>122</v>
      </c>
      <c r="S1491" s="214" t="s">
        <v>122</v>
      </c>
      <c r="T1491" s="214" t="s">
        <v>292</v>
      </c>
      <c r="U1491" s="214" t="s">
        <v>292</v>
      </c>
      <c r="V1491" s="214" t="s">
        <v>292</v>
      </c>
      <c r="W1491" s="214" t="s">
        <v>292</v>
      </c>
      <c r="X1491" s="214" t="s">
        <v>292</v>
      </c>
      <c r="Y1491" s="214" t="s">
        <v>292</v>
      </c>
      <c r="Z1491" s="234"/>
      <c r="AA1491" s="234"/>
      <c r="AB1491" s="234"/>
      <c r="AC1491" s="234"/>
      <c r="AD1491" s="319" t="s">
        <v>3776</v>
      </c>
      <c r="AE1491" s="319"/>
      <c r="AF1491" s="162" t="str">
        <f t="shared" si="131"/>
        <v/>
      </c>
      <c r="AG1491" s="162" t="str">
        <f t="shared" ref="AG1491:AG1554" si="137">IF(AND(SUM(AJ1491:AL1491)&lt;&gt;0,SUM(AJ1491:AL1491)&lt;&gt;AJ1491),SUM(AJ1491:AL1491),"")</f>
        <v/>
      </c>
      <c r="AH1491" s="164">
        <f t="shared" si="133"/>
        <v>2.8600000000000003</v>
      </c>
      <c r="AI1491" s="164">
        <f t="shared" si="134"/>
        <v>2.89</v>
      </c>
      <c r="AJ1491" s="375"/>
      <c r="AK1491" s="375"/>
      <c r="AL1491" s="375"/>
      <c r="AM1491" s="375"/>
      <c r="AN1491" s="375"/>
      <c r="AO1491" s="375"/>
      <c r="AP1491" s="375"/>
      <c r="AQ1491" s="375"/>
      <c r="AR1491" s="391"/>
      <c r="AS1491" s="276"/>
      <c r="AT1491" s="277">
        <v>210.2</v>
      </c>
      <c r="AU1491" s="391"/>
      <c r="AV1491" s="422"/>
      <c r="AW1491" s="436">
        <f>2.72+0.14</f>
        <v>2.8600000000000003</v>
      </c>
      <c r="AX1491" s="359"/>
      <c r="AY1491" s="359">
        <v>0.03</v>
      </c>
      <c r="AZ1491" s="359">
        <v>0.14000000000000001</v>
      </c>
      <c r="BA1491" s="359">
        <v>10.83</v>
      </c>
      <c r="BB1491" s="359"/>
      <c r="BC1491" s="426"/>
      <c r="BD1491" s="359"/>
      <c r="BE1491" s="359"/>
      <c r="BF1491" s="469">
        <f t="shared" si="135"/>
        <v>2.8600000000000003</v>
      </c>
      <c r="BG1491" s="469">
        <f t="shared" si="136"/>
        <v>13.86</v>
      </c>
      <c r="BH1491" s="460"/>
      <c r="BI1491" s="461"/>
      <c r="BJ1491" s="505"/>
    </row>
    <row r="1492" spans="1:62" ht="15" customHeight="1" thickBot="1" x14ac:dyDescent="0.25">
      <c r="A1492" s="176">
        <v>1493</v>
      </c>
      <c r="B1492" s="291">
        <v>1</v>
      </c>
      <c r="C1492" s="167" t="s">
        <v>975</v>
      </c>
      <c r="D1492" s="167" t="s">
        <v>1984</v>
      </c>
      <c r="E1492" s="167"/>
      <c r="F1492" s="167" t="s">
        <v>3780</v>
      </c>
      <c r="G1492" s="167"/>
      <c r="H1492" s="167" t="s">
        <v>1064</v>
      </c>
      <c r="I1492" s="184">
        <v>2009</v>
      </c>
      <c r="J1492" s="181" t="s">
        <v>3775</v>
      </c>
      <c r="K1492" s="184"/>
      <c r="L1492" s="184" t="s">
        <v>83</v>
      </c>
      <c r="M1492" s="556" t="s">
        <v>4375</v>
      </c>
      <c r="N1492" s="214" t="s">
        <v>122</v>
      </c>
      <c r="O1492" s="214" t="s">
        <v>292</v>
      </c>
      <c r="P1492" s="214" t="s">
        <v>292</v>
      </c>
      <c r="Q1492" s="214" t="s">
        <v>122</v>
      </c>
      <c r="R1492" s="214" t="s">
        <v>122</v>
      </c>
      <c r="S1492" s="214" t="s">
        <v>122</v>
      </c>
      <c r="T1492" s="214" t="s">
        <v>292</v>
      </c>
      <c r="U1492" s="214" t="s">
        <v>292</v>
      </c>
      <c r="V1492" s="214" t="s">
        <v>292</v>
      </c>
      <c r="W1492" s="214" t="s">
        <v>292</v>
      </c>
      <c r="X1492" s="214" t="s">
        <v>292</v>
      </c>
      <c r="Y1492" s="214" t="s">
        <v>292</v>
      </c>
      <c r="Z1492" s="234"/>
      <c r="AA1492" s="234"/>
      <c r="AB1492" s="234"/>
      <c r="AC1492" s="234"/>
      <c r="AD1492" s="319" t="s">
        <v>3776</v>
      </c>
      <c r="AE1492" s="319"/>
      <c r="AF1492" s="162" t="str">
        <f t="shared" si="131"/>
        <v/>
      </c>
      <c r="AG1492" s="162" t="str">
        <f t="shared" si="137"/>
        <v/>
      </c>
      <c r="AH1492" s="164">
        <f t="shared" si="133"/>
        <v>2.8600000000000003</v>
      </c>
      <c r="AI1492" s="164">
        <f t="shared" si="134"/>
        <v>2.91</v>
      </c>
      <c r="AJ1492" s="375"/>
      <c r="AK1492" s="375"/>
      <c r="AL1492" s="375"/>
      <c r="AM1492" s="375"/>
      <c r="AN1492" s="375"/>
      <c r="AO1492" s="375"/>
      <c r="AP1492" s="375"/>
      <c r="AQ1492" s="375"/>
      <c r="AR1492" s="391"/>
      <c r="AS1492" s="276"/>
      <c r="AT1492" s="277">
        <v>61.5</v>
      </c>
      <c r="AU1492" s="391"/>
      <c r="AV1492" s="422"/>
      <c r="AW1492" s="436">
        <f>2.72+0.14</f>
        <v>2.8600000000000003</v>
      </c>
      <c r="AX1492" s="359"/>
      <c r="AY1492" s="359">
        <v>0.05</v>
      </c>
      <c r="AZ1492" s="359">
        <v>0.11</v>
      </c>
      <c r="BA1492" s="359">
        <v>1.18</v>
      </c>
      <c r="BB1492" s="359"/>
      <c r="BC1492" s="426"/>
      <c r="BD1492" s="359"/>
      <c r="BE1492" s="359"/>
      <c r="BF1492" s="469">
        <f t="shared" si="135"/>
        <v>2.8600000000000003</v>
      </c>
      <c r="BG1492" s="469">
        <f t="shared" si="136"/>
        <v>4.2</v>
      </c>
      <c r="BH1492" s="460"/>
      <c r="BI1492" s="461"/>
      <c r="BJ1492" s="505"/>
    </row>
    <row r="1493" spans="1:62" ht="15" customHeight="1" thickBot="1" x14ac:dyDescent="0.25">
      <c r="A1493" s="176">
        <v>1494</v>
      </c>
      <c r="B1493" s="291">
        <v>1</v>
      </c>
      <c r="C1493" s="167" t="s">
        <v>975</v>
      </c>
      <c r="D1493" s="167" t="s">
        <v>1984</v>
      </c>
      <c r="E1493" s="167"/>
      <c r="F1493" s="167" t="s">
        <v>3781</v>
      </c>
      <c r="G1493" s="167"/>
      <c r="H1493" s="167" t="s">
        <v>1064</v>
      </c>
      <c r="I1493" s="184">
        <v>2009</v>
      </c>
      <c r="J1493" s="181" t="s">
        <v>3775</v>
      </c>
      <c r="K1493" s="184"/>
      <c r="L1493" s="184" t="s">
        <v>83</v>
      </c>
      <c r="M1493" s="556" t="s">
        <v>4375</v>
      </c>
      <c r="N1493" s="214" t="s">
        <v>122</v>
      </c>
      <c r="O1493" s="214" t="s">
        <v>292</v>
      </c>
      <c r="P1493" s="214" t="s">
        <v>292</v>
      </c>
      <c r="Q1493" s="214" t="s">
        <v>122</v>
      </c>
      <c r="R1493" s="214" t="s">
        <v>122</v>
      </c>
      <c r="S1493" s="214" t="s">
        <v>122</v>
      </c>
      <c r="T1493" s="214" t="s">
        <v>292</v>
      </c>
      <c r="U1493" s="214" t="s">
        <v>292</v>
      </c>
      <c r="V1493" s="214" t="s">
        <v>292</v>
      </c>
      <c r="W1493" s="214" t="s">
        <v>292</v>
      </c>
      <c r="X1493" s="214" t="s">
        <v>292</v>
      </c>
      <c r="Y1493" s="214" t="s">
        <v>292</v>
      </c>
      <c r="Z1493" s="234"/>
      <c r="AA1493" s="234"/>
      <c r="AB1493" s="234"/>
      <c r="AC1493" s="234"/>
      <c r="AD1493" s="319" t="s">
        <v>3776</v>
      </c>
      <c r="AE1493" s="319"/>
      <c r="AF1493" s="162" t="str">
        <f t="shared" si="131"/>
        <v/>
      </c>
      <c r="AG1493" s="162" t="str">
        <f t="shared" si="137"/>
        <v/>
      </c>
      <c r="AH1493" s="164">
        <f t="shared" si="133"/>
        <v>2</v>
      </c>
      <c r="AI1493" s="164">
        <f t="shared" si="134"/>
        <v>2.14</v>
      </c>
      <c r="AJ1493" s="375"/>
      <c r="AK1493" s="375"/>
      <c r="AL1493" s="375"/>
      <c r="AM1493" s="375"/>
      <c r="AN1493" s="375"/>
      <c r="AO1493" s="375"/>
      <c r="AP1493" s="375"/>
      <c r="AQ1493" s="375"/>
      <c r="AR1493" s="391"/>
      <c r="AS1493" s="276"/>
      <c r="AT1493" s="277">
        <v>40.700000000000003</v>
      </c>
      <c r="AU1493" s="391"/>
      <c r="AV1493" s="422"/>
      <c r="AW1493" s="436">
        <f>1.9+0.1</f>
        <v>2</v>
      </c>
      <c r="AX1493" s="359"/>
      <c r="AY1493" s="359">
        <v>0.14000000000000001</v>
      </c>
      <c r="AZ1493" s="359">
        <v>0.09</v>
      </c>
      <c r="BA1493" s="359">
        <v>0.26</v>
      </c>
      <c r="BB1493" s="359"/>
      <c r="BC1493" s="426"/>
      <c r="BD1493" s="359"/>
      <c r="BE1493" s="359"/>
      <c r="BF1493" s="469">
        <f t="shared" si="135"/>
        <v>2</v>
      </c>
      <c r="BG1493" s="469">
        <f t="shared" si="136"/>
        <v>2.4900000000000002</v>
      </c>
      <c r="BH1493" s="460"/>
      <c r="BI1493" s="461"/>
      <c r="BJ1493" s="505"/>
    </row>
    <row r="1494" spans="1:62" ht="15" customHeight="1" thickBot="1" x14ac:dyDescent="0.25">
      <c r="A1494" s="176">
        <v>1495</v>
      </c>
      <c r="B1494" s="291">
        <v>1</v>
      </c>
      <c r="C1494" s="167" t="s">
        <v>975</v>
      </c>
      <c r="D1494" s="167" t="s">
        <v>1984</v>
      </c>
      <c r="E1494" s="167"/>
      <c r="F1494" s="167" t="s">
        <v>3782</v>
      </c>
      <c r="G1494" s="167"/>
      <c r="H1494" s="167" t="s">
        <v>1064</v>
      </c>
      <c r="I1494" s="184">
        <v>2009</v>
      </c>
      <c r="J1494" s="181" t="s">
        <v>3775</v>
      </c>
      <c r="K1494" s="184"/>
      <c r="L1494" s="184" t="s">
        <v>83</v>
      </c>
      <c r="M1494" s="556" t="s">
        <v>4375</v>
      </c>
      <c r="N1494" s="214" t="s">
        <v>122</v>
      </c>
      <c r="O1494" s="214" t="s">
        <v>292</v>
      </c>
      <c r="P1494" s="214" t="s">
        <v>292</v>
      </c>
      <c r="Q1494" s="214" t="s">
        <v>122</v>
      </c>
      <c r="R1494" s="214" t="s">
        <v>122</v>
      </c>
      <c r="S1494" s="214" t="s">
        <v>122</v>
      </c>
      <c r="T1494" s="214" t="s">
        <v>292</v>
      </c>
      <c r="U1494" s="214" t="s">
        <v>292</v>
      </c>
      <c r="V1494" s="214" t="s">
        <v>292</v>
      </c>
      <c r="W1494" s="214" t="s">
        <v>292</v>
      </c>
      <c r="X1494" s="214" t="s">
        <v>292</v>
      </c>
      <c r="Y1494" s="214" t="s">
        <v>292</v>
      </c>
      <c r="Z1494" s="234"/>
      <c r="AA1494" s="234"/>
      <c r="AB1494" s="234"/>
      <c r="AC1494" s="234"/>
      <c r="AD1494" s="319" t="s">
        <v>3776</v>
      </c>
      <c r="AE1494" s="319"/>
      <c r="AF1494" s="162" t="str">
        <f t="shared" si="131"/>
        <v/>
      </c>
      <c r="AG1494" s="162" t="str">
        <f t="shared" si="137"/>
        <v/>
      </c>
      <c r="AH1494" s="164">
        <f t="shared" si="133"/>
        <v>2</v>
      </c>
      <c r="AI1494" s="164">
        <f t="shared" si="134"/>
        <v>2.1800000000000002</v>
      </c>
      <c r="AJ1494" s="375"/>
      <c r="AK1494" s="375"/>
      <c r="AL1494" s="375"/>
      <c r="AM1494" s="375"/>
      <c r="AN1494" s="375"/>
      <c r="AO1494" s="375"/>
      <c r="AP1494" s="375"/>
      <c r="AQ1494" s="375"/>
      <c r="AR1494" s="391"/>
      <c r="AS1494" s="276"/>
      <c r="AT1494" s="277">
        <v>40.700000000000003</v>
      </c>
      <c r="AU1494" s="391"/>
      <c r="AV1494" s="422"/>
      <c r="AW1494" s="436">
        <f>1.9+0.1</f>
        <v>2</v>
      </c>
      <c r="AX1494" s="359"/>
      <c r="AY1494" s="359">
        <v>0.18</v>
      </c>
      <c r="AZ1494" s="359">
        <v>7.0000000000000007E-2</v>
      </c>
      <c r="BA1494" s="359">
        <v>0.21</v>
      </c>
      <c r="BB1494" s="359"/>
      <c r="BC1494" s="426"/>
      <c r="BD1494" s="359"/>
      <c r="BE1494" s="359"/>
      <c r="BF1494" s="469">
        <f t="shared" si="135"/>
        <v>2</v>
      </c>
      <c r="BG1494" s="469">
        <f t="shared" si="136"/>
        <v>2.46</v>
      </c>
      <c r="BH1494" s="460"/>
      <c r="BI1494" s="461"/>
      <c r="BJ1494" s="505"/>
    </row>
    <row r="1495" spans="1:62" ht="15" customHeight="1" thickBot="1" x14ac:dyDescent="0.25">
      <c r="A1495" s="176">
        <v>1496</v>
      </c>
      <c r="B1495" s="291">
        <v>1</v>
      </c>
      <c r="C1495" s="167" t="s">
        <v>975</v>
      </c>
      <c r="D1495" s="159" t="s">
        <v>1989</v>
      </c>
      <c r="E1495" s="167"/>
      <c r="F1495" s="167" t="s">
        <v>3783</v>
      </c>
      <c r="G1495" s="167"/>
      <c r="H1495" s="167" t="s">
        <v>1064</v>
      </c>
      <c r="I1495" s="184">
        <v>2009</v>
      </c>
      <c r="J1495" s="181" t="s">
        <v>3775</v>
      </c>
      <c r="K1495" s="184"/>
      <c r="L1495" s="184" t="s">
        <v>83</v>
      </c>
      <c r="M1495" s="556" t="s">
        <v>4375</v>
      </c>
      <c r="N1495" s="214" t="s">
        <v>122</v>
      </c>
      <c r="O1495" s="214" t="s">
        <v>292</v>
      </c>
      <c r="P1495" s="214" t="s">
        <v>292</v>
      </c>
      <c r="Q1495" s="214" t="s">
        <v>122</v>
      </c>
      <c r="R1495" s="214" t="s">
        <v>122</v>
      </c>
      <c r="S1495" s="214" t="s">
        <v>122</v>
      </c>
      <c r="T1495" s="214" t="s">
        <v>292</v>
      </c>
      <c r="U1495" s="214" t="s">
        <v>292</v>
      </c>
      <c r="V1495" s="214" t="s">
        <v>292</v>
      </c>
      <c r="W1495" s="214" t="s">
        <v>292</v>
      </c>
      <c r="X1495" s="214" t="s">
        <v>292</v>
      </c>
      <c r="Y1495" s="214" t="s">
        <v>292</v>
      </c>
      <c r="Z1495" s="234"/>
      <c r="AA1495" s="234"/>
      <c r="AB1495" s="234"/>
      <c r="AC1495" s="234"/>
      <c r="AD1495" s="319" t="s">
        <v>3776</v>
      </c>
      <c r="AE1495" s="319"/>
      <c r="AF1495" s="162" t="str">
        <f t="shared" si="131"/>
        <v/>
      </c>
      <c r="AG1495" s="162" t="str">
        <f t="shared" si="137"/>
        <v/>
      </c>
      <c r="AH1495" s="164">
        <f t="shared" si="133"/>
        <v>1.24</v>
      </c>
      <c r="AI1495" s="164" t="str">
        <f t="shared" si="134"/>
        <v/>
      </c>
      <c r="AJ1495" s="375"/>
      <c r="AK1495" s="375"/>
      <c r="AL1495" s="375"/>
      <c r="AM1495" s="375"/>
      <c r="AN1495" s="375"/>
      <c r="AO1495" s="375"/>
      <c r="AP1495" s="375"/>
      <c r="AQ1495" s="375"/>
      <c r="AR1495" s="391"/>
      <c r="AS1495" s="276"/>
      <c r="AT1495" s="277">
        <v>45.1</v>
      </c>
      <c r="AU1495" s="391"/>
      <c r="AV1495" s="422"/>
      <c r="AW1495" s="436">
        <v>1.24</v>
      </c>
      <c r="AX1495" s="359"/>
      <c r="AY1495" s="359">
        <v>0</v>
      </c>
      <c r="AZ1495" s="359">
        <v>0.11</v>
      </c>
      <c r="BA1495" s="359">
        <v>1.19</v>
      </c>
      <c r="BB1495" s="359"/>
      <c r="BC1495" s="426"/>
      <c r="BD1495" s="359"/>
      <c r="BE1495" s="359"/>
      <c r="BF1495" s="469">
        <f t="shared" si="135"/>
        <v>1.24</v>
      </c>
      <c r="BG1495" s="469">
        <f t="shared" si="136"/>
        <v>2.54</v>
      </c>
      <c r="BH1495" s="460"/>
      <c r="BI1495" s="461"/>
      <c r="BJ1495" s="505"/>
    </row>
    <row r="1496" spans="1:62" ht="15" customHeight="1" thickBot="1" x14ac:dyDescent="0.25">
      <c r="A1496" s="176">
        <v>1497</v>
      </c>
      <c r="B1496" s="291">
        <v>1</v>
      </c>
      <c r="C1496" s="167" t="s">
        <v>975</v>
      </c>
      <c r="D1496" s="167" t="s">
        <v>1986</v>
      </c>
      <c r="E1496" s="167"/>
      <c r="F1496" s="167" t="s">
        <v>3784</v>
      </c>
      <c r="G1496" s="167"/>
      <c r="H1496" s="167" t="s">
        <v>1064</v>
      </c>
      <c r="I1496" s="184">
        <v>2009</v>
      </c>
      <c r="J1496" s="181" t="s">
        <v>3775</v>
      </c>
      <c r="K1496" s="184"/>
      <c r="L1496" s="184" t="s">
        <v>83</v>
      </c>
      <c r="M1496" s="556" t="s">
        <v>4375</v>
      </c>
      <c r="N1496" s="214" t="s">
        <v>122</v>
      </c>
      <c r="O1496" s="214" t="s">
        <v>292</v>
      </c>
      <c r="P1496" s="214" t="s">
        <v>292</v>
      </c>
      <c r="Q1496" s="214" t="s">
        <v>122</v>
      </c>
      <c r="R1496" s="214" t="s">
        <v>122</v>
      </c>
      <c r="S1496" s="214" t="s">
        <v>122</v>
      </c>
      <c r="T1496" s="214" t="s">
        <v>292</v>
      </c>
      <c r="U1496" s="214" t="s">
        <v>292</v>
      </c>
      <c r="V1496" s="214" t="s">
        <v>292</v>
      </c>
      <c r="W1496" s="214" t="s">
        <v>292</v>
      </c>
      <c r="X1496" s="214" t="s">
        <v>292</v>
      </c>
      <c r="Y1496" s="214" t="s">
        <v>292</v>
      </c>
      <c r="Z1496" s="234"/>
      <c r="AA1496" s="234"/>
      <c r="AB1496" s="234"/>
      <c r="AC1496" s="234"/>
      <c r="AD1496" s="319" t="s">
        <v>3776</v>
      </c>
      <c r="AE1496" s="319"/>
      <c r="AF1496" s="162" t="str">
        <f t="shared" si="131"/>
        <v/>
      </c>
      <c r="AG1496" s="162" t="str">
        <f t="shared" si="137"/>
        <v/>
      </c>
      <c r="AH1496" s="164">
        <f t="shared" si="133"/>
        <v>2.8600000000000003</v>
      </c>
      <c r="AI1496" s="164" t="str">
        <f t="shared" si="134"/>
        <v/>
      </c>
      <c r="AJ1496" s="375"/>
      <c r="AK1496" s="375"/>
      <c r="AL1496" s="375"/>
      <c r="AM1496" s="375"/>
      <c r="AN1496" s="375"/>
      <c r="AO1496" s="375"/>
      <c r="AP1496" s="375"/>
      <c r="AQ1496" s="375"/>
      <c r="AR1496" s="391"/>
      <c r="AS1496" s="276"/>
      <c r="AT1496" s="277">
        <v>42.6</v>
      </c>
      <c r="AU1496" s="391"/>
      <c r="AV1496" s="422"/>
      <c r="AW1496" s="436">
        <f>1.81+1.05</f>
        <v>2.8600000000000003</v>
      </c>
      <c r="AX1496" s="359"/>
      <c r="AY1496" s="359">
        <v>0</v>
      </c>
      <c r="AZ1496" s="359">
        <v>0.19</v>
      </c>
      <c r="BA1496" s="359">
        <v>0.56999999999999995</v>
      </c>
      <c r="BB1496" s="359"/>
      <c r="BC1496" s="426"/>
      <c r="BD1496" s="359"/>
      <c r="BE1496" s="359"/>
      <c r="BF1496" s="469">
        <f t="shared" si="135"/>
        <v>2.8600000000000003</v>
      </c>
      <c r="BG1496" s="469">
        <f t="shared" si="136"/>
        <v>3.62</v>
      </c>
      <c r="BH1496" s="460"/>
      <c r="BI1496" s="461"/>
      <c r="BJ1496" s="505"/>
    </row>
    <row r="1497" spans="1:62" ht="15" customHeight="1" thickBot="1" x14ac:dyDescent="0.25">
      <c r="A1497" s="176">
        <v>1498</v>
      </c>
      <c r="B1497" s="291">
        <v>1</v>
      </c>
      <c r="C1497" s="167" t="s">
        <v>975</v>
      </c>
      <c r="D1497" s="167" t="s">
        <v>1986</v>
      </c>
      <c r="E1497" s="167"/>
      <c r="F1497" s="167" t="s">
        <v>3785</v>
      </c>
      <c r="G1497" s="167"/>
      <c r="H1497" s="167" t="s">
        <v>1064</v>
      </c>
      <c r="I1497" s="184">
        <v>2009</v>
      </c>
      <c r="J1497" s="181" t="s">
        <v>3775</v>
      </c>
      <c r="K1497" s="184"/>
      <c r="L1497" s="184" t="s">
        <v>83</v>
      </c>
      <c r="M1497" s="556" t="s">
        <v>4375</v>
      </c>
      <c r="N1497" s="214" t="s">
        <v>122</v>
      </c>
      <c r="O1497" s="214" t="s">
        <v>292</v>
      </c>
      <c r="P1497" s="214" t="s">
        <v>292</v>
      </c>
      <c r="Q1497" s="214" t="s">
        <v>122</v>
      </c>
      <c r="R1497" s="214" t="s">
        <v>122</v>
      </c>
      <c r="S1497" s="214" t="s">
        <v>122</v>
      </c>
      <c r="T1497" s="214" t="s">
        <v>292</v>
      </c>
      <c r="U1497" s="214" t="s">
        <v>292</v>
      </c>
      <c r="V1497" s="214" t="s">
        <v>292</v>
      </c>
      <c r="W1497" s="214" t="s">
        <v>292</v>
      </c>
      <c r="X1497" s="214" t="s">
        <v>292</v>
      </c>
      <c r="Y1497" s="214" t="s">
        <v>292</v>
      </c>
      <c r="Z1497" s="234"/>
      <c r="AA1497" s="234"/>
      <c r="AB1497" s="234"/>
      <c r="AC1497" s="234"/>
      <c r="AD1497" s="319" t="s">
        <v>3776</v>
      </c>
      <c r="AE1497" s="319"/>
      <c r="AF1497" s="162" t="str">
        <f t="shared" si="131"/>
        <v/>
      </c>
      <c r="AG1497" s="162" t="str">
        <f t="shared" si="137"/>
        <v/>
      </c>
      <c r="AH1497" s="164">
        <f t="shared" si="133"/>
        <v>2.0099999999999998</v>
      </c>
      <c r="AI1497" s="164">
        <f t="shared" si="134"/>
        <v>2.13</v>
      </c>
      <c r="AJ1497" s="375"/>
      <c r="AK1497" s="375"/>
      <c r="AL1497" s="375"/>
      <c r="AM1497" s="375"/>
      <c r="AN1497" s="375"/>
      <c r="AO1497" s="375"/>
      <c r="AP1497" s="375"/>
      <c r="AQ1497" s="375"/>
      <c r="AR1497" s="391"/>
      <c r="AS1497" s="276"/>
      <c r="AT1497" s="277">
        <v>28.6</v>
      </c>
      <c r="AU1497" s="391"/>
      <c r="AV1497" s="422"/>
      <c r="AW1497" s="436">
        <f>1.27+0.74</f>
        <v>2.0099999999999998</v>
      </c>
      <c r="AX1497" s="359"/>
      <c r="AY1497" s="359">
        <v>0.12</v>
      </c>
      <c r="AZ1497" s="359">
        <v>0.09</v>
      </c>
      <c r="BA1497" s="359">
        <v>0.13</v>
      </c>
      <c r="BB1497" s="359"/>
      <c r="BC1497" s="426"/>
      <c r="BD1497" s="359"/>
      <c r="BE1497" s="359"/>
      <c r="BF1497" s="469">
        <f t="shared" si="135"/>
        <v>2.0099999999999998</v>
      </c>
      <c r="BG1497" s="469">
        <f t="shared" si="136"/>
        <v>2.3499999999999996</v>
      </c>
      <c r="BH1497" s="460"/>
      <c r="BI1497" s="461"/>
      <c r="BJ1497" s="505"/>
    </row>
    <row r="1498" spans="1:62" ht="15" customHeight="1" thickBot="1" x14ac:dyDescent="0.25">
      <c r="A1498" s="176">
        <v>1499</v>
      </c>
      <c r="B1498" s="291">
        <v>1</v>
      </c>
      <c r="C1498" s="167" t="s">
        <v>975</v>
      </c>
      <c r="D1498" s="167" t="s">
        <v>1986</v>
      </c>
      <c r="E1498" s="167"/>
      <c r="F1498" s="167" t="s">
        <v>3786</v>
      </c>
      <c r="G1498" s="167"/>
      <c r="H1498" s="167" t="s">
        <v>1064</v>
      </c>
      <c r="I1498" s="184">
        <v>2009</v>
      </c>
      <c r="J1498" s="181" t="s">
        <v>3775</v>
      </c>
      <c r="K1498" s="184"/>
      <c r="L1498" s="184" t="s">
        <v>83</v>
      </c>
      <c r="M1498" s="556" t="s">
        <v>4375</v>
      </c>
      <c r="N1498" s="214" t="s">
        <v>122</v>
      </c>
      <c r="O1498" s="214" t="s">
        <v>292</v>
      </c>
      <c r="P1498" s="214" t="s">
        <v>292</v>
      </c>
      <c r="Q1498" s="214" t="s">
        <v>122</v>
      </c>
      <c r="R1498" s="214" t="s">
        <v>122</v>
      </c>
      <c r="S1498" s="214" t="s">
        <v>122</v>
      </c>
      <c r="T1498" s="214" t="s">
        <v>292</v>
      </c>
      <c r="U1498" s="214" t="s">
        <v>292</v>
      </c>
      <c r="V1498" s="214" t="s">
        <v>292</v>
      </c>
      <c r="W1498" s="214" t="s">
        <v>292</v>
      </c>
      <c r="X1498" s="214" t="s">
        <v>292</v>
      </c>
      <c r="Y1498" s="214" t="s">
        <v>292</v>
      </c>
      <c r="Z1498" s="234"/>
      <c r="AA1498" s="234"/>
      <c r="AB1498" s="234"/>
      <c r="AC1498" s="234"/>
      <c r="AD1498" s="319" t="s">
        <v>3776</v>
      </c>
      <c r="AE1498" s="319"/>
      <c r="AF1498" s="162" t="str">
        <f t="shared" si="131"/>
        <v/>
      </c>
      <c r="AG1498" s="162" t="str">
        <f t="shared" si="137"/>
        <v/>
      </c>
      <c r="AH1498" s="164">
        <f t="shared" si="133"/>
        <v>2.0099999999999998</v>
      </c>
      <c r="AI1498" s="164">
        <f t="shared" si="134"/>
        <v>2.13</v>
      </c>
      <c r="AJ1498" s="375"/>
      <c r="AK1498" s="375"/>
      <c r="AL1498" s="375"/>
      <c r="AM1498" s="375"/>
      <c r="AN1498" s="375"/>
      <c r="AO1498" s="375"/>
      <c r="AP1498" s="375"/>
      <c r="AQ1498" s="375"/>
      <c r="AR1498" s="391"/>
      <c r="AS1498" s="276"/>
      <c r="AT1498" s="277">
        <v>31.3</v>
      </c>
      <c r="AU1498" s="391"/>
      <c r="AV1498" s="422"/>
      <c r="AW1498" s="436">
        <f>1.27+0.74</f>
        <v>2.0099999999999998</v>
      </c>
      <c r="AX1498" s="359"/>
      <c r="AY1498" s="359">
        <v>0.12</v>
      </c>
      <c r="AZ1498" s="359">
        <v>0.09</v>
      </c>
      <c r="BA1498" s="359">
        <v>0.28000000000000003</v>
      </c>
      <c r="BB1498" s="359"/>
      <c r="BC1498" s="426"/>
      <c r="BD1498" s="359"/>
      <c r="BE1498" s="359"/>
      <c r="BF1498" s="469">
        <f t="shared" si="135"/>
        <v>2.0099999999999998</v>
      </c>
      <c r="BG1498" s="469">
        <f t="shared" si="136"/>
        <v>2.5</v>
      </c>
      <c r="BH1498" s="460"/>
      <c r="BI1498" s="461"/>
      <c r="BJ1498" s="505"/>
    </row>
    <row r="1499" spans="1:62" ht="15" customHeight="1" thickBot="1" x14ac:dyDescent="0.25">
      <c r="A1499" s="176">
        <v>1500</v>
      </c>
      <c r="B1499" s="291">
        <v>1</v>
      </c>
      <c r="C1499" s="167" t="s">
        <v>975</v>
      </c>
      <c r="D1499" s="167" t="s">
        <v>1986</v>
      </c>
      <c r="E1499" s="167"/>
      <c r="F1499" s="167" t="s">
        <v>3787</v>
      </c>
      <c r="G1499" s="167"/>
      <c r="H1499" s="167" t="s">
        <v>1064</v>
      </c>
      <c r="I1499" s="184">
        <v>2009</v>
      </c>
      <c r="J1499" s="181" t="s">
        <v>3775</v>
      </c>
      <c r="K1499" s="184"/>
      <c r="L1499" s="184" t="s">
        <v>83</v>
      </c>
      <c r="M1499" s="556" t="s">
        <v>4375</v>
      </c>
      <c r="N1499" s="214" t="s">
        <v>122</v>
      </c>
      <c r="O1499" s="214" t="s">
        <v>292</v>
      </c>
      <c r="P1499" s="214" t="s">
        <v>292</v>
      </c>
      <c r="Q1499" s="214" t="s">
        <v>122</v>
      </c>
      <c r="R1499" s="214" t="s">
        <v>122</v>
      </c>
      <c r="S1499" s="214" t="s">
        <v>122</v>
      </c>
      <c r="T1499" s="214" t="s">
        <v>292</v>
      </c>
      <c r="U1499" s="214" t="s">
        <v>292</v>
      </c>
      <c r="V1499" s="214" t="s">
        <v>292</v>
      </c>
      <c r="W1499" s="214" t="s">
        <v>292</v>
      </c>
      <c r="X1499" s="214" t="s">
        <v>292</v>
      </c>
      <c r="Y1499" s="214" t="s">
        <v>292</v>
      </c>
      <c r="Z1499" s="234"/>
      <c r="AA1499" s="234"/>
      <c r="AB1499" s="234"/>
      <c r="AC1499" s="234"/>
      <c r="AD1499" s="319" t="s">
        <v>3776</v>
      </c>
      <c r="AE1499" s="319"/>
      <c r="AF1499" s="162" t="str">
        <f t="shared" si="131"/>
        <v/>
      </c>
      <c r="AG1499" s="162" t="str">
        <f t="shared" si="137"/>
        <v/>
      </c>
      <c r="AH1499" s="164">
        <f t="shared" si="133"/>
        <v>2.0099999999999998</v>
      </c>
      <c r="AI1499" s="164">
        <f t="shared" si="134"/>
        <v>2.1799999999999997</v>
      </c>
      <c r="AJ1499" s="375"/>
      <c r="AK1499" s="375"/>
      <c r="AL1499" s="375"/>
      <c r="AM1499" s="375"/>
      <c r="AN1499" s="375"/>
      <c r="AO1499" s="375"/>
      <c r="AP1499" s="375"/>
      <c r="AQ1499" s="375"/>
      <c r="AR1499" s="391"/>
      <c r="AS1499" s="276"/>
      <c r="AT1499" s="277">
        <v>31.5</v>
      </c>
      <c r="AU1499" s="391"/>
      <c r="AV1499" s="422"/>
      <c r="AW1499" s="436">
        <f>1.27+0.74</f>
        <v>2.0099999999999998</v>
      </c>
      <c r="AX1499" s="359"/>
      <c r="AY1499" s="359">
        <v>0.17</v>
      </c>
      <c r="AZ1499" s="359">
        <v>7.0000000000000007E-2</v>
      </c>
      <c r="BA1499" s="359">
        <v>0.26</v>
      </c>
      <c r="BB1499" s="359"/>
      <c r="BC1499" s="426"/>
      <c r="BD1499" s="359"/>
      <c r="BE1499" s="359"/>
      <c r="BF1499" s="469">
        <f t="shared" si="135"/>
        <v>2.0099999999999998</v>
      </c>
      <c r="BG1499" s="469">
        <f t="shared" si="136"/>
        <v>2.5099999999999998</v>
      </c>
      <c r="BH1499" s="460"/>
      <c r="BI1499" s="461"/>
      <c r="BJ1499" s="505"/>
    </row>
    <row r="1500" spans="1:62" ht="15" customHeight="1" thickBot="1" x14ac:dyDescent="0.25">
      <c r="A1500" s="176">
        <v>1501</v>
      </c>
      <c r="B1500" s="291">
        <v>1</v>
      </c>
      <c r="C1500" s="167" t="s">
        <v>975</v>
      </c>
      <c r="D1500" s="167" t="s">
        <v>1986</v>
      </c>
      <c r="E1500" s="167"/>
      <c r="F1500" s="167" t="s">
        <v>3788</v>
      </c>
      <c r="G1500" s="167"/>
      <c r="H1500" s="167" t="s">
        <v>1064</v>
      </c>
      <c r="I1500" s="184">
        <v>2009</v>
      </c>
      <c r="J1500" s="181" t="s">
        <v>3775</v>
      </c>
      <c r="K1500" s="184"/>
      <c r="L1500" s="184" t="s">
        <v>83</v>
      </c>
      <c r="M1500" s="556" t="s">
        <v>4375</v>
      </c>
      <c r="N1500" s="214" t="s">
        <v>122</v>
      </c>
      <c r="O1500" s="214" t="s">
        <v>292</v>
      </c>
      <c r="P1500" s="214" t="s">
        <v>292</v>
      </c>
      <c r="Q1500" s="214" t="s">
        <v>122</v>
      </c>
      <c r="R1500" s="214" t="s">
        <v>122</v>
      </c>
      <c r="S1500" s="214" t="s">
        <v>122</v>
      </c>
      <c r="T1500" s="214" t="s">
        <v>292</v>
      </c>
      <c r="U1500" s="214" t="s">
        <v>292</v>
      </c>
      <c r="V1500" s="214" t="s">
        <v>292</v>
      </c>
      <c r="W1500" s="214" t="s">
        <v>292</v>
      </c>
      <c r="X1500" s="214" t="s">
        <v>292</v>
      </c>
      <c r="Y1500" s="214" t="s">
        <v>292</v>
      </c>
      <c r="Z1500" s="234"/>
      <c r="AA1500" s="234"/>
      <c r="AB1500" s="234"/>
      <c r="AC1500" s="234"/>
      <c r="AD1500" s="319" t="s">
        <v>3776</v>
      </c>
      <c r="AE1500" s="319"/>
      <c r="AF1500" s="162" t="str">
        <f t="shared" si="131"/>
        <v/>
      </c>
      <c r="AG1500" s="162" t="str">
        <f t="shared" si="137"/>
        <v/>
      </c>
      <c r="AH1500" s="164">
        <f t="shared" si="133"/>
        <v>1.7400000000000002</v>
      </c>
      <c r="AI1500" s="164">
        <f t="shared" si="134"/>
        <v>2.31</v>
      </c>
      <c r="AJ1500" s="375"/>
      <c r="AK1500" s="375"/>
      <c r="AL1500" s="375"/>
      <c r="AM1500" s="375"/>
      <c r="AN1500" s="375"/>
      <c r="AO1500" s="375"/>
      <c r="AP1500" s="375"/>
      <c r="AQ1500" s="375"/>
      <c r="AR1500" s="391"/>
      <c r="AS1500" s="276"/>
      <c r="AT1500" s="277">
        <v>45.7</v>
      </c>
      <c r="AU1500" s="391"/>
      <c r="AV1500" s="422"/>
      <c r="AW1500" s="436">
        <f>1.1+0.64</f>
        <v>1.7400000000000002</v>
      </c>
      <c r="AX1500" s="359"/>
      <c r="AY1500" s="359">
        <v>0.56999999999999995</v>
      </c>
      <c r="AZ1500" s="359">
        <v>0.13</v>
      </c>
      <c r="BA1500" s="359">
        <v>1.34</v>
      </c>
      <c r="BB1500" s="359"/>
      <c r="BC1500" s="426"/>
      <c r="BD1500" s="359"/>
      <c r="BE1500" s="359"/>
      <c r="BF1500" s="469">
        <f t="shared" si="135"/>
        <v>1.7400000000000002</v>
      </c>
      <c r="BG1500" s="469">
        <f t="shared" si="136"/>
        <v>3.7800000000000002</v>
      </c>
      <c r="BH1500" s="460"/>
      <c r="BI1500" s="461"/>
      <c r="BJ1500" s="505"/>
    </row>
    <row r="1501" spans="1:62" ht="15" customHeight="1" thickBot="1" x14ac:dyDescent="0.25">
      <c r="A1501" s="176">
        <v>1502</v>
      </c>
      <c r="B1501" s="291">
        <v>1</v>
      </c>
      <c r="C1501" s="167" t="s">
        <v>975</v>
      </c>
      <c r="D1501" s="167" t="s">
        <v>1986</v>
      </c>
      <c r="E1501" s="167"/>
      <c r="F1501" s="167" t="s">
        <v>3789</v>
      </c>
      <c r="G1501" s="167"/>
      <c r="H1501" s="167" t="s">
        <v>1064</v>
      </c>
      <c r="I1501" s="184">
        <v>2009</v>
      </c>
      <c r="J1501" s="181" t="s">
        <v>3775</v>
      </c>
      <c r="K1501" s="184"/>
      <c r="L1501" s="184" t="s">
        <v>83</v>
      </c>
      <c r="M1501" s="556" t="s">
        <v>4375</v>
      </c>
      <c r="N1501" s="214" t="s">
        <v>122</v>
      </c>
      <c r="O1501" s="214" t="s">
        <v>292</v>
      </c>
      <c r="P1501" s="214" t="s">
        <v>292</v>
      </c>
      <c r="Q1501" s="214" t="s">
        <v>122</v>
      </c>
      <c r="R1501" s="214" t="s">
        <v>122</v>
      </c>
      <c r="S1501" s="214" t="s">
        <v>122</v>
      </c>
      <c r="T1501" s="214" t="s">
        <v>292</v>
      </c>
      <c r="U1501" s="214" t="s">
        <v>292</v>
      </c>
      <c r="V1501" s="214" t="s">
        <v>292</v>
      </c>
      <c r="W1501" s="214" t="s">
        <v>292</v>
      </c>
      <c r="X1501" s="214" t="s">
        <v>292</v>
      </c>
      <c r="Y1501" s="214" t="s">
        <v>292</v>
      </c>
      <c r="Z1501" s="234"/>
      <c r="AA1501" s="234"/>
      <c r="AB1501" s="234"/>
      <c r="AC1501" s="234"/>
      <c r="AD1501" s="319" t="s">
        <v>3776</v>
      </c>
      <c r="AE1501" s="319"/>
      <c r="AF1501" s="162" t="str">
        <f t="shared" si="131"/>
        <v/>
      </c>
      <c r="AG1501" s="162" t="str">
        <f t="shared" si="137"/>
        <v/>
      </c>
      <c r="AH1501" s="164">
        <f t="shared" si="133"/>
        <v>1.7000000000000002</v>
      </c>
      <c r="AI1501" s="164">
        <f t="shared" si="134"/>
        <v>1.9100000000000001</v>
      </c>
      <c r="AJ1501" s="375"/>
      <c r="AK1501" s="375"/>
      <c r="AL1501" s="375"/>
      <c r="AM1501" s="375"/>
      <c r="AN1501" s="375"/>
      <c r="AO1501" s="375"/>
      <c r="AP1501" s="375"/>
      <c r="AQ1501" s="375"/>
      <c r="AR1501" s="391"/>
      <c r="AS1501" s="276"/>
      <c r="AT1501" s="277">
        <v>26.6</v>
      </c>
      <c r="AU1501" s="391"/>
      <c r="AV1501" s="422"/>
      <c r="AW1501" s="436">
        <f>1.08+0.62</f>
        <v>1.7000000000000002</v>
      </c>
      <c r="AX1501" s="359"/>
      <c r="AY1501" s="359">
        <v>0.21</v>
      </c>
      <c r="AZ1501" s="359">
        <v>0.05</v>
      </c>
      <c r="BA1501" s="359">
        <v>0.24</v>
      </c>
      <c r="BB1501" s="359"/>
      <c r="BC1501" s="426"/>
      <c r="BD1501" s="359"/>
      <c r="BE1501" s="359"/>
      <c r="BF1501" s="469">
        <f t="shared" si="135"/>
        <v>1.7000000000000002</v>
      </c>
      <c r="BG1501" s="469">
        <f t="shared" si="136"/>
        <v>2.2000000000000002</v>
      </c>
      <c r="BH1501" s="460"/>
      <c r="BI1501" s="461"/>
      <c r="BJ1501" s="505"/>
    </row>
    <row r="1502" spans="1:62" ht="15" customHeight="1" thickBot="1" x14ac:dyDescent="0.25">
      <c r="A1502" s="176">
        <v>1503</v>
      </c>
      <c r="B1502" s="291">
        <v>1</v>
      </c>
      <c r="C1502" s="167" t="s">
        <v>975</v>
      </c>
      <c r="D1502" s="167" t="s">
        <v>1986</v>
      </c>
      <c r="E1502" s="167"/>
      <c r="F1502" s="167" t="s">
        <v>3790</v>
      </c>
      <c r="G1502" s="167"/>
      <c r="H1502" s="167" t="s">
        <v>1064</v>
      </c>
      <c r="I1502" s="184">
        <v>2009</v>
      </c>
      <c r="J1502" s="181" t="s">
        <v>3775</v>
      </c>
      <c r="K1502" s="184"/>
      <c r="L1502" s="184" t="s">
        <v>83</v>
      </c>
      <c r="M1502" s="556" t="s">
        <v>4375</v>
      </c>
      <c r="N1502" s="214" t="s">
        <v>122</v>
      </c>
      <c r="O1502" s="214" t="s">
        <v>292</v>
      </c>
      <c r="P1502" s="214" t="s">
        <v>292</v>
      </c>
      <c r="Q1502" s="214" t="s">
        <v>122</v>
      </c>
      <c r="R1502" s="214" t="s">
        <v>122</v>
      </c>
      <c r="S1502" s="214" t="s">
        <v>122</v>
      </c>
      <c r="T1502" s="214" t="s">
        <v>292</v>
      </c>
      <c r="U1502" s="214" t="s">
        <v>292</v>
      </c>
      <c r="V1502" s="214" t="s">
        <v>292</v>
      </c>
      <c r="W1502" s="214" t="s">
        <v>292</v>
      </c>
      <c r="X1502" s="214" t="s">
        <v>292</v>
      </c>
      <c r="Y1502" s="214" t="s">
        <v>292</v>
      </c>
      <c r="Z1502" s="234"/>
      <c r="AA1502" s="234"/>
      <c r="AB1502" s="234"/>
      <c r="AC1502" s="234"/>
      <c r="AD1502" s="319" t="s">
        <v>3776</v>
      </c>
      <c r="AE1502" s="319"/>
      <c r="AF1502" s="162" t="str">
        <f t="shared" si="131"/>
        <v/>
      </c>
      <c r="AG1502" s="162" t="str">
        <f t="shared" si="137"/>
        <v/>
      </c>
      <c r="AH1502" s="164">
        <f t="shared" si="133"/>
        <v>1.7000000000000002</v>
      </c>
      <c r="AI1502" s="164">
        <f t="shared" si="134"/>
        <v>2.06</v>
      </c>
      <c r="AJ1502" s="375"/>
      <c r="AK1502" s="375"/>
      <c r="AL1502" s="375"/>
      <c r="AM1502" s="375"/>
      <c r="AN1502" s="375"/>
      <c r="AO1502" s="375"/>
      <c r="AP1502" s="375"/>
      <c r="AQ1502" s="375"/>
      <c r="AR1502" s="391"/>
      <c r="AS1502" s="276"/>
      <c r="AT1502" s="277">
        <v>28</v>
      </c>
      <c r="AU1502" s="391"/>
      <c r="AV1502" s="422"/>
      <c r="AW1502" s="436">
        <f>1.08+0.62</f>
        <v>1.7000000000000002</v>
      </c>
      <c r="AX1502" s="359"/>
      <c r="AY1502" s="359">
        <v>0.36</v>
      </c>
      <c r="AZ1502" s="359">
        <v>0.03</v>
      </c>
      <c r="BA1502" s="359">
        <v>0.17</v>
      </c>
      <c r="BB1502" s="359"/>
      <c r="BC1502" s="426"/>
      <c r="BD1502" s="359"/>
      <c r="BE1502" s="359"/>
      <c r="BF1502" s="469">
        <f t="shared" si="135"/>
        <v>1.7000000000000002</v>
      </c>
      <c r="BG1502" s="469">
        <f t="shared" si="136"/>
        <v>2.2599999999999998</v>
      </c>
      <c r="BH1502" s="460"/>
      <c r="BI1502" s="461"/>
      <c r="BJ1502" s="505"/>
    </row>
    <row r="1503" spans="1:62" ht="15" customHeight="1" thickBot="1" x14ac:dyDescent="0.25">
      <c r="A1503" s="176">
        <v>1504</v>
      </c>
      <c r="B1503" s="291">
        <v>1</v>
      </c>
      <c r="C1503" s="167" t="s">
        <v>975</v>
      </c>
      <c r="D1503" s="167" t="s">
        <v>1986</v>
      </c>
      <c r="E1503" s="167"/>
      <c r="F1503" s="167" t="s">
        <v>3791</v>
      </c>
      <c r="G1503" s="167"/>
      <c r="H1503" s="167" t="s">
        <v>1064</v>
      </c>
      <c r="I1503" s="184">
        <v>2009</v>
      </c>
      <c r="J1503" s="181" t="s">
        <v>3775</v>
      </c>
      <c r="K1503" s="184"/>
      <c r="L1503" s="184" t="s">
        <v>83</v>
      </c>
      <c r="M1503" s="556" t="s">
        <v>4375</v>
      </c>
      <c r="N1503" s="214" t="s">
        <v>122</v>
      </c>
      <c r="O1503" s="214" t="s">
        <v>292</v>
      </c>
      <c r="P1503" s="214" t="s">
        <v>292</v>
      </c>
      <c r="Q1503" s="214" t="s">
        <v>122</v>
      </c>
      <c r="R1503" s="214" t="s">
        <v>122</v>
      </c>
      <c r="S1503" s="214" t="s">
        <v>122</v>
      </c>
      <c r="T1503" s="214" t="s">
        <v>292</v>
      </c>
      <c r="U1503" s="214" t="s">
        <v>292</v>
      </c>
      <c r="V1503" s="214" t="s">
        <v>292</v>
      </c>
      <c r="W1503" s="214" t="s">
        <v>292</v>
      </c>
      <c r="X1503" s="214" t="s">
        <v>292</v>
      </c>
      <c r="Y1503" s="214" t="s">
        <v>292</v>
      </c>
      <c r="Z1503" s="234"/>
      <c r="AA1503" s="234"/>
      <c r="AB1503" s="234"/>
      <c r="AC1503" s="234"/>
      <c r="AD1503" s="319" t="s">
        <v>3776</v>
      </c>
      <c r="AE1503" s="319"/>
      <c r="AF1503" s="162" t="str">
        <f t="shared" si="131"/>
        <v/>
      </c>
      <c r="AG1503" s="162" t="str">
        <f t="shared" si="137"/>
        <v/>
      </c>
      <c r="AH1503" s="164">
        <f t="shared" si="133"/>
        <v>2.13</v>
      </c>
      <c r="AI1503" s="164">
        <f t="shared" si="134"/>
        <v>2.2999999999999998</v>
      </c>
      <c r="AJ1503" s="375"/>
      <c r="AK1503" s="375"/>
      <c r="AL1503" s="375"/>
      <c r="AM1503" s="375"/>
      <c r="AN1503" s="375"/>
      <c r="AO1503" s="375"/>
      <c r="AP1503" s="375"/>
      <c r="AQ1503" s="375"/>
      <c r="AR1503" s="391"/>
      <c r="AS1503" s="276"/>
      <c r="AT1503" s="277">
        <v>32.700000000000003</v>
      </c>
      <c r="AU1503" s="391"/>
      <c r="AV1503" s="422"/>
      <c r="AW1503" s="436">
        <f>1.44+0.69</f>
        <v>2.13</v>
      </c>
      <c r="AX1503" s="359"/>
      <c r="AY1503" s="359">
        <v>0.17</v>
      </c>
      <c r="AZ1503" s="359">
        <v>7.0000000000000007E-2</v>
      </c>
      <c r="BA1503" s="359">
        <v>0.19</v>
      </c>
      <c r="BB1503" s="359"/>
      <c r="BC1503" s="426"/>
      <c r="BD1503" s="359"/>
      <c r="BE1503" s="359"/>
      <c r="BF1503" s="469">
        <f t="shared" si="135"/>
        <v>2.13</v>
      </c>
      <c r="BG1503" s="469">
        <f t="shared" si="136"/>
        <v>2.5599999999999996</v>
      </c>
      <c r="BH1503" s="460"/>
      <c r="BI1503" s="461"/>
      <c r="BJ1503" s="505"/>
    </row>
    <row r="1504" spans="1:62" ht="15" customHeight="1" thickBot="1" x14ac:dyDescent="0.25">
      <c r="A1504" s="176">
        <v>1505</v>
      </c>
      <c r="B1504" s="291">
        <v>1</v>
      </c>
      <c r="C1504" s="167" t="s">
        <v>975</v>
      </c>
      <c r="D1504" s="167" t="s">
        <v>1986</v>
      </c>
      <c r="E1504" s="167"/>
      <c r="F1504" s="167" t="s">
        <v>3792</v>
      </c>
      <c r="G1504" s="167"/>
      <c r="H1504" s="167" t="s">
        <v>1064</v>
      </c>
      <c r="I1504" s="184">
        <v>2009</v>
      </c>
      <c r="J1504" s="181" t="s">
        <v>3775</v>
      </c>
      <c r="K1504" s="184"/>
      <c r="L1504" s="184" t="s">
        <v>83</v>
      </c>
      <c r="M1504" s="556" t="s">
        <v>4375</v>
      </c>
      <c r="N1504" s="214" t="s">
        <v>122</v>
      </c>
      <c r="O1504" s="214" t="s">
        <v>292</v>
      </c>
      <c r="P1504" s="214" t="s">
        <v>292</v>
      </c>
      <c r="Q1504" s="214" t="s">
        <v>122</v>
      </c>
      <c r="R1504" s="214" t="s">
        <v>122</v>
      </c>
      <c r="S1504" s="214" t="s">
        <v>122</v>
      </c>
      <c r="T1504" s="214" t="s">
        <v>292</v>
      </c>
      <c r="U1504" s="214" t="s">
        <v>292</v>
      </c>
      <c r="V1504" s="214" t="s">
        <v>292</v>
      </c>
      <c r="W1504" s="214" t="s">
        <v>292</v>
      </c>
      <c r="X1504" s="214" t="s">
        <v>292</v>
      </c>
      <c r="Y1504" s="214" t="s">
        <v>292</v>
      </c>
      <c r="Z1504" s="234"/>
      <c r="AA1504" s="234"/>
      <c r="AB1504" s="234"/>
      <c r="AC1504" s="234"/>
      <c r="AD1504" s="319" t="s">
        <v>3776</v>
      </c>
      <c r="AE1504" s="319"/>
      <c r="AF1504" s="162" t="str">
        <f t="shared" si="131"/>
        <v/>
      </c>
      <c r="AG1504" s="162" t="str">
        <f t="shared" si="137"/>
        <v/>
      </c>
      <c r="AH1504" s="164">
        <f t="shared" si="133"/>
        <v>3.33</v>
      </c>
      <c r="AI1504" s="164">
        <f t="shared" si="134"/>
        <v>3.36</v>
      </c>
      <c r="AJ1504" s="375"/>
      <c r="AK1504" s="375"/>
      <c r="AL1504" s="375"/>
      <c r="AM1504" s="375"/>
      <c r="AN1504" s="375"/>
      <c r="AO1504" s="375"/>
      <c r="AP1504" s="375"/>
      <c r="AQ1504" s="375"/>
      <c r="AR1504" s="391"/>
      <c r="AS1504" s="276"/>
      <c r="AT1504" s="277">
        <v>40.9</v>
      </c>
      <c r="AU1504" s="391"/>
      <c r="AV1504" s="422"/>
      <c r="AW1504" s="436">
        <f>2.26+1.07</f>
        <v>3.33</v>
      </c>
      <c r="AX1504" s="359"/>
      <c r="AY1504" s="359">
        <v>0.03</v>
      </c>
      <c r="AZ1504" s="359">
        <v>0.16</v>
      </c>
      <c r="BA1504" s="359">
        <v>0.2</v>
      </c>
      <c r="BB1504" s="359"/>
      <c r="BC1504" s="426"/>
      <c r="BD1504" s="359"/>
      <c r="BE1504" s="359"/>
      <c r="BF1504" s="469">
        <f t="shared" si="135"/>
        <v>3.33</v>
      </c>
      <c r="BG1504" s="469">
        <f t="shared" si="136"/>
        <v>3.72</v>
      </c>
      <c r="BH1504" s="460"/>
      <c r="BI1504" s="461"/>
      <c r="BJ1504" s="505"/>
    </row>
    <row r="1505" spans="1:62" ht="15" customHeight="1" thickBot="1" x14ac:dyDescent="0.25">
      <c r="A1505" s="176">
        <v>1506</v>
      </c>
      <c r="B1505" s="291">
        <v>1</v>
      </c>
      <c r="C1505" s="167" t="s">
        <v>975</v>
      </c>
      <c r="D1505" s="167" t="s">
        <v>1986</v>
      </c>
      <c r="E1505" s="167"/>
      <c r="F1505" s="167" t="s">
        <v>3793</v>
      </c>
      <c r="G1505" s="167"/>
      <c r="H1505" s="167" t="s">
        <v>1064</v>
      </c>
      <c r="I1505" s="184">
        <v>2009</v>
      </c>
      <c r="J1505" s="181" t="s">
        <v>3775</v>
      </c>
      <c r="K1505" s="184"/>
      <c r="L1505" s="184" t="s">
        <v>83</v>
      </c>
      <c r="M1505" s="556" t="s">
        <v>4375</v>
      </c>
      <c r="N1505" s="214" t="s">
        <v>122</v>
      </c>
      <c r="O1505" s="214" t="s">
        <v>292</v>
      </c>
      <c r="P1505" s="214" t="s">
        <v>292</v>
      </c>
      <c r="Q1505" s="214" t="s">
        <v>122</v>
      </c>
      <c r="R1505" s="214" t="s">
        <v>122</v>
      </c>
      <c r="S1505" s="214" t="s">
        <v>122</v>
      </c>
      <c r="T1505" s="214" t="s">
        <v>292</v>
      </c>
      <c r="U1505" s="214" t="s">
        <v>292</v>
      </c>
      <c r="V1505" s="214" t="s">
        <v>292</v>
      </c>
      <c r="W1505" s="214" t="s">
        <v>292</v>
      </c>
      <c r="X1505" s="214" t="s">
        <v>292</v>
      </c>
      <c r="Y1505" s="214" t="s">
        <v>292</v>
      </c>
      <c r="Z1505" s="234"/>
      <c r="AA1505" s="234"/>
      <c r="AB1505" s="234"/>
      <c r="AC1505" s="234"/>
      <c r="AD1505" s="319" t="s">
        <v>3776</v>
      </c>
      <c r="AE1505" s="319"/>
      <c r="AF1505" s="162" t="str">
        <f t="shared" si="131"/>
        <v/>
      </c>
      <c r="AG1505" s="162" t="str">
        <f t="shared" si="137"/>
        <v/>
      </c>
      <c r="AH1505" s="164">
        <f t="shared" si="133"/>
        <v>3.33</v>
      </c>
      <c r="AI1505" s="164" t="str">
        <f t="shared" si="134"/>
        <v/>
      </c>
      <c r="AJ1505" s="375"/>
      <c r="AK1505" s="375"/>
      <c r="AL1505" s="375"/>
      <c r="AM1505" s="375"/>
      <c r="AN1505" s="375"/>
      <c r="AO1505" s="375"/>
      <c r="AP1505" s="375"/>
      <c r="AQ1505" s="375"/>
      <c r="AR1505" s="391"/>
      <c r="AS1505" s="276"/>
      <c r="AT1505" s="277">
        <v>44.7</v>
      </c>
      <c r="AU1505" s="391"/>
      <c r="AV1505" s="422"/>
      <c r="AW1505" s="436">
        <f>2.26+1.07</f>
        <v>3.33</v>
      </c>
      <c r="AX1505" s="359"/>
      <c r="AY1505" s="359">
        <v>0</v>
      </c>
      <c r="AZ1505" s="359">
        <v>0.21</v>
      </c>
      <c r="BA1505" s="359">
        <v>0.3</v>
      </c>
      <c r="BB1505" s="359"/>
      <c r="BC1505" s="426"/>
      <c r="BD1505" s="359"/>
      <c r="BE1505" s="359"/>
      <c r="BF1505" s="469">
        <f t="shared" si="135"/>
        <v>3.33</v>
      </c>
      <c r="BG1505" s="469">
        <f t="shared" si="136"/>
        <v>3.84</v>
      </c>
      <c r="BH1505" s="460"/>
      <c r="BI1505" s="461"/>
      <c r="BJ1505" s="505"/>
    </row>
    <row r="1506" spans="1:62" ht="15" customHeight="1" thickBot="1" x14ac:dyDescent="0.25">
      <c r="A1506" s="176">
        <v>1507</v>
      </c>
      <c r="B1506" s="291">
        <v>1</v>
      </c>
      <c r="C1506" s="167" t="s">
        <v>975</v>
      </c>
      <c r="D1506" s="167" t="s">
        <v>1986</v>
      </c>
      <c r="E1506" s="167"/>
      <c r="F1506" s="167" t="s">
        <v>3794</v>
      </c>
      <c r="G1506" s="167"/>
      <c r="H1506" s="167" t="s">
        <v>1064</v>
      </c>
      <c r="I1506" s="184">
        <v>2009</v>
      </c>
      <c r="J1506" s="181" t="s">
        <v>3775</v>
      </c>
      <c r="K1506" s="184"/>
      <c r="L1506" s="184" t="s">
        <v>83</v>
      </c>
      <c r="M1506" s="556" t="s">
        <v>4375</v>
      </c>
      <c r="N1506" s="214" t="s">
        <v>122</v>
      </c>
      <c r="O1506" s="214" t="s">
        <v>292</v>
      </c>
      <c r="P1506" s="214" t="s">
        <v>292</v>
      </c>
      <c r="Q1506" s="214" t="s">
        <v>122</v>
      </c>
      <c r="R1506" s="214" t="s">
        <v>122</v>
      </c>
      <c r="S1506" s="214" t="s">
        <v>122</v>
      </c>
      <c r="T1506" s="214" t="s">
        <v>292</v>
      </c>
      <c r="U1506" s="214" t="s">
        <v>292</v>
      </c>
      <c r="V1506" s="214" t="s">
        <v>292</v>
      </c>
      <c r="W1506" s="214" t="s">
        <v>292</v>
      </c>
      <c r="X1506" s="214" t="s">
        <v>292</v>
      </c>
      <c r="Y1506" s="214" t="s">
        <v>292</v>
      </c>
      <c r="Z1506" s="234"/>
      <c r="AA1506" s="234"/>
      <c r="AB1506" s="234"/>
      <c r="AC1506" s="234"/>
      <c r="AD1506" s="319" t="s">
        <v>3776</v>
      </c>
      <c r="AE1506" s="319"/>
      <c r="AF1506" s="162" t="str">
        <f t="shared" si="131"/>
        <v/>
      </c>
      <c r="AG1506" s="162" t="str">
        <f t="shared" si="137"/>
        <v/>
      </c>
      <c r="AH1506" s="164">
        <f t="shared" si="133"/>
        <v>0.52</v>
      </c>
      <c r="AI1506" s="164">
        <f t="shared" si="134"/>
        <v>0.61</v>
      </c>
      <c r="AJ1506" s="375"/>
      <c r="AK1506" s="375"/>
      <c r="AL1506" s="375"/>
      <c r="AM1506" s="375"/>
      <c r="AN1506" s="375"/>
      <c r="AO1506" s="375"/>
      <c r="AP1506" s="375"/>
      <c r="AQ1506" s="375"/>
      <c r="AR1506" s="391"/>
      <c r="AS1506" s="276"/>
      <c r="AT1506" s="277">
        <v>16.100000000000001</v>
      </c>
      <c r="AU1506" s="391"/>
      <c r="AV1506" s="422"/>
      <c r="AW1506" s="436">
        <f>0.45+0.07</f>
        <v>0.52</v>
      </c>
      <c r="AX1506" s="359"/>
      <c r="AY1506" s="359">
        <v>0.09</v>
      </c>
      <c r="AZ1506" s="359">
        <v>0.12</v>
      </c>
      <c r="BA1506" s="359">
        <v>0.24</v>
      </c>
      <c r="BB1506" s="359"/>
      <c r="BC1506" s="426"/>
      <c r="BD1506" s="359"/>
      <c r="BE1506" s="359"/>
      <c r="BF1506" s="469">
        <f t="shared" si="135"/>
        <v>0.52</v>
      </c>
      <c r="BG1506" s="469">
        <f t="shared" si="136"/>
        <v>0.97</v>
      </c>
      <c r="BH1506" s="460"/>
      <c r="BI1506" s="461"/>
      <c r="BJ1506" s="505"/>
    </row>
    <row r="1507" spans="1:62" ht="15" customHeight="1" thickBot="1" x14ac:dyDescent="0.25">
      <c r="A1507" s="176">
        <v>1508</v>
      </c>
      <c r="B1507" s="291">
        <v>1</v>
      </c>
      <c r="C1507" s="167" t="s">
        <v>975</v>
      </c>
      <c r="D1507" s="167" t="s">
        <v>1986</v>
      </c>
      <c r="E1507" s="167"/>
      <c r="F1507" s="167" t="s">
        <v>3795</v>
      </c>
      <c r="G1507" s="167"/>
      <c r="H1507" s="167" t="s">
        <v>1064</v>
      </c>
      <c r="I1507" s="184">
        <v>2009</v>
      </c>
      <c r="J1507" s="181" t="s">
        <v>3775</v>
      </c>
      <c r="K1507" s="184"/>
      <c r="L1507" s="184" t="s">
        <v>83</v>
      </c>
      <c r="M1507" s="556" t="s">
        <v>4375</v>
      </c>
      <c r="N1507" s="214" t="s">
        <v>122</v>
      </c>
      <c r="O1507" s="214" t="s">
        <v>292</v>
      </c>
      <c r="P1507" s="214" t="s">
        <v>292</v>
      </c>
      <c r="Q1507" s="214" t="s">
        <v>122</v>
      </c>
      <c r="R1507" s="214" t="s">
        <v>122</v>
      </c>
      <c r="S1507" s="214" t="s">
        <v>122</v>
      </c>
      <c r="T1507" s="214" t="s">
        <v>292</v>
      </c>
      <c r="U1507" s="214" t="s">
        <v>292</v>
      </c>
      <c r="V1507" s="214" t="s">
        <v>292</v>
      </c>
      <c r="W1507" s="214" t="s">
        <v>292</v>
      </c>
      <c r="X1507" s="214" t="s">
        <v>292</v>
      </c>
      <c r="Y1507" s="214" t="s">
        <v>292</v>
      </c>
      <c r="Z1507" s="234"/>
      <c r="AA1507" s="234"/>
      <c r="AB1507" s="234"/>
      <c r="AC1507" s="234"/>
      <c r="AD1507" s="319" t="s">
        <v>3776</v>
      </c>
      <c r="AE1507" s="319"/>
      <c r="AF1507" s="162" t="str">
        <f t="shared" si="131"/>
        <v/>
      </c>
      <c r="AG1507" s="162" t="str">
        <f t="shared" si="137"/>
        <v/>
      </c>
      <c r="AH1507" s="164">
        <f t="shared" si="133"/>
        <v>0.32</v>
      </c>
      <c r="AI1507" s="164">
        <f t="shared" si="134"/>
        <v>0.48</v>
      </c>
      <c r="AJ1507" s="375"/>
      <c r="AK1507" s="375"/>
      <c r="AL1507" s="375"/>
      <c r="AM1507" s="375"/>
      <c r="AN1507" s="375"/>
      <c r="AO1507" s="375"/>
      <c r="AP1507" s="375"/>
      <c r="AQ1507" s="375"/>
      <c r="AR1507" s="391"/>
      <c r="AS1507" s="276"/>
      <c r="AT1507" s="277">
        <v>23.8</v>
      </c>
      <c r="AU1507" s="391"/>
      <c r="AV1507" s="422"/>
      <c r="AW1507" s="436">
        <f>0.28+0.04</f>
        <v>0.32</v>
      </c>
      <c r="AX1507" s="359"/>
      <c r="AY1507" s="359">
        <v>0.16</v>
      </c>
      <c r="AZ1507" s="359">
        <v>7.0000000000000007E-2</v>
      </c>
      <c r="BA1507" s="359">
        <v>0.83</v>
      </c>
      <c r="BB1507" s="359"/>
      <c r="BC1507" s="426"/>
      <c r="BD1507" s="359"/>
      <c r="BE1507" s="359"/>
      <c r="BF1507" s="469">
        <f t="shared" si="135"/>
        <v>0.32</v>
      </c>
      <c r="BG1507" s="469">
        <f t="shared" si="136"/>
        <v>1.38</v>
      </c>
      <c r="BH1507" s="460"/>
      <c r="BI1507" s="461"/>
      <c r="BJ1507" s="505"/>
    </row>
    <row r="1508" spans="1:62" ht="15" customHeight="1" thickBot="1" x14ac:dyDescent="0.25">
      <c r="A1508" s="176">
        <v>1509</v>
      </c>
      <c r="B1508" s="291">
        <v>1</v>
      </c>
      <c r="C1508" s="167" t="s">
        <v>975</v>
      </c>
      <c r="D1508" s="167" t="s">
        <v>1986</v>
      </c>
      <c r="E1508" s="167"/>
      <c r="F1508" s="167" t="s">
        <v>3796</v>
      </c>
      <c r="G1508" s="167"/>
      <c r="H1508" s="167" t="s">
        <v>1064</v>
      </c>
      <c r="I1508" s="184">
        <v>2009</v>
      </c>
      <c r="J1508" s="181" t="s">
        <v>3775</v>
      </c>
      <c r="K1508" s="184"/>
      <c r="L1508" s="184" t="s">
        <v>83</v>
      </c>
      <c r="M1508" s="556" t="s">
        <v>4375</v>
      </c>
      <c r="N1508" s="214" t="s">
        <v>122</v>
      </c>
      <c r="O1508" s="214" t="s">
        <v>292</v>
      </c>
      <c r="P1508" s="214" t="s">
        <v>292</v>
      </c>
      <c r="Q1508" s="214" t="s">
        <v>122</v>
      </c>
      <c r="R1508" s="214" t="s">
        <v>122</v>
      </c>
      <c r="S1508" s="214" t="s">
        <v>122</v>
      </c>
      <c r="T1508" s="214" t="s">
        <v>292</v>
      </c>
      <c r="U1508" s="214" t="s">
        <v>292</v>
      </c>
      <c r="V1508" s="214" t="s">
        <v>292</v>
      </c>
      <c r="W1508" s="214" t="s">
        <v>292</v>
      </c>
      <c r="X1508" s="214" t="s">
        <v>292</v>
      </c>
      <c r="Y1508" s="214" t="s">
        <v>292</v>
      </c>
      <c r="Z1508" s="234"/>
      <c r="AA1508" s="234"/>
      <c r="AB1508" s="234"/>
      <c r="AC1508" s="234"/>
      <c r="AD1508" s="319" t="s">
        <v>3776</v>
      </c>
      <c r="AE1508" s="319"/>
      <c r="AF1508" s="162" t="str">
        <f t="shared" si="131"/>
        <v/>
      </c>
      <c r="AG1508" s="162" t="str">
        <f t="shared" si="137"/>
        <v/>
      </c>
      <c r="AH1508" s="164">
        <f t="shared" si="133"/>
        <v>0.54</v>
      </c>
      <c r="AI1508" s="164">
        <f t="shared" si="134"/>
        <v>0.63</v>
      </c>
      <c r="AJ1508" s="375"/>
      <c r="AK1508" s="375"/>
      <c r="AL1508" s="375"/>
      <c r="AM1508" s="375"/>
      <c r="AN1508" s="375"/>
      <c r="AO1508" s="375"/>
      <c r="AP1508" s="375"/>
      <c r="AQ1508" s="375"/>
      <c r="AR1508" s="391"/>
      <c r="AS1508" s="276"/>
      <c r="AT1508" s="277">
        <v>29</v>
      </c>
      <c r="AU1508" s="391"/>
      <c r="AV1508" s="422"/>
      <c r="AW1508" s="436">
        <f>0.47+0.07</f>
        <v>0.54</v>
      </c>
      <c r="AX1508" s="359"/>
      <c r="AY1508" s="359">
        <v>0.09</v>
      </c>
      <c r="AZ1508" s="359">
        <v>0.12</v>
      </c>
      <c r="BA1508" s="359">
        <v>1.18</v>
      </c>
      <c r="BB1508" s="359"/>
      <c r="BC1508" s="426"/>
      <c r="BD1508" s="359"/>
      <c r="BE1508" s="359"/>
      <c r="BF1508" s="469">
        <f t="shared" si="135"/>
        <v>0.54</v>
      </c>
      <c r="BG1508" s="469">
        <f t="shared" si="136"/>
        <v>1.93</v>
      </c>
      <c r="BH1508" s="460"/>
      <c r="BI1508" s="461"/>
      <c r="BJ1508" s="505"/>
    </row>
    <row r="1509" spans="1:62" ht="15" customHeight="1" thickBot="1" x14ac:dyDescent="0.25">
      <c r="A1509" s="176">
        <v>1510</v>
      </c>
      <c r="B1509" s="291">
        <v>1</v>
      </c>
      <c r="C1509" s="167" t="s">
        <v>975</v>
      </c>
      <c r="D1509" s="167" t="s">
        <v>1986</v>
      </c>
      <c r="E1509" s="167"/>
      <c r="F1509" s="167" t="s">
        <v>3797</v>
      </c>
      <c r="G1509" s="167"/>
      <c r="H1509" s="167" t="s">
        <v>1064</v>
      </c>
      <c r="I1509" s="184">
        <v>2009</v>
      </c>
      <c r="J1509" s="181" t="s">
        <v>3775</v>
      </c>
      <c r="K1509" s="184"/>
      <c r="L1509" s="184" t="s">
        <v>83</v>
      </c>
      <c r="M1509" s="556" t="s">
        <v>4376</v>
      </c>
      <c r="N1509" s="214" t="s">
        <v>122</v>
      </c>
      <c r="O1509" s="214" t="s">
        <v>292</v>
      </c>
      <c r="P1509" s="214" t="s">
        <v>292</v>
      </c>
      <c r="Q1509" s="214" t="s">
        <v>122</v>
      </c>
      <c r="R1509" s="214" t="s">
        <v>122</v>
      </c>
      <c r="S1509" s="214" t="s">
        <v>122</v>
      </c>
      <c r="T1509" s="214" t="s">
        <v>292</v>
      </c>
      <c r="U1509" s="214" t="s">
        <v>292</v>
      </c>
      <c r="V1509" s="214" t="s">
        <v>292</v>
      </c>
      <c r="W1509" s="214" t="s">
        <v>292</v>
      </c>
      <c r="X1509" s="214" t="s">
        <v>292</v>
      </c>
      <c r="Y1509" s="214" t="s">
        <v>292</v>
      </c>
      <c r="Z1509" s="234"/>
      <c r="AA1509" s="234"/>
      <c r="AB1509" s="234"/>
      <c r="AC1509" s="234"/>
      <c r="AD1509" s="319" t="s">
        <v>3776</v>
      </c>
      <c r="AE1509" s="319"/>
      <c r="AF1509" s="162" t="str">
        <f t="shared" si="131"/>
        <v/>
      </c>
      <c r="AG1509" s="162" t="str">
        <f t="shared" si="137"/>
        <v/>
      </c>
      <c r="AH1509" s="164">
        <f t="shared" si="133"/>
        <v>0.54</v>
      </c>
      <c r="AI1509" s="164">
        <f t="shared" si="134"/>
        <v>0.63</v>
      </c>
      <c r="AJ1509" s="375"/>
      <c r="AK1509" s="375"/>
      <c r="AL1509" s="375"/>
      <c r="AM1509" s="375"/>
      <c r="AN1509" s="375"/>
      <c r="AO1509" s="375"/>
      <c r="AP1509" s="375"/>
      <c r="AQ1509" s="375"/>
      <c r="AR1509" s="391"/>
      <c r="AS1509" s="276"/>
      <c r="AT1509" s="277">
        <v>16.3</v>
      </c>
      <c r="AU1509" s="391"/>
      <c r="AV1509" s="422"/>
      <c r="AW1509" s="436">
        <f>0.47+0.07</f>
        <v>0.54</v>
      </c>
      <c r="AX1509" s="359"/>
      <c r="AY1509" s="359">
        <v>0.09</v>
      </c>
      <c r="AZ1509" s="359">
        <v>0.12</v>
      </c>
      <c r="BA1509" s="359">
        <v>0.24</v>
      </c>
      <c r="BB1509" s="359"/>
      <c r="BC1509" s="426"/>
      <c r="BD1509" s="359"/>
      <c r="BE1509" s="359"/>
      <c r="BF1509" s="469">
        <f t="shared" si="135"/>
        <v>0.54</v>
      </c>
      <c r="BG1509" s="469">
        <f t="shared" si="136"/>
        <v>0.99</v>
      </c>
      <c r="BH1509" s="460"/>
      <c r="BI1509" s="461"/>
      <c r="BJ1509" s="505"/>
    </row>
    <row r="1510" spans="1:62" ht="15" customHeight="1" thickBot="1" x14ac:dyDescent="0.25">
      <c r="A1510" s="176">
        <v>1511</v>
      </c>
      <c r="B1510" s="291">
        <v>1</v>
      </c>
      <c r="C1510" s="167" t="s">
        <v>2933</v>
      </c>
      <c r="D1510" s="167" t="s">
        <v>3451</v>
      </c>
      <c r="E1510" s="167"/>
      <c r="F1510" s="167" t="s">
        <v>3798</v>
      </c>
      <c r="G1510" s="167"/>
      <c r="H1510" s="167" t="s">
        <v>55</v>
      </c>
      <c r="I1510" s="184">
        <v>2010</v>
      </c>
      <c r="J1510" s="181" t="s">
        <v>3799</v>
      </c>
      <c r="K1510" s="184"/>
      <c r="L1510" s="184" t="s">
        <v>19</v>
      </c>
      <c r="M1510" s="556" t="s">
        <v>4377</v>
      </c>
      <c r="N1510" s="214" t="s">
        <v>122</v>
      </c>
      <c r="O1510" s="214" t="s">
        <v>292</v>
      </c>
      <c r="P1510" s="214" t="s">
        <v>292</v>
      </c>
      <c r="Q1510" s="214" t="s">
        <v>292</v>
      </c>
      <c r="R1510" s="214" t="s">
        <v>292</v>
      </c>
      <c r="S1510" s="214" t="s">
        <v>292</v>
      </c>
      <c r="T1510" s="214" t="s">
        <v>292</v>
      </c>
      <c r="U1510" s="214" t="s">
        <v>292</v>
      </c>
      <c r="V1510" s="214" t="s">
        <v>292</v>
      </c>
      <c r="W1510" s="214" t="s">
        <v>292</v>
      </c>
      <c r="X1510" s="214" t="s">
        <v>292</v>
      </c>
      <c r="Y1510" s="214" t="s">
        <v>292</v>
      </c>
      <c r="Z1510" s="234"/>
      <c r="AA1510" s="234"/>
      <c r="AB1510" s="234"/>
      <c r="AC1510" s="234"/>
      <c r="AD1510" s="319" t="s">
        <v>944</v>
      </c>
      <c r="AE1510" s="319" t="s">
        <v>3800</v>
      </c>
      <c r="AF1510" s="162" t="str">
        <f t="shared" si="131"/>
        <v/>
      </c>
      <c r="AG1510" s="162" t="str">
        <f t="shared" si="137"/>
        <v/>
      </c>
      <c r="AH1510" s="164">
        <f t="shared" si="133"/>
        <v>16.633559102984464</v>
      </c>
      <c r="AI1510" s="164" t="str">
        <f t="shared" si="134"/>
        <v/>
      </c>
      <c r="AJ1510" s="375"/>
      <c r="AK1510" s="375"/>
      <c r="AL1510" s="375"/>
      <c r="AM1510" s="375"/>
      <c r="AN1510" s="375"/>
      <c r="AO1510" s="375"/>
      <c r="AP1510" s="375"/>
      <c r="AQ1510" s="375"/>
      <c r="AR1510" s="391"/>
      <c r="AS1510" s="276"/>
      <c r="AT1510" s="277"/>
      <c r="AU1510" s="391"/>
      <c r="AV1510" s="422"/>
      <c r="AW1510" s="436">
        <f>5.56/0.658/0.508</f>
        <v>16.633559102984464</v>
      </c>
      <c r="AX1510" s="359"/>
      <c r="AY1510" s="359"/>
      <c r="AZ1510" s="359"/>
      <c r="BA1510" s="359"/>
      <c r="BB1510" s="359"/>
      <c r="BC1510" s="426"/>
      <c r="BD1510" s="359"/>
      <c r="BE1510" s="359"/>
      <c r="BF1510" s="469">
        <f t="shared" si="135"/>
        <v>16.633559102984464</v>
      </c>
      <c r="BG1510" s="469"/>
      <c r="BH1510" s="460"/>
      <c r="BI1510" s="461"/>
      <c r="BJ1510" s="505"/>
    </row>
    <row r="1511" spans="1:62" ht="15" customHeight="1" thickBot="1" x14ac:dyDescent="0.25">
      <c r="A1511" s="176">
        <v>1512</v>
      </c>
      <c r="B1511" s="291">
        <v>1</v>
      </c>
      <c r="C1511" s="167" t="s">
        <v>2933</v>
      </c>
      <c r="D1511" s="167" t="s">
        <v>3451</v>
      </c>
      <c r="E1511" s="167"/>
      <c r="F1511" s="167" t="s">
        <v>3801</v>
      </c>
      <c r="G1511" s="167"/>
      <c r="H1511" s="167" t="s">
        <v>55</v>
      </c>
      <c r="I1511" s="184">
        <v>2010</v>
      </c>
      <c r="J1511" s="181" t="s">
        <v>3799</v>
      </c>
      <c r="K1511" s="184"/>
      <c r="L1511" s="184" t="s">
        <v>19</v>
      </c>
      <c r="M1511" s="556" t="s">
        <v>4377</v>
      </c>
      <c r="N1511" s="214" t="s">
        <v>122</v>
      </c>
      <c r="O1511" s="214" t="s">
        <v>292</v>
      </c>
      <c r="P1511" s="214" t="s">
        <v>292</v>
      </c>
      <c r="Q1511" s="214" t="s">
        <v>292</v>
      </c>
      <c r="R1511" s="214" t="s">
        <v>292</v>
      </c>
      <c r="S1511" s="214" t="s">
        <v>292</v>
      </c>
      <c r="T1511" s="214" t="s">
        <v>292</v>
      </c>
      <c r="U1511" s="214" t="s">
        <v>292</v>
      </c>
      <c r="V1511" s="214" t="s">
        <v>292</v>
      </c>
      <c r="W1511" s="214" t="s">
        <v>292</v>
      </c>
      <c r="X1511" s="214" t="s">
        <v>292</v>
      </c>
      <c r="Y1511" s="214" t="s">
        <v>292</v>
      </c>
      <c r="Z1511" s="234"/>
      <c r="AA1511" s="234"/>
      <c r="AB1511" s="234"/>
      <c r="AC1511" s="234"/>
      <c r="AD1511" s="319" t="s">
        <v>944</v>
      </c>
      <c r="AE1511" s="319" t="s">
        <v>3800</v>
      </c>
      <c r="AF1511" s="162" t="str">
        <f t="shared" si="131"/>
        <v/>
      </c>
      <c r="AG1511" s="162" t="str">
        <f t="shared" si="137"/>
        <v/>
      </c>
      <c r="AH1511" s="164">
        <f t="shared" si="133"/>
        <v>15.227484862264557</v>
      </c>
      <c r="AI1511" s="164" t="str">
        <f t="shared" si="134"/>
        <v/>
      </c>
      <c r="AJ1511" s="375"/>
      <c r="AK1511" s="375"/>
      <c r="AL1511" s="375"/>
      <c r="AM1511" s="375"/>
      <c r="AN1511" s="375"/>
      <c r="AO1511" s="375"/>
      <c r="AP1511" s="375"/>
      <c r="AQ1511" s="375"/>
      <c r="AR1511" s="391"/>
      <c r="AS1511" s="276"/>
      <c r="AT1511" s="277"/>
      <c r="AU1511" s="391"/>
      <c r="AV1511" s="422"/>
      <c r="AW1511" s="436">
        <f>5.09/0.658/0.508</f>
        <v>15.227484862264557</v>
      </c>
      <c r="AX1511" s="359"/>
      <c r="AY1511" s="359"/>
      <c r="AZ1511" s="359"/>
      <c r="BA1511" s="359"/>
      <c r="BB1511" s="359"/>
      <c r="BC1511" s="426"/>
      <c r="BD1511" s="359"/>
      <c r="BE1511" s="359"/>
      <c r="BF1511" s="469">
        <f t="shared" si="135"/>
        <v>15.227484862264557</v>
      </c>
      <c r="BG1511" s="469"/>
      <c r="BH1511" s="460"/>
      <c r="BI1511" s="461"/>
      <c r="BJ1511" s="505"/>
    </row>
    <row r="1512" spans="1:62" ht="15" customHeight="1" thickBot="1" x14ac:dyDescent="0.25">
      <c r="A1512" s="176">
        <v>1513</v>
      </c>
      <c r="B1512" s="291">
        <v>1</v>
      </c>
      <c r="C1512" s="167" t="s">
        <v>259</v>
      </c>
      <c r="D1512" s="167" t="s">
        <v>3832</v>
      </c>
      <c r="E1512" s="167"/>
      <c r="F1512" s="167"/>
      <c r="G1512" s="167"/>
      <c r="H1512" s="167" t="s">
        <v>55</v>
      </c>
      <c r="I1512" s="184">
        <v>2010</v>
      </c>
      <c r="J1512" s="181" t="s">
        <v>3799</v>
      </c>
      <c r="K1512" s="184"/>
      <c r="L1512" s="184" t="s">
        <v>19</v>
      </c>
      <c r="M1512" s="556" t="s">
        <v>4377</v>
      </c>
      <c r="N1512" s="214" t="s">
        <v>122</v>
      </c>
      <c r="O1512" s="214" t="s">
        <v>292</v>
      </c>
      <c r="P1512" s="214" t="s">
        <v>292</v>
      </c>
      <c r="Q1512" s="214" t="s">
        <v>292</v>
      </c>
      <c r="R1512" s="214" t="s">
        <v>292</v>
      </c>
      <c r="S1512" s="214" t="s">
        <v>292</v>
      </c>
      <c r="T1512" s="214" t="s">
        <v>292</v>
      </c>
      <c r="U1512" s="214" t="s">
        <v>292</v>
      </c>
      <c r="V1512" s="214" t="s">
        <v>292</v>
      </c>
      <c r="W1512" s="214" t="s">
        <v>292</v>
      </c>
      <c r="X1512" s="214" t="s">
        <v>292</v>
      </c>
      <c r="Y1512" s="214" t="s">
        <v>292</v>
      </c>
      <c r="Z1512" s="234"/>
      <c r="AA1512" s="234"/>
      <c r="AB1512" s="234"/>
      <c r="AC1512" s="234"/>
      <c r="AD1512" s="319" t="s">
        <v>1410</v>
      </c>
      <c r="AE1512" s="319"/>
      <c r="AF1512" s="162" t="str">
        <f t="shared" si="131"/>
        <v/>
      </c>
      <c r="AG1512" s="162" t="str">
        <f t="shared" si="137"/>
        <v/>
      </c>
      <c r="AH1512" s="164">
        <f t="shared" si="133"/>
        <v>0.4</v>
      </c>
      <c r="AI1512" s="164" t="str">
        <f t="shared" si="134"/>
        <v/>
      </c>
      <c r="AJ1512" s="375"/>
      <c r="AK1512" s="375"/>
      <c r="AL1512" s="375"/>
      <c r="AM1512" s="375"/>
      <c r="AN1512" s="375"/>
      <c r="AO1512" s="375"/>
      <c r="AP1512" s="375"/>
      <c r="AQ1512" s="375"/>
      <c r="AR1512" s="391"/>
      <c r="AS1512" s="276"/>
      <c r="AT1512" s="277"/>
      <c r="AU1512" s="391"/>
      <c r="AV1512" s="422"/>
      <c r="AW1512" s="436">
        <v>0.4</v>
      </c>
      <c r="AX1512" s="359"/>
      <c r="AY1512" s="359"/>
      <c r="AZ1512" s="359"/>
      <c r="BA1512" s="359"/>
      <c r="BB1512" s="359"/>
      <c r="BC1512" s="426"/>
      <c r="BD1512" s="359"/>
      <c r="BE1512" s="359"/>
      <c r="BF1512" s="469">
        <f t="shared" si="135"/>
        <v>0.4</v>
      </c>
      <c r="BG1512" s="469"/>
      <c r="BH1512" s="460"/>
      <c r="BI1512" s="461"/>
      <c r="BJ1512" s="505"/>
    </row>
    <row r="1513" spans="1:62" ht="15" customHeight="1" thickBot="1" x14ac:dyDescent="0.25">
      <c r="A1513" s="176">
        <v>1514</v>
      </c>
      <c r="B1513" s="291">
        <v>1</v>
      </c>
      <c r="C1513" s="167" t="s">
        <v>975</v>
      </c>
      <c r="D1513" s="167" t="s">
        <v>1986</v>
      </c>
      <c r="E1513" s="167"/>
      <c r="F1513" s="167" t="s">
        <v>3802</v>
      </c>
      <c r="G1513" s="167"/>
      <c r="H1513" s="167" t="s">
        <v>1064</v>
      </c>
      <c r="I1513" s="184">
        <v>2010</v>
      </c>
      <c r="J1513" s="181" t="s">
        <v>3803</v>
      </c>
      <c r="K1513" s="184"/>
      <c r="L1513" s="184" t="s">
        <v>19</v>
      </c>
      <c r="M1513" s="556" t="s">
        <v>4378</v>
      </c>
      <c r="N1513" s="214" t="s">
        <v>122</v>
      </c>
      <c r="O1513" s="214" t="s">
        <v>292</v>
      </c>
      <c r="P1513" s="214" t="s">
        <v>292</v>
      </c>
      <c r="Q1513" s="214" t="s">
        <v>122</v>
      </c>
      <c r="R1513" s="214" t="s">
        <v>122</v>
      </c>
      <c r="S1513" s="214" t="s">
        <v>122</v>
      </c>
      <c r="T1513" s="214" t="s">
        <v>292</v>
      </c>
      <c r="U1513" s="214" t="s">
        <v>292</v>
      </c>
      <c r="V1513" s="214" t="s">
        <v>292</v>
      </c>
      <c r="W1513" s="214" t="s">
        <v>292</v>
      </c>
      <c r="X1513" s="214" t="s">
        <v>292</v>
      </c>
      <c r="Y1513" s="214" t="s">
        <v>292</v>
      </c>
      <c r="Z1513" s="234"/>
      <c r="AA1513" s="234"/>
      <c r="AB1513" s="234"/>
      <c r="AC1513" s="234"/>
      <c r="AD1513" s="319" t="s">
        <v>3804</v>
      </c>
      <c r="AE1513" s="319"/>
      <c r="AF1513" s="162" t="str">
        <f t="shared" si="131"/>
        <v/>
      </c>
      <c r="AG1513" s="162" t="str">
        <f t="shared" si="137"/>
        <v/>
      </c>
      <c r="AH1513" s="164">
        <f t="shared" si="133"/>
        <v>0.82300000000000006</v>
      </c>
      <c r="AI1513" s="164">
        <f t="shared" si="134"/>
        <v>0.82517000000000007</v>
      </c>
      <c r="AJ1513" s="375"/>
      <c r="AK1513" s="375"/>
      <c r="AL1513" s="375"/>
      <c r="AM1513" s="375"/>
      <c r="AN1513" s="375"/>
      <c r="AO1513" s="375"/>
      <c r="AP1513" s="375"/>
      <c r="AQ1513" s="375"/>
      <c r="AR1513" s="391"/>
      <c r="AS1513" s="276"/>
      <c r="AT1513" s="277"/>
      <c r="AU1513" s="391"/>
      <c r="AV1513" s="422"/>
      <c r="AW1513" s="436">
        <f>0.017+0.806</f>
        <v>0.82300000000000006</v>
      </c>
      <c r="AX1513" s="359"/>
      <c r="AY1513" s="359">
        <f>0.00217</f>
        <v>2.1700000000000001E-3</v>
      </c>
      <c r="AZ1513" s="359">
        <v>8.4000000000000005E-2</v>
      </c>
      <c r="BA1513" s="359">
        <v>0.13800000000000001</v>
      </c>
      <c r="BB1513" s="359"/>
      <c r="BC1513" s="426"/>
      <c r="BD1513" s="359"/>
      <c r="BE1513" s="359"/>
      <c r="BF1513" s="469">
        <f t="shared" si="135"/>
        <v>0.82300000000000006</v>
      </c>
      <c r="BG1513" s="469">
        <f>SUM(AW1513:BE1513)</f>
        <v>1.0471699999999999</v>
      </c>
      <c r="BH1513" s="460"/>
      <c r="BI1513" s="461"/>
      <c r="BJ1513" s="505"/>
    </row>
    <row r="1514" spans="1:62" ht="15" customHeight="1" thickBot="1" x14ac:dyDescent="0.25">
      <c r="A1514" s="176">
        <v>1515</v>
      </c>
      <c r="B1514" s="291">
        <v>1</v>
      </c>
      <c r="C1514" s="167" t="s">
        <v>2933</v>
      </c>
      <c r="D1514" s="167" t="s">
        <v>3451</v>
      </c>
      <c r="E1514" s="167"/>
      <c r="F1514" s="167" t="s">
        <v>3805</v>
      </c>
      <c r="G1514" s="167"/>
      <c r="H1514" s="167" t="s">
        <v>700</v>
      </c>
      <c r="I1514" s="184">
        <v>2010</v>
      </c>
      <c r="J1514" s="181" t="s">
        <v>3806</v>
      </c>
      <c r="K1514" s="184"/>
      <c r="L1514" s="184" t="s">
        <v>19</v>
      </c>
      <c r="M1514" s="556" t="s">
        <v>4379</v>
      </c>
      <c r="N1514" s="214" t="s">
        <v>122</v>
      </c>
      <c r="O1514" s="214" t="s">
        <v>292</v>
      </c>
      <c r="P1514" s="214" t="s">
        <v>122</v>
      </c>
      <c r="Q1514" s="214" t="s">
        <v>122</v>
      </c>
      <c r="R1514" s="214" t="s">
        <v>122</v>
      </c>
      <c r="S1514" s="214" t="s">
        <v>122</v>
      </c>
      <c r="T1514" s="214" t="s">
        <v>122</v>
      </c>
      <c r="U1514" s="214" t="s">
        <v>292</v>
      </c>
      <c r="V1514" s="214" t="s">
        <v>122</v>
      </c>
      <c r="W1514" s="214" t="s">
        <v>122</v>
      </c>
      <c r="X1514" s="214" t="s">
        <v>292</v>
      </c>
      <c r="Y1514" s="214" t="s">
        <v>292</v>
      </c>
      <c r="Z1514" s="234"/>
      <c r="AA1514" s="234" t="s">
        <v>3807</v>
      </c>
      <c r="AB1514" s="234"/>
      <c r="AC1514" s="234"/>
      <c r="AD1514" s="319" t="s">
        <v>3808</v>
      </c>
      <c r="AE1514" s="319" t="s">
        <v>3809</v>
      </c>
      <c r="AF1514" s="162" t="str">
        <f t="shared" si="131"/>
        <v/>
      </c>
      <c r="AG1514" s="162" t="str">
        <f t="shared" si="137"/>
        <v/>
      </c>
      <c r="AH1514" s="164">
        <f t="shared" si="133"/>
        <v>15.200000000000001</v>
      </c>
      <c r="AI1514" s="164">
        <f t="shared" si="134"/>
        <v>15.770000000000001</v>
      </c>
      <c r="AJ1514" s="375"/>
      <c r="AK1514" s="375"/>
      <c r="AL1514" s="375"/>
      <c r="AM1514" s="375"/>
      <c r="AN1514" s="375"/>
      <c r="AO1514" s="375"/>
      <c r="AP1514" s="375"/>
      <c r="AQ1514" s="375"/>
      <c r="AR1514" s="391"/>
      <c r="AS1514" s="276"/>
      <c r="AT1514" s="277"/>
      <c r="AU1514" s="391"/>
      <c r="AV1514" s="422"/>
      <c r="AW1514" s="436">
        <f>0.8*BG1514</f>
        <v>15.200000000000001</v>
      </c>
      <c r="AX1514" s="359"/>
      <c r="AY1514" s="359">
        <f>0.03*BG1514</f>
        <v>0.56999999999999995</v>
      </c>
      <c r="AZ1514" s="359"/>
      <c r="BA1514" s="359">
        <f>0.05*BG1514</f>
        <v>0.95000000000000007</v>
      </c>
      <c r="BB1514" s="359"/>
      <c r="BC1514" s="426">
        <f>0.12*BG1514</f>
        <v>2.2799999999999998</v>
      </c>
      <c r="BD1514" s="359"/>
      <c r="BE1514" s="359"/>
      <c r="BF1514" s="469">
        <f t="shared" si="135"/>
        <v>15.200000000000001</v>
      </c>
      <c r="BG1514" s="469">
        <v>19</v>
      </c>
      <c r="BH1514" s="460"/>
      <c r="BI1514" s="461"/>
      <c r="BJ1514" s="505"/>
    </row>
    <row r="1515" spans="1:62" ht="15" customHeight="1" thickBot="1" x14ac:dyDescent="0.25">
      <c r="A1515" s="176">
        <v>1516</v>
      </c>
      <c r="B1515" s="291">
        <v>1</v>
      </c>
      <c r="C1515" s="167" t="s">
        <v>162</v>
      </c>
      <c r="D1515" s="167" t="s">
        <v>828</v>
      </c>
      <c r="E1515" s="167"/>
      <c r="F1515" s="167"/>
      <c r="G1515" s="167"/>
      <c r="H1515" s="167" t="s">
        <v>55</v>
      </c>
      <c r="I1515" s="184">
        <v>2010</v>
      </c>
      <c r="J1515" s="181" t="s">
        <v>3810</v>
      </c>
      <c r="K1515" s="184"/>
      <c r="L1515" s="184" t="s">
        <v>19</v>
      </c>
      <c r="M1515" s="556" t="s">
        <v>4380</v>
      </c>
      <c r="N1515" s="214" t="s">
        <v>122</v>
      </c>
      <c r="O1515" s="214" t="s">
        <v>292</v>
      </c>
      <c r="P1515" s="214" t="s">
        <v>292</v>
      </c>
      <c r="Q1515" s="214" t="s">
        <v>292</v>
      </c>
      <c r="R1515" s="214" t="s">
        <v>292</v>
      </c>
      <c r="S1515" s="214" t="s">
        <v>292</v>
      </c>
      <c r="T1515" s="214" t="s">
        <v>292</v>
      </c>
      <c r="U1515" s="214" t="s">
        <v>292</v>
      </c>
      <c r="V1515" s="214" t="s">
        <v>292</v>
      </c>
      <c r="W1515" s="214" t="s">
        <v>292</v>
      </c>
      <c r="X1515" s="214" t="s">
        <v>292</v>
      </c>
      <c r="Y1515" s="214" t="s">
        <v>122</v>
      </c>
      <c r="Z1515" s="234"/>
      <c r="AA1515" s="234"/>
      <c r="AB1515" s="234"/>
      <c r="AC1515" s="234"/>
      <c r="AD1515" s="319" t="s">
        <v>3811</v>
      </c>
      <c r="AE1515" s="319"/>
      <c r="AF1515" s="162" t="str">
        <f t="shared" si="131"/>
        <v/>
      </c>
      <c r="AG1515" s="162" t="str">
        <f t="shared" si="137"/>
        <v/>
      </c>
      <c r="AH1515" s="164">
        <f t="shared" si="133"/>
        <v>2.54</v>
      </c>
      <c r="AI1515" s="164" t="str">
        <f t="shared" si="134"/>
        <v/>
      </c>
      <c r="AJ1515" s="375"/>
      <c r="AK1515" s="375"/>
      <c r="AL1515" s="375"/>
      <c r="AM1515" s="375"/>
      <c r="AN1515" s="375"/>
      <c r="AO1515" s="375"/>
      <c r="AP1515" s="375"/>
      <c r="AQ1515" s="375"/>
      <c r="AR1515" s="391"/>
      <c r="AS1515" s="276"/>
      <c r="AT1515" s="277"/>
      <c r="AU1515" s="391"/>
      <c r="AV1515" s="422"/>
      <c r="AW1515" s="436">
        <v>2.54</v>
      </c>
      <c r="AX1515" s="359"/>
      <c r="AY1515" s="359"/>
      <c r="AZ1515" s="359"/>
      <c r="BA1515" s="359"/>
      <c r="BB1515" s="359"/>
      <c r="BC1515" s="426"/>
      <c r="BD1515" s="359"/>
      <c r="BE1515" s="359"/>
      <c r="BF1515" s="469">
        <f t="shared" si="135"/>
        <v>2.54</v>
      </c>
      <c r="BG1515" s="469"/>
      <c r="BH1515" s="460"/>
      <c r="BI1515" s="461"/>
      <c r="BJ1515" s="505"/>
    </row>
    <row r="1516" spans="1:62" ht="15" customHeight="1" thickBot="1" x14ac:dyDescent="0.25">
      <c r="A1516" s="176">
        <v>1517</v>
      </c>
      <c r="B1516" s="291">
        <v>1</v>
      </c>
      <c r="C1516" s="167" t="s">
        <v>162</v>
      </c>
      <c r="D1516" s="167" t="s">
        <v>1805</v>
      </c>
      <c r="E1516" s="167"/>
      <c r="F1516" s="167"/>
      <c r="G1516" s="167"/>
      <c r="H1516" s="167" t="s">
        <v>55</v>
      </c>
      <c r="I1516" s="184">
        <v>2010</v>
      </c>
      <c r="J1516" s="181" t="s">
        <v>3810</v>
      </c>
      <c r="K1516" s="184"/>
      <c r="L1516" s="184" t="s">
        <v>19</v>
      </c>
      <c r="M1516" s="556" t="s">
        <v>4380</v>
      </c>
      <c r="N1516" s="214" t="s">
        <v>122</v>
      </c>
      <c r="O1516" s="214" t="s">
        <v>292</v>
      </c>
      <c r="P1516" s="214" t="s">
        <v>292</v>
      </c>
      <c r="Q1516" s="214" t="s">
        <v>292</v>
      </c>
      <c r="R1516" s="214" t="s">
        <v>292</v>
      </c>
      <c r="S1516" s="214" t="s">
        <v>292</v>
      </c>
      <c r="T1516" s="214" t="s">
        <v>292</v>
      </c>
      <c r="U1516" s="214" t="s">
        <v>292</v>
      </c>
      <c r="V1516" s="214" t="s">
        <v>292</v>
      </c>
      <c r="W1516" s="214" t="s">
        <v>292</v>
      </c>
      <c r="X1516" s="214" t="s">
        <v>292</v>
      </c>
      <c r="Y1516" s="214" t="s">
        <v>122</v>
      </c>
      <c r="Z1516" s="234"/>
      <c r="AA1516" s="234"/>
      <c r="AB1516" s="234"/>
      <c r="AC1516" s="234"/>
      <c r="AD1516" s="319" t="s">
        <v>3811</v>
      </c>
      <c r="AE1516" s="319"/>
      <c r="AF1516" s="162" t="str">
        <f t="shared" si="131"/>
        <v/>
      </c>
      <c r="AG1516" s="162" t="str">
        <f t="shared" si="137"/>
        <v/>
      </c>
      <c r="AH1516" s="164">
        <f t="shared" si="133"/>
        <v>1.37</v>
      </c>
      <c r="AI1516" s="164" t="str">
        <f t="shared" si="134"/>
        <v/>
      </c>
      <c r="AJ1516" s="375"/>
      <c r="AK1516" s="375"/>
      <c r="AL1516" s="375"/>
      <c r="AM1516" s="375"/>
      <c r="AN1516" s="375"/>
      <c r="AO1516" s="375"/>
      <c r="AP1516" s="375"/>
      <c r="AQ1516" s="375"/>
      <c r="AR1516" s="391"/>
      <c r="AS1516" s="276"/>
      <c r="AT1516" s="277"/>
      <c r="AU1516" s="391"/>
      <c r="AV1516" s="422"/>
      <c r="AW1516" s="436">
        <v>1.37</v>
      </c>
      <c r="AX1516" s="359"/>
      <c r="AY1516" s="359"/>
      <c r="AZ1516" s="359"/>
      <c r="BA1516" s="359"/>
      <c r="BB1516" s="359"/>
      <c r="BC1516" s="426"/>
      <c r="BD1516" s="359"/>
      <c r="BE1516" s="359"/>
      <c r="BF1516" s="469">
        <f t="shared" si="135"/>
        <v>1.37</v>
      </c>
      <c r="BG1516" s="469"/>
      <c r="BH1516" s="460"/>
      <c r="BI1516" s="461"/>
      <c r="BJ1516" s="505"/>
    </row>
    <row r="1517" spans="1:62" ht="15" customHeight="1" thickBot="1" x14ac:dyDescent="0.25">
      <c r="A1517" s="176">
        <v>1518</v>
      </c>
      <c r="B1517" s="291">
        <v>1</v>
      </c>
      <c r="C1517" s="167" t="s">
        <v>162</v>
      </c>
      <c r="D1517" s="167" t="s">
        <v>3812</v>
      </c>
      <c r="E1517" s="167"/>
      <c r="F1517" s="167"/>
      <c r="G1517" s="167"/>
      <c r="H1517" s="167" t="s">
        <v>55</v>
      </c>
      <c r="I1517" s="184">
        <v>2010</v>
      </c>
      <c r="J1517" s="181" t="s">
        <v>3810</v>
      </c>
      <c r="K1517" s="184"/>
      <c r="L1517" s="184" t="s">
        <v>19</v>
      </c>
      <c r="M1517" s="556" t="s">
        <v>4380</v>
      </c>
      <c r="N1517" s="214" t="s">
        <v>122</v>
      </c>
      <c r="O1517" s="214" t="s">
        <v>292</v>
      </c>
      <c r="P1517" s="214" t="s">
        <v>292</v>
      </c>
      <c r="Q1517" s="214" t="s">
        <v>292</v>
      </c>
      <c r="R1517" s="214" t="s">
        <v>292</v>
      </c>
      <c r="S1517" s="214" t="s">
        <v>292</v>
      </c>
      <c r="T1517" s="214" t="s">
        <v>292</v>
      </c>
      <c r="U1517" s="214" t="s">
        <v>292</v>
      </c>
      <c r="V1517" s="214" t="s">
        <v>292</v>
      </c>
      <c r="W1517" s="214" t="s">
        <v>292</v>
      </c>
      <c r="X1517" s="214" t="s">
        <v>292</v>
      </c>
      <c r="Y1517" s="214" t="s">
        <v>122</v>
      </c>
      <c r="Z1517" s="234"/>
      <c r="AA1517" s="234"/>
      <c r="AB1517" s="234"/>
      <c r="AC1517" s="234"/>
      <c r="AD1517" s="319" t="s">
        <v>3811</v>
      </c>
      <c r="AE1517" s="319"/>
      <c r="AF1517" s="162" t="str">
        <f t="shared" ref="AF1517:AF1580" si="138">IF(AS1517&lt;&gt;0,AS1517,"")</f>
        <v/>
      </c>
      <c r="AG1517" s="162" t="str">
        <f t="shared" si="137"/>
        <v/>
      </c>
      <c r="AH1517" s="164">
        <f t="shared" si="133"/>
        <v>0.24</v>
      </c>
      <c r="AI1517" s="164" t="str">
        <f t="shared" si="134"/>
        <v/>
      </c>
      <c r="AJ1517" s="375"/>
      <c r="AK1517" s="375"/>
      <c r="AL1517" s="375"/>
      <c r="AM1517" s="375"/>
      <c r="AN1517" s="375"/>
      <c r="AO1517" s="375"/>
      <c r="AP1517" s="375"/>
      <c r="AQ1517" s="375"/>
      <c r="AR1517" s="391"/>
      <c r="AS1517" s="276"/>
      <c r="AT1517" s="277"/>
      <c r="AU1517" s="391"/>
      <c r="AV1517" s="422"/>
      <c r="AW1517" s="436">
        <v>0.24</v>
      </c>
      <c r="AX1517" s="359"/>
      <c r="AY1517" s="359"/>
      <c r="AZ1517" s="359"/>
      <c r="BA1517" s="359"/>
      <c r="BB1517" s="359"/>
      <c r="BC1517" s="426"/>
      <c r="BD1517" s="359"/>
      <c r="BE1517" s="359"/>
      <c r="BF1517" s="469">
        <f t="shared" si="135"/>
        <v>0.24</v>
      </c>
      <c r="BG1517" s="469"/>
      <c r="BH1517" s="460"/>
      <c r="BI1517" s="461"/>
      <c r="BJ1517" s="505"/>
    </row>
    <row r="1518" spans="1:62" ht="15" customHeight="1" thickBot="1" x14ac:dyDescent="0.25">
      <c r="A1518" s="176">
        <v>1519</v>
      </c>
      <c r="B1518" s="291">
        <v>1</v>
      </c>
      <c r="C1518" s="167" t="s">
        <v>162</v>
      </c>
      <c r="D1518" s="167" t="s">
        <v>882</v>
      </c>
      <c r="E1518" s="167"/>
      <c r="F1518" s="167"/>
      <c r="G1518" s="167"/>
      <c r="H1518" s="167" t="s">
        <v>55</v>
      </c>
      <c r="I1518" s="184">
        <v>2010</v>
      </c>
      <c r="J1518" s="181" t="s">
        <v>3810</v>
      </c>
      <c r="K1518" s="184"/>
      <c r="L1518" s="184" t="s">
        <v>19</v>
      </c>
      <c r="M1518" s="556" t="s">
        <v>4380</v>
      </c>
      <c r="N1518" s="214" t="s">
        <v>122</v>
      </c>
      <c r="O1518" s="214" t="s">
        <v>292</v>
      </c>
      <c r="P1518" s="214" t="s">
        <v>292</v>
      </c>
      <c r="Q1518" s="214" t="s">
        <v>292</v>
      </c>
      <c r="R1518" s="214" t="s">
        <v>292</v>
      </c>
      <c r="S1518" s="214" t="s">
        <v>292</v>
      </c>
      <c r="T1518" s="214" t="s">
        <v>292</v>
      </c>
      <c r="U1518" s="214" t="s">
        <v>292</v>
      </c>
      <c r="V1518" s="214" t="s">
        <v>292</v>
      </c>
      <c r="W1518" s="214" t="s">
        <v>292</v>
      </c>
      <c r="X1518" s="214" t="s">
        <v>292</v>
      </c>
      <c r="Y1518" s="214" t="s">
        <v>122</v>
      </c>
      <c r="Z1518" s="234"/>
      <c r="AA1518" s="234"/>
      <c r="AB1518" s="234"/>
      <c r="AC1518" s="234"/>
      <c r="AD1518" s="319" t="s">
        <v>3811</v>
      </c>
      <c r="AE1518" s="319"/>
      <c r="AF1518" s="162" t="str">
        <f t="shared" si="138"/>
        <v/>
      </c>
      <c r="AG1518" s="162" t="str">
        <f t="shared" si="137"/>
        <v/>
      </c>
      <c r="AH1518" s="164">
        <f t="shared" si="133"/>
        <v>1.73</v>
      </c>
      <c r="AI1518" s="164" t="str">
        <f t="shared" si="134"/>
        <v/>
      </c>
      <c r="AJ1518" s="375"/>
      <c r="AK1518" s="375"/>
      <c r="AL1518" s="375"/>
      <c r="AM1518" s="375"/>
      <c r="AN1518" s="375"/>
      <c r="AO1518" s="375"/>
      <c r="AP1518" s="375"/>
      <c r="AQ1518" s="375"/>
      <c r="AR1518" s="391"/>
      <c r="AS1518" s="276"/>
      <c r="AT1518" s="277"/>
      <c r="AU1518" s="391"/>
      <c r="AV1518" s="422"/>
      <c r="AW1518" s="436">
        <v>1.73</v>
      </c>
      <c r="AX1518" s="359"/>
      <c r="AY1518" s="359"/>
      <c r="AZ1518" s="359"/>
      <c r="BA1518" s="359"/>
      <c r="BB1518" s="359"/>
      <c r="BC1518" s="426"/>
      <c r="BD1518" s="359"/>
      <c r="BE1518" s="359"/>
      <c r="BF1518" s="469">
        <f t="shared" si="135"/>
        <v>1.73</v>
      </c>
      <c r="BG1518" s="469"/>
      <c r="BH1518" s="460"/>
      <c r="BI1518" s="461"/>
      <c r="BJ1518" s="505"/>
    </row>
    <row r="1519" spans="1:62" ht="15" customHeight="1" thickBot="1" x14ac:dyDescent="0.25">
      <c r="A1519" s="176">
        <v>1520</v>
      </c>
      <c r="B1519" s="291">
        <v>1</v>
      </c>
      <c r="C1519" s="167" t="s">
        <v>162</v>
      </c>
      <c r="D1519" s="167" t="s">
        <v>3813</v>
      </c>
      <c r="E1519" s="167"/>
      <c r="F1519" s="167"/>
      <c r="G1519" s="167"/>
      <c r="H1519" s="167" t="s">
        <v>55</v>
      </c>
      <c r="I1519" s="184">
        <v>2010</v>
      </c>
      <c r="J1519" s="181" t="s">
        <v>3810</v>
      </c>
      <c r="K1519" s="184"/>
      <c r="L1519" s="184" t="s">
        <v>19</v>
      </c>
      <c r="M1519" s="556" t="s">
        <v>4380</v>
      </c>
      <c r="N1519" s="214" t="s">
        <v>122</v>
      </c>
      <c r="O1519" s="214" t="s">
        <v>292</v>
      </c>
      <c r="P1519" s="214" t="s">
        <v>292</v>
      </c>
      <c r="Q1519" s="214" t="s">
        <v>292</v>
      </c>
      <c r="R1519" s="214" t="s">
        <v>292</v>
      </c>
      <c r="S1519" s="214" t="s">
        <v>292</v>
      </c>
      <c r="T1519" s="214" t="s">
        <v>292</v>
      </c>
      <c r="U1519" s="214" t="s">
        <v>292</v>
      </c>
      <c r="V1519" s="214" t="s">
        <v>292</v>
      </c>
      <c r="W1519" s="214" t="s">
        <v>292</v>
      </c>
      <c r="X1519" s="214" t="s">
        <v>292</v>
      </c>
      <c r="Y1519" s="214" t="s">
        <v>122</v>
      </c>
      <c r="Z1519" s="234"/>
      <c r="AA1519" s="234"/>
      <c r="AB1519" s="234"/>
      <c r="AC1519" s="234"/>
      <c r="AD1519" s="319" t="s">
        <v>3811</v>
      </c>
      <c r="AE1519" s="319"/>
      <c r="AF1519" s="162" t="str">
        <f t="shared" si="138"/>
        <v/>
      </c>
      <c r="AG1519" s="162" t="str">
        <f t="shared" si="137"/>
        <v/>
      </c>
      <c r="AH1519" s="164">
        <f t="shared" si="133"/>
        <v>0.23</v>
      </c>
      <c r="AI1519" s="164" t="str">
        <f t="shared" si="134"/>
        <v/>
      </c>
      <c r="AJ1519" s="375"/>
      <c r="AK1519" s="375"/>
      <c r="AL1519" s="375"/>
      <c r="AM1519" s="375"/>
      <c r="AN1519" s="375"/>
      <c r="AO1519" s="375"/>
      <c r="AP1519" s="375"/>
      <c r="AQ1519" s="375"/>
      <c r="AR1519" s="391"/>
      <c r="AS1519" s="276"/>
      <c r="AT1519" s="277"/>
      <c r="AU1519" s="391"/>
      <c r="AV1519" s="422"/>
      <c r="AW1519" s="436">
        <v>0.23</v>
      </c>
      <c r="AX1519" s="359"/>
      <c r="AY1519" s="359"/>
      <c r="AZ1519" s="359"/>
      <c r="BA1519" s="359"/>
      <c r="BB1519" s="359"/>
      <c r="BC1519" s="426"/>
      <c r="BD1519" s="359"/>
      <c r="BE1519" s="359"/>
      <c r="BF1519" s="469">
        <f t="shared" si="135"/>
        <v>0.23</v>
      </c>
      <c r="BG1519" s="469"/>
      <c r="BH1519" s="460"/>
      <c r="BI1519" s="461"/>
      <c r="BJ1519" s="505"/>
    </row>
    <row r="1520" spans="1:62" ht="15" customHeight="1" thickBot="1" x14ac:dyDescent="0.25">
      <c r="A1520" s="176">
        <v>1521</v>
      </c>
      <c r="B1520" s="291">
        <v>1</v>
      </c>
      <c r="C1520" s="167" t="s">
        <v>162</v>
      </c>
      <c r="D1520" s="167" t="s">
        <v>3814</v>
      </c>
      <c r="E1520" s="167"/>
      <c r="F1520" s="167"/>
      <c r="G1520" s="167"/>
      <c r="H1520" s="167" t="s">
        <v>55</v>
      </c>
      <c r="I1520" s="184">
        <v>2010</v>
      </c>
      <c r="J1520" s="181" t="s">
        <v>3810</v>
      </c>
      <c r="K1520" s="184"/>
      <c r="L1520" s="184" t="s">
        <v>19</v>
      </c>
      <c r="M1520" s="556" t="s">
        <v>4380</v>
      </c>
      <c r="N1520" s="214" t="s">
        <v>122</v>
      </c>
      <c r="O1520" s="214" t="s">
        <v>292</v>
      </c>
      <c r="P1520" s="214" t="s">
        <v>292</v>
      </c>
      <c r="Q1520" s="214" t="s">
        <v>292</v>
      </c>
      <c r="R1520" s="214" t="s">
        <v>292</v>
      </c>
      <c r="S1520" s="214" t="s">
        <v>292</v>
      </c>
      <c r="T1520" s="214" t="s">
        <v>292</v>
      </c>
      <c r="U1520" s="214" t="s">
        <v>292</v>
      </c>
      <c r="V1520" s="214" t="s">
        <v>292</v>
      </c>
      <c r="W1520" s="214" t="s">
        <v>292</v>
      </c>
      <c r="X1520" s="214" t="s">
        <v>292</v>
      </c>
      <c r="Y1520" s="214" t="s">
        <v>122</v>
      </c>
      <c r="Z1520" s="234"/>
      <c r="AA1520" s="234"/>
      <c r="AB1520" s="234"/>
      <c r="AC1520" s="234"/>
      <c r="AD1520" s="319" t="s">
        <v>3811</v>
      </c>
      <c r="AE1520" s="319"/>
      <c r="AF1520" s="162" t="str">
        <f t="shared" si="138"/>
        <v/>
      </c>
      <c r="AG1520" s="162" t="str">
        <f t="shared" si="137"/>
        <v/>
      </c>
      <c r="AH1520" s="164">
        <f t="shared" si="133"/>
        <v>0.59</v>
      </c>
      <c r="AI1520" s="164" t="str">
        <f t="shared" si="134"/>
        <v/>
      </c>
      <c r="AJ1520" s="375"/>
      <c r="AK1520" s="375"/>
      <c r="AL1520" s="375"/>
      <c r="AM1520" s="375"/>
      <c r="AN1520" s="375"/>
      <c r="AO1520" s="375"/>
      <c r="AP1520" s="375"/>
      <c r="AQ1520" s="375"/>
      <c r="AR1520" s="391"/>
      <c r="AS1520" s="276"/>
      <c r="AT1520" s="277"/>
      <c r="AU1520" s="391"/>
      <c r="AV1520" s="422"/>
      <c r="AW1520" s="436">
        <v>0.59</v>
      </c>
      <c r="AX1520" s="359"/>
      <c r="AY1520" s="359"/>
      <c r="AZ1520" s="359"/>
      <c r="BA1520" s="359"/>
      <c r="BB1520" s="359"/>
      <c r="BC1520" s="426"/>
      <c r="BD1520" s="359"/>
      <c r="BE1520" s="359"/>
      <c r="BF1520" s="469">
        <f t="shared" ref="BF1520:BF1551" si="139">AW1520</f>
        <v>0.59</v>
      </c>
      <c r="BG1520" s="469"/>
      <c r="BH1520" s="460"/>
      <c r="BI1520" s="461"/>
      <c r="BJ1520" s="505"/>
    </row>
    <row r="1521" spans="1:62" ht="15" customHeight="1" thickBot="1" x14ac:dyDescent="0.25">
      <c r="A1521" s="176">
        <v>1522</v>
      </c>
      <c r="B1521" s="291">
        <v>1</v>
      </c>
      <c r="C1521" s="167" t="s">
        <v>162</v>
      </c>
      <c r="D1521" s="167" t="s">
        <v>3511</v>
      </c>
      <c r="E1521" s="167"/>
      <c r="F1521" s="167"/>
      <c r="G1521" s="167"/>
      <c r="H1521" s="167" t="s">
        <v>55</v>
      </c>
      <c r="I1521" s="184">
        <v>2010</v>
      </c>
      <c r="J1521" s="181" t="s">
        <v>3810</v>
      </c>
      <c r="K1521" s="184"/>
      <c r="L1521" s="184" t="s">
        <v>19</v>
      </c>
      <c r="M1521" s="556" t="s">
        <v>4380</v>
      </c>
      <c r="N1521" s="214" t="s">
        <v>122</v>
      </c>
      <c r="O1521" s="214" t="s">
        <v>292</v>
      </c>
      <c r="P1521" s="214" t="s">
        <v>292</v>
      </c>
      <c r="Q1521" s="214" t="s">
        <v>292</v>
      </c>
      <c r="R1521" s="214" t="s">
        <v>292</v>
      </c>
      <c r="S1521" s="214" t="s">
        <v>292</v>
      </c>
      <c r="T1521" s="214" t="s">
        <v>292</v>
      </c>
      <c r="U1521" s="214" t="s">
        <v>292</v>
      </c>
      <c r="V1521" s="214" t="s">
        <v>292</v>
      </c>
      <c r="W1521" s="214" t="s">
        <v>292</v>
      </c>
      <c r="X1521" s="214" t="s">
        <v>292</v>
      </c>
      <c r="Y1521" s="214" t="s">
        <v>122</v>
      </c>
      <c r="Z1521" s="234"/>
      <c r="AA1521" s="234"/>
      <c r="AB1521" s="234"/>
      <c r="AC1521" s="234"/>
      <c r="AD1521" s="319" t="s">
        <v>3811</v>
      </c>
      <c r="AE1521" s="319"/>
      <c r="AF1521" s="162" t="str">
        <f t="shared" si="138"/>
        <v/>
      </c>
      <c r="AG1521" s="162" t="str">
        <f t="shared" si="137"/>
        <v/>
      </c>
      <c r="AH1521" s="164">
        <f t="shared" si="133"/>
        <v>0.2</v>
      </c>
      <c r="AI1521" s="164" t="str">
        <f t="shared" si="134"/>
        <v/>
      </c>
      <c r="AJ1521" s="375"/>
      <c r="AK1521" s="375"/>
      <c r="AL1521" s="375"/>
      <c r="AM1521" s="375"/>
      <c r="AN1521" s="375"/>
      <c r="AO1521" s="375"/>
      <c r="AP1521" s="375"/>
      <c r="AQ1521" s="375"/>
      <c r="AR1521" s="391"/>
      <c r="AS1521" s="276"/>
      <c r="AT1521" s="277"/>
      <c r="AU1521" s="391"/>
      <c r="AV1521" s="422"/>
      <c r="AW1521" s="436">
        <v>0.2</v>
      </c>
      <c r="AX1521" s="359"/>
      <c r="AY1521" s="359"/>
      <c r="AZ1521" s="359"/>
      <c r="BA1521" s="359"/>
      <c r="BB1521" s="359"/>
      <c r="BC1521" s="426"/>
      <c r="BD1521" s="359"/>
      <c r="BE1521" s="359"/>
      <c r="BF1521" s="469">
        <f t="shared" si="139"/>
        <v>0.2</v>
      </c>
      <c r="BG1521" s="469"/>
      <c r="BH1521" s="460"/>
      <c r="BI1521" s="461"/>
      <c r="BJ1521" s="505"/>
    </row>
    <row r="1522" spans="1:62" ht="15" customHeight="1" thickBot="1" x14ac:dyDescent="0.25">
      <c r="A1522" s="176">
        <v>1523</v>
      </c>
      <c r="B1522" s="291">
        <v>1</v>
      </c>
      <c r="C1522" s="167" t="s">
        <v>162</v>
      </c>
      <c r="D1522" s="167" t="s">
        <v>876</v>
      </c>
      <c r="E1522" s="167"/>
      <c r="F1522" s="167"/>
      <c r="G1522" s="167"/>
      <c r="H1522" s="167" t="s">
        <v>55</v>
      </c>
      <c r="I1522" s="184">
        <v>2010</v>
      </c>
      <c r="J1522" s="181" t="s">
        <v>3810</v>
      </c>
      <c r="K1522" s="184"/>
      <c r="L1522" s="184" t="s">
        <v>19</v>
      </c>
      <c r="M1522" s="556" t="s">
        <v>4380</v>
      </c>
      <c r="N1522" s="214" t="s">
        <v>122</v>
      </c>
      <c r="O1522" s="214" t="s">
        <v>292</v>
      </c>
      <c r="P1522" s="214" t="s">
        <v>292</v>
      </c>
      <c r="Q1522" s="214" t="s">
        <v>292</v>
      </c>
      <c r="R1522" s="214" t="s">
        <v>292</v>
      </c>
      <c r="S1522" s="214" t="s">
        <v>292</v>
      </c>
      <c r="T1522" s="214" t="s">
        <v>292</v>
      </c>
      <c r="U1522" s="214" t="s">
        <v>292</v>
      </c>
      <c r="V1522" s="214" t="s">
        <v>292</v>
      </c>
      <c r="W1522" s="214" t="s">
        <v>292</v>
      </c>
      <c r="X1522" s="214" t="s">
        <v>292</v>
      </c>
      <c r="Y1522" s="214" t="s">
        <v>122</v>
      </c>
      <c r="Z1522" s="234"/>
      <c r="AA1522" s="234"/>
      <c r="AB1522" s="234"/>
      <c r="AC1522" s="234"/>
      <c r="AD1522" s="319" t="s">
        <v>3811</v>
      </c>
      <c r="AE1522" s="319"/>
      <c r="AF1522" s="162" t="str">
        <f t="shared" si="138"/>
        <v/>
      </c>
      <c r="AG1522" s="162" t="str">
        <f t="shared" si="137"/>
        <v/>
      </c>
      <c r="AH1522" s="164">
        <f t="shared" si="133"/>
        <v>0.38</v>
      </c>
      <c r="AI1522" s="164" t="str">
        <f t="shared" si="134"/>
        <v/>
      </c>
      <c r="AJ1522" s="375"/>
      <c r="AK1522" s="375"/>
      <c r="AL1522" s="375"/>
      <c r="AM1522" s="375"/>
      <c r="AN1522" s="375"/>
      <c r="AO1522" s="375"/>
      <c r="AP1522" s="375"/>
      <c r="AQ1522" s="375"/>
      <c r="AR1522" s="391"/>
      <c r="AS1522" s="276"/>
      <c r="AT1522" s="277"/>
      <c r="AU1522" s="391"/>
      <c r="AV1522" s="422"/>
      <c r="AW1522" s="436">
        <v>0.38</v>
      </c>
      <c r="AX1522" s="359"/>
      <c r="AY1522" s="359"/>
      <c r="AZ1522" s="359"/>
      <c r="BA1522" s="359"/>
      <c r="BB1522" s="359"/>
      <c r="BC1522" s="426"/>
      <c r="BD1522" s="359"/>
      <c r="BE1522" s="359"/>
      <c r="BF1522" s="469">
        <f t="shared" si="139"/>
        <v>0.38</v>
      </c>
      <c r="BG1522" s="469"/>
      <c r="BH1522" s="460"/>
      <c r="BI1522" s="461"/>
      <c r="BJ1522" s="505"/>
    </row>
    <row r="1523" spans="1:62" ht="15" customHeight="1" thickBot="1" x14ac:dyDescent="0.25">
      <c r="A1523" s="176">
        <v>1524</v>
      </c>
      <c r="B1523" s="291">
        <v>1</v>
      </c>
      <c r="C1523" s="167" t="s">
        <v>162</v>
      </c>
      <c r="D1523" s="167" t="s">
        <v>2748</v>
      </c>
      <c r="E1523" s="167"/>
      <c r="F1523" s="167"/>
      <c r="G1523" s="167"/>
      <c r="H1523" s="167" t="s">
        <v>55</v>
      </c>
      <c r="I1523" s="184">
        <v>2010</v>
      </c>
      <c r="J1523" s="181" t="s">
        <v>3810</v>
      </c>
      <c r="K1523" s="184"/>
      <c r="L1523" s="184" t="s">
        <v>19</v>
      </c>
      <c r="M1523" s="556" t="s">
        <v>4380</v>
      </c>
      <c r="N1523" s="214" t="s">
        <v>122</v>
      </c>
      <c r="O1523" s="214" t="s">
        <v>292</v>
      </c>
      <c r="P1523" s="214" t="s">
        <v>292</v>
      </c>
      <c r="Q1523" s="214" t="s">
        <v>292</v>
      </c>
      <c r="R1523" s="214" t="s">
        <v>292</v>
      </c>
      <c r="S1523" s="214" t="s">
        <v>292</v>
      </c>
      <c r="T1523" s="214" t="s">
        <v>292</v>
      </c>
      <c r="U1523" s="214" t="s">
        <v>292</v>
      </c>
      <c r="V1523" s="214" t="s">
        <v>292</v>
      </c>
      <c r="W1523" s="214" t="s">
        <v>292</v>
      </c>
      <c r="X1523" s="214" t="s">
        <v>292</v>
      </c>
      <c r="Y1523" s="214" t="s">
        <v>122</v>
      </c>
      <c r="Z1523" s="234"/>
      <c r="AA1523" s="234"/>
      <c r="AB1523" s="234"/>
      <c r="AC1523" s="234"/>
      <c r="AD1523" s="319" t="s">
        <v>3811</v>
      </c>
      <c r="AE1523" s="319"/>
      <c r="AF1523" s="162" t="str">
        <f t="shared" si="138"/>
        <v/>
      </c>
      <c r="AG1523" s="162" t="str">
        <f t="shared" si="137"/>
        <v/>
      </c>
      <c r="AH1523" s="164">
        <f t="shared" si="133"/>
        <v>0.18</v>
      </c>
      <c r="AI1523" s="164" t="str">
        <f t="shared" si="134"/>
        <v/>
      </c>
      <c r="AJ1523" s="375"/>
      <c r="AK1523" s="375"/>
      <c r="AL1523" s="375"/>
      <c r="AM1523" s="375"/>
      <c r="AN1523" s="375"/>
      <c r="AO1523" s="375"/>
      <c r="AP1523" s="375"/>
      <c r="AQ1523" s="375"/>
      <c r="AR1523" s="391"/>
      <c r="AS1523" s="276"/>
      <c r="AT1523" s="277"/>
      <c r="AU1523" s="391"/>
      <c r="AV1523" s="422"/>
      <c r="AW1523" s="436">
        <v>0.18</v>
      </c>
      <c r="AX1523" s="359"/>
      <c r="AY1523" s="359"/>
      <c r="AZ1523" s="359"/>
      <c r="BA1523" s="359"/>
      <c r="BB1523" s="359"/>
      <c r="BC1523" s="426"/>
      <c r="BD1523" s="359"/>
      <c r="BE1523" s="359"/>
      <c r="BF1523" s="469">
        <f t="shared" si="139"/>
        <v>0.18</v>
      </c>
      <c r="BG1523" s="469"/>
      <c r="BH1523" s="460"/>
      <c r="BI1523" s="461"/>
      <c r="BJ1523" s="505"/>
    </row>
    <row r="1524" spans="1:62" ht="15" customHeight="1" thickBot="1" x14ac:dyDescent="0.25">
      <c r="A1524" s="176">
        <v>1525</v>
      </c>
      <c r="B1524" s="291">
        <v>1</v>
      </c>
      <c r="C1524" s="167" t="s">
        <v>162</v>
      </c>
      <c r="D1524" s="167" t="s">
        <v>3815</v>
      </c>
      <c r="E1524" s="167"/>
      <c r="F1524" s="167"/>
      <c r="G1524" s="167"/>
      <c r="H1524" s="167" t="s">
        <v>55</v>
      </c>
      <c r="I1524" s="184">
        <v>2010</v>
      </c>
      <c r="J1524" s="181" t="s">
        <v>3810</v>
      </c>
      <c r="K1524" s="184"/>
      <c r="L1524" s="184" t="s">
        <v>19</v>
      </c>
      <c r="M1524" s="556" t="s">
        <v>4380</v>
      </c>
      <c r="N1524" s="214" t="s">
        <v>122</v>
      </c>
      <c r="O1524" s="214" t="s">
        <v>292</v>
      </c>
      <c r="P1524" s="214" t="s">
        <v>292</v>
      </c>
      <c r="Q1524" s="214" t="s">
        <v>292</v>
      </c>
      <c r="R1524" s="214" t="s">
        <v>292</v>
      </c>
      <c r="S1524" s="214" t="s">
        <v>292</v>
      </c>
      <c r="T1524" s="214" t="s">
        <v>292</v>
      </c>
      <c r="U1524" s="214" t="s">
        <v>292</v>
      </c>
      <c r="V1524" s="214" t="s">
        <v>292</v>
      </c>
      <c r="W1524" s="214" t="s">
        <v>292</v>
      </c>
      <c r="X1524" s="214" t="s">
        <v>292</v>
      </c>
      <c r="Y1524" s="214" t="s">
        <v>122</v>
      </c>
      <c r="Z1524" s="234"/>
      <c r="AA1524" s="234"/>
      <c r="AB1524" s="234"/>
      <c r="AC1524" s="234"/>
      <c r="AD1524" s="319" t="s">
        <v>3811</v>
      </c>
      <c r="AE1524" s="319"/>
      <c r="AF1524" s="162" t="str">
        <f t="shared" si="138"/>
        <v/>
      </c>
      <c r="AG1524" s="162" t="str">
        <f t="shared" si="137"/>
        <v/>
      </c>
      <c r="AH1524" s="164">
        <f t="shared" si="133"/>
        <v>0.66</v>
      </c>
      <c r="AI1524" s="164" t="str">
        <f t="shared" si="134"/>
        <v/>
      </c>
      <c r="AJ1524" s="375"/>
      <c r="AK1524" s="375"/>
      <c r="AL1524" s="375"/>
      <c r="AM1524" s="375"/>
      <c r="AN1524" s="375"/>
      <c r="AO1524" s="375"/>
      <c r="AP1524" s="375"/>
      <c r="AQ1524" s="375"/>
      <c r="AR1524" s="391"/>
      <c r="AS1524" s="276"/>
      <c r="AT1524" s="277"/>
      <c r="AU1524" s="391"/>
      <c r="AV1524" s="422"/>
      <c r="AW1524" s="436">
        <v>0.66</v>
      </c>
      <c r="AX1524" s="359"/>
      <c r="AY1524" s="359"/>
      <c r="AZ1524" s="359"/>
      <c r="BA1524" s="359"/>
      <c r="BB1524" s="359"/>
      <c r="BC1524" s="426"/>
      <c r="BD1524" s="359"/>
      <c r="BE1524" s="359"/>
      <c r="BF1524" s="469">
        <f t="shared" si="139"/>
        <v>0.66</v>
      </c>
      <c r="BG1524" s="469"/>
      <c r="BH1524" s="460"/>
      <c r="BI1524" s="461"/>
      <c r="BJ1524" s="505"/>
    </row>
    <row r="1525" spans="1:62" ht="15" customHeight="1" thickBot="1" x14ac:dyDescent="0.25">
      <c r="A1525" s="176">
        <v>1526</v>
      </c>
      <c r="B1525" s="291">
        <v>1</v>
      </c>
      <c r="C1525" s="167" t="s">
        <v>162</v>
      </c>
      <c r="D1525" s="167" t="s">
        <v>846</v>
      </c>
      <c r="E1525" s="167"/>
      <c r="F1525" s="167"/>
      <c r="G1525" s="167"/>
      <c r="H1525" s="167" t="s">
        <v>55</v>
      </c>
      <c r="I1525" s="184">
        <v>2010</v>
      </c>
      <c r="J1525" s="181" t="s">
        <v>3810</v>
      </c>
      <c r="K1525" s="184"/>
      <c r="L1525" s="184" t="s">
        <v>19</v>
      </c>
      <c r="M1525" s="556" t="s">
        <v>4380</v>
      </c>
      <c r="N1525" s="214" t="s">
        <v>122</v>
      </c>
      <c r="O1525" s="214" t="s">
        <v>292</v>
      </c>
      <c r="P1525" s="214" t="s">
        <v>292</v>
      </c>
      <c r="Q1525" s="214" t="s">
        <v>292</v>
      </c>
      <c r="R1525" s="214" t="s">
        <v>292</v>
      </c>
      <c r="S1525" s="214" t="s">
        <v>292</v>
      </c>
      <c r="T1525" s="214" t="s">
        <v>292</v>
      </c>
      <c r="U1525" s="214" t="s">
        <v>292</v>
      </c>
      <c r="V1525" s="214" t="s">
        <v>292</v>
      </c>
      <c r="W1525" s="214" t="s">
        <v>292</v>
      </c>
      <c r="X1525" s="214" t="s">
        <v>292</v>
      </c>
      <c r="Y1525" s="214" t="s">
        <v>122</v>
      </c>
      <c r="Z1525" s="234"/>
      <c r="AA1525" s="234"/>
      <c r="AB1525" s="234"/>
      <c r="AC1525" s="234"/>
      <c r="AD1525" s="319" t="s">
        <v>3811</v>
      </c>
      <c r="AE1525" s="319"/>
      <c r="AF1525" s="162" t="str">
        <f t="shared" si="138"/>
        <v/>
      </c>
      <c r="AG1525" s="162" t="str">
        <f t="shared" si="137"/>
        <v/>
      </c>
      <c r="AH1525" s="164">
        <f t="shared" si="133"/>
        <v>0.13</v>
      </c>
      <c r="AI1525" s="164" t="str">
        <f t="shared" si="134"/>
        <v/>
      </c>
      <c r="AJ1525" s="375"/>
      <c r="AK1525" s="375"/>
      <c r="AL1525" s="375"/>
      <c r="AM1525" s="375"/>
      <c r="AN1525" s="375"/>
      <c r="AO1525" s="375"/>
      <c r="AP1525" s="375"/>
      <c r="AQ1525" s="375"/>
      <c r="AR1525" s="391"/>
      <c r="AS1525" s="276"/>
      <c r="AT1525" s="277"/>
      <c r="AU1525" s="391"/>
      <c r="AV1525" s="422"/>
      <c r="AW1525" s="436">
        <v>0.13</v>
      </c>
      <c r="AX1525" s="359"/>
      <c r="AY1525" s="359"/>
      <c r="AZ1525" s="359"/>
      <c r="BA1525" s="359"/>
      <c r="BB1525" s="359"/>
      <c r="BC1525" s="426"/>
      <c r="BD1525" s="359"/>
      <c r="BE1525" s="359"/>
      <c r="BF1525" s="469">
        <f t="shared" si="139"/>
        <v>0.13</v>
      </c>
      <c r="BG1525" s="469"/>
      <c r="BH1525" s="460"/>
      <c r="BI1525" s="461"/>
      <c r="BJ1525" s="505"/>
    </row>
    <row r="1526" spans="1:62" ht="15" customHeight="1" thickBot="1" x14ac:dyDescent="0.25">
      <c r="A1526" s="176">
        <v>1527</v>
      </c>
      <c r="B1526" s="291">
        <v>1</v>
      </c>
      <c r="C1526" s="167" t="s">
        <v>162</v>
      </c>
      <c r="D1526" s="167" t="s">
        <v>3816</v>
      </c>
      <c r="E1526" s="167"/>
      <c r="F1526" s="167" t="s">
        <v>3817</v>
      </c>
      <c r="G1526" s="167"/>
      <c r="H1526" s="167" t="s">
        <v>55</v>
      </c>
      <c r="I1526" s="184">
        <v>2010</v>
      </c>
      <c r="J1526" s="181" t="s">
        <v>3810</v>
      </c>
      <c r="K1526" s="184"/>
      <c r="L1526" s="184" t="s">
        <v>19</v>
      </c>
      <c r="M1526" s="556" t="s">
        <v>4380</v>
      </c>
      <c r="N1526" s="214" t="s">
        <v>122</v>
      </c>
      <c r="O1526" s="214" t="s">
        <v>292</v>
      </c>
      <c r="P1526" s="214" t="s">
        <v>292</v>
      </c>
      <c r="Q1526" s="214" t="s">
        <v>292</v>
      </c>
      <c r="R1526" s="214" t="s">
        <v>292</v>
      </c>
      <c r="S1526" s="214" t="s">
        <v>292</v>
      </c>
      <c r="T1526" s="214" t="s">
        <v>292</v>
      </c>
      <c r="U1526" s="214" t="s">
        <v>292</v>
      </c>
      <c r="V1526" s="214" t="s">
        <v>292</v>
      </c>
      <c r="W1526" s="214" t="s">
        <v>292</v>
      </c>
      <c r="X1526" s="214" t="s">
        <v>292</v>
      </c>
      <c r="Y1526" s="214" t="s">
        <v>122</v>
      </c>
      <c r="Z1526" s="234"/>
      <c r="AA1526" s="234"/>
      <c r="AB1526" s="234"/>
      <c r="AC1526" s="234"/>
      <c r="AD1526" s="319" t="s">
        <v>3811</v>
      </c>
      <c r="AE1526" s="319"/>
      <c r="AF1526" s="162" t="str">
        <f t="shared" si="138"/>
        <v/>
      </c>
      <c r="AG1526" s="162" t="str">
        <f t="shared" si="137"/>
        <v/>
      </c>
      <c r="AH1526" s="164">
        <f t="shared" si="133"/>
        <v>3.94</v>
      </c>
      <c r="AI1526" s="164" t="str">
        <f t="shared" si="134"/>
        <v/>
      </c>
      <c r="AJ1526" s="375"/>
      <c r="AK1526" s="375"/>
      <c r="AL1526" s="375"/>
      <c r="AM1526" s="375"/>
      <c r="AN1526" s="375"/>
      <c r="AO1526" s="375"/>
      <c r="AP1526" s="375"/>
      <c r="AQ1526" s="375"/>
      <c r="AR1526" s="391"/>
      <c r="AS1526" s="276"/>
      <c r="AT1526" s="277"/>
      <c r="AU1526" s="391"/>
      <c r="AV1526" s="422"/>
      <c r="AW1526" s="436">
        <v>3.94</v>
      </c>
      <c r="AX1526" s="359"/>
      <c r="AY1526" s="359"/>
      <c r="AZ1526" s="359"/>
      <c r="BA1526" s="359"/>
      <c r="BB1526" s="359"/>
      <c r="BC1526" s="426"/>
      <c r="BD1526" s="359"/>
      <c r="BE1526" s="359"/>
      <c r="BF1526" s="469">
        <f t="shared" si="139"/>
        <v>3.94</v>
      </c>
      <c r="BG1526" s="469"/>
      <c r="BH1526" s="460"/>
      <c r="BI1526" s="461"/>
      <c r="BJ1526" s="505"/>
    </row>
    <row r="1527" spans="1:62" ht="15" customHeight="1" thickBot="1" x14ac:dyDescent="0.25">
      <c r="A1527" s="176">
        <v>1528</v>
      </c>
      <c r="B1527" s="291">
        <v>1</v>
      </c>
      <c r="C1527" s="167" t="s">
        <v>162</v>
      </c>
      <c r="D1527" s="167" t="s">
        <v>3816</v>
      </c>
      <c r="E1527" s="167"/>
      <c r="F1527" s="167" t="s">
        <v>3818</v>
      </c>
      <c r="G1527" s="167"/>
      <c r="H1527" s="167" t="s">
        <v>55</v>
      </c>
      <c r="I1527" s="184">
        <v>2010</v>
      </c>
      <c r="J1527" s="181" t="s">
        <v>3810</v>
      </c>
      <c r="K1527" s="184"/>
      <c r="L1527" s="184" t="s">
        <v>19</v>
      </c>
      <c r="M1527" s="556" t="s">
        <v>4380</v>
      </c>
      <c r="N1527" s="214" t="s">
        <v>122</v>
      </c>
      <c r="O1527" s="214" t="s">
        <v>292</v>
      </c>
      <c r="P1527" s="214" t="s">
        <v>292</v>
      </c>
      <c r="Q1527" s="214" t="s">
        <v>292</v>
      </c>
      <c r="R1527" s="214" t="s">
        <v>292</v>
      </c>
      <c r="S1527" s="214" t="s">
        <v>292</v>
      </c>
      <c r="T1527" s="214" t="s">
        <v>292</v>
      </c>
      <c r="U1527" s="214" t="s">
        <v>292</v>
      </c>
      <c r="V1527" s="214" t="s">
        <v>292</v>
      </c>
      <c r="W1527" s="214" t="s">
        <v>292</v>
      </c>
      <c r="X1527" s="214" t="s">
        <v>292</v>
      </c>
      <c r="Y1527" s="214" t="s">
        <v>122</v>
      </c>
      <c r="Z1527" s="234"/>
      <c r="AA1527" s="234"/>
      <c r="AB1527" s="234"/>
      <c r="AC1527" s="234"/>
      <c r="AD1527" s="319" t="s">
        <v>3811</v>
      </c>
      <c r="AE1527" s="319"/>
      <c r="AF1527" s="162" t="str">
        <f t="shared" si="138"/>
        <v/>
      </c>
      <c r="AG1527" s="162" t="str">
        <f t="shared" si="137"/>
        <v/>
      </c>
      <c r="AH1527" s="164">
        <f t="shared" si="133"/>
        <v>2.46</v>
      </c>
      <c r="AI1527" s="164" t="str">
        <f t="shared" si="134"/>
        <v/>
      </c>
      <c r="AJ1527" s="375"/>
      <c r="AK1527" s="375"/>
      <c r="AL1527" s="375"/>
      <c r="AM1527" s="375"/>
      <c r="AN1527" s="375"/>
      <c r="AO1527" s="375"/>
      <c r="AP1527" s="375"/>
      <c r="AQ1527" s="375"/>
      <c r="AR1527" s="391"/>
      <c r="AS1527" s="276"/>
      <c r="AT1527" s="277"/>
      <c r="AU1527" s="391"/>
      <c r="AV1527" s="422"/>
      <c r="AW1527" s="436">
        <v>2.46</v>
      </c>
      <c r="AX1527" s="359"/>
      <c r="AY1527" s="359"/>
      <c r="AZ1527" s="359"/>
      <c r="BA1527" s="359"/>
      <c r="BB1527" s="359"/>
      <c r="BC1527" s="426"/>
      <c r="BD1527" s="359"/>
      <c r="BE1527" s="359"/>
      <c r="BF1527" s="469">
        <f t="shared" si="139"/>
        <v>2.46</v>
      </c>
      <c r="BG1527" s="469"/>
      <c r="BH1527" s="460"/>
      <c r="BI1527" s="461"/>
      <c r="BJ1527" s="505"/>
    </row>
    <row r="1528" spans="1:62" ht="15" customHeight="1" thickBot="1" x14ac:dyDescent="0.25">
      <c r="A1528" s="176">
        <v>1529</v>
      </c>
      <c r="B1528" s="291">
        <v>1</v>
      </c>
      <c r="C1528" s="167" t="s">
        <v>162</v>
      </c>
      <c r="D1528" s="167" t="s">
        <v>2057</v>
      </c>
      <c r="E1528" s="167"/>
      <c r="F1528" s="167"/>
      <c r="G1528" s="167"/>
      <c r="H1528" s="167" t="s">
        <v>55</v>
      </c>
      <c r="I1528" s="184">
        <v>2010</v>
      </c>
      <c r="J1528" s="181" t="s">
        <v>3810</v>
      </c>
      <c r="K1528" s="184"/>
      <c r="L1528" s="184" t="s">
        <v>19</v>
      </c>
      <c r="M1528" s="556" t="s">
        <v>4380</v>
      </c>
      <c r="N1528" s="214" t="s">
        <v>122</v>
      </c>
      <c r="O1528" s="214" t="s">
        <v>292</v>
      </c>
      <c r="P1528" s="214" t="s">
        <v>292</v>
      </c>
      <c r="Q1528" s="214" t="s">
        <v>292</v>
      </c>
      <c r="R1528" s="214" t="s">
        <v>292</v>
      </c>
      <c r="S1528" s="214" t="s">
        <v>292</v>
      </c>
      <c r="T1528" s="214" t="s">
        <v>292</v>
      </c>
      <c r="U1528" s="214" t="s">
        <v>292</v>
      </c>
      <c r="V1528" s="214" t="s">
        <v>292</v>
      </c>
      <c r="W1528" s="214" t="s">
        <v>292</v>
      </c>
      <c r="X1528" s="214" t="s">
        <v>292</v>
      </c>
      <c r="Y1528" s="214" t="s">
        <v>122</v>
      </c>
      <c r="Z1528" s="234"/>
      <c r="AA1528" s="234"/>
      <c r="AB1528" s="234"/>
      <c r="AC1528" s="234"/>
      <c r="AD1528" s="319" t="s">
        <v>3811</v>
      </c>
      <c r="AE1528" s="319"/>
      <c r="AF1528" s="162" t="str">
        <f t="shared" si="138"/>
        <v/>
      </c>
      <c r="AG1528" s="162" t="str">
        <f t="shared" si="137"/>
        <v/>
      </c>
      <c r="AH1528" s="164">
        <f t="shared" si="133"/>
        <v>0.32</v>
      </c>
      <c r="AI1528" s="164" t="str">
        <f t="shared" si="134"/>
        <v/>
      </c>
      <c r="AJ1528" s="375"/>
      <c r="AK1528" s="375"/>
      <c r="AL1528" s="375"/>
      <c r="AM1528" s="375"/>
      <c r="AN1528" s="375"/>
      <c r="AO1528" s="375"/>
      <c r="AP1528" s="375"/>
      <c r="AQ1528" s="375"/>
      <c r="AR1528" s="391"/>
      <c r="AS1528" s="276"/>
      <c r="AT1528" s="277"/>
      <c r="AU1528" s="391"/>
      <c r="AV1528" s="422"/>
      <c r="AW1528" s="436">
        <v>0.32</v>
      </c>
      <c r="AX1528" s="359"/>
      <c r="AY1528" s="359"/>
      <c r="AZ1528" s="359"/>
      <c r="BA1528" s="359"/>
      <c r="BB1528" s="359"/>
      <c r="BC1528" s="426"/>
      <c r="BD1528" s="359"/>
      <c r="BE1528" s="359"/>
      <c r="BF1528" s="469">
        <f t="shared" si="139"/>
        <v>0.32</v>
      </c>
      <c r="BG1528" s="469"/>
      <c r="BH1528" s="460"/>
      <c r="BI1528" s="461"/>
      <c r="BJ1528" s="505"/>
    </row>
    <row r="1529" spans="1:62" ht="15" customHeight="1" thickBot="1" x14ac:dyDescent="0.25">
      <c r="A1529" s="176">
        <v>1530</v>
      </c>
      <c r="B1529" s="291">
        <v>1</v>
      </c>
      <c r="C1529" s="167" t="s">
        <v>162</v>
      </c>
      <c r="D1529" s="167" t="s">
        <v>3819</v>
      </c>
      <c r="E1529" s="167"/>
      <c r="F1529" s="167"/>
      <c r="G1529" s="167"/>
      <c r="H1529" s="167" t="s">
        <v>55</v>
      </c>
      <c r="I1529" s="184">
        <v>2010</v>
      </c>
      <c r="J1529" s="181" t="s">
        <v>3810</v>
      </c>
      <c r="K1529" s="184"/>
      <c r="L1529" s="184" t="s">
        <v>19</v>
      </c>
      <c r="M1529" s="556" t="s">
        <v>4380</v>
      </c>
      <c r="N1529" s="214" t="s">
        <v>122</v>
      </c>
      <c r="O1529" s="214" t="s">
        <v>292</v>
      </c>
      <c r="P1529" s="214" t="s">
        <v>292</v>
      </c>
      <c r="Q1529" s="214" t="s">
        <v>292</v>
      </c>
      <c r="R1529" s="214" t="s">
        <v>292</v>
      </c>
      <c r="S1529" s="214" t="s">
        <v>292</v>
      </c>
      <c r="T1529" s="214" t="s">
        <v>292</v>
      </c>
      <c r="U1529" s="214" t="s">
        <v>292</v>
      </c>
      <c r="V1529" s="214" t="s">
        <v>292</v>
      </c>
      <c r="W1529" s="214" t="s">
        <v>292</v>
      </c>
      <c r="X1529" s="214" t="s">
        <v>292</v>
      </c>
      <c r="Y1529" s="214" t="s">
        <v>122</v>
      </c>
      <c r="Z1529" s="234"/>
      <c r="AA1529" s="234"/>
      <c r="AB1529" s="234"/>
      <c r="AC1529" s="234"/>
      <c r="AD1529" s="319" t="s">
        <v>3811</v>
      </c>
      <c r="AE1529" s="319"/>
      <c r="AF1529" s="162" t="str">
        <f t="shared" si="138"/>
        <v/>
      </c>
      <c r="AG1529" s="162" t="str">
        <f t="shared" si="137"/>
        <v/>
      </c>
      <c r="AH1529" s="164">
        <f t="shared" si="133"/>
        <v>0.25</v>
      </c>
      <c r="AI1529" s="164" t="str">
        <f t="shared" si="134"/>
        <v/>
      </c>
      <c r="AJ1529" s="375"/>
      <c r="AK1529" s="375"/>
      <c r="AL1529" s="375"/>
      <c r="AM1529" s="375"/>
      <c r="AN1529" s="375"/>
      <c r="AO1529" s="375"/>
      <c r="AP1529" s="375"/>
      <c r="AQ1529" s="375"/>
      <c r="AR1529" s="391"/>
      <c r="AS1529" s="276"/>
      <c r="AT1529" s="277"/>
      <c r="AU1529" s="391"/>
      <c r="AV1529" s="422"/>
      <c r="AW1529" s="436">
        <v>0.25</v>
      </c>
      <c r="AX1529" s="359"/>
      <c r="AY1529" s="359"/>
      <c r="AZ1529" s="359"/>
      <c r="BA1529" s="359"/>
      <c r="BB1529" s="359"/>
      <c r="BC1529" s="426"/>
      <c r="BD1529" s="359"/>
      <c r="BE1529" s="359"/>
      <c r="BF1529" s="469">
        <f t="shared" si="139"/>
        <v>0.25</v>
      </c>
      <c r="BG1529" s="469"/>
      <c r="BH1529" s="460"/>
      <c r="BI1529" s="461"/>
      <c r="BJ1529" s="505"/>
    </row>
    <row r="1530" spans="1:62" ht="15" customHeight="1" thickBot="1" x14ac:dyDescent="0.25">
      <c r="A1530" s="176">
        <v>1531</v>
      </c>
      <c r="B1530" s="291">
        <v>1</v>
      </c>
      <c r="C1530" s="167" t="s">
        <v>236</v>
      </c>
      <c r="D1530" s="167" t="s">
        <v>3820</v>
      </c>
      <c r="E1530" s="167"/>
      <c r="F1530" s="167"/>
      <c r="G1530" s="167"/>
      <c r="H1530" s="167" t="s">
        <v>55</v>
      </c>
      <c r="I1530" s="184">
        <v>2010</v>
      </c>
      <c r="J1530" s="181" t="s">
        <v>3810</v>
      </c>
      <c r="K1530" s="184"/>
      <c r="L1530" s="184" t="s">
        <v>19</v>
      </c>
      <c r="M1530" s="556" t="s">
        <v>4380</v>
      </c>
      <c r="N1530" s="214" t="s">
        <v>122</v>
      </c>
      <c r="O1530" s="214" t="s">
        <v>292</v>
      </c>
      <c r="P1530" s="214" t="s">
        <v>292</v>
      </c>
      <c r="Q1530" s="214" t="s">
        <v>292</v>
      </c>
      <c r="R1530" s="214" t="s">
        <v>292</v>
      </c>
      <c r="S1530" s="214" t="s">
        <v>292</v>
      </c>
      <c r="T1530" s="214" t="s">
        <v>292</v>
      </c>
      <c r="U1530" s="214" t="s">
        <v>292</v>
      </c>
      <c r="V1530" s="214" t="s">
        <v>292</v>
      </c>
      <c r="W1530" s="214" t="s">
        <v>292</v>
      </c>
      <c r="X1530" s="214" t="s">
        <v>292</v>
      </c>
      <c r="Y1530" s="214" t="s">
        <v>122</v>
      </c>
      <c r="Z1530" s="234"/>
      <c r="AA1530" s="234"/>
      <c r="AB1530" s="234"/>
      <c r="AC1530" s="234"/>
      <c r="AD1530" s="319" t="s">
        <v>3811</v>
      </c>
      <c r="AE1530" s="319"/>
      <c r="AF1530" s="162" t="str">
        <f t="shared" si="138"/>
        <v/>
      </c>
      <c r="AG1530" s="162" t="str">
        <f t="shared" si="137"/>
        <v/>
      </c>
      <c r="AH1530" s="164">
        <f t="shared" si="133"/>
        <v>0.38</v>
      </c>
      <c r="AI1530" s="164" t="str">
        <f t="shared" si="134"/>
        <v/>
      </c>
      <c r="AJ1530" s="375"/>
      <c r="AK1530" s="375"/>
      <c r="AL1530" s="375"/>
      <c r="AM1530" s="375"/>
      <c r="AN1530" s="375"/>
      <c r="AO1530" s="375"/>
      <c r="AP1530" s="375"/>
      <c r="AQ1530" s="375"/>
      <c r="AR1530" s="391"/>
      <c r="AS1530" s="276"/>
      <c r="AT1530" s="277"/>
      <c r="AU1530" s="391"/>
      <c r="AV1530" s="422"/>
      <c r="AW1530" s="436">
        <v>0.38</v>
      </c>
      <c r="AX1530" s="359"/>
      <c r="AY1530" s="359"/>
      <c r="AZ1530" s="359"/>
      <c r="BA1530" s="359"/>
      <c r="BB1530" s="359"/>
      <c r="BC1530" s="426"/>
      <c r="BD1530" s="359"/>
      <c r="BE1530" s="359"/>
      <c r="BF1530" s="469">
        <f t="shared" si="139"/>
        <v>0.38</v>
      </c>
      <c r="BG1530" s="469"/>
      <c r="BH1530" s="460"/>
      <c r="BI1530" s="461"/>
      <c r="BJ1530" s="505"/>
    </row>
    <row r="1531" spans="1:62" ht="15" customHeight="1" thickBot="1" x14ac:dyDescent="0.25">
      <c r="A1531" s="176">
        <v>1532</v>
      </c>
      <c r="B1531" s="291">
        <v>1</v>
      </c>
      <c r="C1531" s="167" t="s">
        <v>162</v>
      </c>
      <c r="D1531" s="167" t="s">
        <v>3821</v>
      </c>
      <c r="E1531" s="167"/>
      <c r="F1531" s="167"/>
      <c r="G1531" s="167"/>
      <c r="H1531" s="167" t="s">
        <v>55</v>
      </c>
      <c r="I1531" s="184">
        <v>2010</v>
      </c>
      <c r="J1531" s="181" t="s">
        <v>3810</v>
      </c>
      <c r="K1531" s="184"/>
      <c r="L1531" s="184" t="s">
        <v>19</v>
      </c>
      <c r="M1531" s="556" t="s">
        <v>4380</v>
      </c>
      <c r="N1531" s="214" t="s">
        <v>122</v>
      </c>
      <c r="O1531" s="214" t="s">
        <v>292</v>
      </c>
      <c r="P1531" s="214" t="s">
        <v>292</v>
      </c>
      <c r="Q1531" s="214" t="s">
        <v>292</v>
      </c>
      <c r="R1531" s="214" t="s">
        <v>292</v>
      </c>
      <c r="S1531" s="214" t="s">
        <v>292</v>
      </c>
      <c r="T1531" s="214" t="s">
        <v>292</v>
      </c>
      <c r="U1531" s="214" t="s">
        <v>292</v>
      </c>
      <c r="V1531" s="214" t="s">
        <v>292</v>
      </c>
      <c r="W1531" s="214" t="s">
        <v>292</v>
      </c>
      <c r="X1531" s="214" t="s">
        <v>292</v>
      </c>
      <c r="Y1531" s="214" t="s">
        <v>122</v>
      </c>
      <c r="Z1531" s="234"/>
      <c r="AA1531" s="234"/>
      <c r="AB1531" s="234"/>
      <c r="AC1531" s="234"/>
      <c r="AD1531" s="319" t="s">
        <v>3811</v>
      </c>
      <c r="AE1531" s="319"/>
      <c r="AF1531" s="162" t="str">
        <f t="shared" si="138"/>
        <v/>
      </c>
      <c r="AG1531" s="162" t="str">
        <f t="shared" si="137"/>
        <v/>
      </c>
      <c r="AH1531" s="164">
        <f t="shared" si="133"/>
        <v>0.06</v>
      </c>
      <c r="AI1531" s="164" t="str">
        <f t="shared" si="134"/>
        <v/>
      </c>
      <c r="AJ1531" s="375"/>
      <c r="AK1531" s="375"/>
      <c r="AL1531" s="375"/>
      <c r="AM1531" s="375"/>
      <c r="AN1531" s="375"/>
      <c r="AO1531" s="375"/>
      <c r="AP1531" s="375"/>
      <c r="AQ1531" s="375"/>
      <c r="AR1531" s="391"/>
      <c r="AS1531" s="276"/>
      <c r="AT1531" s="277"/>
      <c r="AU1531" s="391"/>
      <c r="AV1531" s="422"/>
      <c r="AW1531" s="436">
        <v>0.06</v>
      </c>
      <c r="AX1531" s="359"/>
      <c r="AY1531" s="359"/>
      <c r="AZ1531" s="359"/>
      <c r="BA1531" s="359"/>
      <c r="BB1531" s="359"/>
      <c r="BC1531" s="426"/>
      <c r="BD1531" s="359"/>
      <c r="BE1531" s="359"/>
      <c r="BF1531" s="469">
        <f t="shared" si="139"/>
        <v>0.06</v>
      </c>
      <c r="BG1531" s="469"/>
      <c r="BH1531" s="460"/>
      <c r="BI1531" s="461"/>
      <c r="BJ1531" s="505"/>
    </row>
    <row r="1532" spans="1:62" ht="15" customHeight="1" thickBot="1" x14ac:dyDescent="0.25">
      <c r="A1532" s="176">
        <v>1533</v>
      </c>
      <c r="B1532" s="291">
        <v>1</v>
      </c>
      <c r="C1532" s="167" t="s">
        <v>162</v>
      </c>
      <c r="D1532" s="167" t="s">
        <v>872</v>
      </c>
      <c r="E1532" s="167"/>
      <c r="F1532" s="167"/>
      <c r="G1532" s="167"/>
      <c r="H1532" s="167" t="s">
        <v>55</v>
      </c>
      <c r="I1532" s="184">
        <v>2010</v>
      </c>
      <c r="J1532" s="181" t="s">
        <v>3810</v>
      </c>
      <c r="K1532" s="184"/>
      <c r="L1532" s="184" t="s">
        <v>19</v>
      </c>
      <c r="M1532" s="556" t="s">
        <v>4380</v>
      </c>
      <c r="N1532" s="214" t="s">
        <v>122</v>
      </c>
      <c r="O1532" s="214" t="s">
        <v>292</v>
      </c>
      <c r="P1532" s="214" t="s">
        <v>292</v>
      </c>
      <c r="Q1532" s="214" t="s">
        <v>292</v>
      </c>
      <c r="R1532" s="214" t="s">
        <v>292</v>
      </c>
      <c r="S1532" s="214" t="s">
        <v>292</v>
      </c>
      <c r="T1532" s="214" t="s">
        <v>292</v>
      </c>
      <c r="U1532" s="214" t="s">
        <v>292</v>
      </c>
      <c r="V1532" s="214" t="s">
        <v>292</v>
      </c>
      <c r="W1532" s="214" t="s">
        <v>292</v>
      </c>
      <c r="X1532" s="214" t="s">
        <v>292</v>
      </c>
      <c r="Y1532" s="214" t="s">
        <v>122</v>
      </c>
      <c r="Z1532" s="234"/>
      <c r="AA1532" s="234"/>
      <c r="AB1532" s="234"/>
      <c r="AC1532" s="234"/>
      <c r="AD1532" s="319" t="s">
        <v>3811</v>
      </c>
      <c r="AE1532" s="319"/>
      <c r="AF1532" s="162" t="str">
        <f t="shared" si="138"/>
        <v/>
      </c>
      <c r="AG1532" s="162" t="str">
        <f t="shared" si="137"/>
        <v/>
      </c>
      <c r="AH1532" s="164">
        <f t="shared" si="133"/>
        <v>0.21</v>
      </c>
      <c r="AI1532" s="164" t="str">
        <f t="shared" si="134"/>
        <v/>
      </c>
      <c r="AJ1532" s="375"/>
      <c r="AK1532" s="375"/>
      <c r="AL1532" s="375"/>
      <c r="AM1532" s="375"/>
      <c r="AN1532" s="375"/>
      <c r="AO1532" s="375"/>
      <c r="AP1532" s="375"/>
      <c r="AQ1532" s="375"/>
      <c r="AR1532" s="391"/>
      <c r="AS1532" s="276"/>
      <c r="AT1532" s="277"/>
      <c r="AU1532" s="391"/>
      <c r="AV1532" s="422"/>
      <c r="AW1532" s="436">
        <v>0.21</v>
      </c>
      <c r="AX1532" s="359"/>
      <c r="AY1532" s="359"/>
      <c r="AZ1532" s="359"/>
      <c r="BA1532" s="359"/>
      <c r="BB1532" s="359"/>
      <c r="BC1532" s="426"/>
      <c r="BD1532" s="359"/>
      <c r="BE1532" s="359"/>
      <c r="BF1532" s="469">
        <f t="shared" si="139"/>
        <v>0.21</v>
      </c>
      <c r="BG1532" s="469"/>
      <c r="BH1532" s="460"/>
      <c r="BI1532" s="461"/>
      <c r="BJ1532" s="505"/>
    </row>
    <row r="1533" spans="1:62" ht="15" customHeight="1" thickBot="1" x14ac:dyDescent="0.25">
      <c r="A1533" s="176">
        <v>1534</v>
      </c>
      <c r="B1533" s="291">
        <v>1</v>
      </c>
      <c r="C1533" s="167" t="s">
        <v>162</v>
      </c>
      <c r="D1533" s="167" t="s">
        <v>2206</v>
      </c>
      <c r="E1533" s="167"/>
      <c r="F1533" s="167"/>
      <c r="G1533" s="167"/>
      <c r="H1533" s="167" t="s">
        <v>55</v>
      </c>
      <c r="I1533" s="184">
        <v>2010</v>
      </c>
      <c r="J1533" s="181" t="s">
        <v>3810</v>
      </c>
      <c r="K1533" s="184"/>
      <c r="L1533" s="184" t="s">
        <v>19</v>
      </c>
      <c r="M1533" s="556" t="s">
        <v>4380</v>
      </c>
      <c r="N1533" s="214" t="s">
        <v>122</v>
      </c>
      <c r="O1533" s="214" t="s">
        <v>292</v>
      </c>
      <c r="P1533" s="214" t="s">
        <v>292</v>
      </c>
      <c r="Q1533" s="214" t="s">
        <v>292</v>
      </c>
      <c r="R1533" s="214" t="s">
        <v>292</v>
      </c>
      <c r="S1533" s="214" t="s">
        <v>292</v>
      </c>
      <c r="T1533" s="214" t="s">
        <v>292</v>
      </c>
      <c r="U1533" s="214" t="s">
        <v>292</v>
      </c>
      <c r="V1533" s="214" t="s">
        <v>292</v>
      </c>
      <c r="W1533" s="214" t="s">
        <v>292</v>
      </c>
      <c r="X1533" s="214" t="s">
        <v>292</v>
      </c>
      <c r="Y1533" s="214" t="s">
        <v>122</v>
      </c>
      <c r="Z1533" s="234"/>
      <c r="AA1533" s="234"/>
      <c r="AB1533" s="234"/>
      <c r="AC1533" s="234"/>
      <c r="AD1533" s="319" t="s">
        <v>3811</v>
      </c>
      <c r="AE1533" s="319"/>
      <c r="AF1533" s="162" t="str">
        <f t="shared" si="138"/>
        <v/>
      </c>
      <c r="AG1533" s="162" t="str">
        <f t="shared" si="137"/>
        <v/>
      </c>
      <c r="AH1533" s="164">
        <f t="shared" si="133"/>
        <v>0.27</v>
      </c>
      <c r="AI1533" s="164" t="str">
        <f t="shared" si="134"/>
        <v/>
      </c>
      <c r="AJ1533" s="375"/>
      <c r="AK1533" s="375"/>
      <c r="AL1533" s="375"/>
      <c r="AM1533" s="375"/>
      <c r="AN1533" s="375"/>
      <c r="AO1533" s="375"/>
      <c r="AP1533" s="375"/>
      <c r="AQ1533" s="375"/>
      <c r="AR1533" s="391"/>
      <c r="AS1533" s="276"/>
      <c r="AT1533" s="277"/>
      <c r="AU1533" s="391"/>
      <c r="AV1533" s="422"/>
      <c r="AW1533" s="436">
        <v>0.27</v>
      </c>
      <c r="AX1533" s="359"/>
      <c r="AY1533" s="359"/>
      <c r="AZ1533" s="359"/>
      <c r="BA1533" s="359"/>
      <c r="BB1533" s="359"/>
      <c r="BC1533" s="426"/>
      <c r="BD1533" s="359"/>
      <c r="BE1533" s="359"/>
      <c r="BF1533" s="469">
        <f t="shared" si="139"/>
        <v>0.27</v>
      </c>
      <c r="BG1533" s="469"/>
      <c r="BH1533" s="460"/>
      <c r="BI1533" s="461"/>
      <c r="BJ1533" s="505"/>
    </row>
    <row r="1534" spans="1:62" ht="15" customHeight="1" thickBot="1" x14ac:dyDescent="0.25">
      <c r="A1534" s="176">
        <v>1535</v>
      </c>
      <c r="B1534" s="291">
        <v>1</v>
      </c>
      <c r="C1534" s="167" t="s">
        <v>162</v>
      </c>
      <c r="D1534" s="167" t="s">
        <v>2746</v>
      </c>
      <c r="E1534" s="167"/>
      <c r="F1534" s="167"/>
      <c r="G1534" s="167"/>
      <c r="H1534" s="167" t="s">
        <v>55</v>
      </c>
      <c r="I1534" s="184">
        <v>2010</v>
      </c>
      <c r="J1534" s="181" t="s">
        <v>3810</v>
      </c>
      <c r="K1534" s="184"/>
      <c r="L1534" s="184" t="s">
        <v>19</v>
      </c>
      <c r="M1534" s="556" t="s">
        <v>4380</v>
      </c>
      <c r="N1534" s="214" t="s">
        <v>122</v>
      </c>
      <c r="O1534" s="214" t="s">
        <v>292</v>
      </c>
      <c r="P1534" s="214" t="s">
        <v>292</v>
      </c>
      <c r="Q1534" s="214" t="s">
        <v>292</v>
      </c>
      <c r="R1534" s="214" t="s">
        <v>292</v>
      </c>
      <c r="S1534" s="214" t="s">
        <v>292</v>
      </c>
      <c r="T1534" s="214" t="s">
        <v>292</v>
      </c>
      <c r="U1534" s="214" t="s">
        <v>292</v>
      </c>
      <c r="V1534" s="214" t="s">
        <v>292</v>
      </c>
      <c r="W1534" s="214" t="s">
        <v>292</v>
      </c>
      <c r="X1534" s="214" t="s">
        <v>292</v>
      </c>
      <c r="Y1534" s="214" t="s">
        <v>122</v>
      </c>
      <c r="Z1534" s="234"/>
      <c r="AA1534" s="234"/>
      <c r="AB1534" s="234"/>
      <c r="AC1534" s="234"/>
      <c r="AD1534" s="319" t="s">
        <v>3811</v>
      </c>
      <c r="AE1534" s="319"/>
      <c r="AF1534" s="162" t="str">
        <f t="shared" si="138"/>
        <v/>
      </c>
      <c r="AG1534" s="162" t="str">
        <f t="shared" si="137"/>
        <v/>
      </c>
      <c r="AH1534" s="164">
        <f t="shared" si="133"/>
        <v>0.63</v>
      </c>
      <c r="AI1534" s="164" t="str">
        <f t="shared" si="134"/>
        <v/>
      </c>
      <c r="AJ1534" s="375"/>
      <c r="AK1534" s="375"/>
      <c r="AL1534" s="375"/>
      <c r="AM1534" s="375"/>
      <c r="AN1534" s="375"/>
      <c r="AO1534" s="375"/>
      <c r="AP1534" s="375"/>
      <c r="AQ1534" s="375"/>
      <c r="AR1534" s="391"/>
      <c r="AS1534" s="276"/>
      <c r="AT1534" s="277"/>
      <c r="AU1534" s="391"/>
      <c r="AV1534" s="422"/>
      <c r="AW1534" s="436">
        <v>0.63</v>
      </c>
      <c r="AX1534" s="359"/>
      <c r="AY1534" s="359"/>
      <c r="AZ1534" s="359"/>
      <c r="BA1534" s="359"/>
      <c r="BB1534" s="359"/>
      <c r="BC1534" s="426"/>
      <c r="BD1534" s="359"/>
      <c r="BE1534" s="359"/>
      <c r="BF1534" s="469">
        <f t="shared" si="139"/>
        <v>0.63</v>
      </c>
      <c r="BG1534" s="469"/>
      <c r="BH1534" s="460"/>
      <c r="BI1534" s="461"/>
      <c r="BJ1534" s="505"/>
    </row>
    <row r="1535" spans="1:62" ht="15" customHeight="1" thickBot="1" x14ac:dyDescent="0.25">
      <c r="A1535" s="176">
        <v>1536</v>
      </c>
      <c r="B1535" s="291">
        <v>1</v>
      </c>
      <c r="C1535" s="167" t="s">
        <v>162</v>
      </c>
      <c r="D1535" s="167" t="s">
        <v>3822</v>
      </c>
      <c r="E1535" s="167"/>
      <c r="F1535" s="167"/>
      <c r="G1535" s="167"/>
      <c r="H1535" s="167" t="s">
        <v>55</v>
      </c>
      <c r="I1535" s="184">
        <v>2010</v>
      </c>
      <c r="J1535" s="181" t="s">
        <v>3810</v>
      </c>
      <c r="K1535" s="184"/>
      <c r="L1535" s="184" t="s">
        <v>19</v>
      </c>
      <c r="M1535" s="556" t="s">
        <v>4380</v>
      </c>
      <c r="N1535" s="214" t="s">
        <v>122</v>
      </c>
      <c r="O1535" s="214" t="s">
        <v>292</v>
      </c>
      <c r="P1535" s="214" t="s">
        <v>292</v>
      </c>
      <c r="Q1535" s="214" t="s">
        <v>292</v>
      </c>
      <c r="R1535" s="214" t="s">
        <v>292</v>
      </c>
      <c r="S1535" s="214" t="s">
        <v>292</v>
      </c>
      <c r="T1535" s="214" t="s">
        <v>292</v>
      </c>
      <c r="U1535" s="214" t="s">
        <v>292</v>
      </c>
      <c r="V1535" s="214" t="s">
        <v>292</v>
      </c>
      <c r="W1535" s="214" t="s">
        <v>292</v>
      </c>
      <c r="X1535" s="214" t="s">
        <v>292</v>
      </c>
      <c r="Y1535" s="214" t="s">
        <v>122</v>
      </c>
      <c r="Z1535" s="234"/>
      <c r="AA1535" s="234"/>
      <c r="AB1535" s="234"/>
      <c r="AC1535" s="234"/>
      <c r="AD1535" s="319" t="s">
        <v>3811</v>
      </c>
      <c r="AE1535" s="319"/>
      <c r="AF1535" s="162" t="str">
        <f t="shared" si="138"/>
        <v/>
      </c>
      <c r="AG1535" s="162" t="str">
        <f t="shared" si="137"/>
        <v/>
      </c>
      <c r="AH1535" s="164">
        <f t="shared" si="133"/>
        <v>1.38</v>
      </c>
      <c r="AI1535" s="164" t="str">
        <f t="shared" si="134"/>
        <v/>
      </c>
      <c r="AJ1535" s="375"/>
      <c r="AK1535" s="375"/>
      <c r="AL1535" s="375"/>
      <c r="AM1535" s="375"/>
      <c r="AN1535" s="375"/>
      <c r="AO1535" s="375"/>
      <c r="AP1535" s="375"/>
      <c r="AQ1535" s="375"/>
      <c r="AR1535" s="391"/>
      <c r="AS1535" s="276"/>
      <c r="AT1535" s="277"/>
      <c r="AU1535" s="391"/>
      <c r="AV1535" s="422"/>
      <c r="AW1535" s="436">
        <v>1.38</v>
      </c>
      <c r="AX1535" s="359"/>
      <c r="AY1535" s="359"/>
      <c r="AZ1535" s="359"/>
      <c r="BA1535" s="359"/>
      <c r="BB1535" s="359"/>
      <c r="BC1535" s="426"/>
      <c r="BD1535" s="359"/>
      <c r="BE1535" s="359"/>
      <c r="BF1535" s="469">
        <f t="shared" si="139"/>
        <v>1.38</v>
      </c>
      <c r="BG1535" s="469"/>
      <c r="BH1535" s="460"/>
      <c r="BI1535" s="461"/>
      <c r="BJ1535" s="505"/>
    </row>
    <row r="1536" spans="1:62" ht="15" customHeight="1" thickBot="1" x14ac:dyDescent="0.25">
      <c r="A1536" s="176">
        <v>1537</v>
      </c>
      <c r="B1536" s="291">
        <v>1</v>
      </c>
      <c r="C1536" s="167" t="s">
        <v>162</v>
      </c>
      <c r="D1536" s="167" t="s">
        <v>839</v>
      </c>
      <c r="E1536" s="167"/>
      <c r="F1536" s="167"/>
      <c r="G1536" s="167"/>
      <c r="H1536" s="167" t="s">
        <v>55</v>
      </c>
      <c r="I1536" s="184">
        <v>2010</v>
      </c>
      <c r="J1536" s="181" t="s">
        <v>3810</v>
      </c>
      <c r="K1536" s="184"/>
      <c r="L1536" s="184" t="s">
        <v>19</v>
      </c>
      <c r="M1536" s="556" t="s">
        <v>4380</v>
      </c>
      <c r="N1536" s="214" t="s">
        <v>122</v>
      </c>
      <c r="O1536" s="214" t="s">
        <v>292</v>
      </c>
      <c r="P1536" s="214" t="s">
        <v>292</v>
      </c>
      <c r="Q1536" s="214" t="s">
        <v>292</v>
      </c>
      <c r="R1536" s="214" t="s">
        <v>292</v>
      </c>
      <c r="S1536" s="214" t="s">
        <v>292</v>
      </c>
      <c r="T1536" s="214" t="s">
        <v>292</v>
      </c>
      <c r="U1536" s="214" t="s">
        <v>292</v>
      </c>
      <c r="V1536" s="214" t="s">
        <v>292</v>
      </c>
      <c r="W1536" s="214" t="s">
        <v>292</v>
      </c>
      <c r="X1536" s="214" t="s">
        <v>292</v>
      </c>
      <c r="Y1536" s="214" t="s">
        <v>122</v>
      </c>
      <c r="Z1536" s="234"/>
      <c r="AA1536" s="234"/>
      <c r="AB1536" s="234"/>
      <c r="AC1536" s="234"/>
      <c r="AD1536" s="319" t="s">
        <v>3811</v>
      </c>
      <c r="AE1536" s="319"/>
      <c r="AF1536" s="162" t="str">
        <f t="shared" si="138"/>
        <v/>
      </c>
      <c r="AG1536" s="162" t="str">
        <f t="shared" si="137"/>
        <v/>
      </c>
      <c r="AH1536" s="164">
        <f t="shared" si="133"/>
        <v>0.22</v>
      </c>
      <c r="AI1536" s="164" t="str">
        <f t="shared" si="134"/>
        <v/>
      </c>
      <c r="AJ1536" s="375"/>
      <c r="AK1536" s="375"/>
      <c r="AL1536" s="375"/>
      <c r="AM1536" s="375"/>
      <c r="AN1536" s="375"/>
      <c r="AO1536" s="375"/>
      <c r="AP1536" s="375"/>
      <c r="AQ1536" s="375"/>
      <c r="AR1536" s="391"/>
      <c r="AS1536" s="276"/>
      <c r="AT1536" s="277"/>
      <c r="AU1536" s="391"/>
      <c r="AV1536" s="422"/>
      <c r="AW1536" s="436">
        <v>0.22</v>
      </c>
      <c r="AX1536" s="359"/>
      <c r="AY1536" s="359"/>
      <c r="AZ1536" s="359"/>
      <c r="BA1536" s="359"/>
      <c r="BB1536" s="359"/>
      <c r="BC1536" s="426"/>
      <c r="BD1536" s="359"/>
      <c r="BE1536" s="359"/>
      <c r="BF1536" s="469">
        <f t="shared" si="139"/>
        <v>0.22</v>
      </c>
      <c r="BG1536" s="469"/>
      <c r="BH1536" s="460"/>
      <c r="BI1536" s="461"/>
      <c r="BJ1536" s="505"/>
    </row>
    <row r="1537" spans="1:62" ht="15" customHeight="1" thickBot="1" x14ac:dyDescent="0.25">
      <c r="A1537" s="176">
        <v>1538</v>
      </c>
      <c r="B1537" s="291">
        <v>1</v>
      </c>
      <c r="C1537" s="167" t="s">
        <v>162</v>
      </c>
      <c r="D1537" s="167" t="s">
        <v>3823</v>
      </c>
      <c r="E1537" s="167"/>
      <c r="F1537" s="167"/>
      <c r="G1537" s="167"/>
      <c r="H1537" s="167" t="s">
        <v>55</v>
      </c>
      <c r="I1537" s="184">
        <v>2010</v>
      </c>
      <c r="J1537" s="181" t="s">
        <v>3810</v>
      </c>
      <c r="K1537" s="184"/>
      <c r="L1537" s="184" t="s">
        <v>19</v>
      </c>
      <c r="M1537" s="556" t="s">
        <v>4380</v>
      </c>
      <c r="N1537" s="214" t="s">
        <v>122</v>
      </c>
      <c r="O1537" s="214" t="s">
        <v>292</v>
      </c>
      <c r="P1537" s="214" t="s">
        <v>292</v>
      </c>
      <c r="Q1537" s="214" t="s">
        <v>292</v>
      </c>
      <c r="R1537" s="214" t="s">
        <v>292</v>
      </c>
      <c r="S1537" s="214" t="s">
        <v>292</v>
      </c>
      <c r="T1537" s="214" t="s">
        <v>292</v>
      </c>
      <c r="U1537" s="214" t="s">
        <v>292</v>
      </c>
      <c r="V1537" s="214" t="s">
        <v>292</v>
      </c>
      <c r="W1537" s="214" t="s">
        <v>292</v>
      </c>
      <c r="X1537" s="214" t="s">
        <v>292</v>
      </c>
      <c r="Y1537" s="214" t="s">
        <v>122</v>
      </c>
      <c r="Z1537" s="234"/>
      <c r="AA1537" s="234"/>
      <c r="AB1537" s="234"/>
      <c r="AC1537" s="234"/>
      <c r="AD1537" s="319" t="s">
        <v>3811</v>
      </c>
      <c r="AE1537" s="319"/>
      <c r="AF1537" s="162" t="str">
        <f t="shared" si="138"/>
        <v/>
      </c>
      <c r="AG1537" s="162" t="str">
        <f t="shared" si="137"/>
        <v/>
      </c>
      <c r="AH1537" s="164">
        <f t="shared" si="133"/>
        <v>1.17</v>
      </c>
      <c r="AI1537" s="164" t="str">
        <f t="shared" si="134"/>
        <v/>
      </c>
      <c r="AJ1537" s="375"/>
      <c r="AK1537" s="375"/>
      <c r="AL1537" s="375"/>
      <c r="AM1537" s="375"/>
      <c r="AN1537" s="375"/>
      <c r="AO1537" s="375"/>
      <c r="AP1537" s="375"/>
      <c r="AQ1537" s="375"/>
      <c r="AR1537" s="391"/>
      <c r="AS1537" s="276"/>
      <c r="AT1537" s="277"/>
      <c r="AU1537" s="391"/>
      <c r="AV1537" s="422"/>
      <c r="AW1537" s="436">
        <v>1.17</v>
      </c>
      <c r="AX1537" s="359"/>
      <c r="AY1537" s="359"/>
      <c r="AZ1537" s="359"/>
      <c r="BA1537" s="359"/>
      <c r="BB1537" s="359"/>
      <c r="BC1537" s="426"/>
      <c r="BD1537" s="359"/>
      <c r="BE1537" s="359"/>
      <c r="BF1537" s="469">
        <f t="shared" si="139"/>
        <v>1.17</v>
      </c>
      <c r="BG1537" s="469"/>
      <c r="BH1537" s="460"/>
      <c r="BI1537" s="461"/>
      <c r="BJ1537" s="505"/>
    </row>
    <row r="1538" spans="1:62" ht="15" customHeight="1" thickBot="1" x14ac:dyDescent="0.25">
      <c r="A1538" s="176">
        <v>1539</v>
      </c>
      <c r="B1538" s="291">
        <v>1</v>
      </c>
      <c r="C1538" s="167" t="s">
        <v>2933</v>
      </c>
      <c r="D1538" s="167" t="s">
        <v>2745</v>
      </c>
      <c r="E1538" s="167"/>
      <c r="F1538" s="167" t="s">
        <v>3824</v>
      </c>
      <c r="G1538" s="167"/>
      <c r="H1538" s="167" t="s">
        <v>165</v>
      </c>
      <c r="I1538" s="184">
        <v>2010</v>
      </c>
      <c r="J1538" s="181" t="s">
        <v>3825</v>
      </c>
      <c r="K1538" s="184"/>
      <c r="L1538" s="184" t="s">
        <v>19</v>
      </c>
      <c r="M1538" s="556" t="s">
        <v>4381</v>
      </c>
      <c r="N1538" s="214" t="s">
        <v>122</v>
      </c>
      <c r="O1538" s="214" t="s">
        <v>292</v>
      </c>
      <c r="P1538" s="214" t="s">
        <v>292</v>
      </c>
      <c r="Q1538" s="214" t="s">
        <v>292</v>
      </c>
      <c r="R1538" s="214" t="s">
        <v>292</v>
      </c>
      <c r="S1538" s="214" t="s">
        <v>292</v>
      </c>
      <c r="T1538" s="214" t="s">
        <v>292</v>
      </c>
      <c r="U1538" s="214" t="s">
        <v>292</v>
      </c>
      <c r="V1538" s="214" t="s">
        <v>292</v>
      </c>
      <c r="W1538" s="214" t="s">
        <v>292</v>
      </c>
      <c r="X1538" s="214" t="s">
        <v>292</v>
      </c>
      <c r="Y1538" s="214" t="s">
        <v>292</v>
      </c>
      <c r="Z1538" s="234"/>
      <c r="AA1538" s="234"/>
      <c r="AB1538" s="234"/>
      <c r="AC1538" s="234"/>
      <c r="AD1538" s="319" t="s">
        <v>3826</v>
      </c>
      <c r="AE1538" s="319" t="s">
        <v>3827</v>
      </c>
      <c r="AF1538" s="162">
        <f t="shared" si="138"/>
        <v>77.034572414789267</v>
      </c>
      <c r="AG1538" s="162" t="str">
        <f t="shared" si="137"/>
        <v/>
      </c>
      <c r="AH1538" s="164">
        <f t="shared" ref="AH1538:AH1601" si="140">IF(BF1538&lt;&gt;0,BF1538,"")</f>
        <v>41.092410605328567</v>
      </c>
      <c r="AI1538" s="164" t="str">
        <f t="shared" ref="AI1538:AI1601" si="141">IF(AND(SUM(AW1538:AY1538)&lt;&gt;0,SUM(AW1538:AY1538)&lt;&gt;AW1538),SUM(AW1538:AY1538),"")</f>
        <v/>
      </c>
      <c r="AJ1538" s="375">
        <f>30932/1000/0.667/0.602</f>
        <v>77.034572414789267</v>
      </c>
      <c r="AK1538" s="375"/>
      <c r="AL1538" s="375"/>
      <c r="AM1538" s="375"/>
      <c r="AN1538" s="375"/>
      <c r="AO1538" s="375"/>
      <c r="AP1538" s="375"/>
      <c r="AQ1538" s="375"/>
      <c r="AR1538" s="391"/>
      <c r="AS1538" s="276">
        <f t="shared" ref="AS1538:AS1549" si="142">AJ1538</f>
        <v>77.034572414789267</v>
      </c>
      <c r="AT1538" s="277"/>
      <c r="AU1538" s="391"/>
      <c r="AV1538" s="422"/>
      <c r="AW1538" s="436">
        <f>16.5/0.667/0.602</f>
        <v>41.092410605328567</v>
      </c>
      <c r="AX1538" s="359"/>
      <c r="AY1538" s="359"/>
      <c r="AZ1538" s="359"/>
      <c r="BA1538" s="359"/>
      <c r="BB1538" s="359"/>
      <c r="BC1538" s="426"/>
      <c r="BD1538" s="359"/>
      <c r="BE1538" s="359"/>
      <c r="BF1538" s="469">
        <f t="shared" si="139"/>
        <v>41.092410605328567</v>
      </c>
      <c r="BG1538" s="469"/>
      <c r="BH1538" s="460"/>
      <c r="BI1538" s="461"/>
      <c r="BJ1538" s="505"/>
    </row>
    <row r="1539" spans="1:62" ht="15" customHeight="1" thickBot="1" x14ac:dyDescent="0.25">
      <c r="A1539" s="176">
        <v>1540</v>
      </c>
      <c r="B1539" s="291">
        <v>1</v>
      </c>
      <c r="C1539" s="167" t="s">
        <v>2933</v>
      </c>
      <c r="D1539" s="167" t="s">
        <v>2745</v>
      </c>
      <c r="E1539" s="167"/>
      <c r="F1539" s="167" t="s">
        <v>3828</v>
      </c>
      <c r="G1539" s="167"/>
      <c r="H1539" s="167" t="s">
        <v>165</v>
      </c>
      <c r="I1539" s="184">
        <v>2010</v>
      </c>
      <c r="J1539" s="181" t="s">
        <v>3825</v>
      </c>
      <c r="K1539" s="184"/>
      <c r="L1539" s="184" t="s">
        <v>19</v>
      </c>
      <c r="M1539" s="556" t="s">
        <v>4381</v>
      </c>
      <c r="N1539" s="214" t="s">
        <v>122</v>
      </c>
      <c r="O1539" s="214" t="s">
        <v>292</v>
      </c>
      <c r="P1539" s="214" t="s">
        <v>292</v>
      </c>
      <c r="Q1539" s="214" t="s">
        <v>292</v>
      </c>
      <c r="R1539" s="214" t="s">
        <v>292</v>
      </c>
      <c r="S1539" s="214" t="s">
        <v>292</v>
      </c>
      <c r="T1539" s="214" t="s">
        <v>292</v>
      </c>
      <c r="U1539" s="214" t="s">
        <v>292</v>
      </c>
      <c r="V1539" s="214" t="s">
        <v>292</v>
      </c>
      <c r="W1539" s="214" t="s">
        <v>292</v>
      </c>
      <c r="X1539" s="214" t="s">
        <v>292</v>
      </c>
      <c r="Y1539" s="214" t="s">
        <v>292</v>
      </c>
      <c r="Z1539" s="234"/>
      <c r="AA1539" s="234"/>
      <c r="AB1539" s="234"/>
      <c r="AC1539" s="234"/>
      <c r="AD1539" s="319" t="s">
        <v>3826</v>
      </c>
      <c r="AE1539" s="319" t="s">
        <v>3827</v>
      </c>
      <c r="AF1539" s="162">
        <f t="shared" si="138"/>
        <v>73.694880134683487</v>
      </c>
      <c r="AG1539" s="162" t="str">
        <f t="shared" si="137"/>
        <v/>
      </c>
      <c r="AH1539" s="164">
        <f t="shared" si="140"/>
        <v>42.586680081885966</v>
      </c>
      <c r="AI1539" s="164" t="str">
        <f t="shared" si="141"/>
        <v/>
      </c>
      <c r="AJ1539" s="375">
        <f>29591/1000/0.667/0.602</f>
        <v>73.694880134683487</v>
      </c>
      <c r="AK1539" s="375"/>
      <c r="AL1539" s="375"/>
      <c r="AM1539" s="375"/>
      <c r="AN1539" s="375"/>
      <c r="AO1539" s="375"/>
      <c r="AP1539" s="375"/>
      <c r="AQ1539" s="375"/>
      <c r="AR1539" s="391"/>
      <c r="AS1539" s="263">
        <f t="shared" si="142"/>
        <v>73.694880134683487</v>
      </c>
      <c r="AT1539" s="277"/>
      <c r="AU1539" s="391"/>
      <c r="AV1539" s="422"/>
      <c r="AW1539" s="436">
        <f>17.1/0.667/0.602</f>
        <v>42.586680081885966</v>
      </c>
      <c r="AX1539" s="359"/>
      <c r="AY1539" s="359"/>
      <c r="AZ1539" s="359"/>
      <c r="BA1539" s="359"/>
      <c r="BB1539" s="359"/>
      <c r="BC1539" s="426"/>
      <c r="BD1539" s="359"/>
      <c r="BE1539" s="359"/>
      <c r="BF1539" s="469">
        <f t="shared" si="139"/>
        <v>42.586680081885966</v>
      </c>
      <c r="BG1539" s="469"/>
      <c r="BH1539" s="460"/>
      <c r="BI1539" s="461"/>
      <c r="BJ1539" s="505"/>
    </row>
    <row r="1540" spans="1:62" ht="15" customHeight="1" thickBot="1" x14ac:dyDescent="0.25">
      <c r="A1540" s="176">
        <v>1541</v>
      </c>
      <c r="B1540" s="291">
        <v>1</v>
      </c>
      <c r="C1540" s="167" t="s">
        <v>2933</v>
      </c>
      <c r="D1540" s="167" t="s">
        <v>2745</v>
      </c>
      <c r="E1540" s="167"/>
      <c r="F1540" s="167" t="s">
        <v>3829</v>
      </c>
      <c r="G1540" s="167"/>
      <c r="H1540" s="167" t="s">
        <v>165</v>
      </c>
      <c r="I1540" s="184">
        <v>2010</v>
      </c>
      <c r="J1540" s="181" t="s">
        <v>3825</v>
      </c>
      <c r="K1540" s="184"/>
      <c r="L1540" s="184" t="s">
        <v>19</v>
      </c>
      <c r="M1540" s="556" t="s">
        <v>4381</v>
      </c>
      <c r="N1540" s="214" t="s">
        <v>122</v>
      </c>
      <c r="O1540" s="214" t="s">
        <v>292</v>
      </c>
      <c r="P1540" s="214" t="s">
        <v>292</v>
      </c>
      <c r="Q1540" s="214" t="s">
        <v>292</v>
      </c>
      <c r="R1540" s="214" t="s">
        <v>292</v>
      </c>
      <c r="S1540" s="214" t="s">
        <v>292</v>
      </c>
      <c r="T1540" s="214" t="s">
        <v>292</v>
      </c>
      <c r="U1540" s="214" t="s">
        <v>292</v>
      </c>
      <c r="V1540" s="214" t="s">
        <v>292</v>
      </c>
      <c r="W1540" s="214" t="s">
        <v>292</v>
      </c>
      <c r="X1540" s="214" t="s">
        <v>292</v>
      </c>
      <c r="Y1540" s="214" t="s">
        <v>292</v>
      </c>
      <c r="Z1540" s="234"/>
      <c r="AA1540" s="234"/>
      <c r="AB1540" s="234"/>
      <c r="AC1540" s="234"/>
      <c r="AD1540" s="319" t="s">
        <v>3826</v>
      </c>
      <c r="AE1540" s="319" t="s">
        <v>3827</v>
      </c>
      <c r="AF1540" s="162">
        <f t="shared" si="138"/>
        <v>72.110954489532631</v>
      </c>
      <c r="AG1540" s="162" t="str">
        <f t="shared" si="137"/>
        <v/>
      </c>
      <c r="AH1540" s="164">
        <f t="shared" si="140"/>
        <v>37.107692001175486</v>
      </c>
      <c r="AI1540" s="164" t="str">
        <f t="shared" si="141"/>
        <v/>
      </c>
      <c r="AJ1540" s="375">
        <f>28955/1000/0.667/0.602</f>
        <v>72.110954489532631</v>
      </c>
      <c r="AK1540" s="375"/>
      <c r="AL1540" s="375"/>
      <c r="AM1540" s="375"/>
      <c r="AN1540" s="375"/>
      <c r="AO1540" s="375"/>
      <c r="AP1540" s="375"/>
      <c r="AQ1540" s="375"/>
      <c r="AR1540" s="391"/>
      <c r="AS1540" s="263">
        <f t="shared" si="142"/>
        <v>72.110954489532631</v>
      </c>
      <c r="AT1540" s="277"/>
      <c r="AU1540" s="391"/>
      <c r="AV1540" s="422"/>
      <c r="AW1540" s="436">
        <f>14.9/0.667/0.602</f>
        <v>37.107692001175486</v>
      </c>
      <c r="AX1540" s="359"/>
      <c r="AY1540" s="359"/>
      <c r="AZ1540" s="359"/>
      <c r="BA1540" s="359"/>
      <c r="BB1540" s="359"/>
      <c r="BC1540" s="426"/>
      <c r="BD1540" s="359"/>
      <c r="BE1540" s="359"/>
      <c r="BF1540" s="469">
        <f t="shared" si="139"/>
        <v>37.107692001175486</v>
      </c>
      <c r="BG1540" s="469"/>
      <c r="BH1540" s="460"/>
      <c r="BI1540" s="461"/>
      <c r="BJ1540" s="505"/>
    </row>
    <row r="1541" spans="1:62" ht="15" customHeight="1" thickBot="1" x14ac:dyDescent="0.25">
      <c r="A1541" s="176">
        <v>1542</v>
      </c>
      <c r="B1541" s="291">
        <v>1</v>
      </c>
      <c r="C1541" s="167" t="s">
        <v>2933</v>
      </c>
      <c r="D1541" s="167" t="s">
        <v>2745</v>
      </c>
      <c r="E1541" s="167"/>
      <c r="F1541" s="167" t="s">
        <v>3830</v>
      </c>
      <c r="G1541" s="167"/>
      <c r="H1541" s="167" t="s">
        <v>165</v>
      </c>
      <c r="I1541" s="184">
        <v>2010</v>
      </c>
      <c r="J1541" s="181" t="s">
        <v>3825</v>
      </c>
      <c r="K1541" s="184"/>
      <c r="L1541" s="184" t="s">
        <v>19</v>
      </c>
      <c r="M1541" s="556" t="s">
        <v>4381</v>
      </c>
      <c r="N1541" s="214" t="s">
        <v>122</v>
      </c>
      <c r="O1541" s="214" t="s">
        <v>292</v>
      </c>
      <c r="P1541" s="214" t="s">
        <v>292</v>
      </c>
      <c r="Q1541" s="214" t="s">
        <v>292</v>
      </c>
      <c r="R1541" s="214" t="s">
        <v>292</v>
      </c>
      <c r="S1541" s="214" t="s">
        <v>292</v>
      </c>
      <c r="T1541" s="214" t="s">
        <v>292</v>
      </c>
      <c r="U1541" s="214" t="s">
        <v>292</v>
      </c>
      <c r="V1541" s="214" t="s">
        <v>292</v>
      </c>
      <c r="W1541" s="214" t="s">
        <v>292</v>
      </c>
      <c r="X1541" s="214" t="s">
        <v>292</v>
      </c>
      <c r="Y1541" s="214" t="s">
        <v>292</v>
      </c>
      <c r="Z1541" s="234"/>
      <c r="AA1541" s="234"/>
      <c r="AB1541" s="234"/>
      <c r="AC1541" s="234"/>
      <c r="AD1541" s="319" t="s">
        <v>3826</v>
      </c>
      <c r="AE1541" s="319" t="s">
        <v>3827</v>
      </c>
      <c r="AF1541" s="162">
        <f t="shared" si="138"/>
        <v>66.497482155932005</v>
      </c>
      <c r="AG1541" s="162" t="str">
        <f t="shared" si="137"/>
        <v/>
      </c>
      <c r="AH1541" s="164">
        <f t="shared" si="140"/>
        <v>36.360557262896791</v>
      </c>
      <c r="AI1541" s="164" t="str">
        <f t="shared" si="141"/>
        <v/>
      </c>
      <c r="AJ1541" s="375">
        <f>26701/1000/0.667/0.602</f>
        <v>66.497482155932005</v>
      </c>
      <c r="AK1541" s="375"/>
      <c r="AL1541" s="375"/>
      <c r="AM1541" s="375"/>
      <c r="AN1541" s="375"/>
      <c r="AO1541" s="375"/>
      <c r="AP1541" s="375"/>
      <c r="AQ1541" s="375"/>
      <c r="AR1541" s="391"/>
      <c r="AS1541" s="263">
        <f t="shared" si="142"/>
        <v>66.497482155932005</v>
      </c>
      <c r="AT1541" s="277"/>
      <c r="AU1541" s="391"/>
      <c r="AV1541" s="422"/>
      <c r="AW1541" s="436">
        <f>14.6/0.667/0.602</f>
        <v>36.360557262896791</v>
      </c>
      <c r="AX1541" s="359"/>
      <c r="AY1541" s="359"/>
      <c r="AZ1541" s="359"/>
      <c r="BA1541" s="359"/>
      <c r="BB1541" s="359"/>
      <c r="BC1541" s="426"/>
      <c r="BD1541" s="359"/>
      <c r="BE1541" s="359"/>
      <c r="BF1541" s="469">
        <f t="shared" si="139"/>
        <v>36.360557262896791</v>
      </c>
      <c r="BG1541" s="469"/>
      <c r="BH1541" s="460"/>
      <c r="BI1541" s="461"/>
      <c r="BJ1541" s="505"/>
    </row>
    <row r="1542" spans="1:62" ht="15" customHeight="1" thickBot="1" x14ac:dyDescent="0.25">
      <c r="A1542" s="176">
        <v>1543</v>
      </c>
      <c r="B1542" s="291">
        <v>1</v>
      </c>
      <c r="C1542" s="167" t="s">
        <v>2933</v>
      </c>
      <c r="D1542" s="167" t="s">
        <v>2745</v>
      </c>
      <c r="E1542" s="167"/>
      <c r="F1542" s="167" t="s">
        <v>3831</v>
      </c>
      <c r="G1542" s="167"/>
      <c r="H1542" s="167" t="s">
        <v>165</v>
      </c>
      <c r="I1542" s="184">
        <v>2010</v>
      </c>
      <c r="J1542" s="181" t="s">
        <v>3825</v>
      </c>
      <c r="K1542" s="184"/>
      <c r="L1542" s="184" t="s">
        <v>19</v>
      </c>
      <c r="M1542" s="556" t="s">
        <v>4381</v>
      </c>
      <c r="N1542" s="214" t="s">
        <v>122</v>
      </c>
      <c r="O1542" s="214" t="s">
        <v>292</v>
      </c>
      <c r="P1542" s="214" t="s">
        <v>292</v>
      </c>
      <c r="Q1542" s="214" t="s">
        <v>292</v>
      </c>
      <c r="R1542" s="214" t="s">
        <v>292</v>
      </c>
      <c r="S1542" s="214" t="s">
        <v>292</v>
      </c>
      <c r="T1542" s="214" t="s">
        <v>292</v>
      </c>
      <c r="U1542" s="214" t="s">
        <v>292</v>
      </c>
      <c r="V1542" s="214" t="s">
        <v>292</v>
      </c>
      <c r="W1542" s="214" t="s">
        <v>292</v>
      </c>
      <c r="X1542" s="214" t="s">
        <v>292</v>
      </c>
      <c r="Y1542" s="214" t="s">
        <v>292</v>
      </c>
      <c r="Z1542" s="234"/>
      <c r="AA1542" s="234"/>
      <c r="AB1542" s="234"/>
      <c r="AC1542" s="234"/>
      <c r="AD1542" s="319" t="s">
        <v>3826</v>
      </c>
      <c r="AE1542" s="319" t="s">
        <v>3827</v>
      </c>
      <c r="AF1542" s="162">
        <f t="shared" si="138"/>
        <v>75.632449555952917</v>
      </c>
      <c r="AG1542" s="162" t="str">
        <f t="shared" si="137"/>
        <v/>
      </c>
      <c r="AH1542" s="164">
        <f t="shared" si="140"/>
        <v>47.318533424317742</v>
      </c>
      <c r="AI1542" s="164" t="str">
        <f t="shared" si="141"/>
        <v/>
      </c>
      <c r="AJ1542" s="375">
        <f>30369/1000/0.667/0.602</f>
        <v>75.632449555952917</v>
      </c>
      <c r="AK1542" s="375"/>
      <c r="AL1542" s="375"/>
      <c r="AM1542" s="375"/>
      <c r="AN1542" s="375"/>
      <c r="AO1542" s="375"/>
      <c r="AP1542" s="375"/>
      <c r="AQ1542" s="375"/>
      <c r="AR1542" s="391"/>
      <c r="AS1542" s="263">
        <f t="shared" si="142"/>
        <v>75.632449555952917</v>
      </c>
      <c r="AT1542" s="277"/>
      <c r="AU1542" s="391"/>
      <c r="AV1542" s="422"/>
      <c r="AW1542" s="436">
        <f>19/0.667/0.602</f>
        <v>47.318533424317742</v>
      </c>
      <c r="AX1542" s="359"/>
      <c r="AY1542" s="359"/>
      <c r="AZ1542" s="359"/>
      <c r="BA1542" s="359"/>
      <c r="BB1542" s="359"/>
      <c r="BC1542" s="426"/>
      <c r="BD1542" s="359"/>
      <c r="BE1542" s="359"/>
      <c r="BF1542" s="469">
        <f t="shared" si="139"/>
        <v>47.318533424317742</v>
      </c>
      <c r="BG1542" s="469"/>
      <c r="BH1542" s="460"/>
      <c r="BI1542" s="461"/>
      <c r="BJ1542" s="505"/>
    </row>
    <row r="1543" spans="1:62" ht="15" customHeight="1" thickBot="1" x14ac:dyDescent="0.25">
      <c r="A1543" s="176">
        <v>1544</v>
      </c>
      <c r="B1543" s="291">
        <v>1</v>
      </c>
      <c r="C1543" s="167" t="s">
        <v>259</v>
      </c>
      <c r="D1543" s="167" t="s">
        <v>3832</v>
      </c>
      <c r="E1543" s="167"/>
      <c r="F1543" s="167" t="s">
        <v>3833</v>
      </c>
      <c r="G1543" s="167"/>
      <c r="H1543" s="167" t="s">
        <v>108</v>
      </c>
      <c r="I1543" s="184">
        <v>2010</v>
      </c>
      <c r="J1543" s="181" t="s">
        <v>3834</v>
      </c>
      <c r="K1543" s="184"/>
      <c r="L1543" s="184" t="s">
        <v>19</v>
      </c>
      <c r="M1543" s="556" t="s">
        <v>4280</v>
      </c>
      <c r="N1543" s="214" t="s">
        <v>122</v>
      </c>
      <c r="O1543" s="214" t="s">
        <v>292</v>
      </c>
      <c r="P1543" s="214" t="s">
        <v>292</v>
      </c>
      <c r="Q1543" s="214" t="s">
        <v>292</v>
      </c>
      <c r="R1543" s="214" t="s">
        <v>292</v>
      </c>
      <c r="S1543" s="214" t="s">
        <v>292</v>
      </c>
      <c r="T1543" s="214" t="s">
        <v>292</v>
      </c>
      <c r="U1543" s="214" t="s">
        <v>292</v>
      </c>
      <c r="V1543" s="214" t="s">
        <v>292</v>
      </c>
      <c r="W1543" s="214" t="s">
        <v>292</v>
      </c>
      <c r="X1543" s="214" t="s">
        <v>292</v>
      </c>
      <c r="Y1543" s="214" t="s">
        <v>292</v>
      </c>
      <c r="Z1543" s="234"/>
      <c r="AA1543" s="234"/>
      <c r="AB1543" s="234"/>
      <c r="AC1543" s="234"/>
      <c r="AD1543" s="319" t="s">
        <v>1410</v>
      </c>
      <c r="AE1543" s="319"/>
      <c r="AF1543" s="162">
        <f t="shared" si="138"/>
        <v>2.4</v>
      </c>
      <c r="AG1543" s="162" t="str">
        <f t="shared" si="137"/>
        <v/>
      </c>
      <c r="AH1543" s="164">
        <f t="shared" si="140"/>
        <v>0.7</v>
      </c>
      <c r="AI1543" s="164" t="str">
        <f t="shared" si="141"/>
        <v/>
      </c>
      <c r="AJ1543" s="375">
        <v>2.4</v>
      </c>
      <c r="AK1543" s="375"/>
      <c r="AL1543" s="375"/>
      <c r="AM1543" s="375"/>
      <c r="AN1543" s="375"/>
      <c r="AO1543" s="375"/>
      <c r="AP1543" s="375"/>
      <c r="AQ1543" s="375"/>
      <c r="AR1543" s="391"/>
      <c r="AS1543" s="263">
        <f t="shared" si="142"/>
        <v>2.4</v>
      </c>
      <c r="AT1543" s="277"/>
      <c r="AU1543" s="391"/>
      <c r="AV1543" s="422"/>
      <c r="AW1543" s="436">
        <v>0.7</v>
      </c>
      <c r="AX1543" s="359"/>
      <c r="AY1543" s="359"/>
      <c r="AZ1543" s="359"/>
      <c r="BA1543" s="359"/>
      <c r="BB1543" s="359"/>
      <c r="BC1543" s="426"/>
      <c r="BD1543" s="359"/>
      <c r="BE1543" s="359"/>
      <c r="BF1543" s="469">
        <f t="shared" si="139"/>
        <v>0.7</v>
      </c>
      <c r="BG1543" s="469"/>
      <c r="BH1543" s="460"/>
      <c r="BI1543" s="461"/>
      <c r="BJ1543" s="505"/>
    </row>
    <row r="1544" spans="1:62" ht="15" customHeight="1" thickBot="1" x14ac:dyDescent="0.25">
      <c r="A1544" s="176">
        <v>1545</v>
      </c>
      <c r="B1544" s="291">
        <v>1</v>
      </c>
      <c r="C1544" s="167" t="s">
        <v>259</v>
      </c>
      <c r="D1544" s="167" t="s">
        <v>3835</v>
      </c>
      <c r="E1544" s="167"/>
      <c r="F1544" s="167" t="s">
        <v>3833</v>
      </c>
      <c r="G1544" s="167"/>
      <c r="H1544" s="167" t="s">
        <v>108</v>
      </c>
      <c r="I1544" s="184">
        <v>2010</v>
      </c>
      <c r="J1544" s="181" t="s">
        <v>3834</v>
      </c>
      <c r="K1544" s="184"/>
      <c r="L1544" s="184" t="s">
        <v>19</v>
      </c>
      <c r="M1544" s="556" t="s">
        <v>4280</v>
      </c>
      <c r="N1544" s="214" t="s">
        <v>122</v>
      </c>
      <c r="O1544" s="214" t="s">
        <v>292</v>
      </c>
      <c r="P1544" s="214" t="s">
        <v>292</v>
      </c>
      <c r="Q1544" s="214" t="s">
        <v>292</v>
      </c>
      <c r="R1544" s="214" t="s">
        <v>292</v>
      </c>
      <c r="S1544" s="214" t="s">
        <v>292</v>
      </c>
      <c r="T1544" s="214" t="s">
        <v>292</v>
      </c>
      <c r="U1544" s="214" t="s">
        <v>292</v>
      </c>
      <c r="V1544" s="214" t="s">
        <v>292</v>
      </c>
      <c r="W1544" s="214" t="s">
        <v>292</v>
      </c>
      <c r="X1544" s="214" t="s">
        <v>292</v>
      </c>
      <c r="Y1544" s="214" t="s">
        <v>292</v>
      </c>
      <c r="Z1544" s="234"/>
      <c r="AA1544" s="234"/>
      <c r="AB1544" s="234"/>
      <c r="AC1544" s="234"/>
      <c r="AD1544" s="319" t="s">
        <v>1410</v>
      </c>
      <c r="AE1544" s="319"/>
      <c r="AF1544" s="162">
        <f t="shared" si="138"/>
        <v>4.9000000000000004</v>
      </c>
      <c r="AG1544" s="162" t="str">
        <f t="shared" si="137"/>
        <v/>
      </c>
      <c r="AH1544" s="164">
        <f t="shared" si="140"/>
        <v>1.4</v>
      </c>
      <c r="AI1544" s="164" t="str">
        <f t="shared" si="141"/>
        <v/>
      </c>
      <c r="AJ1544" s="375">
        <v>4.9000000000000004</v>
      </c>
      <c r="AK1544" s="375"/>
      <c r="AL1544" s="375"/>
      <c r="AM1544" s="375"/>
      <c r="AN1544" s="375"/>
      <c r="AO1544" s="375"/>
      <c r="AP1544" s="375"/>
      <c r="AQ1544" s="375"/>
      <c r="AR1544" s="391"/>
      <c r="AS1544" s="263">
        <f t="shared" si="142"/>
        <v>4.9000000000000004</v>
      </c>
      <c r="AT1544" s="277"/>
      <c r="AU1544" s="391"/>
      <c r="AV1544" s="422"/>
      <c r="AW1544" s="436">
        <v>1.4</v>
      </c>
      <c r="AX1544" s="359"/>
      <c r="AY1544" s="359"/>
      <c r="AZ1544" s="359"/>
      <c r="BA1544" s="359"/>
      <c r="BB1544" s="359"/>
      <c r="BC1544" s="426"/>
      <c r="BD1544" s="359"/>
      <c r="BE1544" s="359"/>
      <c r="BF1544" s="469">
        <f t="shared" si="139"/>
        <v>1.4</v>
      </c>
      <c r="BG1544" s="469"/>
      <c r="BH1544" s="460"/>
      <c r="BI1544" s="461"/>
      <c r="BJ1544" s="505"/>
    </row>
    <row r="1545" spans="1:62" ht="15" customHeight="1" thickBot="1" x14ac:dyDescent="0.25">
      <c r="A1545" s="176">
        <v>1546</v>
      </c>
      <c r="B1545" s="291">
        <v>1</v>
      </c>
      <c r="C1545" s="167" t="s">
        <v>162</v>
      </c>
      <c r="D1545" s="167" t="s">
        <v>2206</v>
      </c>
      <c r="E1545" s="167"/>
      <c r="F1545" s="167" t="s">
        <v>3833</v>
      </c>
      <c r="G1545" s="167"/>
      <c r="H1545" s="167" t="s">
        <v>108</v>
      </c>
      <c r="I1545" s="184">
        <v>2010</v>
      </c>
      <c r="J1545" s="181" t="s">
        <v>3834</v>
      </c>
      <c r="K1545" s="184"/>
      <c r="L1545" s="184" t="s">
        <v>19</v>
      </c>
      <c r="M1545" s="556" t="s">
        <v>4280</v>
      </c>
      <c r="N1545" s="214" t="s">
        <v>122</v>
      </c>
      <c r="O1545" s="214" t="s">
        <v>292</v>
      </c>
      <c r="P1545" s="214" t="s">
        <v>292</v>
      </c>
      <c r="Q1545" s="214" t="s">
        <v>292</v>
      </c>
      <c r="R1545" s="214" t="s">
        <v>292</v>
      </c>
      <c r="S1545" s="214" t="s">
        <v>292</v>
      </c>
      <c r="T1545" s="214" t="s">
        <v>292</v>
      </c>
      <c r="U1545" s="214" t="s">
        <v>292</v>
      </c>
      <c r="V1545" s="214" t="s">
        <v>292</v>
      </c>
      <c r="W1545" s="214" t="s">
        <v>292</v>
      </c>
      <c r="X1545" s="214" t="s">
        <v>292</v>
      </c>
      <c r="Y1545" s="214" t="s">
        <v>292</v>
      </c>
      <c r="Z1545" s="234"/>
      <c r="AA1545" s="234"/>
      <c r="AB1545" s="234"/>
      <c r="AC1545" s="234"/>
      <c r="AD1545" s="319" t="s">
        <v>1410</v>
      </c>
      <c r="AE1545" s="319"/>
      <c r="AF1545" s="162">
        <f t="shared" si="138"/>
        <v>1.4</v>
      </c>
      <c r="AG1545" s="162" t="str">
        <f t="shared" si="137"/>
        <v/>
      </c>
      <c r="AH1545" s="164">
        <f t="shared" si="140"/>
        <v>0.19</v>
      </c>
      <c r="AI1545" s="164" t="str">
        <f t="shared" si="141"/>
        <v/>
      </c>
      <c r="AJ1545" s="375">
        <v>1.4</v>
      </c>
      <c r="AK1545" s="375"/>
      <c r="AL1545" s="375"/>
      <c r="AM1545" s="375"/>
      <c r="AN1545" s="375"/>
      <c r="AO1545" s="375"/>
      <c r="AP1545" s="375"/>
      <c r="AQ1545" s="375"/>
      <c r="AR1545" s="391"/>
      <c r="AS1545" s="263">
        <f t="shared" si="142"/>
        <v>1.4</v>
      </c>
      <c r="AT1545" s="277"/>
      <c r="AU1545" s="391"/>
      <c r="AV1545" s="422"/>
      <c r="AW1545" s="436">
        <v>0.19</v>
      </c>
      <c r="AX1545" s="359"/>
      <c r="AY1545" s="359"/>
      <c r="AZ1545" s="359"/>
      <c r="BA1545" s="359"/>
      <c r="BB1545" s="359"/>
      <c r="BC1545" s="426"/>
      <c r="BD1545" s="359"/>
      <c r="BE1545" s="359"/>
      <c r="BF1545" s="469">
        <f t="shared" si="139"/>
        <v>0.19</v>
      </c>
      <c r="BG1545" s="469"/>
      <c r="BH1545" s="460"/>
      <c r="BI1545" s="461"/>
      <c r="BJ1545" s="505"/>
    </row>
    <row r="1546" spans="1:62" ht="15" customHeight="1" thickBot="1" x14ac:dyDescent="0.25">
      <c r="A1546" s="176">
        <v>1547</v>
      </c>
      <c r="B1546" s="291">
        <v>1</v>
      </c>
      <c r="C1546" s="167" t="s">
        <v>259</v>
      </c>
      <c r="D1546" s="167" t="s">
        <v>3832</v>
      </c>
      <c r="E1546" s="167"/>
      <c r="F1546" s="167" t="s">
        <v>3836</v>
      </c>
      <c r="G1546" s="167"/>
      <c r="H1546" s="167" t="s">
        <v>108</v>
      </c>
      <c r="I1546" s="184">
        <v>2010</v>
      </c>
      <c r="J1546" s="181" t="s">
        <v>3834</v>
      </c>
      <c r="K1546" s="184"/>
      <c r="L1546" s="184" t="s">
        <v>19</v>
      </c>
      <c r="M1546" s="556" t="s">
        <v>4280</v>
      </c>
      <c r="N1546" s="214" t="s">
        <v>122</v>
      </c>
      <c r="O1546" s="214" t="s">
        <v>292</v>
      </c>
      <c r="P1546" s="214" t="s">
        <v>292</v>
      </c>
      <c r="Q1546" s="214" t="s">
        <v>292</v>
      </c>
      <c r="R1546" s="214" t="s">
        <v>292</v>
      </c>
      <c r="S1546" s="214" t="s">
        <v>292</v>
      </c>
      <c r="T1546" s="214" t="s">
        <v>292</v>
      </c>
      <c r="U1546" s="214" t="s">
        <v>292</v>
      </c>
      <c r="V1546" s="214" t="s">
        <v>292</v>
      </c>
      <c r="W1546" s="214" t="s">
        <v>292</v>
      </c>
      <c r="X1546" s="214" t="s">
        <v>292</v>
      </c>
      <c r="Y1546" s="214" t="s">
        <v>292</v>
      </c>
      <c r="Z1546" s="234"/>
      <c r="AA1546" s="234"/>
      <c r="AB1546" s="234"/>
      <c r="AC1546" s="234"/>
      <c r="AD1546" s="319" t="s">
        <v>1410</v>
      </c>
      <c r="AE1546" s="319"/>
      <c r="AF1546" s="162">
        <f t="shared" si="138"/>
        <v>2</v>
      </c>
      <c r="AG1546" s="162" t="str">
        <f t="shared" si="137"/>
        <v/>
      </c>
      <c r="AH1546" s="164">
        <f t="shared" si="140"/>
        <v>0.8</v>
      </c>
      <c r="AI1546" s="164" t="str">
        <f t="shared" si="141"/>
        <v/>
      </c>
      <c r="AJ1546" s="375">
        <v>2</v>
      </c>
      <c r="AK1546" s="375"/>
      <c r="AL1546" s="375"/>
      <c r="AM1546" s="375"/>
      <c r="AN1546" s="375"/>
      <c r="AO1546" s="375"/>
      <c r="AP1546" s="375"/>
      <c r="AQ1546" s="375"/>
      <c r="AR1546" s="391"/>
      <c r="AS1546" s="263">
        <f t="shared" si="142"/>
        <v>2</v>
      </c>
      <c r="AT1546" s="277"/>
      <c r="AU1546" s="391"/>
      <c r="AV1546" s="422"/>
      <c r="AW1546" s="436">
        <v>0.8</v>
      </c>
      <c r="AX1546" s="359"/>
      <c r="AY1546" s="359"/>
      <c r="AZ1546" s="359"/>
      <c r="BA1546" s="359"/>
      <c r="BB1546" s="359"/>
      <c r="BC1546" s="426"/>
      <c r="BD1546" s="359"/>
      <c r="BE1546" s="359"/>
      <c r="BF1546" s="469">
        <f t="shared" si="139"/>
        <v>0.8</v>
      </c>
      <c r="BG1546" s="469"/>
      <c r="BH1546" s="460"/>
      <c r="BI1546" s="461"/>
      <c r="BJ1546" s="505"/>
    </row>
    <row r="1547" spans="1:62" ht="15" customHeight="1" thickBot="1" x14ac:dyDescent="0.25">
      <c r="A1547" s="176">
        <v>1548</v>
      </c>
      <c r="B1547" s="291">
        <v>1</v>
      </c>
      <c r="C1547" s="167" t="s">
        <v>162</v>
      </c>
      <c r="D1547" s="167" t="s">
        <v>2206</v>
      </c>
      <c r="E1547" s="167"/>
      <c r="F1547" s="167" t="s">
        <v>3836</v>
      </c>
      <c r="G1547" s="167"/>
      <c r="H1547" s="167" t="s">
        <v>108</v>
      </c>
      <c r="I1547" s="184">
        <v>2010</v>
      </c>
      <c r="J1547" s="181" t="s">
        <v>3834</v>
      </c>
      <c r="K1547" s="184"/>
      <c r="L1547" s="184" t="s">
        <v>19</v>
      </c>
      <c r="M1547" s="556" t="s">
        <v>4280</v>
      </c>
      <c r="N1547" s="214" t="s">
        <v>122</v>
      </c>
      <c r="O1547" s="214" t="s">
        <v>292</v>
      </c>
      <c r="P1547" s="214" t="s">
        <v>292</v>
      </c>
      <c r="Q1547" s="214" t="s">
        <v>292</v>
      </c>
      <c r="R1547" s="214" t="s">
        <v>292</v>
      </c>
      <c r="S1547" s="214" t="s">
        <v>292</v>
      </c>
      <c r="T1547" s="214" t="s">
        <v>292</v>
      </c>
      <c r="U1547" s="214" t="s">
        <v>292</v>
      </c>
      <c r="V1547" s="214" t="s">
        <v>292</v>
      </c>
      <c r="W1547" s="214" t="s">
        <v>292</v>
      </c>
      <c r="X1547" s="214" t="s">
        <v>292</v>
      </c>
      <c r="Y1547" s="214" t="s">
        <v>292</v>
      </c>
      <c r="Z1547" s="234"/>
      <c r="AA1547" s="234"/>
      <c r="AB1547" s="234"/>
      <c r="AC1547" s="234"/>
      <c r="AD1547" s="319" t="s">
        <v>1410</v>
      </c>
      <c r="AE1547" s="319"/>
      <c r="AF1547" s="162">
        <f t="shared" si="138"/>
        <v>1.6</v>
      </c>
      <c r="AG1547" s="162" t="str">
        <f t="shared" si="137"/>
        <v/>
      </c>
      <c r="AH1547" s="164">
        <f t="shared" si="140"/>
        <v>0.2</v>
      </c>
      <c r="AI1547" s="164" t="str">
        <f t="shared" si="141"/>
        <v/>
      </c>
      <c r="AJ1547" s="375">
        <v>1.6</v>
      </c>
      <c r="AK1547" s="375"/>
      <c r="AL1547" s="375"/>
      <c r="AM1547" s="375"/>
      <c r="AN1547" s="375"/>
      <c r="AO1547" s="375"/>
      <c r="AP1547" s="375"/>
      <c r="AQ1547" s="375"/>
      <c r="AR1547" s="391"/>
      <c r="AS1547" s="263">
        <f t="shared" si="142"/>
        <v>1.6</v>
      </c>
      <c r="AT1547" s="277"/>
      <c r="AU1547" s="391"/>
      <c r="AV1547" s="422"/>
      <c r="AW1547" s="436">
        <v>0.2</v>
      </c>
      <c r="AX1547" s="359"/>
      <c r="AY1547" s="359"/>
      <c r="AZ1547" s="359"/>
      <c r="BA1547" s="359"/>
      <c r="BB1547" s="359"/>
      <c r="BC1547" s="426"/>
      <c r="BD1547" s="359"/>
      <c r="BE1547" s="359"/>
      <c r="BF1547" s="469">
        <f t="shared" si="139"/>
        <v>0.2</v>
      </c>
      <c r="BG1547" s="469"/>
      <c r="BH1547" s="460"/>
      <c r="BI1547" s="461"/>
      <c r="BJ1547" s="505"/>
    </row>
    <row r="1548" spans="1:62" ht="15" customHeight="1" thickBot="1" x14ac:dyDescent="0.25">
      <c r="A1548" s="176">
        <v>1549</v>
      </c>
      <c r="B1548" s="291">
        <v>1</v>
      </c>
      <c r="C1548" s="167" t="s">
        <v>975</v>
      </c>
      <c r="D1548" s="167" t="s">
        <v>1984</v>
      </c>
      <c r="E1548" s="167"/>
      <c r="F1548" s="167" t="s">
        <v>3837</v>
      </c>
      <c r="G1548" s="167"/>
      <c r="H1548" s="167" t="s">
        <v>3548</v>
      </c>
      <c r="I1548" s="184">
        <v>2011</v>
      </c>
      <c r="J1548" s="181" t="s">
        <v>3838</v>
      </c>
      <c r="K1548" s="184"/>
      <c r="L1548" s="184" t="s">
        <v>19</v>
      </c>
      <c r="M1548" s="556" t="s">
        <v>4382</v>
      </c>
      <c r="N1548" s="214" t="s">
        <v>122</v>
      </c>
      <c r="O1548" s="214" t="s">
        <v>292</v>
      </c>
      <c r="P1548" s="214" t="s">
        <v>292</v>
      </c>
      <c r="Q1548" s="214" t="s">
        <v>292</v>
      </c>
      <c r="R1548" s="214" t="s">
        <v>292</v>
      </c>
      <c r="S1548" s="214" t="s">
        <v>292</v>
      </c>
      <c r="T1548" s="214" t="s">
        <v>292</v>
      </c>
      <c r="U1548" s="214" t="s">
        <v>292</v>
      </c>
      <c r="V1548" s="214" t="s">
        <v>292</v>
      </c>
      <c r="W1548" s="214" t="s">
        <v>292</v>
      </c>
      <c r="X1548" s="214" t="s">
        <v>292</v>
      </c>
      <c r="Y1548" s="214" t="s">
        <v>292</v>
      </c>
      <c r="Z1548" s="234"/>
      <c r="AA1548" s="234"/>
      <c r="AB1548" s="234"/>
      <c r="AC1548" s="234"/>
      <c r="AD1548" s="319" t="s">
        <v>3839</v>
      </c>
      <c r="AE1548" s="320" t="s">
        <v>3132</v>
      </c>
      <c r="AF1548" s="162">
        <f t="shared" si="138"/>
        <v>20.307692307692307</v>
      </c>
      <c r="AG1548" s="162" t="str">
        <f t="shared" si="137"/>
        <v/>
      </c>
      <c r="AH1548" s="164">
        <f t="shared" si="140"/>
        <v>13.738461538461538</v>
      </c>
      <c r="AI1548" s="164" t="str">
        <f t="shared" si="141"/>
        <v/>
      </c>
      <c r="AJ1548" s="375">
        <f>13.2/0.65</f>
        <v>20.307692307692307</v>
      </c>
      <c r="AK1548" s="375"/>
      <c r="AL1548" s="375"/>
      <c r="AM1548" s="375"/>
      <c r="AN1548" s="375"/>
      <c r="AO1548" s="375"/>
      <c r="AP1548" s="375"/>
      <c r="AQ1548" s="375"/>
      <c r="AR1548" s="391"/>
      <c r="AS1548" s="263">
        <f t="shared" si="142"/>
        <v>20.307692307692307</v>
      </c>
      <c r="AT1548" s="277"/>
      <c r="AU1548" s="391"/>
      <c r="AV1548" s="422"/>
      <c r="AW1548" s="436">
        <f>8.93/0.65</f>
        <v>13.738461538461538</v>
      </c>
      <c r="AX1548" s="359"/>
      <c r="AY1548" s="359"/>
      <c r="AZ1548" s="359"/>
      <c r="BA1548" s="359"/>
      <c r="BB1548" s="359"/>
      <c r="BC1548" s="426"/>
      <c r="BD1548" s="359"/>
      <c r="BE1548" s="359"/>
      <c r="BF1548" s="469">
        <f t="shared" si="139"/>
        <v>13.738461538461538</v>
      </c>
      <c r="BG1548" s="469"/>
      <c r="BH1548" s="460"/>
      <c r="BI1548" s="461"/>
      <c r="BJ1548" s="505"/>
    </row>
    <row r="1549" spans="1:62" ht="15" customHeight="1" thickBot="1" x14ac:dyDescent="0.25">
      <c r="A1549" s="176">
        <v>1550</v>
      </c>
      <c r="B1549" s="291">
        <v>1</v>
      </c>
      <c r="C1549" s="167" t="s">
        <v>2933</v>
      </c>
      <c r="D1549" s="167" t="s">
        <v>3451</v>
      </c>
      <c r="E1549" s="167"/>
      <c r="F1549" s="167"/>
      <c r="G1549" s="167"/>
      <c r="H1549" s="167" t="s">
        <v>55</v>
      </c>
      <c r="I1549" s="184">
        <v>2011</v>
      </c>
      <c r="J1549" s="181" t="s">
        <v>3840</v>
      </c>
      <c r="K1549" s="184"/>
      <c r="L1549" s="184" t="s">
        <v>19</v>
      </c>
      <c r="M1549" s="556" t="s">
        <v>4383</v>
      </c>
      <c r="N1549" s="214" t="s">
        <v>122</v>
      </c>
      <c r="O1549" s="214" t="s">
        <v>292</v>
      </c>
      <c r="P1549" s="214" t="s">
        <v>292</v>
      </c>
      <c r="Q1549" s="214" t="s">
        <v>292</v>
      </c>
      <c r="R1549" s="214" t="s">
        <v>292</v>
      </c>
      <c r="S1549" s="214" t="s">
        <v>292</v>
      </c>
      <c r="T1549" s="214" t="s">
        <v>292</v>
      </c>
      <c r="U1549" s="214" t="s">
        <v>292</v>
      </c>
      <c r="V1549" s="214" t="s">
        <v>292</v>
      </c>
      <c r="W1549" s="214" t="s">
        <v>292</v>
      </c>
      <c r="X1549" s="214" t="s">
        <v>292</v>
      </c>
      <c r="Y1549" s="214" t="s">
        <v>292</v>
      </c>
      <c r="Z1549" s="234"/>
      <c r="AA1549" s="234"/>
      <c r="AB1549" s="234"/>
      <c r="AC1549" s="234"/>
      <c r="AD1549" s="319" t="s">
        <v>3841</v>
      </c>
      <c r="AE1549" s="319" t="s">
        <v>3800</v>
      </c>
      <c r="AF1549" s="162" t="str">
        <f t="shared" si="138"/>
        <v/>
      </c>
      <c r="AG1549" s="162" t="str">
        <f t="shared" si="137"/>
        <v/>
      </c>
      <c r="AH1549" s="164">
        <f t="shared" si="140"/>
        <v>34.10477945575952</v>
      </c>
      <c r="AI1549" s="164" t="str">
        <f t="shared" si="141"/>
        <v/>
      </c>
      <c r="AJ1549" s="375"/>
      <c r="AK1549" s="375"/>
      <c r="AL1549" s="375"/>
      <c r="AM1549" s="375"/>
      <c r="AN1549" s="375"/>
      <c r="AO1549" s="375"/>
      <c r="AP1549" s="375"/>
      <c r="AQ1549" s="375"/>
      <c r="AR1549" s="391"/>
      <c r="AS1549" s="263">
        <f t="shared" si="142"/>
        <v>0</v>
      </c>
      <c r="AT1549" s="277"/>
      <c r="AU1549" s="391"/>
      <c r="AV1549" s="422"/>
      <c r="AW1549" s="436">
        <f>11.4/0.658/0.508</f>
        <v>34.10477945575952</v>
      </c>
      <c r="AX1549" s="359"/>
      <c r="AY1549" s="359"/>
      <c r="AZ1549" s="359"/>
      <c r="BA1549" s="359"/>
      <c r="BB1549" s="359"/>
      <c r="BC1549" s="426"/>
      <c r="BD1549" s="359"/>
      <c r="BE1549" s="359"/>
      <c r="BF1549" s="469">
        <f t="shared" si="139"/>
        <v>34.10477945575952</v>
      </c>
      <c r="BG1549" s="469"/>
      <c r="BH1549" s="460"/>
      <c r="BI1549" s="461"/>
      <c r="BJ1549" s="505"/>
    </row>
    <row r="1550" spans="1:62" ht="15" customHeight="1" thickBot="1" x14ac:dyDescent="0.25">
      <c r="A1550" s="176">
        <v>1551</v>
      </c>
      <c r="B1550" s="291">
        <v>1</v>
      </c>
      <c r="C1550" s="167" t="s">
        <v>2933</v>
      </c>
      <c r="D1550" s="167" t="s">
        <v>2745</v>
      </c>
      <c r="E1550" s="167"/>
      <c r="F1550" s="167"/>
      <c r="G1550" s="167"/>
      <c r="H1550" s="167" t="s">
        <v>55</v>
      </c>
      <c r="I1550" s="184">
        <v>2011</v>
      </c>
      <c r="J1550" s="181" t="s">
        <v>3840</v>
      </c>
      <c r="K1550" s="184"/>
      <c r="L1550" s="184" t="s">
        <v>19</v>
      </c>
      <c r="M1550" s="556" t="s">
        <v>4383</v>
      </c>
      <c r="N1550" s="214" t="s">
        <v>122</v>
      </c>
      <c r="O1550" s="214" t="s">
        <v>292</v>
      </c>
      <c r="P1550" s="214" t="s">
        <v>292</v>
      </c>
      <c r="Q1550" s="214" t="s">
        <v>292</v>
      </c>
      <c r="R1550" s="214" t="s">
        <v>292</v>
      </c>
      <c r="S1550" s="214" t="s">
        <v>292</v>
      </c>
      <c r="T1550" s="214" t="s">
        <v>292</v>
      </c>
      <c r="U1550" s="214" t="s">
        <v>292</v>
      </c>
      <c r="V1550" s="214" t="s">
        <v>292</v>
      </c>
      <c r="W1550" s="214" t="s">
        <v>292</v>
      </c>
      <c r="X1550" s="214" t="s">
        <v>292</v>
      </c>
      <c r="Y1550" s="214" t="s">
        <v>292</v>
      </c>
      <c r="Z1550" s="234"/>
      <c r="AA1550" s="234"/>
      <c r="AB1550" s="234"/>
      <c r="AC1550" s="234"/>
      <c r="AD1550" s="319" t="s">
        <v>3841</v>
      </c>
      <c r="AE1550" s="319" t="s">
        <v>3652</v>
      </c>
      <c r="AF1550" s="162" t="str">
        <f t="shared" si="138"/>
        <v/>
      </c>
      <c r="AG1550" s="162" t="str">
        <f t="shared" si="137"/>
        <v/>
      </c>
      <c r="AH1550" s="164">
        <f t="shared" si="140"/>
        <v>56.782240109181295</v>
      </c>
      <c r="AI1550" s="164" t="str">
        <f t="shared" si="141"/>
        <v/>
      </c>
      <c r="AJ1550" s="375"/>
      <c r="AK1550" s="375"/>
      <c r="AL1550" s="375"/>
      <c r="AM1550" s="375"/>
      <c r="AN1550" s="375"/>
      <c r="AO1550" s="375"/>
      <c r="AP1550" s="375"/>
      <c r="AQ1550" s="375"/>
      <c r="AR1550" s="391"/>
      <c r="AS1550" s="263"/>
      <c r="AT1550" s="277"/>
      <c r="AU1550" s="391"/>
      <c r="AV1550" s="422"/>
      <c r="AW1550" s="436">
        <f>22.8/0.667/0.602</f>
        <v>56.782240109181295</v>
      </c>
      <c r="AX1550" s="359"/>
      <c r="AY1550" s="359"/>
      <c r="AZ1550" s="359"/>
      <c r="BA1550" s="359"/>
      <c r="BB1550" s="359"/>
      <c r="BC1550" s="426"/>
      <c r="BD1550" s="359"/>
      <c r="BE1550" s="359"/>
      <c r="BF1550" s="469">
        <f t="shared" si="139"/>
        <v>56.782240109181295</v>
      </c>
      <c r="BG1550" s="469"/>
      <c r="BH1550" s="460"/>
      <c r="BI1550" s="461"/>
      <c r="BJ1550" s="505"/>
    </row>
    <row r="1551" spans="1:62" ht="15" customHeight="1" thickBot="1" x14ac:dyDescent="0.25">
      <c r="A1551" s="176">
        <v>1552</v>
      </c>
      <c r="B1551" s="291">
        <v>1</v>
      </c>
      <c r="C1551" s="167" t="s">
        <v>3589</v>
      </c>
      <c r="D1551" s="167" t="s">
        <v>12</v>
      </c>
      <c r="E1551" s="167"/>
      <c r="F1551" s="167" t="s">
        <v>3842</v>
      </c>
      <c r="G1551" s="167"/>
      <c r="H1551" s="167" t="s">
        <v>55</v>
      </c>
      <c r="I1551" s="184">
        <v>2011</v>
      </c>
      <c r="J1551" s="181" t="s">
        <v>3840</v>
      </c>
      <c r="K1551" s="184"/>
      <c r="L1551" s="184" t="s">
        <v>19</v>
      </c>
      <c r="M1551" s="556" t="s">
        <v>4383</v>
      </c>
      <c r="N1551" s="214" t="s">
        <v>122</v>
      </c>
      <c r="O1551" s="214" t="s">
        <v>292</v>
      </c>
      <c r="P1551" s="214" t="s">
        <v>292</v>
      </c>
      <c r="Q1551" s="214" t="s">
        <v>292</v>
      </c>
      <c r="R1551" s="214" t="s">
        <v>292</v>
      </c>
      <c r="S1551" s="214" t="s">
        <v>292</v>
      </c>
      <c r="T1551" s="214" t="s">
        <v>292</v>
      </c>
      <c r="U1551" s="214" t="s">
        <v>292</v>
      </c>
      <c r="V1551" s="214" t="s">
        <v>292</v>
      </c>
      <c r="W1551" s="214" t="s">
        <v>292</v>
      </c>
      <c r="X1551" s="214" t="s">
        <v>292</v>
      </c>
      <c r="Y1551" s="214" t="s">
        <v>292</v>
      </c>
      <c r="Z1551" s="234"/>
      <c r="AA1551" s="234"/>
      <c r="AB1551" s="234"/>
      <c r="AC1551" s="234"/>
      <c r="AD1551" s="319" t="s">
        <v>343</v>
      </c>
      <c r="AE1551" s="319"/>
      <c r="AF1551" s="162" t="str">
        <f t="shared" si="138"/>
        <v/>
      </c>
      <c r="AG1551" s="162" t="str">
        <f t="shared" si="137"/>
        <v/>
      </c>
      <c r="AH1551" s="164">
        <f t="shared" si="140"/>
        <v>9</v>
      </c>
      <c r="AI1551" s="164" t="str">
        <f t="shared" si="141"/>
        <v/>
      </c>
      <c r="AJ1551" s="375"/>
      <c r="AK1551" s="375"/>
      <c r="AL1551" s="375"/>
      <c r="AM1551" s="375"/>
      <c r="AN1551" s="375"/>
      <c r="AO1551" s="375"/>
      <c r="AP1551" s="375"/>
      <c r="AQ1551" s="375"/>
      <c r="AR1551" s="391"/>
      <c r="AS1551" s="276"/>
      <c r="AT1551" s="277"/>
      <c r="AU1551" s="391"/>
      <c r="AV1551" s="422"/>
      <c r="AW1551" s="436">
        <v>9</v>
      </c>
      <c r="AX1551" s="359"/>
      <c r="AY1551" s="359"/>
      <c r="AZ1551" s="359"/>
      <c r="BA1551" s="359"/>
      <c r="BB1551" s="359"/>
      <c r="BC1551" s="426"/>
      <c r="BD1551" s="359"/>
      <c r="BE1551" s="359"/>
      <c r="BF1551" s="469">
        <f t="shared" si="139"/>
        <v>9</v>
      </c>
      <c r="BG1551" s="469"/>
      <c r="BH1551" s="460"/>
      <c r="BI1551" s="461"/>
      <c r="BJ1551" s="505"/>
    </row>
    <row r="1552" spans="1:62" ht="15" customHeight="1" thickBot="1" x14ac:dyDescent="0.25">
      <c r="A1552" s="176">
        <v>1553</v>
      </c>
      <c r="B1552" s="291">
        <v>1</v>
      </c>
      <c r="C1552" s="167" t="s">
        <v>3589</v>
      </c>
      <c r="D1552" s="167" t="s">
        <v>12</v>
      </c>
      <c r="E1552" s="167"/>
      <c r="F1552" s="167" t="s">
        <v>3843</v>
      </c>
      <c r="G1552" s="167"/>
      <c r="H1552" s="167" t="s">
        <v>55</v>
      </c>
      <c r="I1552" s="184">
        <v>2011</v>
      </c>
      <c r="J1552" s="181" t="s">
        <v>3840</v>
      </c>
      <c r="K1552" s="184"/>
      <c r="L1552" s="184" t="s">
        <v>19</v>
      </c>
      <c r="M1552" s="556" t="s">
        <v>4383</v>
      </c>
      <c r="N1552" s="214" t="s">
        <v>122</v>
      </c>
      <c r="O1552" s="214" t="s">
        <v>292</v>
      </c>
      <c r="P1552" s="214" t="s">
        <v>292</v>
      </c>
      <c r="Q1552" s="214" t="s">
        <v>292</v>
      </c>
      <c r="R1552" s="214" t="s">
        <v>292</v>
      </c>
      <c r="S1552" s="214" t="s">
        <v>292</v>
      </c>
      <c r="T1552" s="214" t="s">
        <v>292</v>
      </c>
      <c r="U1552" s="214" t="s">
        <v>292</v>
      </c>
      <c r="V1552" s="214" t="s">
        <v>292</v>
      </c>
      <c r="W1552" s="214" t="s">
        <v>292</v>
      </c>
      <c r="X1552" s="214" t="s">
        <v>292</v>
      </c>
      <c r="Y1552" s="214" t="s">
        <v>292</v>
      </c>
      <c r="Z1552" s="234"/>
      <c r="AA1552" s="234"/>
      <c r="AB1552" s="234"/>
      <c r="AC1552" s="234"/>
      <c r="AD1552" s="319" t="s">
        <v>343</v>
      </c>
      <c r="AE1552" s="319"/>
      <c r="AF1552" s="162" t="str">
        <f t="shared" si="138"/>
        <v/>
      </c>
      <c r="AG1552" s="162" t="str">
        <f t="shared" si="137"/>
        <v/>
      </c>
      <c r="AH1552" s="164">
        <f t="shared" si="140"/>
        <v>8.5</v>
      </c>
      <c r="AI1552" s="164" t="str">
        <f t="shared" si="141"/>
        <v/>
      </c>
      <c r="AJ1552" s="375"/>
      <c r="AK1552" s="375"/>
      <c r="AL1552" s="375"/>
      <c r="AM1552" s="375"/>
      <c r="AN1552" s="375"/>
      <c r="AO1552" s="375"/>
      <c r="AP1552" s="375"/>
      <c r="AQ1552" s="375"/>
      <c r="AR1552" s="391"/>
      <c r="AS1552" s="276"/>
      <c r="AT1552" s="277"/>
      <c r="AU1552" s="391"/>
      <c r="AV1552" s="422"/>
      <c r="AW1552" s="436">
        <v>8.5</v>
      </c>
      <c r="AX1552" s="359"/>
      <c r="AY1552" s="359"/>
      <c r="AZ1552" s="359"/>
      <c r="BA1552" s="359"/>
      <c r="BB1552" s="359"/>
      <c r="BC1552" s="426"/>
      <c r="BD1552" s="359"/>
      <c r="BE1552" s="359"/>
      <c r="BF1552" s="469">
        <f t="shared" ref="BF1552:BF1583" si="143">AW1552</f>
        <v>8.5</v>
      </c>
      <c r="BG1552" s="469"/>
      <c r="BH1552" s="460"/>
      <c r="BI1552" s="461"/>
      <c r="BJ1552" s="505"/>
    </row>
    <row r="1553" spans="1:62" ht="15" customHeight="1" thickBot="1" x14ac:dyDescent="0.25">
      <c r="A1553" s="176">
        <v>1554</v>
      </c>
      <c r="B1553" s="291">
        <v>1</v>
      </c>
      <c r="C1553" s="167" t="s">
        <v>259</v>
      </c>
      <c r="D1553" s="167" t="s">
        <v>3832</v>
      </c>
      <c r="E1553" s="167"/>
      <c r="F1553" s="167"/>
      <c r="G1553" s="167"/>
      <c r="H1553" s="167" t="s">
        <v>55</v>
      </c>
      <c r="I1553" s="184">
        <v>2011</v>
      </c>
      <c r="J1553" s="181" t="s">
        <v>3840</v>
      </c>
      <c r="K1553" s="184"/>
      <c r="L1553" s="184" t="s">
        <v>19</v>
      </c>
      <c r="M1553" s="556" t="s">
        <v>4383</v>
      </c>
      <c r="N1553" s="214" t="s">
        <v>122</v>
      </c>
      <c r="O1553" s="214" t="s">
        <v>292</v>
      </c>
      <c r="P1553" s="214" t="s">
        <v>292</v>
      </c>
      <c r="Q1553" s="214" t="s">
        <v>292</v>
      </c>
      <c r="R1553" s="214" t="s">
        <v>292</v>
      </c>
      <c r="S1553" s="214" t="s">
        <v>292</v>
      </c>
      <c r="T1553" s="214" t="s">
        <v>292</v>
      </c>
      <c r="U1553" s="214" t="s">
        <v>292</v>
      </c>
      <c r="V1553" s="214" t="s">
        <v>292</v>
      </c>
      <c r="W1553" s="214" t="s">
        <v>292</v>
      </c>
      <c r="X1553" s="214" t="s">
        <v>292</v>
      </c>
      <c r="Y1553" s="214" t="s">
        <v>292</v>
      </c>
      <c r="Z1553" s="234"/>
      <c r="AA1553" s="234"/>
      <c r="AB1553" s="234"/>
      <c r="AC1553" s="234"/>
      <c r="AD1553" s="319" t="s">
        <v>3844</v>
      </c>
      <c r="AE1553" s="319"/>
      <c r="AF1553" s="162" t="str">
        <f t="shared" si="138"/>
        <v/>
      </c>
      <c r="AG1553" s="162" t="str">
        <f t="shared" si="137"/>
        <v/>
      </c>
      <c r="AH1553" s="164">
        <f t="shared" si="140"/>
        <v>0.04</v>
      </c>
      <c r="AI1553" s="164" t="str">
        <f t="shared" si="141"/>
        <v/>
      </c>
      <c r="AJ1553" s="375"/>
      <c r="AK1553" s="375"/>
      <c r="AL1553" s="375"/>
      <c r="AM1553" s="375"/>
      <c r="AN1553" s="375"/>
      <c r="AO1553" s="375"/>
      <c r="AP1553" s="375"/>
      <c r="AQ1553" s="375"/>
      <c r="AR1553" s="391"/>
      <c r="AS1553" s="276"/>
      <c r="AT1553" s="277"/>
      <c r="AU1553" s="391"/>
      <c r="AV1553" s="422"/>
      <c r="AW1553" s="436">
        <v>0.04</v>
      </c>
      <c r="AX1553" s="359"/>
      <c r="AY1553" s="359"/>
      <c r="AZ1553" s="359"/>
      <c r="BA1553" s="359"/>
      <c r="BB1553" s="359"/>
      <c r="BC1553" s="426"/>
      <c r="BD1553" s="359"/>
      <c r="BE1553" s="359"/>
      <c r="BF1553" s="469">
        <f t="shared" si="143"/>
        <v>0.04</v>
      </c>
      <c r="BG1553" s="469"/>
      <c r="BH1553" s="460"/>
      <c r="BI1553" s="461"/>
      <c r="BJ1553" s="505"/>
    </row>
    <row r="1554" spans="1:62" ht="15" customHeight="1" thickBot="1" x14ac:dyDescent="0.25">
      <c r="A1554" s="176">
        <v>1555</v>
      </c>
      <c r="B1554" s="291">
        <v>1</v>
      </c>
      <c r="C1554" s="167" t="s">
        <v>259</v>
      </c>
      <c r="D1554" s="167" t="s">
        <v>3845</v>
      </c>
      <c r="E1554" s="167"/>
      <c r="F1554" s="167"/>
      <c r="G1554" s="167"/>
      <c r="H1554" s="167" t="s">
        <v>55</v>
      </c>
      <c r="I1554" s="184">
        <v>2011</v>
      </c>
      <c r="J1554" s="181" t="s">
        <v>3840</v>
      </c>
      <c r="K1554" s="184"/>
      <c r="L1554" s="184" t="s">
        <v>19</v>
      </c>
      <c r="M1554" s="556" t="s">
        <v>4383</v>
      </c>
      <c r="N1554" s="214" t="s">
        <v>122</v>
      </c>
      <c r="O1554" s="214" t="s">
        <v>292</v>
      </c>
      <c r="P1554" s="214" t="s">
        <v>292</v>
      </c>
      <c r="Q1554" s="214" t="s">
        <v>292</v>
      </c>
      <c r="R1554" s="214" t="s">
        <v>292</v>
      </c>
      <c r="S1554" s="214" t="s">
        <v>292</v>
      </c>
      <c r="T1554" s="214" t="s">
        <v>292</v>
      </c>
      <c r="U1554" s="214" t="s">
        <v>292</v>
      </c>
      <c r="V1554" s="214" t="s">
        <v>292</v>
      </c>
      <c r="W1554" s="214" t="s">
        <v>292</v>
      </c>
      <c r="X1554" s="214" t="s">
        <v>292</v>
      </c>
      <c r="Y1554" s="214" t="s">
        <v>292</v>
      </c>
      <c r="Z1554" s="234"/>
      <c r="AA1554" s="234"/>
      <c r="AB1554" s="234"/>
      <c r="AC1554" s="234"/>
      <c r="AD1554" s="319" t="s">
        <v>3846</v>
      </c>
      <c r="AE1554" s="319"/>
      <c r="AF1554" s="162" t="str">
        <f t="shared" si="138"/>
        <v/>
      </c>
      <c r="AG1554" s="162" t="str">
        <f t="shared" si="137"/>
        <v/>
      </c>
      <c r="AH1554" s="164">
        <f t="shared" si="140"/>
        <v>0.15</v>
      </c>
      <c r="AI1554" s="164" t="str">
        <f t="shared" si="141"/>
        <v/>
      </c>
      <c r="AJ1554" s="375"/>
      <c r="AK1554" s="375"/>
      <c r="AL1554" s="375"/>
      <c r="AM1554" s="375"/>
      <c r="AN1554" s="375"/>
      <c r="AO1554" s="375"/>
      <c r="AP1554" s="375"/>
      <c r="AQ1554" s="375"/>
      <c r="AR1554" s="391"/>
      <c r="AS1554" s="276"/>
      <c r="AT1554" s="277"/>
      <c r="AU1554" s="391"/>
      <c r="AV1554" s="422"/>
      <c r="AW1554" s="436">
        <v>0.15</v>
      </c>
      <c r="AX1554" s="359"/>
      <c r="AY1554" s="359"/>
      <c r="AZ1554" s="359"/>
      <c r="BA1554" s="359"/>
      <c r="BB1554" s="359"/>
      <c r="BC1554" s="426"/>
      <c r="BD1554" s="359"/>
      <c r="BE1554" s="359"/>
      <c r="BF1554" s="469">
        <f t="shared" si="143"/>
        <v>0.15</v>
      </c>
      <c r="BG1554" s="469"/>
      <c r="BH1554" s="460"/>
      <c r="BI1554" s="461"/>
      <c r="BJ1554" s="505"/>
    </row>
    <row r="1555" spans="1:62" ht="15" customHeight="1" thickBot="1" x14ac:dyDescent="0.25">
      <c r="A1555" s="176">
        <v>1556</v>
      </c>
      <c r="B1555" s="291">
        <v>1</v>
      </c>
      <c r="C1555" s="167" t="s">
        <v>3589</v>
      </c>
      <c r="D1555" s="167" t="s">
        <v>12</v>
      </c>
      <c r="E1555" s="167"/>
      <c r="F1555" s="167" t="s">
        <v>3847</v>
      </c>
      <c r="G1555" s="167"/>
      <c r="H1555" s="167" t="s">
        <v>3848</v>
      </c>
      <c r="I1555" s="184">
        <v>2011</v>
      </c>
      <c r="J1555" s="181" t="s">
        <v>3849</v>
      </c>
      <c r="K1555" s="184"/>
      <c r="L1555" s="184" t="s">
        <v>19</v>
      </c>
      <c r="M1555" s="556" t="s">
        <v>4384</v>
      </c>
      <c r="N1555" s="214" t="s">
        <v>122</v>
      </c>
      <c r="O1555" s="214" t="s">
        <v>292</v>
      </c>
      <c r="P1555" s="214" t="s">
        <v>292</v>
      </c>
      <c r="Q1555" s="214" t="s">
        <v>292</v>
      </c>
      <c r="R1555" s="214" t="s">
        <v>292</v>
      </c>
      <c r="S1555" s="214" t="s">
        <v>292</v>
      </c>
      <c r="T1555" s="214" t="s">
        <v>292</v>
      </c>
      <c r="U1555" s="214" t="s">
        <v>292</v>
      </c>
      <c r="V1555" s="214" t="s">
        <v>292</v>
      </c>
      <c r="W1555" s="214" t="s">
        <v>292</v>
      </c>
      <c r="X1555" s="214" t="s">
        <v>292</v>
      </c>
      <c r="Y1555" s="214" t="s">
        <v>292</v>
      </c>
      <c r="Z1555" s="234"/>
      <c r="AA1555" s="234"/>
      <c r="AB1555" s="234"/>
      <c r="AC1555" s="234"/>
      <c r="AD1555" s="319" t="s">
        <v>343</v>
      </c>
      <c r="AE1555" s="319"/>
      <c r="AF1555" s="162" t="str">
        <f t="shared" si="138"/>
        <v/>
      </c>
      <c r="AG1555" s="162" t="str">
        <f t="shared" ref="AG1555:AG1618" si="144">IF(AND(SUM(AJ1555:AL1555)&lt;&gt;0,SUM(AJ1555:AL1555)&lt;&gt;AJ1555),SUM(AJ1555:AL1555),"")</f>
        <v/>
      </c>
      <c r="AH1555" s="164">
        <f t="shared" si="140"/>
        <v>1.04</v>
      </c>
      <c r="AI1555" s="164" t="str">
        <f t="shared" si="141"/>
        <v/>
      </c>
      <c r="AJ1555" s="375"/>
      <c r="AK1555" s="375"/>
      <c r="AL1555" s="375"/>
      <c r="AM1555" s="375"/>
      <c r="AN1555" s="375"/>
      <c r="AO1555" s="375"/>
      <c r="AP1555" s="375"/>
      <c r="AQ1555" s="375"/>
      <c r="AR1555" s="391"/>
      <c r="AS1555" s="276"/>
      <c r="AT1555" s="277"/>
      <c r="AU1555" s="391"/>
      <c r="AV1555" s="422"/>
      <c r="AW1555" s="436">
        <v>1.04</v>
      </c>
      <c r="AX1555" s="359"/>
      <c r="AY1555" s="359"/>
      <c r="AZ1555" s="359"/>
      <c r="BA1555" s="359"/>
      <c r="BB1555" s="359"/>
      <c r="BC1555" s="426"/>
      <c r="BD1555" s="359"/>
      <c r="BE1555" s="359"/>
      <c r="BF1555" s="469">
        <f t="shared" si="143"/>
        <v>1.04</v>
      </c>
      <c r="BG1555" s="469"/>
      <c r="BH1555" s="460" t="s">
        <v>3850</v>
      </c>
      <c r="BI1555" s="461"/>
      <c r="BJ1555" s="505"/>
    </row>
    <row r="1556" spans="1:62" ht="15" customHeight="1" thickBot="1" x14ac:dyDescent="0.25">
      <c r="A1556" s="176">
        <v>1557</v>
      </c>
      <c r="B1556" s="291">
        <v>1</v>
      </c>
      <c r="C1556" s="167" t="s">
        <v>2933</v>
      </c>
      <c r="D1556" s="167" t="s">
        <v>2745</v>
      </c>
      <c r="E1556" s="167"/>
      <c r="F1556" s="167" t="s">
        <v>3851</v>
      </c>
      <c r="G1556" s="167"/>
      <c r="H1556" s="167" t="s">
        <v>376</v>
      </c>
      <c r="I1556" s="184">
        <v>2011</v>
      </c>
      <c r="J1556" s="181" t="s">
        <v>3852</v>
      </c>
      <c r="K1556" s="184"/>
      <c r="L1556" s="184" t="s">
        <v>19</v>
      </c>
      <c r="M1556" s="556" t="s">
        <v>4385</v>
      </c>
      <c r="N1556" s="214" t="s">
        <v>122</v>
      </c>
      <c r="O1556" s="214" t="s">
        <v>292</v>
      </c>
      <c r="P1556" s="214" t="s">
        <v>292</v>
      </c>
      <c r="Q1556" s="214" t="s">
        <v>292</v>
      </c>
      <c r="R1556" s="214" t="s">
        <v>292</v>
      </c>
      <c r="S1556" s="214" t="s">
        <v>292</v>
      </c>
      <c r="T1556" s="214" t="s">
        <v>292</v>
      </c>
      <c r="U1556" s="214" t="s">
        <v>292</v>
      </c>
      <c r="V1556" s="214" t="s">
        <v>292</v>
      </c>
      <c r="W1556" s="214" t="s">
        <v>292</v>
      </c>
      <c r="X1556" s="214" t="s">
        <v>292</v>
      </c>
      <c r="Y1556" s="214" t="s">
        <v>292</v>
      </c>
      <c r="Z1556" s="234"/>
      <c r="AA1556" s="234" t="s">
        <v>3853</v>
      </c>
      <c r="AB1556" s="234"/>
      <c r="AC1556" s="234"/>
      <c r="AD1556" s="319" t="s">
        <v>3854</v>
      </c>
      <c r="AE1556" s="319" t="s">
        <v>3855</v>
      </c>
      <c r="AF1556" s="162" t="str">
        <f t="shared" si="138"/>
        <v/>
      </c>
      <c r="AG1556" s="162" t="str">
        <f t="shared" si="144"/>
        <v/>
      </c>
      <c r="AH1556" s="164">
        <f t="shared" si="140"/>
        <v>34.482758620689651</v>
      </c>
      <c r="AI1556" s="164" t="str">
        <f t="shared" si="141"/>
        <v/>
      </c>
      <c r="AJ1556" s="375"/>
      <c r="AK1556" s="375"/>
      <c r="AL1556" s="375"/>
      <c r="AM1556" s="375"/>
      <c r="AN1556" s="375"/>
      <c r="AO1556" s="375"/>
      <c r="AP1556" s="375"/>
      <c r="AQ1556" s="375"/>
      <c r="AR1556" s="391"/>
      <c r="AS1556" s="276"/>
      <c r="AT1556" s="277"/>
      <c r="AU1556" s="391"/>
      <c r="AV1556" s="422"/>
      <c r="AW1556" s="436">
        <f>23/0.667</f>
        <v>34.482758620689651</v>
      </c>
      <c r="AX1556" s="359"/>
      <c r="AY1556" s="359"/>
      <c r="AZ1556" s="359"/>
      <c r="BA1556" s="359"/>
      <c r="BB1556" s="359"/>
      <c r="BC1556" s="426"/>
      <c r="BD1556" s="359"/>
      <c r="BE1556" s="359"/>
      <c r="BF1556" s="469">
        <f t="shared" si="143"/>
        <v>34.482758620689651</v>
      </c>
      <c r="BG1556" s="469"/>
      <c r="BH1556" s="460"/>
      <c r="BI1556" s="461"/>
      <c r="BJ1556" s="505"/>
    </row>
    <row r="1557" spans="1:62" ht="15" customHeight="1" thickBot="1" x14ac:dyDescent="0.25">
      <c r="A1557" s="176">
        <v>1558</v>
      </c>
      <c r="B1557" s="291">
        <v>1</v>
      </c>
      <c r="C1557" s="167" t="s">
        <v>2933</v>
      </c>
      <c r="D1557" s="167" t="s">
        <v>2745</v>
      </c>
      <c r="E1557" s="167"/>
      <c r="F1557" s="167" t="s">
        <v>3856</v>
      </c>
      <c r="G1557" s="167"/>
      <c r="H1557" s="167" t="s">
        <v>376</v>
      </c>
      <c r="I1557" s="184">
        <v>2011</v>
      </c>
      <c r="J1557" s="181" t="s">
        <v>3852</v>
      </c>
      <c r="K1557" s="184"/>
      <c r="L1557" s="184" t="s">
        <v>19</v>
      </c>
      <c r="M1557" s="556" t="s">
        <v>4385</v>
      </c>
      <c r="N1557" s="214" t="s">
        <v>122</v>
      </c>
      <c r="O1557" s="214" t="s">
        <v>292</v>
      </c>
      <c r="P1557" s="214" t="s">
        <v>292</v>
      </c>
      <c r="Q1557" s="214" t="s">
        <v>292</v>
      </c>
      <c r="R1557" s="214" t="s">
        <v>292</v>
      </c>
      <c r="S1557" s="214" t="s">
        <v>292</v>
      </c>
      <c r="T1557" s="214" t="s">
        <v>292</v>
      </c>
      <c r="U1557" s="214" t="s">
        <v>292</v>
      </c>
      <c r="V1557" s="214" t="s">
        <v>292</v>
      </c>
      <c r="W1557" s="214" t="s">
        <v>292</v>
      </c>
      <c r="X1557" s="214" t="s">
        <v>292</v>
      </c>
      <c r="Y1557" s="214" t="s">
        <v>292</v>
      </c>
      <c r="Z1557" s="234"/>
      <c r="AA1557" s="234" t="s">
        <v>3853</v>
      </c>
      <c r="AB1557" s="234"/>
      <c r="AC1557" s="234"/>
      <c r="AD1557" s="319" t="s">
        <v>3854</v>
      </c>
      <c r="AE1557" s="319" t="s">
        <v>3855</v>
      </c>
      <c r="AF1557" s="162" t="str">
        <f t="shared" si="138"/>
        <v/>
      </c>
      <c r="AG1557" s="162" t="str">
        <f t="shared" si="144"/>
        <v/>
      </c>
      <c r="AH1557" s="164">
        <f t="shared" si="140"/>
        <v>29.535232383808093</v>
      </c>
      <c r="AI1557" s="164" t="str">
        <f t="shared" si="141"/>
        <v/>
      </c>
      <c r="AJ1557" s="375"/>
      <c r="AK1557" s="375"/>
      <c r="AL1557" s="375"/>
      <c r="AM1557" s="375"/>
      <c r="AN1557" s="375"/>
      <c r="AO1557" s="375"/>
      <c r="AP1557" s="375"/>
      <c r="AQ1557" s="375"/>
      <c r="AR1557" s="391"/>
      <c r="AS1557" s="276"/>
      <c r="AT1557" s="277"/>
      <c r="AU1557" s="391"/>
      <c r="AV1557" s="422"/>
      <c r="AW1557" s="436">
        <f>19.7/0.667</f>
        <v>29.535232383808093</v>
      </c>
      <c r="AX1557" s="359"/>
      <c r="AY1557" s="359"/>
      <c r="AZ1557" s="359"/>
      <c r="BA1557" s="359"/>
      <c r="BB1557" s="359"/>
      <c r="BC1557" s="426"/>
      <c r="BD1557" s="359"/>
      <c r="BE1557" s="359"/>
      <c r="BF1557" s="469">
        <f t="shared" si="143"/>
        <v>29.535232383808093</v>
      </c>
      <c r="BG1557" s="469"/>
      <c r="BH1557" s="460"/>
      <c r="BI1557" s="461"/>
      <c r="BJ1557" s="505"/>
    </row>
    <row r="1558" spans="1:62" ht="15" customHeight="1" thickBot="1" x14ac:dyDescent="0.25">
      <c r="A1558" s="176">
        <v>1559</v>
      </c>
      <c r="B1558" s="291">
        <v>1</v>
      </c>
      <c r="C1558" s="167" t="s">
        <v>2933</v>
      </c>
      <c r="D1558" s="167" t="s">
        <v>2745</v>
      </c>
      <c r="E1558" s="167"/>
      <c r="F1558" s="167" t="s">
        <v>3857</v>
      </c>
      <c r="G1558" s="167"/>
      <c r="H1558" s="167" t="s">
        <v>376</v>
      </c>
      <c r="I1558" s="184">
        <v>2011</v>
      </c>
      <c r="J1558" s="181" t="s">
        <v>3852</v>
      </c>
      <c r="K1558" s="184"/>
      <c r="L1558" s="184" t="s">
        <v>19</v>
      </c>
      <c r="M1558" s="556" t="s">
        <v>4385</v>
      </c>
      <c r="N1558" s="214" t="s">
        <v>122</v>
      </c>
      <c r="O1558" s="214" t="s">
        <v>292</v>
      </c>
      <c r="P1558" s="214" t="s">
        <v>292</v>
      </c>
      <c r="Q1558" s="214" t="s">
        <v>292</v>
      </c>
      <c r="R1558" s="214" t="s">
        <v>292</v>
      </c>
      <c r="S1558" s="214" t="s">
        <v>292</v>
      </c>
      <c r="T1558" s="214" t="s">
        <v>292</v>
      </c>
      <c r="U1558" s="214" t="s">
        <v>292</v>
      </c>
      <c r="V1558" s="214" t="s">
        <v>292</v>
      </c>
      <c r="W1558" s="214" t="s">
        <v>292</v>
      </c>
      <c r="X1558" s="214" t="s">
        <v>292</v>
      </c>
      <c r="Y1558" s="214" t="s">
        <v>292</v>
      </c>
      <c r="Z1558" s="234"/>
      <c r="AA1558" s="234" t="s">
        <v>3853</v>
      </c>
      <c r="AB1558" s="234"/>
      <c r="AC1558" s="234"/>
      <c r="AD1558" s="319" t="s">
        <v>3854</v>
      </c>
      <c r="AE1558" s="319" t="s">
        <v>3855</v>
      </c>
      <c r="AF1558" s="162" t="str">
        <f t="shared" si="138"/>
        <v/>
      </c>
      <c r="AG1558" s="162" t="str">
        <f t="shared" si="144"/>
        <v/>
      </c>
      <c r="AH1558" s="164">
        <f t="shared" si="140"/>
        <v>32.983508245877061</v>
      </c>
      <c r="AI1558" s="164" t="str">
        <f t="shared" si="141"/>
        <v/>
      </c>
      <c r="AJ1558" s="375"/>
      <c r="AK1558" s="375"/>
      <c r="AL1558" s="375"/>
      <c r="AM1558" s="375"/>
      <c r="AN1558" s="375"/>
      <c r="AO1558" s="375"/>
      <c r="AP1558" s="375"/>
      <c r="AQ1558" s="375"/>
      <c r="AR1558" s="391"/>
      <c r="AS1558" s="276"/>
      <c r="AT1558" s="277"/>
      <c r="AU1558" s="391"/>
      <c r="AV1558" s="422"/>
      <c r="AW1558" s="436">
        <f>22/0.667</f>
        <v>32.983508245877061</v>
      </c>
      <c r="AX1558" s="359"/>
      <c r="AY1558" s="359"/>
      <c r="AZ1558" s="359"/>
      <c r="BA1558" s="359"/>
      <c r="BB1558" s="359"/>
      <c r="BC1558" s="426"/>
      <c r="BD1558" s="359"/>
      <c r="BE1558" s="359"/>
      <c r="BF1558" s="469">
        <f t="shared" si="143"/>
        <v>32.983508245877061</v>
      </c>
      <c r="BG1558" s="469"/>
      <c r="BH1558" s="460"/>
      <c r="BI1558" s="461"/>
      <c r="BJ1558" s="505"/>
    </row>
    <row r="1559" spans="1:62" ht="15" customHeight="1" thickBot="1" x14ac:dyDescent="0.25">
      <c r="A1559" s="176">
        <v>1560</v>
      </c>
      <c r="B1559" s="291">
        <v>1</v>
      </c>
      <c r="C1559" s="167" t="s">
        <v>2933</v>
      </c>
      <c r="D1559" s="167" t="s">
        <v>2745</v>
      </c>
      <c r="E1559" s="167"/>
      <c r="F1559" s="167" t="s">
        <v>3858</v>
      </c>
      <c r="G1559" s="167"/>
      <c r="H1559" s="167" t="s">
        <v>376</v>
      </c>
      <c r="I1559" s="184">
        <v>2011</v>
      </c>
      <c r="J1559" s="181" t="s">
        <v>3852</v>
      </c>
      <c r="K1559" s="184"/>
      <c r="L1559" s="184" t="s">
        <v>19</v>
      </c>
      <c r="M1559" s="556" t="s">
        <v>4385</v>
      </c>
      <c r="N1559" s="214" t="s">
        <v>122</v>
      </c>
      <c r="O1559" s="214" t="s">
        <v>292</v>
      </c>
      <c r="P1559" s="214" t="s">
        <v>292</v>
      </c>
      <c r="Q1559" s="214" t="s">
        <v>292</v>
      </c>
      <c r="R1559" s="214" t="s">
        <v>292</v>
      </c>
      <c r="S1559" s="214" t="s">
        <v>292</v>
      </c>
      <c r="T1559" s="214" t="s">
        <v>292</v>
      </c>
      <c r="U1559" s="214" t="s">
        <v>292</v>
      </c>
      <c r="V1559" s="214" t="s">
        <v>292</v>
      </c>
      <c r="W1559" s="214" t="s">
        <v>292</v>
      </c>
      <c r="X1559" s="214" t="s">
        <v>292</v>
      </c>
      <c r="Y1559" s="214" t="s">
        <v>292</v>
      </c>
      <c r="Z1559" s="234"/>
      <c r="AA1559" s="234" t="s">
        <v>3853</v>
      </c>
      <c r="AB1559" s="234"/>
      <c r="AC1559" s="234"/>
      <c r="AD1559" s="319" t="s">
        <v>3854</v>
      </c>
      <c r="AE1559" s="319" t="s">
        <v>3855</v>
      </c>
      <c r="AF1559" s="162" t="str">
        <f t="shared" si="138"/>
        <v/>
      </c>
      <c r="AG1559" s="162" t="str">
        <f t="shared" si="144"/>
        <v/>
      </c>
      <c r="AH1559" s="164">
        <f t="shared" si="140"/>
        <v>28.335832083958017</v>
      </c>
      <c r="AI1559" s="164" t="str">
        <f t="shared" si="141"/>
        <v/>
      </c>
      <c r="AJ1559" s="375"/>
      <c r="AK1559" s="375"/>
      <c r="AL1559" s="375"/>
      <c r="AM1559" s="375"/>
      <c r="AN1559" s="375"/>
      <c r="AO1559" s="375"/>
      <c r="AP1559" s="375"/>
      <c r="AQ1559" s="375"/>
      <c r="AR1559" s="391"/>
      <c r="AS1559" s="276"/>
      <c r="AT1559" s="277"/>
      <c r="AU1559" s="391"/>
      <c r="AV1559" s="422"/>
      <c r="AW1559" s="436">
        <f>18.9/0.667</f>
        <v>28.335832083958017</v>
      </c>
      <c r="AX1559" s="359"/>
      <c r="AY1559" s="359"/>
      <c r="AZ1559" s="359"/>
      <c r="BA1559" s="359"/>
      <c r="BB1559" s="359"/>
      <c r="BC1559" s="426"/>
      <c r="BD1559" s="359"/>
      <c r="BE1559" s="359"/>
      <c r="BF1559" s="469">
        <f t="shared" si="143"/>
        <v>28.335832083958017</v>
      </c>
      <c r="BG1559" s="469"/>
      <c r="BH1559" s="460"/>
      <c r="BI1559" s="461"/>
      <c r="BJ1559" s="505"/>
    </row>
    <row r="1560" spans="1:62" ht="15" customHeight="1" thickBot="1" x14ac:dyDescent="0.25">
      <c r="A1560" s="176">
        <v>1561</v>
      </c>
      <c r="B1560" s="291">
        <v>1</v>
      </c>
      <c r="C1560" s="167" t="s">
        <v>2933</v>
      </c>
      <c r="D1560" s="167" t="s">
        <v>2745</v>
      </c>
      <c r="E1560" s="167"/>
      <c r="F1560" s="167" t="s">
        <v>3859</v>
      </c>
      <c r="G1560" s="167"/>
      <c r="H1560" s="167" t="s">
        <v>376</v>
      </c>
      <c r="I1560" s="184">
        <v>2011</v>
      </c>
      <c r="J1560" s="181" t="s">
        <v>3852</v>
      </c>
      <c r="K1560" s="184"/>
      <c r="L1560" s="184" t="s">
        <v>19</v>
      </c>
      <c r="M1560" s="556" t="s">
        <v>4385</v>
      </c>
      <c r="N1560" s="214" t="s">
        <v>122</v>
      </c>
      <c r="O1560" s="214" t="s">
        <v>292</v>
      </c>
      <c r="P1560" s="214" t="s">
        <v>292</v>
      </c>
      <c r="Q1560" s="214" t="s">
        <v>292</v>
      </c>
      <c r="R1560" s="214" t="s">
        <v>292</v>
      </c>
      <c r="S1560" s="214" t="s">
        <v>292</v>
      </c>
      <c r="T1560" s="214" t="s">
        <v>292</v>
      </c>
      <c r="U1560" s="214" t="s">
        <v>292</v>
      </c>
      <c r="V1560" s="214" t="s">
        <v>292</v>
      </c>
      <c r="W1560" s="214" t="s">
        <v>292</v>
      </c>
      <c r="X1560" s="214" t="s">
        <v>292</v>
      </c>
      <c r="Y1560" s="214" t="s">
        <v>292</v>
      </c>
      <c r="Z1560" s="234"/>
      <c r="AA1560" s="234" t="s">
        <v>3853</v>
      </c>
      <c r="AB1560" s="234"/>
      <c r="AC1560" s="234"/>
      <c r="AD1560" s="319" t="s">
        <v>3854</v>
      </c>
      <c r="AE1560" s="319" t="s">
        <v>3855</v>
      </c>
      <c r="AF1560" s="162" t="str">
        <f t="shared" si="138"/>
        <v/>
      </c>
      <c r="AG1560" s="162" t="str">
        <f t="shared" si="144"/>
        <v/>
      </c>
      <c r="AH1560" s="164">
        <f t="shared" si="140"/>
        <v>30.584707646176909</v>
      </c>
      <c r="AI1560" s="164" t="str">
        <f t="shared" si="141"/>
        <v/>
      </c>
      <c r="AJ1560" s="375"/>
      <c r="AK1560" s="375"/>
      <c r="AL1560" s="375"/>
      <c r="AM1560" s="375"/>
      <c r="AN1560" s="375"/>
      <c r="AO1560" s="375"/>
      <c r="AP1560" s="375"/>
      <c r="AQ1560" s="375"/>
      <c r="AR1560" s="391"/>
      <c r="AS1560" s="276"/>
      <c r="AT1560" s="277"/>
      <c r="AU1560" s="391"/>
      <c r="AV1560" s="422"/>
      <c r="AW1560" s="436">
        <f>20.4/0.667</f>
        <v>30.584707646176909</v>
      </c>
      <c r="AX1560" s="359"/>
      <c r="AY1560" s="359"/>
      <c r="AZ1560" s="359"/>
      <c r="BA1560" s="359"/>
      <c r="BB1560" s="359"/>
      <c r="BC1560" s="426"/>
      <c r="BD1560" s="359"/>
      <c r="BE1560" s="359"/>
      <c r="BF1560" s="469">
        <f t="shared" si="143"/>
        <v>30.584707646176909</v>
      </c>
      <c r="BG1560" s="469"/>
      <c r="BH1560" s="460"/>
      <c r="BI1560" s="461"/>
      <c r="BJ1560" s="505"/>
    </row>
    <row r="1561" spans="1:62" ht="15" customHeight="1" thickBot="1" x14ac:dyDescent="0.25">
      <c r="A1561" s="176">
        <v>1562</v>
      </c>
      <c r="B1561" s="291">
        <v>1</v>
      </c>
      <c r="C1561" s="167" t="s">
        <v>3589</v>
      </c>
      <c r="D1561" s="167" t="s">
        <v>12</v>
      </c>
      <c r="E1561" s="167"/>
      <c r="F1561" s="167" t="s">
        <v>3860</v>
      </c>
      <c r="G1561" s="167"/>
      <c r="H1561" s="167" t="s">
        <v>3861</v>
      </c>
      <c r="I1561" s="184">
        <v>2011</v>
      </c>
      <c r="J1561" s="181" t="s">
        <v>3862</v>
      </c>
      <c r="K1561" s="184"/>
      <c r="L1561" s="184" t="s">
        <v>19</v>
      </c>
      <c r="M1561" s="556" t="s">
        <v>4386</v>
      </c>
      <c r="N1561" s="214" t="s">
        <v>122</v>
      </c>
      <c r="O1561" s="214" t="s">
        <v>292</v>
      </c>
      <c r="P1561" s="214" t="s">
        <v>292</v>
      </c>
      <c r="Q1561" s="214" t="s">
        <v>292</v>
      </c>
      <c r="R1561" s="214" t="s">
        <v>292</v>
      </c>
      <c r="S1561" s="214" t="s">
        <v>292</v>
      </c>
      <c r="T1561" s="214" t="s">
        <v>292</v>
      </c>
      <c r="U1561" s="214" t="s">
        <v>292</v>
      </c>
      <c r="V1561" s="214" t="s">
        <v>292</v>
      </c>
      <c r="W1561" s="214" t="s">
        <v>292</v>
      </c>
      <c r="X1561" s="214" t="s">
        <v>292</v>
      </c>
      <c r="Y1561" s="214" t="s">
        <v>292</v>
      </c>
      <c r="Z1561" s="234"/>
      <c r="AA1561" s="234"/>
      <c r="AB1561" s="234"/>
      <c r="AC1561" s="234"/>
      <c r="AD1561" s="319" t="s">
        <v>3593</v>
      </c>
      <c r="AE1561" s="319"/>
      <c r="AF1561" s="162" t="str">
        <f t="shared" si="138"/>
        <v/>
      </c>
      <c r="AG1561" s="162" t="str">
        <f t="shared" si="144"/>
        <v/>
      </c>
      <c r="AH1561" s="164">
        <f t="shared" si="140"/>
        <v>1.24</v>
      </c>
      <c r="AI1561" s="164" t="str">
        <f t="shared" si="141"/>
        <v/>
      </c>
      <c r="AJ1561" s="375"/>
      <c r="AK1561" s="375"/>
      <c r="AL1561" s="375"/>
      <c r="AM1561" s="375"/>
      <c r="AN1561" s="375"/>
      <c r="AO1561" s="375"/>
      <c r="AP1561" s="375"/>
      <c r="AQ1561" s="375"/>
      <c r="AR1561" s="391"/>
      <c r="AS1561" s="276"/>
      <c r="AT1561" s="277"/>
      <c r="AU1561" s="391"/>
      <c r="AV1561" s="422"/>
      <c r="AW1561" s="436">
        <f>1.35-0.11</f>
        <v>1.24</v>
      </c>
      <c r="AX1561" s="359"/>
      <c r="AY1561" s="359"/>
      <c r="AZ1561" s="359"/>
      <c r="BA1561" s="359"/>
      <c r="BB1561" s="359"/>
      <c r="BC1561" s="426"/>
      <c r="BD1561" s="359"/>
      <c r="BE1561" s="359"/>
      <c r="BF1561" s="469">
        <f t="shared" si="143"/>
        <v>1.24</v>
      </c>
      <c r="BG1561" s="469"/>
      <c r="BH1561" s="460" t="s">
        <v>3863</v>
      </c>
      <c r="BI1561" s="461"/>
      <c r="BJ1561" s="505"/>
    </row>
    <row r="1562" spans="1:62" ht="15" customHeight="1" thickBot="1" x14ac:dyDescent="0.25">
      <c r="A1562" s="176">
        <v>1563</v>
      </c>
      <c r="B1562" s="291">
        <v>1</v>
      </c>
      <c r="C1562" s="167" t="s">
        <v>3589</v>
      </c>
      <c r="D1562" s="167" t="s">
        <v>12</v>
      </c>
      <c r="E1562" s="167"/>
      <c r="F1562" s="167" t="s">
        <v>3864</v>
      </c>
      <c r="G1562" s="167"/>
      <c r="H1562" s="167" t="s">
        <v>351</v>
      </c>
      <c r="I1562" s="184">
        <v>2011</v>
      </c>
      <c r="J1562" s="181" t="s">
        <v>3865</v>
      </c>
      <c r="K1562" s="184"/>
      <c r="L1562" s="184" t="s">
        <v>19</v>
      </c>
      <c r="M1562" s="556" t="s">
        <v>4387</v>
      </c>
      <c r="N1562" s="214" t="s">
        <v>122</v>
      </c>
      <c r="O1562" s="214" t="s">
        <v>292</v>
      </c>
      <c r="P1562" s="214" t="s">
        <v>122</v>
      </c>
      <c r="Q1562" s="214" t="s">
        <v>122</v>
      </c>
      <c r="R1562" s="214" t="s">
        <v>122</v>
      </c>
      <c r="S1562" s="214" t="s">
        <v>122</v>
      </c>
      <c r="T1562" s="214" t="s">
        <v>122</v>
      </c>
      <c r="U1562" s="214" t="s">
        <v>122</v>
      </c>
      <c r="V1562" s="214" t="s">
        <v>122</v>
      </c>
      <c r="W1562" s="214" t="s">
        <v>292</v>
      </c>
      <c r="X1562" s="214" t="s">
        <v>292</v>
      </c>
      <c r="Y1562" s="214" t="s">
        <v>292</v>
      </c>
      <c r="Z1562" s="234"/>
      <c r="AA1562" s="234" t="s">
        <v>3866</v>
      </c>
      <c r="AB1562" s="234"/>
      <c r="AC1562" s="234"/>
      <c r="AD1562" s="319" t="s">
        <v>3867</v>
      </c>
      <c r="AE1562" s="319" t="s">
        <v>3868</v>
      </c>
      <c r="AF1562" s="162">
        <f t="shared" si="138"/>
        <v>5.5993499999999994</v>
      </c>
      <c r="AG1562" s="162">
        <f t="shared" si="144"/>
        <v>9.4024251999999997</v>
      </c>
      <c r="AH1562" s="164">
        <f t="shared" si="140"/>
        <v>1.516275</v>
      </c>
      <c r="AI1562" s="164">
        <f t="shared" si="141"/>
        <v>1.72224</v>
      </c>
      <c r="AJ1562" s="375">
        <f>5.41*1.035</f>
        <v>5.5993499999999994</v>
      </c>
      <c r="AK1562" s="375">
        <f>0.478*1.035</f>
        <v>0.49472999999999995</v>
      </c>
      <c r="AL1562" s="375">
        <f>(2.8+0.394)*1.0358</f>
        <v>3.3083452000000002</v>
      </c>
      <c r="AM1562" s="375">
        <f>2.73*1.035</f>
        <v>2.8255499999999998</v>
      </c>
      <c r="AN1562" s="375">
        <f>3.54*1.035</f>
        <v>3.6638999999999999</v>
      </c>
      <c r="AO1562" s="375">
        <f>0.65*1.035</f>
        <v>0.67274999999999996</v>
      </c>
      <c r="AP1562" s="375">
        <f>2.267*1.035</f>
        <v>2.3463449999999999</v>
      </c>
      <c r="AQ1562" s="375">
        <f>0.0098*1.035</f>
        <v>1.0142999999999999E-2</v>
      </c>
      <c r="AR1562" s="391"/>
      <c r="AS1562" s="276">
        <f t="shared" ref="AS1562:AS1578" si="145">AJ1562</f>
        <v>5.5993499999999994</v>
      </c>
      <c r="AT1562" s="277">
        <f>SUM(AJ1562:AQ1562)</f>
        <v>18.921113199999997</v>
      </c>
      <c r="AU1562" s="391"/>
      <c r="AV1562" s="422"/>
      <c r="AW1562" s="436">
        <f>1.465*1.035</f>
        <v>1.516275</v>
      </c>
      <c r="AX1562" s="359">
        <f>0.034*1.035</f>
        <v>3.5189999999999999E-2</v>
      </c>
      <c r="AY1562" s="359">
        <f>0.165*1.035</f>
        <v>0.17077499999999998</v>
      </c>
      <c r="AZ1562" s="359">
        <f>0.1327*1.035</f>
        <v>0.13734450000000001</v>
      </c>
      <c r="BA1562" s="359">
        <f>0.2367*1.035</f>
        <v>0.24498449999999997</v>
      </c>
      <c r="BB1562" s="359">
        <f>0.0391*1.035</f>
        <v>4.0468499999999998E-2</v>
      </c>
      <c r="BC1562" s="426">
        <f>0.1436*1.035</f>
        <v>0.14862599999999998</v>
      </c>
      <c r="BD1562" s="359">
        <f>0.089*1.035</f>
        <v>9.2114999999999989E-2</v>
      </c>
      <c r="BE1562" s="359"/>
      <c r="BF1562" s="469">
        <f t="shared" si="143"/>
        <v>1.516275</v>
      </c>
      <c r="BG1562" s="469">
        <f>SUM(AW1562:BD1562)</f>
        <v>2.3857785000000002</v>
      </c>
      <c r="BH1562" s="460"/>
      <c r="BI1562" s="461"/>
      <c r="BJ1562" s="505"/>
    </row>
    <row r="1563" spans="1:62" ht="15" customHeight="1" thickBot="1" x14ac:dyDescent="0.25">
      <c r="A1563" s="176">
        <v>1564</v>
      </c>
      <c r="B1563" s="291">
        <v>1</v>
      </c>
      <c r="C1563" s="167" t="s">
        <v>11</v>
      </c>
      <c r="D1563" s="167" t="s">
        <v>12</v>
      </c>
      <c r="E1563" s="167" t="s">
        <v>13</v>
      </c>
      <c r="F1563" s="167" t="s">
        <v>3869</v>
      </c>
      <c r="G1563" s="167"/>
      <c r="H1563" s="167" t="s">
        <v>87</v>
      </c>
      <c r="I1563" s="184">
        <v>2013</v>
      </c>
      <c r="J1563" s="181" t="s">
        <v>3870</v>
      </c>
      <c r="K1563" s="184" t="s">
        <v>3871</v>
      </c>
      <c r="L1563" s="184" t="s">
        <v>19</v>
      </c>
      <c r="M1563" s="556" t="s">
        <v>4388</v>
      </c>
      <c r="N1563" s="214" t="s">
        <v>122</v>
      </c>
      <c r="O1563" s="214" t="s">
        <v>292</v>
      </c>
      <c r="P1563" s="214" t="s">
        <v>292</v>
      </c>
      <c r="Q1563" s="214" t="s">
        <v>292</v>
      </c>
      <c r="R1563" s="214" t="s">
        <v>292</v>
      </c>
      <c r="S1563" s="214" t="s">
        <v>292</v>
      </c>
      <c r="T1563" s="214" t="s">
        <v>292</v>
      </c>
      <c r="U1563" s="214" t="s">
        <v>292</v>
      </c>
      <c r="V1563" s="214" t="s">
        <v>292</v>
      </c>
      <c r="W1563" s="214" t="s">
        <v>292</v>
      </c>
      <c r="X1563" s="214" t="s">
        <v>292</v>
      </c>
      <c r="Y1563" s="214" t="s">
        <v>292</v>
      </c>
      <c r="Z1563" s="234"/>
      <c r="AA1563" s="234" t="s">
        <v>303</v>
      </c>
      <c r="AB1563" s="234"/>
      <c r="AC1563" s="234"/>
      <c r="AD1563" s="319" t="s">
        <v>343</v>
      </c>
      <c r="AE1563" s="319"/>
      <c r="AF1563" s="162">
        <f t="shared" si="138"/>
        <v>5.97</v>
      </c>
      <c r="AG1563" s="162" t="str">
        <f t="shared" si="144"/>
        <v/>
      </c>
      <c r="AH1563" s="164">
        <f t="shared" si="140"/>
        <v>1.3</v>
      </c>
      <c r="AI1563" s="164" t="str">
        <f t="shared" si="141"/>
        <v/>
      </c>
      <c r="AJ1563" s="375">
        <v>5.97</v>
      </c>
      <c r="AK1563" s="375"/>
      <c r="AL1563" s="375"/>
      <c r="AM1563" s="375"/>
      <c r="AN1563" s="375"/>
      <c r="AO1563" s="375"/>
      <c r="AP1563" s="375"/>
      <c r="AQ1563" s="375"/>
      <c r="AR1563" s="391"/>
      <c r="AS1563" s="276">
        <f t="shared" si="145"/>
        <v>5.97</v>
      </c>
      <c r="AT1563" s="277"/>
      <c r="AU1563" s="391"/>
      <c r="AV1563" s="422" t="s">
        <v>3872</v>
      </c>
      <c r="AW1563" s="436">
        <v>1.3</v>
      </c>
      <c r="AX1563" s="359"/>
      <c r="AY1563" s="359"/>
      <c r="AZ1563" s="359"/>
      <c r="BA1563" s="359"/>
      <c r="BB1563" s="359"/>
      <c r="BC1563" s="426"/>
      <c r="BD1563" s="359"/>
      <c r="BE1563" s="359"/>
      <c r="BF1563" s="469">
        <f t="shared" si="143"/>
        <v>1.3</v>
      </c>
      <c r="BG1563" s="469"/>
      <c r="BH1563" s="460">
        <v>0.19</v>
      </c>
      <c r="BI1563" s="461"/>
      <c r="BJ1563" s="505"/>
    </row>
    <row r="1564" spans="1:62" ht="15" customHeight="1" thickBot="1" x14ac:dyDescent="0.25">
      <c r="A1564" s="176">
        <v>1565</v>
      </c>
      <c r="B1564" s="291">
        <v>1</v>
      </c>
      <c r="C1564" s="167" t="s">
        <v>11</v>
      </c>
      <c r="D1564" s="167" t="s">
        <v>12</v>
      </c>
      <c r="E1564" s="167" t="s">
        <v>13</v>
      </c>
      <c r="F1564" s="167" t="s">
        <v>379</v>
      </c>
      <c r="G1564" s="167"/>
      <c r="H1564" s="167" t="s">
        <v>80</v>
      </c>
      <c r="I1564" s="184">
        <v>2013</v>
      </c>
      <c r="J1564" s="181" t="s">
        <v>3873</v>
      </c>
      <c r="K1564" s="184" t="s">
        <v>3874</v>
      </c>
      <c r="L1564" s="184" t="s">
        <v>19</v>
      </c>
      <c r="M1564" s="556" t="s">
        <v>4389</v>
      </c>
      <c r="N1564" s="214" t="s">
        <v>122</v>
      </c>
      <c r="O1564" s="214" t="s">
        <v>292</v>
      </c>
      <c r="P1564" s="214" t="s">
        <v>292</v>
      </c>
      <c r="Q1564" s="214" t="s">
        <v>292</v>
      </c>
      <c r="R1564" s="214" t="s">
        <v>292</v>
      </c>
      <c r="S1564" s="214" t="s">
        <v>292</v>
      </c>
      <c r="T1564" s="214" t="s">
        <v>292</v>
      </c>
      <c r="U1564" s="214" t="s">
        <v>292</v>
      </c>
      <c r="V1564" s="214" t="s">
        <v>292</v>
      </c>
      <c r="W1564" s="214" t="s">
        <v>292</v>
      </c>
      <c r="X1564" s="214" t="s">
        <v>292</v>
      </c>
      <c r="Y1564" s="214" t="s">
        <v>292</v>
      </c>
      <c r="Z1564" s="234"/>
      <c r="AA1564" s="234" t="s">
        <v>3875</v>
      </c>
      <c r="AB1564" s="234"/>
      <c r="AC1564" s="234"/>
      <c r="AD1564" s="319" t="s">
        <v>3593</v>
      </c>
      <c r="AE1564" s="319"/>
      <c r="AF1564" s="162">
        <f t="shared" si="138"/>
        <v>2.87</v>
      </c>
      <c r="AG1564" s="162" t="str">
        <f t="shared" si="144"/>
        <v/>
      </c>
      <c r="AH1564" s="164">
        <f t="shared" si="140"/>
        <v>1.43</v>
      </c>
      <c r="AI1564" s="164" t="str">
        <f t="shared" si="141"/>
        <v/>
      </c>
      <c r="AJ1564" s="375">
        <v>2.87</v>
      </c>
      <c r="AK1564" s="375"/>
      <c r="AL1564" s="375"/>
      <c r="AM1564" s="375"/>
      <c r="AN1564" s="375"/>
      <c r="AO1564" s="375"/>
      <c r="AP1564" s="375"/>
      <c r="AQ1564" s="375"/>
      <c r="AR1564" s="391"/>
      <c r="AS1564" s="276">
        <f t="shared" si="145"/>
        <v>2.87</v>
      </c>
      <c r="AT1564" s="277"/>
      <c r="AU1564" s="391"/>
      <c r="AV1564" s="423" t="s">
        <v>3876</v>
      </c>
      <c r="AW1564" s="436">
        <v>1.43</v>
      </c>
      <c r="AX1564" s="359"/>
      <c r="AY1564" s="359"/>
      <c r="AZ1564" s="359"/>
      <c r="BA1564" s="359"/>
      <c r="BB1564" s="359"/>
      <c r="BC1564" s="426"/>
      <c r="BD1564" s="359"/>
      <c r="BE1564" s="359"/>
      <c r="BF1564" s="469">
        <f t="shared" si="143"/>
        <v>1.43</v>
      </c>
      <c r="BG1564" s="469"/>
      <c r="BH1564" s="460"/>
      <c r="BI1564" s="461"/>
      <c r="BJ1564" s="505"/>
    </row>
    <row r="1565" spans="1:62" ht="15" customHeight="1" thickBot="1" x14ac:dyDescent="0.25">
      <c r="A1565" s="176">
        <v>1566</v>
      </c>
      <c r="B1565" s="291">
        <v>1</v>
      </c>
      <c r="C1565" s="167" t="s">
        <v>11</v>
      </c>
      <c r="D1565" s="299" t="s">
        <v>12</v>
      </c>
      <c r="E1565" s="167" t="s">
        <v>13</v>
      </c>
      <c r="F1565" s="167" t="s">
        <v>379</v>
      </c>
      <c r="G1565" s="167"/>
      <c r="H1565" s="167" t="s">
        <v>80</v>
      </c>
      <c r="I1565" s="184">
        <v>2013</v>
      </c>
      <c r="J1565" s="181" t="s">
        <v>3873</v>
      </c>
      <c r="K1565" s="184" t="s">
        <v>3874</v>
      </c>
      <c r="L1565" s="184" t="s">
        <v>19</v>
      </c>
      <c r="M1565" s="556" t="s">
        <v>4389</v>
      </c>
      <c r="N1565" s="214" t="s">
        <v>122</v>
      </c>
      <c r="O1565" s="214" t="s">
        <v>292</v>
      </c>
      <c r="P1565" s="214" t="s">
        <v>292</v>
      </c>
      <c r="Q1565" s="214" t="s">
        <v>292</v>
      </c>
      <c r="R1565" s="214" t="s">
        <v>292</v>
      </c>
      <c r="S1565" s="214" t="s">
        <v>292</v>
      </c>
      <c r="T1565" s="214" t="s">
        <v>292</v>
      </c>
      <c r="U1565" s="214" t="s">
        <v>292</v>
      </c>
      <c r="V1565" s="214" t="s">
        <v>292</v>
      </c>
      <c r="W1565" s="214" t="s">
        <v>292</v>
      </c>
      <c r="X1565" s="214" t="s">
        <v>292</v>
      </c>
      <c r="Y1565" s="214" t="s">
        <v>292</v>
      </c>
      <c r="Z1565" s="234"/>
      <c r="AA1565" s="234" t="s">
        <v>3875</v>
      </c>
      <c r="AB1565" s="234"/>
      <c r="AC1565" s="234"/>
      <c r="AD1565" s="319" t="s">
        <v>3593</v>
      </c>
      <c r="AE1565" s="319"/>
      <c r="AF1565" s="162">
        <f t="shared" si="138"/>
        <v>2.5499999999999998</v>
      </c>
      <c r="AG1565" s="162" t="str">
        <f t="shared" si="144"/>
        <v/>
      </c>
      <c r="AH1565" s="164">
        <f t="shared" si="140"/>
        <v>1.1000000000000001</v>
      </c>
      <c r="AI1565" s="164" t="str">
        <f t="shared" si="141"/>
        <v/>
      </c>
      <c r="AJ1565" s="375">
        <v>2.5499999999999998</v>
      </c>
      <c r="AK1565" s="375"/>
      <c r="AL1565" s="375"/>
      <c r="AM1565" s="375"/>
      <c r="AN1565" s="375"/>
      <c r="AO1565" s="375"/>
      <c r="AP1565" s="375"/>
      <c r="AQ1565" s="375"/>
      <c r="AR1565" s="391"/>
      <c r="AS1565" s="276">
        <f t="shared" si="145"/>
        <v>2.5499999999999998</v>
      </c>
      <c r="AT1565" s="277"/>
      <c r="AU1565" s="391"/>
      <c r="AV1565" s="422" t="s">
        <v>3876</v>
      </c>
      <c r="AW1565" s="436">
        <v>1.1000000000000001</v>
      </c>
      <c r="AX1565" s="359"/>
      <c r="AY1565" s="359"/>
      <c r="AZ1565" s="359"/>
      <c r="BA1565" s="359"/>
      <c r="BB1565" s="359"/>
      <c r="BC1565" s="426"/>
      <c r="BD1565" s="359"/>
      <c r="BE1565" s="359"/>
      <c r="BF1565" s="469">
        <f t="shared" si="143"/>
        <v>1.1000000000000001</v>
      </c>
      <c r="BG1565" s="469"/>
      <c r="BH1565" s="460"/>
      <c r="BI1565" s="461"/>
      <c r="BJ1565" s="505"/>
    </row>
    <row r="1566" spans="1:62" ht="15" customHeight="1" thickBot="1" x14ac:dyDescent="0.25">
      <c r="A1566" s="176">
        <v>1567</v>
      </c>
      <c r="B1566" s="291">
        <v>1</v>
      </c>
      <c r="C1566" s="167" t="s">
        <v>11</v>
      </c>
      <c r="D1566" s="299" t="s">
        <v>12</v>
      </c>
      <c r="E1566" s="167" t="s">
        <v>13</v>
      </c>
      <c r="F1566" s="167"/>
      <c r="G1566" s="167"/>
      <c r="H1566" s="167" t="s">
        <v>80</v>
      </c>
      <c r="I1566" s="184">
        <v>2013</v>
      </c>
      <c r="J1566" s="181" t="s">
        <v>3873</v>
      </c>
      <c r="K1566" s="184" t="s">
        <v>3874</v>
      </c>
      <c r="L1566" s="184" t="s">
        <v>19</v>
      </c>
      <c r="M1566" s="556" t="s">
        <v>4389</v>
      </c>
      <c r="N1566" s="214" t="s">
        <v>122</v>
      </c>
      <c r="O1566" s="214" t="s">
        <v>292</v>
      </c>
      <c r="P1566" s="214" t="s">
        <v>292</v>
      </c>
      <c r="Q1566" s="214" t="s">
        <v>292</v>
      </c>
      <c r="R1566" s="214" t="s">
        <v>292</v>
      </c>
      <c r="S1566" s="214" t="s">
        <v>292</v>
      </c>
      <c r="T1566" s="214" t="s">
        <v>292</v>
      </c>
      <c r="U1566" s="214" t="s">
        <v>292</v>
      </c>
      <c r="V1566" s="214" t="s">
        <v>292</v>
      </c>
      <c r="W1566" s="214" t="s">
        <v>292</v>
      </c>
      <c r="X1566" s="214" t="s">
        <v>292</v>
      </c>
      <c r="Y1566" s="214" t="s">
        <v>292</v>
      </c>
      <c r="Z1566" s="234"/>
      <c r="AA1566" s="234" t="s">
        <v>3875</v>
      </c>
      <c r="AB1566" s="234"/>
      <c r="AC1566" s="234"/>
      <c r="AD1566" s="319" t="s">
        <v>3593</v>
      </c>
      <c r="AE1566" s="319"/>
      <c r="AF1566" s="162">
        <f t="shared" si="138"/>
        <v>3.08</v>
      </c>
      <c r="AG1566" s="162" t="str">
        <f t="shared" si="144"/>
        <v/>
      </c>
      <c r="AH1566" s="164">
        <f t="shared" si="140"/>
        <v>1.57</v>
      </c>
      <c r="AI1566" s="164" t="str">
        <f t="shared" si="141"/>
        <v/>
      </c>
      <c r="AJ1566" s="375">
        <v>3.08</v>
      </c>
      <c r="AK1566" s="375"/>
      <c r="AL1566" s="375"/>
      <c r="AM1566" s="375"/>
      <c r="AN1566" s="375"/>
      <c r="AO1566" s="375"/>
      <c r="AP1566" s="375"/>
      <c r="AQ1566" s="375"/>
      <c r="AR1566" s="391"/>
      <c r="AS1566" s="276">
        <f t="shared" si="145"/>
        <v>3.08</v>
      </c>
      <c r="AT1566" s="277"/>
      <c r="AU1566" s="391"/>
      <c r="AV1566" s="422" t="s">
        <v>3876</v>
      </c>
      <c r="AW1566" s="436">
        <v>1.57</v>
      </c>
      <c r="AX1566" s="359"/>
      <c r="AY1566" s="359"/>
      <c r="AZ1566" s="359"/>
      <c r="BA1566" s="359"/>
      <c r="BB1566" s="359"/>
      <c r="BC1566" s="426"/>
      <c r="BD1566" s="359"/>
      <c r="BE1566" s="359"/>
      <c r="BF1566" s="469">
        <f t="shared" si="143"/>
        <v>1.57</v>
      </c>
      <c r="BG1566" s="469"/>
      <c r="BH1566" s="460"/>
      <c r="BI1566" s="461"/>
      <c r="BJ1566" s="505"/>
    </row>
    <row r="1567" spans="1:62" ht="15" customHeight="1" thickBot="1" x14ac:dyDescent="0.25">
      <c r="A1567" s="176">
        <v>1568</v>
      </c>
      <c r="B1567" s="291">
        <v>1</v>
      </c>
      <c r="C1567" s="167" t="s">
        <v>11</v>
      </c>
      <c r="D1567" s="299" t="s">
        <v>12</v>
      </c>
      <c r="E1567" s="167" t="s">
        <v>13</v>
      </c>
      <c r="F1567" s="167"/>
      <c r="G1567" s="167"/>
      <c r="H1567" s="167" t="s">
        <v>80</v>
      </c>
      <c r="I1567" s="184">
        <v>2013</v>
      </c>
      <c r="J1567" s="181" t="s">
        <v>3873</v>
      </c>
      <c r="K1567" s="184" t="s">
        <v>3874</v>
      </c>
      <c r="L1567" s="184" t="s">
        <v>19</v>
      </c>
      <c r="M1567" s="556" t="s">
        <v>4389</v>
      </c>
      <c r="N1567" s="214" t="s">
        <v>122</v>
      </c>
      <c r="O1567" s="214" t="s">
        <v>292</v>
      </c>
      <c r="P1567" s="214" t="s">
        <v>292</v>
      </c>
      <c r="Q1567" s="214" t="s">
        <v>292</v>
      </c>
      <c r="R1567" s="214" t="s">
        <v>292</v>
      </c>
      <c r="S1567" s="214" t="s">
        <v>292</v>
      </c>
      <c r="T1567" s="214" t="s">
        <v>292</v>
      </c>
      <c r="U1567" s="214" t="s">
        <v>292</v>
      </c>
      <c r="V1567" s="214" t="s">
        <v>292</v>
      </c>
      <c r="W1567" s="214" t="s">
        <v>292</v>
      </c>
      <c r="X1567" s="214" t="s">
        <v>292</v>
      </c>
      <c r="Y1567" s="214" t="s">
        <v>292</v>
      </c>
      <c r="Z1567" s="234"/>
      <c r="AA1567" s="234" t="s">
        <v>3875</v>
      </c>
      <c r="AB1567" s="234"/>
      <c r="AC1567" s="234"/>
      <c r="AD1567" s="319" t="s">
        <v>3593</v>
      </c>
      <c r="AE1567" s="319"/>
      <c r="AF1567" s="162">
        <f t="shared" si="138"/>
        <v>2.96</v>
      </c>
      <c r="AG1567" s="162" t="str">
        <f t="shared" si="144"/>
        <v/>
      </c>
      <c r="AH1567" s="164">
        <f t="shared" si="140"/>
        <v>1.27</v>
      </c>
      <c r="AI1567" s="164" t="str">
        <f t="shared" si="141"/>
        <v/>
      </c>
      <c r="AJ1567" s="375">
        <v>2.96</v>
      </c>
      <c r="AK1567" s="375"/>
      <c r="AL1567" s="375"/>
      <c r="AM1567" s="375"/>
      <c r="AN1567" s="375"/>
      <c r="AO1567" s="375"/>
      <c r="AP1567" s="375"/>
      <c r="AQ1567" s="375"/>
      <c r="AR1567" s="391"/>
      <c r="AS1567" s="276">
        <f t="shared" si="145"/>
        <v>2.96</v>
      </c>
      <c r="AT1567" s="277"/>
      <c r="AU1567" s="391"/>
      <c r="AV1567" s="422" t="s">
        <v>3876</v>
      </c>
      <c r="AW1567" s="436">
        <v>1.27</v>
      </c>
      <c r="AX1567" s="359"/>
      <c r="AY1567" s="359"/>
      <c r="AZ1567" s="359"/>
      <c r="BA1567" s="359"/>
      <c r="BB1567" s="359"/>
      <c r="BC1567" s="426"/>
      <c r="BD1567" s="359"/>
      <c r="BE1567" s="359"/>
      <c r="BF1567" s="469">
        <f t="shared" si="143"/>
        <v>1.27</v>
      </c>
      <c r="BG1567" s="469"/>
      <c r="BH1567" s="460"/>
      <c r="BI1567" s="461"/>
      <c r="BJ1567" s="505"/>
    </row>
    <row r="1568" spans="1:62" ht="15" customHeight="1" thickBot="1" x14ac:dyDescent="0.25">
      <c r="A1568" s="176">
        <v>1569</v>
      </c>
      <c r="B1568" s="291">
        <v>1</v>
      </c>
      <c r="C1568" s="167" t="s">
        <v>11</v>
      </c>
      <c r="D1568" s="299" t="s">
        <v>12</v>
      </c>
      <c r="E1568" s="167" t="s">
        <v>13</v>
      </c>
      <c r="F1568" s="167"/>
      <c r="G1568" s="167"/>
      <c r="H1568" s="167" t="s">
        <v>80</v>
      </c>
      <c r="I1568" s="184">
        <v>2013</v>
      </c>
      <c r="J1568" s="181" t="s">
        <v>3873</v>
      </c>
      <c r="K1568" s="184" t="s">
        <v>3874</v>
      </c>
      <c r="L1568" s="184" t="s">
        <v>19</v>
      </c>
      <c r="M1568" s="556" t="s">
        <v>4389</v>
      </c>
      <c r="N1568" s="214" t="s">
        <v>122</v>
      </c>
      <c r="O1568" s="214" t="s">
        <v>292</v>
      </c>
      <c r="P1568" s="214" t="s">
        <v>292</v>
      </c>
      <c r="Q1568" s="214" t="s">
        <v>292</v>
      </c>
      <c r="R1568" s="214" t="s">
        <v>292</v>
      </c>
      <c r="S1568" s="214" t="s">
        <v>292</v>
      </c>
      <c r="T1568" s="214" t="s">
        <v>292</v>
      </c>
      <c r="U1568" s="214" t="s">
        <v>292</v>
      </c>
      <c r="V1568" s="214" t="s">
        <v>292</v>
      </c>
      <c r="W1568" s="214" t="s">
        <v>292</v>
      </c>
      <c r="X1568" s="214" t="s">
        <v>292</v>
      </c>
      <c r="Y1568" s="214" t="s">
        <v>292</v>
      </c>
      <c r="Z1568" s="234"/>
      <c r="AA1568" s="234" t="s">
        <v>3875</v>
      </c>
      <c r="AB1568" s="234"/>
      <c r="AC1568" s="234"/>
      <c r="AD1568" s="319" t="s">
        <v>3593</v>
      </c>
      <c r="AE1568" s="319"/>
      <c r="AF1568" s="162">
        <f t="shared" si="138"/>
        <v>5.29</v>
      </c>
      <c r="AG1568" s="162" t="str">
        <f t="shared" si="144"/>
        <v/>
      </c>
      <c r="AH1568" s="164">
        <f t="shared" si="140"/>
        <v>1.66</v>
      </c>
      <c r="AI1568" s="164" t="str">
        <f t="shared" si="141"/>
        <v/>
      </c>
      <c r="AJ1568" s="375">
        <v>5.29</v>
      </c>
      <c r="AK1568" s="375"/>
      <c r="AL1568" s="375"/>
      <c r="AM1568" s="375"/>
      <c r="AN1568" s="375"/>
      <c r="AO1568" s="375"/>
      <c r="AP1568" s="375"/>
      <c r="AQ1568" s="375"/>
      <c r="AR1568" s="391"/>
      <c r="AS1568" s="276">
        <f t="shared" si="145"/>
        <v>5.29</v>
      </c>
      <c r="AT1568" s="277"/>
      <c r="AU1568" s="391"/>
      <c r="AV1568" s="422" t="s">
        <v>3876</v>
      </c>
      <c r="AW1568" s="436">
        <v>1.66</v>
      </c>
      <c r="AX1568" s="359"/>
      <c r="AY1568" s="359"/>
      <c r="AZ1568" s="359"/>
      <c r="BA1568" s="359"/>
      <c r="BB1568" s="359"/>
      <c r="BC1568" s="426"/>
      <c r="BD1568" s="359"/>
      <c r="BE1568" s="359"/>
      <c r="BF1568" s="469">
        <f t="shared" si="143"/>
        <v>1.66</v>
      </c>
      <c r="BG1568" s="469"/>
      <c r="BH1568" s="460"/>
      <c r="BI1568" s="461"/>
      <c r="BJ1568" s="505"/>
    </row>
    <row r="1569" spans="1:62" ht="15" customHeight="1" thickBot="1" x14ac:dyDescent="0.25">
      <c r="A1569" s="176">
        <v>1570</v>
      </c>
      <c r="B1569" s="291">
        <v>1</v>
      </c>
      <c r="C1569" s="167" t="s">
        <v>11</v>
      </c>
      <c r="D1569" s="299" t="s">
        <v>12</v>
      </c>
      <c r="E1569" s="167" t="s">
        <v>13</v>
      </c>
      <c r="F1569" s="167"/>
      <c r="G1569" s="167"/>
      <c r="H1569" s="167" t="s">
        <v>258</v>
      </c>
      <c r="I1569" s="184">
        <v>2013</v>
      </c>
      <c r="J1569" s="181" t="s">
        <v>3873</v>
      </c>
      <c r="K1569" s="184" t="s">
        <v>3874</v>
      </c>
      <c r="L1569" s="184" t="s">
        <v>19</v>
      </c>
      <c r="M1569" s="556" t="s">
        <v>4389</v>
      </c>
      <c r="N1569" s="214" t="s">
        <v>122</v>
      </c>
      <c r="O1569" s="214" t="s">
        <v>292</v>
      </c>
      <c r="P1569" s="214" t="s">
        <v>292</v>
      </c>
      <c r="Q1569" s="214" t="s">
        <v>292</v>
      </c>
      <c r="R1569" s="214" t="s">
        <v>292</v>
      </c>
      <c r="S1569" s="214" t="s">
        <v>292</v>
      </c>
      <c r="T1569" s="214" t="s">
        <v>292</v>
      </c>
      <c r="U1569" s="214" t="s">
        <v>292</v>
      </c>
      <c r="V1569" s="214" t="s">
        <v>292</v>
      </c>
      <c r="W1569" s="214" t="s">
        <v>292</v>
      </c>
      <c r="X1569" s="214" t="s">
        <v>292</v>
      </c>
      <c r="Y1569" s="214" t="s">
        <v>292</v>
      </c>
      <c r="Z1569" s="234"/>
      <c r="AA1569" s="234" t="s">
        <v>3875</v>
      </c>
      <c r="AB1569" s="234"/>
      <c r="AC1569" s="234"/>
      <c r="AD1569" s="319" t="s">
        <v>3593</v>
      </c>
      <c r="AE1569" s="319"/>
      <c r="AF1569" s="162">
        <f t="shared" si="138"/>
        <v>3.71</v>
      </c>
      <c r="AG1569" s="162" t="str">
        <f t="shared" si="144"/>
        <v/>
      </c>
      <c r="AH1569" s="164">
        <f t="shared" si="140"/>
        <v>1.32</v>
      </c>
      <c r="AI1569" s="164" t="str">
        <f t="shared" si="141"/>
        <v/>
      </c>
      <c r="AJ1569" s="375">
        <v>3.71</v>
      </c>
      <c r="AK1569" s="375"/>
      <c r="AL1569" s="375"/>
      <c r="AM1569" s="375"/>
      <c r="AN1569" s="375"/>
      <c r="AO1569" s="375"/>
      <c r="AP1569" s="375"/>
      <c r="AQ1569" s="375"/>
      <c r="AR1569" s="391"/>
      <c r="AS1569" s="276">
        <f t="shared" si="145"/>
        <v>3.71</v>
      </c>
      <c r="AT1569" s="277"/>
      <c r="AU1569" s="391"/>
      <c r="AV1569" s="422" t="s">
        <v>3876</v>
      </c>
      <c r="AW1569" s="436">
        <v>1.32</v>
      </c>
      <c r="AX1569" s="359"/>
      <c r="AY1569" s="359"/>
      <c r="AZ1569" s="359"/>
      <c r="BA1569" s="359"/>
      <c r="BB1569" s="359"/>
      <c r="BC1569" s="426"/>
      <c r="BD1569" s="359"/>
      <c r="BE1569" s="359"/>
      <c r="BF1569" s="469">
        <f t="shared" si="143"/>
        <v>1.32</v>
      </c>
      <c r="BG1569" s="469"/>
      <c r="BH1569" s="460"/>
      <c r="BI1569" s="461"/>
      <c r="BJ1569" s="505"/>
    </row>
    <row r="1570" spans="1:62" ht="15" customHeight="1" thickBot="1" x14ac:dyDescent="0.25">
      <c r="A1570" s="176">
        <v>1571</v>
      </c>
      <c r="B1570" s="291">
        <v>1</v>
      </c>
      <c r="C1570" s="167" t="s">
        <v>11</v>
      </c>
      <c r="D1570" s="299" t="s">
        <v>12</v>
      </c>
      <c r="E1570" s="167" t="s">
        <v>13</v>
      </c>
      <c r="F1570" s="299" t="s">
        <v>3877</v>
      </c>
      <c r="G1570" s="167"/>
      <c r="H1570" s="167" t="s">
        <v>258</v>
      </c>
      <c r="I1570" s="184">
        <v>2013</v>
      </c>
      <c r="J1570" s="181" t="s">
        <v>3873</v>
      </c>
      <c r="K1570" s="184" t="s">
        <v>3874</v>
      </c>
      <c r="L1570" s="184" t="s">
        <v>19</v>
      </c>
      <c r="M1570" s="556" t="s">
        <v>4389</v>
      </c>
      <c r="N1570" s="214" t="s">
        <v>122</v>
      </c>
      <c r="O1570" s="214" t="s">
        <v>292</v>
      </c>
      <c r="P1570" s="214" t="s">
        <v>292</v>
      </c>
      <c r="Q1570" s="214" t="s">
        <v>292</v>
      </c>
      <c r="R1570" s="214" t="s">
        <v>292</v>
      </c>
      <c r="S1570" s="214" t="s">
        <v>292</v>
      </c>
      <c r="T1570" s="214" t="s">
        <v>292</v>
      </c>
      <c r="U1570" s="214" t="s">
        <v>292</v>
      </c>
      <c r="V1570" s="214" t="s">
        <v>292</v>
      </c>
      <c r="W1570" s="214" t="s">
        <v>292</v>
      </c>
      <c r="X1570" s="214" t="s">
        <v>292</v>
      </c>
      <c r="Y1570" s="214" t="s">
        <v>292</v>
      </c>
      <c r="Z1570" s="234"/>
      <c r="AA1570" s="234" t="s">
        <v>3875</v>
      </c>
      <c r="AB1570" s="234"/>
      <c r="AC1570" s="234"/>
      <c r="AD1570" s="319" t="s">
        <v>3593</v>
      </c>
      <c r="AE1570" s="319"/>
      <c r="AF1570" s="162">
        <f t="shared" si="138"/>
        <v>0.92</v>
      </c>
      <c r="AG1570" s="162" t="str">
        <f t="shared" si="144"/>
        <v/>
      </c>
      <c r="AH1570" s="164">
        <f t="shared" si="140"/>
        <v>0.55000000000000004</v>
      </c>
      <c r="AI1570" s="164" t="str">
        <f t="shared" si="141"/>
        <v/>
      </c>
      <c r="AJ1570" s="375">
        <v>0.92</v>
      </c>
      <c r="AK1570" s="375"/>
      <c r="AL1570" s="375"/>
      <c r="AM1570" s="375"/>
      <c r="AN1570" s="375"/>
      <c r="AO1570" s="375"/>
      <c r="AP1570" s="375"/>
      <c r="AQ1570" s="375"/>
      <c r="AR1570" s="391"/>
      <c r="AS1570" s="276">
        <f t="shared" si="145"/>
        <v>0.92</v>
      </c>
      <c r="AT1570" s="277"/>
      <c r="AU1570" s="391"/>
      <c r="AV1570" s="422" t="s">
        <v>3876</v>
      </c>
      <c r="AW1570" s="436">
        <v>0.55000000000000004</v>
      </c>
      <c r="AX1570" s="359"/>
      <c r="AY1570" s="359"/>
      <c r="AZ1570" s="359"/>
      <c r="BA1570" s="359"/>
      <c r="BB1570" s="359"/>
      <c r="BC1570" s="426"/>
      <c r="BD1570" s="359"/>
      <c r="BE1570" s="359"/>
      <c r="BF1570" s="469">
        <f t="shared" si="143"/>
        <v>0.55000000000000004</v>
      </c>
      <c r="BG1570" s="469"/>
      <c r="BH1570" s="460"/>
      <c r="BI1570" s="461"/>
      <c r="BJ1570" s="505"/>
    </row>
    <row r="1571" spans="1:62" ht="15" customHeight="1" thickBot="1" x14ac:dyDescent="0.25">
      <c r="A1571" s="176">
        <v>1572</v>
      </c>
      <c r="B1571" s="291">
        <v>1</v>
      </c>
      <c r="C1571" s="167" t="s">
        <v>11</v>
      </c>
      <c r="D1571" s="299" t="s">
        <v>12</v>
      </c>
      <c r="E1571" s="167" t="s">
        <v>13</v>
      </c>
      <c r="F1571" s="299" t="s">
        <v>3878</v>
      </c>
      <c r="G1571" s="167"/>
      <c r="H1571" s="167" t="s">
        <v>87</v>
      </c>
      <c r="I1571" s="184">
        <v>2013</v>
      </c>
      <c r="J1571" s="181" t="s">
        <v>3873</v>
      </c>
      <c r="K1571" s="184" t="s">
        <v>3874</v>
      </c>
      <c r="L1571" s="184" t="s">
        <v>19</v>
      </c>
      <c r="M1571" s="556" t="s">
        <v>4389</v>
      </c>
      <c r="N1571" s="214" t="s">
        <v>122</v>
      </c>
      <c r="O1571" s="214" t="s">
        <v>292</v>
      </c>
      <c r="P1571" s="214" t="s">
        <v>292</v>
      </c>
      <c r="Q1571" s="214" t="s">
        <v>292</v>
      </c>
      <c r="R1571" s="214" t="s">
        <v>292</v>
      </c>
      <c r="S1571" s="214" t="s">
        <v>292</v>
      </c>
      <c r="T1571" s="214" t="s">
        <v>292</v>
      </c>
      <c r="U1571" s="214" t="s">
        <v>292</v>
      </c>
      <c r="V1571" s="214" t="s">
        <v>292</v>
      </c>
      <c r="W1571" s="214" t="s">
        <v>292</v>
      </c>
      <c r="X1571" s="214" t="s">
        <v>292</v>
      </c>
      <c r="Y1571" s="214" t="s">
        <v>292</v>
      </c>
      <c r="Z1571" s="234"/>
      <c r="AA1571" s="234" t="s">
        <v>3875</v>
      </c>
      <c r="AB1571" s="234"/>
      <c r="AC1571" s="234"/>
      <c r="AD1571" s="319" t="s">
        <v>3593</v>
      </c>
      <c r="AE1571" s="319"/>
      <c r="AF1571" s="162">
        <f t="shared" si="138"/>
        <v>4.09</v>
      </c>
      <c r="AG1571" s="162" t="str">
        <f t="shared" si="144"/>
        <v/>
      </c>
      <c r="AH1571" s="164">
        <f t="shared" si="140"/>
        <v>1.36</v>
      </c>
      <c r="AI1571" s="164" t="str">
        <f t="shared" si="141"/>
        <v/>
      </c>
      <c r="AJ1571" s="375">
        <v>4.09</v>
      </c>
      <c r="AK1571" s="375"/>
      <c r="AL1571" s="375"/>
      <c r="AM1571" s="375"/>
      <c r="AN1571" s="375"/>
      <c r="AO1571" s="375"/>
      <c r="AP1571" s="375"/>
      <c r="AQ1571" s="375"/>
      <c r="AR1571" s="391"/>
      <c r="AS1571" s="276">
        <f t="shared" si="145"/>
        <v>4.09</v>
      </c>
      <c r="AT1571" s="277"/>
      <c r="AU1571" s="391"/>
      <c r="AV1571" s="422" t="s">
        <v>3876</v>
      </c>
      <c r="AW1571" s="436">
        <v>1.36</v>
      </c>
      <c r="AX1571" s="359"/>
      <c r="AY1571" s="359"/>
      <c r="AZ1571" s="359"/>
      <c r="BA1571" s="359"/>
      <c r="BB1571" s="359"/>
      <c r="BC1571" s="426"/>
      <c r="BD1571" s="359"/>
      <c r="BE1571" s="359"/>
      <c r="BF1571" s="469">
        <f t="shared" si="143"/>
        <v>1.36</v>
      </c>
      <c r="BG1571" s="469"/>
      <c r="BH1571" s="460"/>
      <c r="BI1571" s="461"/>
      <c r="BJ1571" s="505"/>
    </row>
    <row r="1572" spans="1:62" ht="15" customHeight="1" thickBot="1" x14ac:dyDescent="0.25">
      <c r="A1572" s="176">
        <v>1573</v>
      </c>
      <c r="B1572" s="291">
        <v>1</v>
      </c>
      <c r="C1572" s="167" t="s">
        <v>11</v>
      </c>
      <c r="D1572" s="299" t="s">
        <v>12</v>
      </c>
      <c r="E1572" s="167" t="s">
        <v>13</v>
      </c>
      <c r="F1572" s="167" t="s">
        <v>3878</v>
      </c>
      <c r="G1572" s="167"/>
      <c r="H1572" s="167" t="s">
        <v>87</v>
      </c>
      <c r="I1572" s="184">
        <v>2013</v>
      </c>
      <c r="J1572" s="181" t="s">
        <v>3873</v>
      </c>
      <c r="K1572" s="184" t="s">
        <v>3874</v>
      </c>
      <c r="L1572" s="184" t="s">
        <v>19</v>
      </c>
      <c r="M1572" s="556" t="s">
        <v>4389</v>
      </c>
      <c r="N1572" s="214" t="s">
        <v>122</v>
      </c>
      <c r="O1572" s="214" t="s">
        <v>292</v>
      </c>
      <c r="P1572" s="214" t="s">
        <v>292</v>
      </c>
      <c r="Q1572" s="214" t="s">
        <v>292</v>
      </c>
      <c r="R1572" s="214" t="s">
        <v>292</v>
      </c>
      <c r="S1572" s="214" t="s">
        <v>292</v>
      </c>
      <c r="T1572" s="214" t="s">
        <v>292</v>
      </c>
      <c r="U1572" s="214" t="s">
        <v>292</v>
      </c>
      <c r="V1572" s="214" t="s">
        <v>292</v>
      </c>
      <c r="W1572" s="214" t="s">
        <v>292</v>
      </c>
      <c r="X1572" s="214" t="s">
        <v>292</v>
      </c>
      <c r="Y1572" s="214" t="s">
        <v>292</v>
      </c>
      <c r="Z1572" s="234"/>
      <c r="AA1572" s="234" t="s">
        <v>3875</v>
      </c>
      <c r="AB1572" s="234"/>
      <c r="AC1572" s="234"/>
      <c r="AD1572" s="319" t="s">
        <v>3593</v>
      </c>
      <c r="AE1572" s="319"/>
      <c r="AF1572" s="162">
        <f t="shared" si="138"/>
        <v>3.73</v>
      </c>
      <c r="AG1572" s="162" t="str">
        <f t="shared" si="144"/>
        <v/>
      </c>
      <c r="AH1572" s="164">
        <f t="shared" si="140"/>
        <v>1.91</v>
      </c>
      <c r="AI1572" s="164" t="str">
        <f t="shared" si="141"/>
        <v/>
      </c>
      <c r="AJ1572" s="375">
        <v>3.73</v>
      </c>
      <c r="AK1572" s="375"/>
      <c r="AL1572" s="375"/>
      <c r="AM1572" s="375"/>
      <c r="AN1572" s="375"/>
      <c r="AO1572" s="375"/>
      <c r="AP1572" s="375"/>
      <c r="AQ1572" s="375"/>
      <c r="AR1572" s="391"/>
      <c r="AS1572" s="276">
        <f t="shared" si="145"/>
        <v>3.73</v>
      </c>
      <c r="AT1572" s="277"/>
      <c r="AU1572" s="391"/>
      <c r="AV1572" s="422" t="s">
        <v>3876</v>
      </c>
      <c r="AW1572" s="436">
        <v>1.91</v>
      </c>
      <c r="AX1572" s="359"/>
      <c r="AY1572" s="359"/>
      <c r="AZ1572" s="359"/>
      <c r="BA1572" s="359"/>
      <c r="BB1572" s="359"/>
      <c r="BC1572" s="426"/>
      <c r="BD1572" s="359"/>
      <c r="BE1572" s="359"/>
      <c r="BF1572" s="469">
        <f t="shared" si="143"/>
        <v>1.91</v>
      </c>
      <c r="BG1572" s="469"/>
      <c r="BH1572" s="460"/>
      <c r="BI1572" s="461"/>
      <c r="BJ1572" s="505"/>
    </row>
    <row r="1573" spans="1:62" ht="15" customHeight="1" thickBot="1" x14ac:dyDescent="0.25">
      <c r="A1573" s="176">
        <v>1574</v>
      </c>
      <c r="B1573" s="291">
        <v>1</v>
      </c>
      <c r="C1573" s="167" t="s">
        <v>11</v>
      </c>
      <c r="D1573" s="299" t="s">
        <v>12</v>
      </c>
      <c r="E1573" s="167" t="s">
        <v>13</v>
      </c>
      <c r="F1573" s="167" t="s">
        <v>3878</v>
      </c>
      <c r="G1573" s="167"/>
      <c r="H1573" s="167" t="s">
        <v>87</v>
      </c>
      <c r="I1573" s="184">
        <v>2013</v>
      </c>
      <c r="J1573" s="181" t="s">
        <v>3873</v>
      </c>
      <c r="K1573" s="184" t="s">
        <v>3874</v>
      </c>
      <c r="L1573" s="184" t="s">
        <v>19</v>
      </c>
      <c r="M1573" s="556" t="s">
        <v>4389</v>
      </c>
      <c r="N1573" s="214" t="s">
        <v>122</v>
      </c>
      <c r="O1573" s="214" t="s">
        <v>292</v>
      </c>
      <c r="P1573" s="214" t="s">
        <v>292</v>
      </c>
      <c r="Q1573" s="214" t="s">
        <v>292</v>
      </c>
      <c r="R1573" s="214" t="s">
        <v>292</v>
      </c>
      <c r="S1573" s="214" t="s">
        <v>292</v>
      </c>
      <c r="T1573" s="214" t="s">
        <v>292</v>
      </c>
      <c r="U1573" s="214" t="s">
        <v>292</v>
      </c>
      <c r="V1573" s="214" t="s">
        <v>292</v>
      </c>
      <c r="W1573" s="214" t="s">
        <v>292</v>
      </c>
      <c r="X1573" s="214" t="s">
        <v>292</v>
      </c>
      <c r="Y1573" s="214" t="s">
        <v>292</v>
      </c>
      <c r="Z1573" s="234"/>
      <c r="AA1573" s="234" t="s">
        <v>3875</v>
      </c>
      <c r="AB1573" s="234"/>
      <c r="AC1573" s="234"/>
      <c r="AD1573" s="319" t="s">
        <v>3593</v>
      </c>
      <c r="AE1573" s="319"/>
      <c r="AF1573" s="162">
        <f t="shared" si="138"/>
        <v>4.12</v>
      </c>
      <c r="AG1573" s="162" t="str">
        <f t="shared" si="144"/>
        <v/>
      </c>
      <c r="AH1573" s="164">
        <f t="shared" si="140"/>
        <v>1.47</v>
      </c>
      <c r="AI1573" s="164" t="str">
        <f t="shared" si="141"/>
        <v/>
      </c>
      <c r="AJ1573" s="375">
        <v>4.12</v>
      </c>
      <c r="AK1573" s="375"/>
      <c r="AL1573" s="375"/>
      <c r="AM1573" s="375"/>
      <c r="AN1573" s="375"/>
      <c r="AO1573" s="375"/>
      <c r="AP1573" s="375"/>
      <c r="AQ1573" s="375"/>
      <c r="AR1573" s="391"/>
      <c r="AS1573" s="276">
        <f t="shared" si="145"/>
        <v>4.12</v>
      </c>
      <c r="AT1573" s="277"/>
      <c r="AU1573" s="391"/>
      <c r="AV1573" s="422" t="s">
        <v>3876</v>
      </c>
      <c r="AW1573" s="436">
        <v>1.47</v>
      </c>
      <c r="AX1573" s="359"/>
      <c r="AY1573" s="359"/>
      <c r="AZ1573" s="359"/>
      <c r="BA1573" s="359"/>
      <c r="BB1573" s="359"/>
      <c r="BC1573" s="426"/>
      <c r="BD1573" s="359"/>
      <c r="BE1573" s="359"/>
      <c r="BF1573" s="469">
        <f t="shared" si="143"/>
        <v>1.47</v>
      </c>
      <c r="BG1573" s="469"/>
      <c r="BH1573" s="460"/>
      <c r="BI1573" s="461"/>
      <c r="BJ1573" s="505"/>
    </row>
    <row r="1574" spans="1:62" ht="15" customHeight="1" thickBot="1" x14ac:dyDescent="0.25">
      <c r="A1574" s="176">
        <v>1575</v>
      </c>
      <c r="B1574" s="291">
        <v>1</v>
      </c>
      <c r="C1574" s="167" t="s">
        <v>11</v>
      </c>
      <c r="D1574" s="299" t="s">
        <v>12</v>
      </c>
      <c r="E1574" s="167" t="s">
        <v>13</v>
      </c>
      <c r="F1574" s="299" t="s">
        <v>3879</v>
      </c>
      <c r="G1574" s="167"/>
      <c r="H1574" s="167" t="s">
        <v>87</v>
      </c>
      <c r="I1574" s="184">
        <v>2013</v>
      </c>
      <c r="J1574" s="181" t="s">
        <v>3873</v>
      </c>
      <c r="K1574" s="184" t="s">
        <v>3874</v>
      </c>
      <c r="L1574" s="184" t="s">
        <v>19</v>
      </c>
      <c r="M1574" s="556" t="s">
        <v>4389</v>
      </c>
      <c r="N1574" s="214" t="s">
        <v>122</v>
      </c>
      <c r="O1574" s="214" t="s">
        <v>292</v>
      </c>
      <c r="P1574" s="214" t="s">
        <v>292</v>
      </c>
      <c r="Q1574" s="214" t="s">
        <v>292</v>
      </c>
      <c r="R1574" s="214" t="s">
        <v>292</v>
      </c>
      <c r="S1574" s="214" t="s">
        <v>292</v>
      </c>
      <c r="T1574" s="214" t="s">
        <v>292</v>
      </c>
      <c r="U1574" s="214" t="s">
        <v>292</v>
      </c>
      <c r="V1574" s="214" t="s">
        <v>292</v>
      </c>
      <c r="W1574" s="214" t="s">
        <v>292</v>
      </c>
      <c r="X1574" s="214" t="s">
        <v>292</v>
      </c>
      <c r="Y1574" s="214" t="s">
        <v>292</v>
      </c>
      <c r="Z1574" s="234"/>
      <c r="AA1574" s="234" t="s">
        <v>3875</v>
      </c>
      <c r="AB1574" s="234"/>
      <c r="AC1574" s="234"/>
      <c r="AD1574" s="319" t="s">
        <v>3593</v>
      </c>
      <c r="AE1574" s="319"/>
      <c r="AF1574" s="162">
        <f t="shared" si="138"/>
        <v>3.37</v>
      </c>
      <c r="AG1574" s="162" t="str">
        <f t="shared" si="144"/>
        <v/>
      </c>
      <c r="AH1574" s="164">
        <f t="shared" si="140"/>
        <v>1.18</v>
      </c>
      <c r="AI1574" s="164" t="str">
        <f t="shared" si="141"/>
        <v/>
      </c>
      <c r="AJ1574" s="375">
        <v>3.37</v>
      </c>
      <c r="AK1574" s="375"/>
      <c r="AL1574" s="375"/>
      <c r="AM1574" s="375"/>
      <c r="AN1574" s="375"/>
      <c r="AO1574" s="375"/>
      <c r="AP1574" s="375"/>
      <c r="AQ1574" s="375"/>
      <c r="AR1574" s="391"/>
      <c r="AS1574" s="276">
        <f t="shared" si="145"/>
        <v>3.37</v>
      </c>
      <c r="AT1574" s="277"/>
      <c r="AU1574" s="391"/>
      <c r="AV1574" s="422" t="s">
        <v>3876</v>
      </c>
      <c r="AW1574" s="436">
        <v>1.18</v>
      </c>
      <c r="AX1574" s="359"/>
      <c r="AY1574" s="359"/>
      <c r="AZ1574" s="359"/>
      <c r="BA1574" s="359"/>
      <c r="BB1574" s="359"/>
      <c r="BC1574" s="426"/>
      <c r="BD1574" s="359"/>
      <c r="BE1574" s="359"/>
      <c r="BF1574" s="469">
        <f t="shared" si="143"/>
        <v>1.18</v>
      </c>
      <c r="BG1574" s="469"/>
      <c r="BH1574" s="460"/>
      <c r="BI1574" s="461"/>
      <c r="BJ1574" s="505"/>
    </row>
    <row r="1575" spans="1:62" ht="15" customHeight="1" thickBot="1" x14ac:dyDescent="0.25">
      <c r="A1575" s="176">
        <v>1576</v>
      </c>
      <c r="B1575" s="230">
        <v>1</v>
      </c>
      <c r="C1575" s="278" t="s">
        <v>11</v>
      </c>
      <c r="D1575" s="299" t="s">
        <v>12</v>
      </c>
      <c r="E1575" s="278" t="s">
        <v>13</v>
      </c>
      <c r="F1575" s="279" t="s">
        <v>3879</v>
      </c>
      <c r="G1575" s="278"/>
      <c r="H1575" s="167" t="s">
        <v>87</v>
      </c>
      <c r="I1575" s="184">
        <v>2013</v>
      </c>
      <c r="J1575" s="181" t="s">
        <v>3873</v>
      </c>
      <c r="K1575" s="184" t="s">
        <v>3874</v>
      </c>
      <c r="L1575" s="184" t="s">
        <v>19</v>
      </c>
      <c r="M1575" s="556" t="s">
        <v>4389</v>
      </c>
      <c r="N1575" s="280" t="s">
        <v>122</v>
      </c>
      <c r="O1575" s="280" t="s">
        <v>292</v>
      </c>
      <c r="P1575" s="280" t="s">
        <v>292</v>
      </c>
      <c r="Q1575" s="280" t="s">
        <v>292</v>
      </c>
      <c r="R1575" s="280" t="s">
        <v>292</v>
      </c>
      <c r="S1575" s="280" t="s">
        <v>292</v>
      </c>
      <c r="T1575" s="280" t="s">
        <v>292</v>
      </c>
      <c r="U1575" s="280" t="s">
        <v>292</v>
      </c>
      <c r="V1575" s="280" t="s">
        <v>292</v>
      </c>
      <c r="W1575" s="280" t="s">
        <v>292</v>
      </c>
      <c r="X1575" s="280" t="s">
        <v>292</v>
      </c>
      <c r="Y1575" s="280" t="s">
        <v>292</v>
      </c>
      <c r="Z1575" s="281"/>
      <c r="AA1575" s="234" t="s">
        <v>3875</v>
      </c>
      <c r="AB1575" s="281"/>
      <c r="AC1575" s="281"/>
      <c r="AD1575" s="319" t="s">
        <v>3593</v>
      </c>
      <c r="AE1575" s="288"/>
      <c r="AF1575" s="162">
        <f t="shared" si="138"/>
        <v>2.4</v>
      </c>
      <c r="AG1575" s="162" t="str">
        <f t="shared" si="144"/>
        <v/>
      </c>
      <c r="AH1575" s="164">
        <f t="shared" si="140"/>
        <v>1.1100000000000001</v>
      </c>
      <c r="AI1575" s="164" t="str">
        <f t="shared" si="141"/>
        <v/>
      </c>
      <c r="AJ1575" s="515">
        <v>2.4</v>
      </c>
      <c r="AK1575" s="515"/>
      <c r="AL1575" s="515"/>
      <c r="AM1575" s="515"/>
      <c r="AN1575" s="515"/>
      <c r="AO1575" s="515"/>
      <c r="AP1575" s="515"/>
      <c r="AQ1575" s="515"/>
      <c r="AR1575" s="522"/>
      <c r="AS1575" s="276">
        <f t="shared" si="145"/>
        <v>2.4</v>
      </c>
      <c r="AT1575" s="277"/>
      <c r="AU1575" s="522"/>
      <c r="AV1575" s="422" t="s">
        <v>3876</v>
      </c>
      <c r="AW1575" s="540">
        <v>1.1100000000000001</v>
      </c>
      <c r="AX1575" s="537"/>
      <c r="AY1575" s="537"/>
      <c r="AZ1575" s="537"/>
      <c r="BA1575" s="537"/>
      <c r="BB1575" s="537"/>
      <c r="BC1575" s="537"/>
      <c r="BD1575" s="537"/>
      <c r="BE1575" s="537"/>
      <c r="BF1575" s="542">
        <f t="shared" si="143"/>
        <v>1.1100000000000001</v>
      </c>
      <c r="BG1575" s="542"/>
      <c r="BH1575" s="549"/>
      <c r="BI1575" s="552"/>
      <c r="BJ1575" s="510"/>
    </row>
    <row r="1576" spans="1:62" ht="15" customHeight="1" thickBot="1" x14ac:dyDescent="0.25">
      <c r="A1576" s="176">
        <v>1577</v>
      </c>
      <c r="B1576" s="230">
        <v>1</v>
      </c>
      <c r="C1576" s="279" t="s">
        <v>11</v>
      </c>
      <c r="D1576" s="279" t="s">
        <v>140</v>
      </c>
      <c r="E1576" s="279" t="s">
        <v>13</v>
      </c>
      <c r="F1576" s="279" t="s">
        <v>3880</v>
      </c>
      <c r="G1576" s="278"/>
      <c r="H1576" s="279" t="s">
        <v>1247</v>
      </c>
      <c r="I1576" s="303">
        <v>2013</v>
      </c>
      <c r="J1576" s="189" t="s">
        <v>3881</v>
      </c>
      <c r="K1576" s="304" t="s">
        <v>3882</v>
      </c>
      <c r="L1576" s="304" t="s">
        <v>19</v>
      </c>
      <c r="M1576" s="556" t="s">
        <v>4390</v>
      </c>
      <c r="N1576" s="280" t="s">
        <v>122</v>
      </c>
      <c r="O1576" s="280" t="s">
        <v>292</v>
      </c>
      <c r="P1576" s="280" t="s">
        <v>122</v>
      </c>
      <c r="Q1576" s="280" t="s">
        <v>122</v>
      </c>
      <c r="R1576" s="280" t="s">
        <v>122</v>
      </c>
      <c r="S1576" s="280" t="s">
        <v>122</v>
      </c>
      <c r="T1576" s="280" t="s">
        <v>122</v>
      </c>
      <c r="U1576" s="280" t="s">
        <v>122</v>
      </c>
      <c r="V1576" s="280" t="s">
        <v>122</v>
      </c>
      <c r="W1576" s="280" t="s">
        <v>292</v>
      </c>
      <c r="X1576" s="280" t="s">
        <v>122</v>
      </c>
      <c r="Y1576" s="283" t="s">
        <v>292</v>
      </c>
      <c r="Z1576" s="284" t="s">
        <v>3883</v>
      </c>
      <c r="AA1576" s="284" t="s">
        <v>3884</v>
      </c>
      <c r="AB1576" s="281" t="s">
        <v>122</v>
      </c>
      <c r="AC1576" s="281"/>
      <c r="AD1576" s="289" t="s">
        <v>3885</v>
      </c>
      <c r="AE1576" s="288"/>
      <c r="AF1576" s="162">
        <f t="shared" si="138"/>
        <v>3.1236359999999999</v>
      </c>
      <c r="AG1576" s="162">
        <f t="shared" si="144"/>
        <v>9.6909869999999998</v>
      </c>
      <c r="AH1576" s="164">
        <f t="shared" si="140"/>
        <v>0.60097</v>
      </c>
      <c r="AI1576" s="164">
        <f t="shared" si="141"/>
        <v>1.3679779999999999</v>
      </c>
      <c r="AJ1576" s="382">
        <v>3.1236359999999999</v>
      </c>
      <c r="AK1576" s="382">
        <v>0.80828900000000004</v>
      </c>
      <c r="AL1576" s="382">
        <v>5.7590620000000001</v>
      </c>
      <c r="AM1576" s="382">
        <v>4.7992179999999998</v>
      </c>
      <c r="AN1576" s="382"/>
      <c r="AO1576" s="382">
        <v>1.7353540000000001</v>
      </c>
      <c r="AP1576" s="382">
        <v>0.86767700000000003</v>
      </c>
      <c r="AQ1576" s="382">
        <v>8.6767999999999998E-2</v>
      </c>
      <c r="AR1576" s="393"/>
      <c r="AS1576" s="282">
        <f t="shared" si="145"/>
        <v>3.1236359999999999</v>
      </c>
      <c r="AT1576" s="282">
        <f>SUM(AJ1576:AQ1576)</f>
        <v>17.180004</v>
      </c>
      <c r="AU1576" s="382"/>
      <c r="AV1576" s="382"/>
      <c r="AW1576" s="332">
        <v>0.60097</v>
      </c>
      <c r="AX1576" s="332">
        <v>5.8043999999999998E-2</v>
      </c>
      <c r="AY1576" s="332">
        <v>0.70896400000000004</v>
      </c>
      <c r="AZ1576" s="332">
        <v>0.16583999999999999</v>
      </c>
      <c r="BA1576" s="332"/>
      <c r="BB1576" s="332">
        <v>0.134545</v>
      </c>
      <c r="BC1576" s="332">
        <v>8.0726999999999993E-2</v>
      </c>
      <c r="BD1576" s="332">
        <v>2.6908999999999999E-2</v>
      </c>
      <c r="BE1576" s="332"/>
      <c r="BF1576" s="476">
        <f t="shared" si="143"/>
        <v>0.60097</v>
      </c>
      <c r="BG1576" s="476">
        <f>SUM(AW1576:BD1576)</f>
        <v>1.7759989999999999</v>
      </c>
      <c r="BH1576" s="332"/>
      <c r="BI1576" s="332"/>
      <c r="BJ1576" s="334"/>
    </row>
    <row r="1577" spans="1:62" ht="15" customHeight="1" thickBot="1" x14ac:dyDescent="0.25">
      <c r="A1577" s="176">
        <v>1578</v>
      </c>
      <c r="B1577" s="230">
        <v>1</v>
      </c>
      <c r="C1577" s="279" t="s">
        <v>11</v>
      </c>
      <c r="D1577" s="279" t="s">
        <v>12</v>
      </c>
      <c r="E1577" s="279" t="s">
        <v>13</v>
      </c>
      <c r="F1577" s="279" t="s">
        <v>3886</v>
      </c>
      <c r="G1577" s="278"/>
      <c r="H1577" s="279" t="s">
        <v>1247</v>
      </c>
      <c r="I1577" s="303">
        <v>2013</v>
      </c>
      <c r="J1577" s="189" t="s">
        <v>3881</v>
      </c>
      <c r="K1577" s="304" t="s">
        <v>3887</v>
      </c>
      <c r="L1577" s="304" t="s">
        <v>19</v>
      </c>
      <c r="M1577" s="556" t="s">
        <v>4391</v>
      </c>
      <c r="N1577" s="280" t="s">
        <v>122</v>
      </c>
      <c r="O1577" s="280" t="s">
        <v>292</v>
      </c>
      <c r="P1577" s="280" t="s">
        <v>122</v>
      </c>
      <c r="Q1577" s="280" t="s">
        <v>122</v>
      </c>
      <c r="R1577" s="280" t="s">
        <v>122</v>
      </c>
      <c r="S1577" s="280" t="s">
        <v>292</v>
      </c>
      <c r="T1577" s="280" t="s">
        <v>292</v>
      </c>
      <c r="U1577" s="280" t="s">
        <v>292</v>
      </c>
      <c r="V1577" s="280" t="s">
        <v>292</v>
      </c>
      <c r="W1577" s="280" t="s">
        <v>292</v>
      </c>
      <c r="X1577" s="280" t="s">
        <v>292</v>
      </c>
      <c r="Y1577" s="280" t="s">
        <v>292</v>
      </c>
      <c r="Z1577" s="281"/>
      <c r="AA1577" s="281" t="s">
        <v>3888</v>
      </c>
      <c r="AB1577" s="281"/>
      <c r="AC1577" s="281"/>
      <c r="AD1577" s="289" t="s">
        <v>3636</v>
      </c>
      <c r="AE1577" s="288"/>
      <c r="AF1577" s="162">
        <f t="shared" si="138"/>
        <v>5.0651999999999999</v>
      </c>
      <c r="AG1577" s="162">
        <f t="shared" si="144"/>
        <v>10.56295793</v>
      </c>
      <c r="AH1577" s="164">
        <f t="shared" si="140"/>
        <v>0.96256799999999998</v>
      </c>
      <c r="AI1577" s="164">
        <f t="shared" si="141"/>
        <v>1.734262</v>
      </c>
      <c r="AJ1577" s="382">
        <v>5.0651999999999999</v>
      </c>
      <c r="AK1577" s="382">
        <v>1.2905534999999999</v>
      </c>
      <c r="AL1577" s="382">
        <v>4.20720443</v>
      </c>
      <c r="AM1577" s="382">
        <v>1.49704207</v>
      </c>
      <c r="AN1577" s="382"/>
      <c r="AO1577" s="382"/>
      <c r="AP1577" s="382"/>
      <c r="AQ1577" s="382"/>
      <c r="AR1577" s="393"/>
      <c r="AS1577" s="282">
        <f t="shared" si="145"/>
        <v>5.0651999999999999</v>
      </c>
      <c r="AT1577" s="282">
        <f>SUM(AJ1577:AM1577)</f>
        <v>12.059999999999999</v>
      </c>
      <c r="AU1577" s="382"/>
      <c r="AV1577" s="382"/>
      <c r="AW1577" s="332">
        <v>0.96256799999999998</v>
      </c>
      <c r="AX1577" s="332">
        <v>9.1800000000000007E-2</v>
      </c>
      <c r="AY1577" s="332">
        <v>0.679894</v>
      </c>
      <c r="AZ1577" s="332">
        <v>5.738E-3</v>
      </c>
      <c r="BA1577" s="332"/>
      <c r="BB1577" s="332"/>
      <c r="BC1577" s="332"/>
      <c r="BD1577" s="332"/>
      <c r="BE1577" s="332"/>
      <c r="BF1577" s="476">
        <f t="shared" si="143"/>
        <v>0.96256799999999998</v>
      </c>
      <c r="BG1577" s="476">
        <f>SUM(AW1577:AZ1577)</f>
        <v>1.74</v>
      </c>
      <c r="BH1577" s="332"/>
      <c r="BI1577" s="332"/>
      <c r="BJ1577" s="334"/>
    </row>
    <row r="1578" spans="1:62" ht="15" customHeight="1" thickBot="1" x14ac:dyDescent="0.25">
      <c r="A1578" s="176">
        <v>1579</v>
      </c>
      <c r="B1578" s="230">
        <v>1</v>
      </c>
      <c r="C1578" s="279" t="s">
        <v>11</v>
      </c>
      <c r="D1578" s="279" t="s">
        <v>426</v>
      </c>
      <c r="E1578" s="279" t="s">
        <v>13</v>
      </c>
      <c r="F1578" s="279" t="s">
        <v>3889</v>
      </c>
      <c r="G1578" s="278"/>
      <c r="H1578" s="279" t="s">
        <v>73</v>
      </c>
      <c r="I1578" s="303">
        <v>2013</v>
      </c>
      <c r="J1578" s="189" t="s">
        <v>3890</v>
      </c>
      <c r="K1578" s="304" t="s">
        <v>3891</v>
      </c>
      <c r="L1578" s="304" t="s">
        <v>19</v>
      </c>
      <c r="M1578" s="556" t="s">
        <v>4392</v>
      </c>
      <c r="N1578" s="280" t="s">
        <v>122</v>
      </c>
      <c r="O1578" s="280" t="s">
        <v>292</v>
      </c>
      <c r="P1578" s="280" t="s">
        <v>122</v>
      </c>
      <c r="Q1578" s="280" t="s">
        <v>122</v>
      </c>
      <c r="R1578" s="280" t="s">
        <v>122</v>
      </c>
      <c r="S1578" s="280" t="s">
        <v>292</v>
      </c>
      <c r="T1578" s="280" t="s">
        <v>292</v>
      </c>
      <c r="U1578" s="280" t="s">
        <v>292</v>
      </c>
      <c r="V1578" s="280" t="s">
        <v>292</v>
      </c>
      <c r="W1578" s="280" t="s">
        <v>292</v>
      </c>
      <c r="X1578" s="280" t="s">
        <v>292</v>
      </c>
      <c r="Y1578" s="280" t="s">
        <v>292</v>
      </c>
      <c r="Z1578" s="284" t="s">
        <v>3892</v>
      </c>
      <c r="AA1578" s="284" t="s">
        <v>3893</v>
      </c>
      <c r="AB1578" s="284" t="s">
        <v>122</v>
      </c>
      <c r="AC1578" s="281"/>
      <c r="AD1578" s="289" t="s">
        <v>3894</v>
      </c>
      <c r="AE1578" s="288"/>
      <c r="AF1578" s="162">
        <f t="shared" si="138"/>
        <v>45.29</v>
      </c>
      <c r="AG1578" s="162">
        <f t="shared" si="144"/>
        <v>67.600999999999999</v>
      </c>
      <c r="AH1578" s="164">
        <f t="shared" si="140"/>
        <v>8.52</v>
      </c>
      <c r="AI1578" s="164">
        <f t="shared" si="141"/>
        <v>10.026999999999999</v>
      </c>
      <c r="AJ1578" s="382">
        <v>45.29</v>
      </c>
      <c r="AK1578" s="382">
        <v>3.4860000000000002</v>
      </c>
      <c r="AL1578" s="382">
        <v>18.824999999999999</v>
      </c>
      <c r="AM1578" s="382">
        <v>1.569</v>
      </c>
      <c r="AN1578" s="382"/>
      <c r="AO1578" s="382"/>
      <c r="AP1578" s="382"/>
      <c r="AQ1578" s="382">
        <v>2.81</v>
      </c>
      <c r="AR1578" s="393"/>
      <c r="AS1578" s="282">
        <f t="shared" si="145"/>
        <v>45.29</v>
      </c>
      <c r="AT1578" s="282">
        <f>SUM(AJ1578:AR1578)</f>
        <v>71.98</v>
      </c>
      <c r="AU1578" s="382"/>
      <c r="AV1578" s="382"/>
      <c r="AW1578" s="332">
        <v>8.52</v>
      </c>
      <c r="AX1578" s="332">
        <v>0.23860000000000001</v>
      </c>
      <c r="AY1578" s="332">
        <v>1.2684</v>
      </c>
      <c r="AZ1578" s="332">
        <v>0.113</v>
      </c>
      <c r="BA1578" s="332"/>
      <c r="BB1578" s="332"/>
      <c r="BC1578" s="332"/>
      <c r="BD1578" s="332">
        <v>0.3</v>
      </c>
      <c r="BE1578" s="332"/>
      <c r="BF1578" s="476">
        <f t="shared" si="143"/>
        <v>8.52</v>
      </c>
      <c r="BG1578" s="476">
        <f>SUM(AW1578:BE1578)</f>
        <v>10.44</v>
      </c>
      <c r="BH1578" s="332"/>
      <c r="BI1578" s="332"/>
      <c r="BJ1578" s="334"/>
    </row>
    <row r="1579" spans="1:62" ht="15" customHeight="1" thickBot="1" x14ac:dyDescent="0.25">
      <c r="A1579" s="176">
        <v>1580</v>
      </c>
      <c r="B1579" s="230">
        <v>1</v>
      </c>
      <c r="C1579" s="279" t="s">
        <v>236</v>
      </c>
      <c r="D1579" s="279" t="s">
        <v>1739</v>
      </c>
      <c r="E1579" s="279" t="s">
        <v>13</v>
      </c>
      <c r="F1579" s="279" t="s">
        <v>3895</v>
      </c>
      <c r="G1579" s="278"/>
      <c r="H1579" s="279" t="s">
        <v>351</v>
      </c>
      <c r="I1579" s="303">
        <v>2013</v>
      </c>
      <c r="J1579" s="189" t="s">
        <v>3896</v>
      </c>
      <c r="K1579" s="304" t="s">
        <v>3897</v>
      </c>
      <c r="L1579" s="304" t="s">
        <v>19</v>
      </c>
      <c r="M1579" s="556" t="s">
        <v>4393</v>
      </c>
      <c r="N1579" s="280" t="s">
        <v>122</v>
      </c>
      <c r="O1579" s="280" t="s">
        <v>292</v>
      </c>
      <c r="P1579" s="280" t="s">
        <v>292</v>
      </c>
      <c r="Q1579" s="280" t="s">
        <v>292</v>
      </c>
      <c r="R1579" s="280" t="s">
        <v>292</v>
      </c>
      <c r="S1579" s="280" t="s">
        <v>292</v>
      </c>
      <c r="T1579" s="280" t="s">
        <v>292</v>
      </c>
      <c r="U1579" s="280" t="s">
        <v>292</v>
      </c>
      <c r="V1579" s="280" t="s">
        <v>292</v>
      </c>
      <c r="W1579" s="280" t="s">
        <v>292</v>
      </c>
      <c r="X1579" s="280" t="s">
        <v>292</v>
      </c>
      <c r="Y1579" s="280" t="s">
        <v>292</v>
      </c>
      <c r="Z1579" s="281"/>
      <c r="AA1579" s="281" t="s">
        <v>303</v>
      </c>
      <c r="AB1579" s="281"/>
      <c r="AC1579" s="281"/>
      <c r="AD1579" s="289" t="s">
        <v>3898</v>
      </c>
      <c r="AE1579" s="288"/>
      <c r="AF1579" s="162" t="str">
        <f t="shared" si="138"/>
        <v/>
      </c>
      <c r="AG1579" s="162" t="str">
        <f t="shared" si="144"/>
        <v/>
      </c>
      <c r="AH1579" s="164">
        <f t="shared" si="140"/>
        <v>0.163882</v>
      </c>
      <c r="AI1579" s="164" t="str">
        <f t="shared" si="141"/>
        <v/>
      </c>
      <c r="AJ1579" s="382"/>
      <c r="AK1579" s="387"/>
      <c r="AL1579" s="382"/>
      <c r="AM1579" s="382"/>
      <c r="AN1579" s="382"/>
      <c r="AO1579" s="382"/>
      <c r="AP1579" s="382"/>
      <c r="AQ1579" s="382"/>
      <c r="AR1579" s="393"/>
      <c r="AS1579" s="282"/>
      <c r="AT1579" s="282"/>
      <c r="AU1579" s="382"/>
      <c r="AV1579" s="382"/>
      <c r="AW1579" s="332">
        <v>0.163882</v>
      </c>
      <c r="AX1579" s="332"/>
      <c r="AY1579" s="332"/>
      <c r="AZ1579" s="332"/>
      <c r="BA1579" s="332"/>
      <c r="BB1579" s="332"/>
      <c r="BC1579" s="332"/>
      <c r="BD1579" s="332"/>
      <c r="BE1579" s="332"/>
      <c r="BF1579" s="476">
        <f t="shared" si="143"/>
        <v>0.163882</v>
      </c>
      <c r="BG1579" s="476"/>
      <c r="BH1579" s="332"/>
      <c r="BI1579" s="332"/>
      <c r="BJ1579" s="334"/>
    </row>
    <row r="1580" spans="1:62" ht="15" customHeight="1" thickBot="1" x14ac:dyDescent="0.25">
      <c r="A1580" s="176">
        <v>1581</v>
      </c>
      <c r="B1580" s="230">
        <v>1</v>
      </c>
      <c r="C1580" s="279" t="s">
        <v>236</v>
      </c>
      <c r="D1580" s="279" t="s">
        <v>1739</v>
      </c>
      <c r="E1580" s="279" t="s">
        <v>13</v>
      </c>
      <c r="F1580" s="279" t="s">
        <v>3899</v>
      </c>
      <c r="G1580" s="278"/>
      <c r="H1580" s="279" t="s">
        <v>87</v>
      </c>
      <c r="I1580" s="303">
        <v>2013</v>
      </c>
      <c r="J1580" s="189" t="s">
        <v>3896</v>
      </c>
      <c r="K1580" s="304" t="s">
        <v>3897</v>
      </c>
      <c r="L1580" s="304" t="s">
        <v>19</v>
      </c>
      <c r="M1580" s="556" t="s">
        <v>4393</v>
      </c>
      <c r="N1580" s="280" t="s">
        <v>122</v>
      </c>
      <c r="O1580" s="280" t="s">
        <v>292</v>
      </c>
      <c r="P1580" s="280" t="s">
        <v>292</v>
      </c>
      <c r="Q1580" s="280" t="s">
        <v>292</v>
      </c>
      <c r="R1580" s="280" t="s">
        <v>292</v>
      </c>
      <c r="S1580" s="280" t="s">
        <v>292</v>
      </c>
      <c r="T1580" s="280" t="s">
        <v>292</v>
      </c>
      <c r="U1580" s="280" t="s">
        <v>292</v>
      </c>
      <c r="V1580" s="280" t="s">
        <v>292</v>
      </c>
      <c r="W1580" s="280" t="s">
        <v>292</v>
      </c>
      <c r="X1580" s="280" t="s">
        <v>292</v>
      </c>
      <c r="Y1580" s="280" t="s">
        <v>292</v>
      </c>
      <c r="Z1580" s="281"/>
      <c r="AA1580" s="281" t="s">
        <v>303</v>
      </c>
      <c r="AB1580" s="281"/>
      <c r="AC1580" s="281"/>
      <c r="AD1580" s="289" t="s">
        <v>3898</v>
      </c>
      <c r="AE1580" s="288"/>
      <c r="AF1580" s="162" t="str">
        <f t="shared" si="138"/>
        <v/>
      </c>
      <c r="AG1580" s="162" t="str">
        <f t="shared" si="144"/>
        <v/>
      </c>
      <c r="AH1580" s="164">
        <f t="shared" si="140"/>
        <v>0.20388999999999999</v>
      </c>
      <c r="AI1580" s="164" t="str">
        <f t="shared" si="141"/>
        <v/>
      </c>
      <c r="AJ1580" s="382"/>
      <c r="AK1580" s="387"/>
      <c r="AL1580" s="382"/>
      <c r="AM1580" s="382"/>
      <c r="AN1580" s="382"/>
      <c r="AO1580" s="382"/>
      <c r="AP1580" s="382"/>
      <c r="AQ1580" s="382"/>
      <c r="AR1580" s="393"/>
      <c r="AS1580" s="282"/>
      <c r="AT1580" s="282"/>
      <c r="AU1580" s="382"/>
      <c r="AW1580" s="332">
        <v>0.20388999999999999</v>
      </c>
      <c r="AX1580" s="332"/>
      <c r="AY1580" s="332"/>
      <c r="AZ1580" s="332"/>
      <c r="BA1580" s="332"/>
      <c r="BB1580" s="332"/>
      <c r="BC1580" s="332"/>
      <c r="BD1580" s="332"/>
      <c r="BE1580" s="332"/>
      <c r="BF1580" s="476">
        <f t="shared" si="143"/>
        <v>0.20388999999999999</v>
      </c>
      <c r="BG1580" s="476"/>
      <c r="BH1580" s="332"/>
      <c r="BI1580" s="332"/>
      <c r="BJ1580" s="334"/>
    </row>
    <row r="1581" spans="1:62" ht="15" customHeight="1" thickBot="1" x14ac:dyDescent="0.25">
      <c r="A1581" s="176">
        <v>1582</v>
      </c>
      <c r="B1581" s="230">
        <v>1</v>
      </c>
      <c r="C1581" s="279" t="s">
        <v>236</v>
      </c>
      <c r="D1581" s="279" t="s">
        <v>1739</v>
      </c>
      <c r="E1581" s="279" t="s">
        <v>13</v>
      </c>
      <c r="F1581" s="279" t="s">
        <v>3900</v>
      </c>
      <c r="G1581" s="278"/>
      <c r="H1581" s="279" t="s">
        <v>87</v>
      </c>
      <c r="I1581" s="303">
        <v>2013</v>
      </c>
      <c r="J1581" s="189" t="s">
        <v>3896</v>
      </c>
      <c r="K1581" s="304" t="s">
        <v>3897</v>
      </c>
      <c r="L1581" s="304" t="s">
        <v>19</v>
      </c>
      <c r="M1581" s="556" t="s">
        <v>4393</v>
      </c>
      <c r="N1581" s="280" t="s">
        <v>122</v>
      </c>
      <c r="O1581" s="280" t="s">
        <v>292</v>
      </c>
      <c r="P1581" s="280" t="s">
        <v>292</v>
      </c>
      <c r="Q1581" s="280" t="s">
        <v>292</v>
      </c>
      <c r="R1581" s="280" t="s">
        <v>292</v>
      </c>
      <c r="S1581" s="280" t="s">
        <v>292</v>
      </c>
      <c r="T1581" s="280" t="s">
        <v>292</v>
      </c>
      <c r="U1581" s="280" t="s">
        <v>292</v>
      </c>
      <c r="V1581" s="280" t="s">
        <v>292</v>
      </c>
      <c r="W1581" s="280" t="s">
        <v>292</v>
      </c>
      <c r="X1581" s="280" t="s">
        <v>292</v>
      </c>
      <c r="Y1581" s="280" t="s">
        <v>292</v>
      </c>
      <c r="Z1581" s="281"/>
      <c r="AA1581" s="281" t="s">
        <v>303</v>
      </c>
      <c r="AB1581" s="281"/>
      <c r="AC1581" s="281"/>
      <c r="AD1581" s="289" t="s">
        <v>3898</v>
      </c>
      <c r="AE1581" s="288"/>
      <c r="AF1581" s="162" t="str">
        <f t="shared" ref="AF1581:AF1645" si="146">IF(AS1581&lt;&gt;0,AS1581,"")</f>
        <v/>
      </c>
      <c r="AG1581" s="162" t="str">
        <f t="shared" si="144"/>
        <v/>
      </c>
      <c r="AH1581" s="164">
        <f t="shared" si="140"/>
        <v>0.19287399999999999</v>
      </c>
      <c r="AI1581" s="164" t="str">
        <f t="shared" si="141"/>
        <v/>
      </c>
      <c r="AJ1581" s="382"/>
      <c r="AK1581" s="387"/>
      <c r="AL1581" s="382"/>
      <c r="AM1581" s="382"/>
      <c r="AN1581" s="382"/>
      <c r="AO1581" s="382"/>
      <c r="AP1581" s="382"/>
      <c r="AQ1581" s="382"/>
      <c r="AR1581" s="393"/>
      <c r="AS1581" s="282"/>
      <c r="AT1581" s="282"/>
      <c r="AU1581" s="382"/>
      <c r="AW1581" s="332">
        <v>0.19287399999999999</v>
      </c>
      <c r="AX1581" s="332"/>
      <c r="AY1581" s="332"/>
      <c r="AZ1581" s="332"/>
      <c r="BA1581" s="332"/>
      <c r="BB1581" s="332"/>
      <c r="BC1581" s="332"/>
      <c r="BD1581" s="332"/>
      <c r="BE1581" s="332"/>
      <c r="BF1581" s="476">
        <f t="shared" si="143"/>
        <v>0.19287399999999999</v>
      </c>
      <c r="BG1581" s="476"/>
      <c r="BH1581" s="332"/>
      <c r="BI1581" s="332"/>
      <c r="BJ1581" s="334"/>
    </row>
    <row r="1582" spans="1:62" ht="15" customHeight="1" thickBot="1" x14ac:dyDescent="0.25">
      <c r="A1582" s="176">
        <v>1583</v>
      </c>
      <c r="B1582" s="230">
        <v>1</v>
      </c>
      <c r="C1582" s="279" t="s">
        <v>236</v>
      </c>
      <c r="D1582" s="279" t="s">
        <v>1739</v>
      </c>
      <c r="E1582" s="279" t="s">
        <v>13</v>
      </c>
      <c r="F1582" s="279" t="s">
        <v>3901</v>
      </c>
      <c r="G1582" s="278"/>
      <c r="H1582" s="279" t="s">
        <v>87</v>
      </c>
      <c r="I1582" s="303">
        <v>2013</v>
      </c>
      <c r="J1582" s="189" t="s">
        <v>3896</v>
      </c>
      <c r="K1582" s="304" t="s">
        <v>3897</v>
      </c>
      <c r="L1582" s="304" t="s">
        <v>19</v>
      </c>
      <c r="M1582" s="556" t="s">
        <v>4393</v>
      </c>
      <c r="N1582" s="280" t="s">
        <v>122</v>
      </c>
      <c r="O1582" s="280" t="s">
        <v>292</v>
      </c>
      <c r="P1582" s="280" t="s">
        <v>292</v>
      </c>
      <c r="Q1582" s="280" t="s">
        <v>292</v>
      </c>
      <c r="R1582" s="280" t="s">
        <v>292</v>
      </c>
      <c r="S1582" s="280" t="s">
        <v>292</v>
      </c>
      <c r="T1582" s="280" t="s">
        <v>292</v>
      </c>
      <c r="U1582" s="280" t="s">
        <v>292</v>
      </c>
      <c r="V1582" s="280" t="s">
        <v>292</v>
      </c>
      <c r="W1582" s="280" t="s">
        <v>292</v>
      </c>
      <c r="X1582" s="280" t="s">
        <v>292</v>
      </c>
      <c r="Y1582" s="280" t="s">
        <v>292</v>
      </c>
      <c r="Z1582" s="281"/>
      <c r="AA1582" s="281" t="s">
        <v>303</v>
      </c>
      <c r="AB1582" s="281"/>
      <c r="AC1582" s="281"/>
      <c r="AD1582" s="289" t="s">
        <v>3898</v>
      </c>
      <c r="AE1582" s="288"/>
      <c r="AF1582" s="162" t="str">
        <f t="shared" si="146"/>
        <v/>
      </c>
      <c r="AG1582" s="162" t="str">
        <f t="shared" si="144"/>
        <v/>
      </c>
      <c r="AH1582" s="164">
        <f t="shared" si="140"/>
        <v>0.19654840000000001</v>
      </c>
      <c r="AI1582" s="164" t="str">
        <f t="shared" si="141"/>
        <v/>
      </c>
      <c r="AJ1582" s="382"/>
      <c r="AK1582" s="382"/>
      <c r="AL1582" s="382"/>
      <c r="AM1582" s="382"/>
      <c r="AN1582" s="382"/>
      <c r="AO1582" s="382"/>
      <c r="AP1582" s="382"/>
      <c r="AQ1582" s="382"/>
      <c r="AR1582" s="393"/>
      <c r="AS1582" s="282"/>
      <c r="AT1582" s="282"/>
      <c r="AU1582" s="382"/>
      <c r="AW1582" s="332">
        <v>0.19654840000000001</v>
      </c>
      <c r="AX1582" s="332"/>
      <c r="AY1582" s="332"/>
      <c r="AZ1582" s="332"/>
      <c r="BA1582" s="332"/>
      <c r="BB1582" s="332"/>
      <c r="BC1582" s="332"/>
      <c r="BD1582" s="332"/>
      <c r="BE1582" s="332"/>
      <c r="BF1582" s="476">
        <f t="shared" si="143"/>
        <v>0.19654840000000001</v>
      </c>
      <c r="BG1582" s="476"/>
      <c r="BH1582" s="332"/>
      <c r="BI1582" s="332"/>
      <c r="BJ1582" s="334"/>
    </row>
    <row r="1583" spans="1:62" ht="15" customHeight="1" thickBot="1" x14ac:dyDescent="0.25">
      <c r="A1583" s="176">
        <v>1584</v>
      </c>
      <c r="B1583" s="230">
        <v>1</v>
      </c>
      <c r="C1583" s="278" t="s">
        <v>236</v>
      </c>
      <c r="D1583" s="278" t="s">
        <v>3902</v>
      </c>
      <c r="E1583" s="278" t="s">
        <v>13</v>
      </c>
      <c r="F1583" s="278" t="s">
        <v>3903</v>
      </c>
      <c r="G1583" s="278"/>
      <c r="H1583" s="278" t="s">
        <v>375</v>
      </c>
      <c r="I1583" s="303">
        <v>2013</v>
      </c>
      <c r="J1583" s="189" t="s">
        <v>3904</v>
      </c>
      <c r="K1583" s="303" t="s">
        <v>3905</v>
      </c>
      <c r="L1583" s="303" t="s">
        <v>19</v>
      </c>
      <c r="M1583" s="556" t="s">
        <v>4394</v>
      </c>
      <c r="N1583" s="283" t="s">
        <v>122</v>
      </c>
      <c r="O1583" s="283" t="s">
        <v>292</v>
      </c>
      <c r="P1583" s="283" t="s">
        <v>292</v>
      </c>
      <c r="Q1583" s="283" t="s">
        <v>292</v>
      </c>
      <c r="R1583" s="283" t="s">
        <v>292</v>
      </c>
      <c r="S1583" s="283" t="s">
        <v>122</v>
      </c>
      <c r="T1583" s="283" t="s">
        <v>292</v>
      </c>
      <c r="U1583" s="283" t="s">
        <v>292</v>
      </c>
      <c r="V1583" s="283" t="s">
        <v>292</v>
      </c>
      <c r="W1583" s="283" t="s">
        <v>292</v>
      </c>
      <c r="X1583" s="283" t="s">
        <v>292</v>
      </c>
      <c r="Y1583" s="283" t="s">
        <v>292</v>
      </c>
      <c r="Z1583" s="281"/>
      <c r="AA1583" s="281" t="s">
        <v>3906</v>
      </c>
      <c r="AB1583" s="281"/>
      <c r="AC1583" s="281"/>
      <c r="AD1583" s="288" t="s">
        <v>3907</v>
      </c>
      <c r="AE1583" s="288"/>
      <c r="AF1583" s="162" t="str">
        <f t="shared" si="146"/>
        <v/>
      </c>
      <c r="AG1583" s="162" t="str">
        <f t="shared" si="144"/>
        <v/>
      </c>
      <c r="AH1583" s="164">
        <f t="shared" si="140"/>
        <v>0.64634482758620693</v>
      </c>
      <c r="AI1583" s="164" t="str">
        <f t="shared" si="141"/>
        <v/>
      </c>
      <c r="AJ1583" s="382"/>
      <c r="AK1583" s="382"/>
      <c r="AL1583" s="382"/>
      <c r="AM1583" s="382"/>
      <c r="AN1583" s="382"/>
      <c r="AO1583" s="382"/>
      <c r="AP1583" s="382"/>
      <c r="AQ1583" s="382"/>
      <c r="AR1583" s="393"/>
      <c r="AS1583" s="282"/>
      <c r="AT1583" s="282"/>
      <c r="AU1583" s="382"/>
      <c r="AW1583" s="332">
        <f>(396/435)*710/1000</f>
        <v>0.64634482758620693</v>
      </c>
      <c r="AX1583" s="332"/>
      <c r="AY1583" s="332"/>
      <c r="AZ1583" s="332"/>
      <c r="BA1583" s="332">
        <f>(39/435)*710/1000</f>
        <v>6.3655172413793107E-2</v>
      </c>
      <c r="BB1583" s="332"/>
      <c r="BC1583" s="332"/>
      <c r="BD1583" s="332"/>
      <c r="BE1583" s="332"/>
      <c r="BF1583" s="476">
        <f t="shared" si="143"/>
        <v>0.64634482758620693</v>
      </c>
      <c r="BG1583" s="476">
        <f>SUM(AW1583:BA1583)</f>
        <v>0.71000000000000008</v>
      </c>
      <c r="BH1583" s="332"/>
      <c r="BI1583" s="332"/>
      <c r="BJ1583" s="334"/>
    </row>
    <row r="1584" spans="1:62" ht="15" customHeight="1" thickBot="1" x14ac:dyDescent="0.25">
      <c r="A1584" s="176">
        <v>1585</v>
      </c>
      <c r="B1584" s="230">
        <v>1</v>
      </c>
      <c r="C1584" s="278" t="s">
        <v>11</v>
      </c>
      <c r="D1584" s="278" t="s">
        <v>12</v>
      </c>
      <c r="E1584" s="278" t="s">
        <v>13</v>
      </c>
      <c r="F1584" s="278" t="s">
        <v>3908</v>
      </c>
      <c r="G1584" s="278"/>
      <c r="H1584" s="278" t="s">
        <v>1064</v>
      </c>
      <c r="I1584" s="303">
        <v>2013</v>
      </c>
      <c r="J1584" s="189" t="s">
        <v>3909</v>
      </c>
      <c r="K1584" s="303" t="s">
        <v>3910</v>
      </c>
      <c r="L1584" s="303" t="s">
        <v>19</v>
      </c>
      <c r="M1584" s="556" t="s">
        <v>4395</v>
      </c>
      <c r="N1584" s="283" t="s">
        <v>122</v>
      </c>
      <c r="O1584" s="283" t="s">
        <v>292</v>
      </c>
      <c r="P1584" s="283" t="s">
        <v>292</v>
      </c>
      <c r="Q1584" s="283" t="s">
        <v>292</v>
      </c>
      <c r="R1584" s="283" t="s">
        <v>292</v>
      </c>
      <c r="S1584" s="283" t="s">
        <v>292</v>
      </c>
      <c r="T1584" s="283" t="s">
        <v>292</v>
      </c>
      <c r="U1584" s="283" t="s">
        <v>292</v>
      </c>
      <c r="V1584" s="283" t="s">
        <v>292</v>
      </c>
      <c r="W1584" s="283" t="s">
        <v>292</v>
      </c>
      <c r="X1584" s="283" t="s">
        <v>292</v>
      </c>
      <c r="Y1584" s="283" t="s">
        <v>292</v>
      </c>
      <c r="Z1584" s="281"/>
      <c r="AA1584" s="281" t="s">
        <v>303</v>
      </c>
      <c r="AB1584" s="281"/>
      <c r="AC1584" s="281"/>
      <c r="AD1584" s="288" t="s">
        <v>252</v>
      </c>
      <c r="AE1584" s="288"/>
      <c r="AF1584" s="162" t="str">
        <f t="shared" si="146"/>
        <v/>
      </c>
      <c r="AG1584" s="162" t="str">
        <f t="shared" si="144"/>
        <v/>
      </c>
      <c r="AH1584" s="164">
        <f t="shared" si="140"/>
        <v>1.02</v>
      </c>
      <c r="AI1584" s="164" t="str">
        <f t="shared" si="141"/>
        <v/>
      </c>
      <c r="AJ1584" s="387"/>
      <c r="AK1584" s="382"/>
      <c r="AL1584" s="382"/>
      <c r="AM1584" s="382"/>
      <c r="AN1584" s="382"/>
      <c r="AO1584" s="382"/>
      <c r="AP1584" s="382"/>
      <c r="AQ1584" s="382"/>
      <c r="AR1584" s="393"/>
      <c r="AS1584" s="286"/>
      <c r="AT1584" s="286"/>
      <c r="AU1584" s="382"/>
      <c r="AV1584" s="382"/>
      <c r="AW1584" s="332">
        <v>1.02</v>
      </c>
      <c r="AX1584" s="332"/>
      <c r="AY1584" s="332"/>
      <c r="AZ1584" s="332"/>
      <c r="BA1584" s="332"/>
      <c r="BB1584" s="332"/>
      <c r="BC1584" s="332"/>
      <c r="BD1584" s="332"/>
      <c r="BE1584" s="332"/>
      <c r="BF1584" s="476">
        <f t="shared" ref="BF1584:BF1608" si="147">AW1584</f>
        <v>1.02</v>
      </c>
      <c r="BG1584" s="476"/>
      <c r="BH1584" s="332"/>
      <c r="BI1584" s="332"/>
      <c r="BJ1584" s="334"/>
    </row>
    <row r="1585" spans="1:62" ht="15" customHeight="1" thickBot="1" x14ac:dyDescent="0.25">
      <c r="A1585" s="176">
        <v>1586</v>
      </c>
      <c r="B1585" s="230">
        <v>1</v>
      </c>
      <c r="C1585" s="278" t="s">
        <v>24</v>
      </c>
      <c r="D1585" s="278" t="s">
        <v>53</v>
      </c>
      <c r="E1585" s="278" t="s">
        <v>13</v>
      </c>
      <c r="F1585" s="278" t="s">
        <v>3911</v>
      </c>
      <c r="G1585" s="278"/>
      <c r="H1585" s="278" t="s">
        <v>1064</v>
      </c>
      <c r="I1585" s="303">
        <v>2013</v>
      </c>
      <c r="J1585" s="189" t="s">
        <v>3909</v>
      </c>
      <c r="K1585" s="303" t="s">
        <v>3910</v>
      </c>
      <c r="L1585" s="303" t="s">
        <v>19</v>
      </c>
      <c r="M1585" s="556" t="s">
        <v>4395</v>
      </c>
      <c r="N1585" s="283" t="s">
        <v>122</v>
      </c>
      <c r="O1585" s="283" t="s">
        <v>292</v>
      </c>
      <c r="P1585" s="283" t="s">
        <v>292</v>
      </c>
      <c r="Q1585" s="283" t="s">
        <v>292</v>
      </c>
      <c r="R1585" s="283" t="s">
        <v>292</v>
      </c>
      <c r="S1585" s="283" t="s">
        <v>292</v>
      </c>
      <c r="T1585" s="283" t="s">
        <v>292</v>
      </c>
      <c r="U1585" s="283" t="s">
        <v>292</v>
      </c>
      <c r="V1585" s="283" t="s">
        <v>292</v>
      </c>
      <c r="W1585" s="283" t="s">
        <v>292</v>
      </c>
      <c r="X1585" s="283" t="s">
        <v>292</v>
      </c>
      <c r="Y1585" s="283" t="s">
        <v>292</v>
      </c>
      <c r="Z1585" s="281"/>
      <c r="AA1585" s="281" t="s">
        <v>303</v>
      </c>
      <c r="AB1585" s="281"/>
      <c r="AC1585" s="281"/>
      <c r="AD1585" s="288" t="s">
        <v>581</v>
      </c>
      <c r="AE1585" s="288" t="s">
        <v>3641</v>
      </c>
      <c r="AF1585" s="162" t="str">
        <f t="shared" si="146"/>
        <v/>
      </c>
      <c r="AG1585" s="162" t="str">
        <f t="shared" si="144"/>
        <v/>
      </c>
      <c r="AH1585" s="164">
        <f t="shared" si="140"/>
        <v>32.488755622188904</v>
      </c>
      <c r="AI1585" s="164" t="str">
        <f t="shared" si="141"/>
        <v/>
      </c>
      <c r="AJ1585" s="387"/>
      <c r="AK1585" s="382"/>
      <c r="AL1585" s="382"/>
      <c r="AM1585" s="382"/>
      <c r="AN1585" s="382"/>
      <c r="AO1585" s="382"/>
      <c r="AP1585" s="382"/>
      <c r="AQ1585" s="382"/>
      <c r="AR1585" s="393"/>
      <c r="AS1585" s="286"/>
      <c r="AT1585" s="286"/>
      <c r="AU1585" s="382"/>
      <c r="AV1585" s="382"/>
      <c r="AW1585" s="332">
        <f>21.67/0.667</f>
        <v>32.488755622188904</v>
      </c>
      <c r="AX1585" s="332"/>
      <c r="AY1585" s="332"/>
      <c r="AZ1585" s="332"/>
      <c r="BA1585" s="332"/>
      <c r="BB1585" s="332"/>
      <c r="BC1585" s="332"/>
      <c r="BD1585" s="332"/>
      <c r="BE1585" s="332"/>
      <c r="BF1585" s="476">
        <f t="shared" si="147"/>
        <v>32.488755622188904</v>
      </c>
      <c r="BG1585" s="476"/>
      <c r="BH1585" s="332"/>
      <c r="BI1585" s="332"/>
      <c r="BJ1585" s="334"/>
    </row>
    <row r="1586" spans="1:62" ht="15" customHeight="1" thickBot="1" x14ac:dyDescent="0.25">
      <c r="A1586" s="176">
        <v>1587</v>
      </c>
      <c r="B1586" s="230">
        <v>1</v>
      </c>
      <c r="C1586" s="278" t="s">
        <v>24</v>
      </c>
      <c r="D1586" s="278" t="s">
        <v>53</v>
      </c>
      <c r="E1586" s="278" t="s">
        <v>13</v>
      </c>
      <c r="F1586" s="278" t="s">
        <v>3912</v>
      </c>
      <c r="G1586" s="278"/>
      <c r="H1586" s="278" t="s">
        <v>1064</v>
      </c>
      <c r="I1586" s="303">
        <v>2013</v>
      </c>
      <c r="J1586" s="189" t="s">
        <v>3909</v>
      </c>
      <c r="K1586" s="303" t="s">
        <v>3910</v>
      </c>
      <c r="L1586" s="303" t="s">
        <v>19</v>
      </c>
      <c r="M1586" s="556" t="s">
        <v>4395</v>
      </c>
      <c r="N1586" s="283" t="s">
        <v>122</v>
      </c>
      <c r="O1586" s="283" t="s">
        <v>292</v>
      </c>
      <c r="P1586" s="283" t="s">
        <v>292</v>
      </c>
      <c r="Q1586" s="283" t="s">
        <v>292</v>
      </c>
      <c r="R1586" s="283" t="s">
        <v>292</v>
      </c>
      <c r="S1586" s="283" t="s">
        <v>292</v>
      </c>
      <c r="T1586" s="283" t="s">
        <v>292</v>
      </c>
      <c r="U1586" s="283" t="s">
        <v>292</v>
      </c>
      <c r="V1586" s="283" t="s">
        <v>292</v>
      </c>
      <c r="W1586" s="283" t="s">
        <v>292</v>
      </c>
      <c r="X1586" s="283" t="s">
        <v>292</v>
      </c>
      <c r="Y1586" s="283" t="s">
        <v>292</v>
      </c>
      <c r="Z1586" s="281"/>
      <c r="AA1586" s="281" t="s">
        <v>303</v>
      </c>
      <c r="AB1586" s="281"/>
      <c r="AC1586" s="281"/>
      <c r="AD1586" s="288" t="s">
        <v>581</v>
      </c>
      <c r="AE1586" s="288" t="s">
        <v>3641</v>
      </c>
      <c r="AF1586" s="162" t="str">
        <f t="shared" si="146"/>
        <v/>
      </c>
      <c r="AG1586" s="162" t="str">
        <f t="shared" si="144"/>
        <v/>
      </c>
      <c r="AH1586" s="164">
        <f t="shared" si="140"/>
        <v>25.862068965517238</v>
      </c>
      <c r="AI1586" s="164" t="str">
        <f t="shared" si="141"/>
        <v/>
      </c>
      <c r="AJ1586" s="387"/>
      <c r="AK1586" s="382"/>
      <c r="AL1586" s="382"/>
      <c r="AM1586" s="382"/>
      <c r="AN1586" s="382"/>
      <c r="AO1586" s="382"/>
      <c r="AP1586" s="382"/>
      <c r="AQ1586" s="382"/>
      <c r="AR1586" s="393"/>
      <c r="AS1586" s="286"/>
      <c r="AT1586" s="286"/>
      <c r="AU1586" s="382"/>
      <c r="AW1586" s="332">
        <f>17.25/0.667</f>
        <v>25.862068965517238</v>
      </c>
      <c r="AX1586" s="332"/>
      <c r="AY1586" s="332"/>
      <c r="AZ1586" s="332"/>
      <c r="BA1586" s="332"/>
      <c r="BB1586" s="332"/>
      <c r="BC1586" s="332"/>
      <c r="BD1586" s="332"/>
      <c r="BE1586" s="332"/>
      <c r="BF1586" s="476">
        <f t="shared" si="147"/>
        <v>25.862068965517238</v>
      </c>
      <c r="BG1586" s="476"/>
      <c r="BH1586" s="332"/>
      <c r="BI1586" s="332"/>
      <c r="BJ1586" s="334"/>
    </row>
    <row r="1587" spans="1:62" ht="15" customHeight="1" thickBot="1" x14ac:dyDescent="0.25">
      <c r="A1587" s="176">
        <v>1588</v>
      </c>
      <c r="B1587" s="230">
        <v>1</v>
      </c>
      <c r="C1587" s="278" t="s">
        <v>24</v>
      </c>
      <c r="D1587" s="278" t="s">
        <v>2448</v>
      </c>
      <c r="E1587" s="278" t="s">
        <v>13</v>
      </c>
      <c r="F1587" s="278" t="s">
        <v>3913</v>
      </c>
      <c r="G1587" s="278"/>
      <c r="H1587" s="278" t="s">
        <v>55</v>
      </c>
      <c r="I1587" s="303">
        <v>2012</v>
      </c>
      <c r="J1587" s="189" t="s">
        <v>3914</v>
      </c>
      <c r="K1587" s="303" t="s">
        <v>3915</v>
      </c>
      <c r="L1587" s="303" t="s">
        <v>3916</v>
      </c>
      <c r="M1587" s="556" t="s">
        <v>4396</v>
      </c>
      <c r="N1587" s="283" t="s">
        <v>122</v>
      </c>
      <c r="O1587" s="283" t="s">
        <v>292</v>
      </c>
      <c r="P1587" s="283" t="s">
        <v>292</v>
      </c>
      <c r="Q1587" s="283" t="s">
        <v>122</v>
      </c>
      <c r="R1587" s="283" t="s">
        <v>292</v>
      </c>
      <c r="S1587" s="283" t="s">
        <v>292</v>
      </c>
      <c r="T1587" s="283" t="s">
        <v>292</v>
      </c>
      <c r="U1587" s="283" t="s">
        <v>292</v>
      </c>
      <c r="V1587" s="283" t="s">
        <v>292</v>
      </c>
      <c r="W1587" s="283" t="s">
        <v>292</v>
      </c>
      <c r="X1587" s="283" t="s">
        <v>292</v>
      </c>
      <c r="Y1587" s="283" t="s">
        <v>292</v>
      </c>
      <c r="Z1587" s="281"/>
      <c r="AA1587" s="281" t="s">
        <v>1439</v>
      </c>
      <c r="AB1587" s="281"/>
      <c r="AC1587" s="281"/>
      <c r="AD1587" s="288" t="s">
        <v>581</v>
      </c>
      <c r="AE1587" s="288" t="s">
        <v>3917</v>
      </c>
      <c r="AF1587" s="162">
        <f t="shared" si="146"/>
        <v>20.38961038961039</v>
      </c>
      <c r="AG1587" s="162">
        <f t="shared" si="144"/>
        <v>26.233766233766232</v>
      </c>
      <c r="AH1587" s="164">
        <f t="shared" si="140"/>
        <v>2.5494363636363637</v>
      </c>
      <c r="AI1587" s="164">
        <f t="shared" si="141"/>
        <v>3.0909090909090908</v>
      </c>
      <c r="AJ1587" s="387">
        <f>15.7/0.77</f>
        <v>20.38961038961039</v>
      </c>
      <c r="AK1587" s="382"/>
      <c r="AL1587" s="382">
        <f>4.5/0.77</f>
        <v>5.8441558441558437</v>
      </c>
      <c r="AM1587" s="382"/>
      <c r="AN1587" s="382"/>
      <c r="AO1587" s="382"/>
      <c r="AP1587" s="382"/>
      <c r="AQ1587" s="382"/>
      <c r="AR1587" s="393"/>
      <c r="AS1587" s="286">
        <f t="shared" ref="AS1587:AS1596" si="148">AJ1587</f>
        <v>20.38961038961039</v>
      </c>
      <c r="AT1587" s="286">
        <f>SUM(AJ1587:AL1587)</f>
        <v>26.233766233766232</v>
      </c>
      <c r="AU1587" s="382"/>
      <c r="AW1587" s="332">
        <f>1.963066/0.77</f>
        <v>2.5494363636363637</v>
      </c>
      <c r="AX1587" s="332"/>
      <c r="AY1587" s="332">
        <f>0.416934/0.77</f>
        <v>0.54147272727272733</v>
      </c>
      <c r="AZ1587" s="332"/>
      <c r="BA1587" s="332"/>
      <c r="BB1587" s="332"/>
      <c r="BC1587" s="332"/>
      <c r="BD1587" s="332"/>
      <c r="BE1587" s="332"/>
      <c r="BF1587" s="476">
        <f t="shared" si="147"/>
        <v>2.5494363636363637</v>
      </c>
      <c r="BG1587" s="476">
        <f>SUM(AW1587:AY1587)</f>
        <v>3.0909090909090908</v>
      </c>
      <c r="BH1587" s="332"/>
      <c r="BI1587" s="332"/>
      <c r="BJ1587" s="334"/>
    </row>
    <row r="1588" spans="1:62" ht="15" customHeight="1" thickBot="1" x14ac:dyDescent="0.25">
      <c r="A1588" s="176">
        <v>1589</v>
      </c>
      <c r="B1588" s="230">
        <v>1</v>
      </c>
      <c r="C1588" s="278" t="s">
        <v>24</v>
      </c>
      <c r="D1588" s="278" t="s">
        <v>2448</v>
      </c>
      <c r="E1588" s="278" t="s">
        <v>13</v>
      </c>
      <c r="F1588" s="278" t="s">
        <v>3918</v>
      </c>
      <c r="G1588" s="278"/>
      <c r="H1588" s="278" t="s">
        <v>55</v>
      </c>
      <c r="I1588" s="303">
        <v>2012</v>
      </c>
      <c r="J1588" s="189" t="s">
        <v>3914</v>
      </c>
      <c r="K1588" s="303" t="s">
        <v>3915</v>
      </c>
      <c r="L1588" s="303" t="s">
        <v>3916</v>
      </c>
      <c r="M1588" s="556" t="s">
        <v>4396</v>
      </c>
      <c r="N1588" s="283" t="s">
        <v>122</v>
      </c>
      <c r="O1588" s="283" t="s">
        <v>292</v>
      </c>
      <c r="P1588" s="283" t="s">
        <v>292</v>
      </c>
      <c r="Q1588" s="283" t="s">
        <v>122</v>
      </c>
      <c r="R1588" s="283" t="s">
        <v>292</v>
      </c>
      <c r="S1588" s="283" t="s">
        <v>292</v>
      </c>
      <c r="T1588" s="283" t="s">
        <v>292</v>
      </c>
      <c r="U1588" s="283" t="s">
        <v>292</v>
      </c>
      <c r="V1588" s="283" t="s">
        <v>292</v>
      </c>
      <c r="W1588" s="283" t="s">
        <v>292</v>
      </c>
      <c r="X1588" s="283" t="s">
        <v>292</v>
      </c>
      <c r="Y1588" s="283" t="s">
        <v>292</v>
      </c>
      <c r="Z1588" s="281"/>
      <c r="AA1588" s="281" t="s">
        <v>1439</v>
      </c>
      <c r="AB1588" s="281"/>
      <c r="AC1588" s="281"/>
      <c r="AD1588" s="288" t="s">
        <v>581</v>
      </c>
      <c r="AE1588" s="288" t="s">
        <v>3917</v>
      </c>
      <c r="AF1588" s="162">
        <f t="shared" si="146"/>
        <v>14.285714285714285</v>
      </c>
      <c r="AG1588" s="162">
        <f t="shared" si="144"/>
        <v>18.831168831168831</v>
      </c>
      <c r="AH1588" s="164">
        <f t="shared" si="140"/>
        <v>2.1918909090909091</v>
      </c>
      <c r="AI1588" s="164">
        <f t="shared" si="141"/>
        <v>2.4545454545454546</v>
      </c>
      <c r="AJ1588" s="387">
        <f>11/0.77</f>
        <v>14.285714285714285</v>
      </c>
      <c r="AK1588" s="382"/>
      <c r="AL1588" s="382">
        <f>3.5/0.77</f>
        <v>4.545454545454545</v>
      </c>
      <c r="AM1588" s="382"/>
      <c r="AN1588" s="382"/>
      <c r="AO1588" s="382"/>
      <c r="AP1588" s="382"/>
      <c r="AQ1588" s="382"/>
      <c r="AR1588" s="393"/>
      <c r="AS1588" s="286">
        <f t="shared" si="148"/>
        <v>14.285714285714285</v>
      </c>
      <c r="AT1588" s="286">
        <f>SUM(AJ1588:AL1588)</f>
        <v>18.831168831168831</v>
      </c>
      <c r="AU1588" s="382"/>
      <c r="AW1588" s="332">
        <f>1.687756/0.77</f>
        <v>2.1918909090909091</v>
      </c>
      <c r="AX1588" s="332"/>
      <c r="AY1588" s="332">
        <f>0.202244/0.77</f>
        <v>0.26265454545454547</v>
      </c>
      <c r="AZ1588" s="332"/>
      <c r="BA1588" s="332"/>
      <c r="BB1588" s="332"/>
      <c r="BC1588" s="332"/>
      <c r="BD1588" s="332"/>
      <c r="BE1588" s="332"/>
      <c r="BF1588" s="476">
        <f t="shared" si="147"/>
        <v>2.1918909090909091</v>
      </c>
      <c r="BG1588" s="476">
        <f>SUM(AW1588:AY1588)</f>
        <v>2.4545454545454546</v>
      </c>
      <c r="BH1588" s="332"/>
      <c r="BI1588" s="332"/>
      <c r="BJ1588" s="334"/>
    </row>
    <row r="1589" spans="1:62" ht="15" customHeight="1" thickBot="1" x14ac:dyDescent="0.25">
      <c r="A1589" s="176">
        <v>1590</v>
      </c>
      <c r="B1589" s="230">
        <v>1</v>
      </c>
      <c r="C1589" s="278" t="s">
        <v>24</v>
      </c>
      <c r="D1589" s="278" t="s">
        <v>2448</v>
      </c>
      <c r="E1589" s="278" t="s">
        <v>13</v>
      </c>
      <c r="F1589" s="278" t="s">
        <v>48</v>
      </c>
      <c r="G1589" s="278"/>
      <c r="H1589" s="278" t="s">
        <v>55</v>
      </c>
      <c r="I1589" s="303">
        <v>2012</v>
      </c>
      <c r="J1589" s="189" t="s">
        <v>3914</v>
      </c>
      <c r="K1589" s="303" t="s">
        <v>3915</v>
      </c>
      <c r="L1589" s="303" t="s">
        <v>3916</v>
      </c>
      <c r="M1589" s="556" t="s">
        <v>4396</v>
      </c>
      <c r="N1589" s="283" t="s">
        <v>122</v>
      </c>
      <c r="O1589" s="283" t="s">
        <v>292</v>
      </c>
      <c r="P1589" s="283" t="s">
        <v>292</v>
      </c>
      <c r="Q1589" s="283" t="s">
        <v>122</v>
      </c>
      <c r="R1589" s="283" t="s">
        <v>292</v>
      </c>
      <c r="S1589" s="283" t="s">
        <v>292</v>
      </c>
      <c r="T1589" s="283" t="s">
        <v>292</v>
      </c>
      <c r="U1589" s="283" t="s">
        <v>292</v>
      </c>
      <c r="V1589" s="283" t="s">
        <v>292</v>
      </c>
      <c r="W1589" s="283" t="s">
        <v>292</v>
      </c>
      <c r="X1589" s="283" t="s">
        <v>292</v>
      </c>
      <c r="Y1589" s="283" t="s">
        <v>292</v>
      </c>
      <c r="Z1589" s="281"/>
      <c r="AA1589" s="281" t="s">
        <v>1439</v>
      </c>
      <c r="AB1589" s="281"/>
      <c r="AC1589" s="281"/>
      <c r="AD1589" s="288" t="s">
        <v>581</v>
      </c>
      <c r="AE1589" s="288" t="s">
        <v>3917</v>
      </c>
      <c r="AF1589" s="162">
        <f t="shared" si="146"/>
        <v>17.012987012987011</v>
      </c>
      <c r="AG1589" s="162">
        <f t="shared" si="144"/>
        <v>21.818181818181817</v>
      </c>
      <c r="AH1589" s="164">
        <f t="shared" si="140"/>
        <v>2.4289506493506492</v>
      </c>
      <c r="AI1589" s="164">
        <f t="shared" si="141"/>
        <v>2.8441558441558441</v>
      </c>
      <c r="AJ1589" s="387">
        <f>13.1/0.77</f>
        <v>17.012987012987011</v>
      </c>
      <c r="AK1589" s="382"/>
      <c r="AL1589" s="382">
        <f>3.7/0.77</f>
        <v>4.8051948051948052</v>
      </c>
      <c r="AM1589" s="382"/>
      <c r="AN1589" s="382"/>
      <c r="AO1589" s="382"/>
      <c r="AP1589" s="382"/>
      <c r="AQ1589" s="382"/>
      <c r="AR1589" s="393"/>
      <c r="AS1589" s="286">
        <f t="shared" si="148"/>
        <v>17.012987012987011</v>
      </c>
      <c r="AT1589" s="286">
        <f>SUM(AJ1589:AL1589)</f>
        <v>21.818181818181817</v>
      </c>
      <c r="AU1589" s="382"/>
      <c r="AW1589" s="332">
        <f>1.870292/0.77</f>
        <v>2.4289506493506492</v>
      </c>
      <c r="AX1589" s="332"/>
      <c r="AY1589" s="332">
        <f>0.319708/0.77</f>
        <v>0.4152051948051948</v>
      </c>
      <c r="AZ1589" s="332"/>
      <c r="BA1589" s="332"/>
      <c r="BB1589" s="332"/>
      <c r="BC1589" s="332"/>
      <c r="BD1589" s="332"/>
      <c r="BE1589" s="332"/>
      <c r="BF1589" s="476">
        <f t="shared" si="147"/>
        <v>2.4289506493506492</v>
      </c>
      <c r="BG1589" s="476">
        <f>SUM(AW1589:AY1589)</f>
        <v>2.8441558441558441</v>
      </c>
      <c r="BH1589" s="332"/>
      <c r="BI1589" s="332"/>
      <c r="BJ1589" s="334"/>
    </row>
    <row r="1590" spans="1:62" ht="15" customHeight="1" thickBot="1" x14ac:dyDescent="0.25">
      <c r="A1590" s="176">
        <v>1591</v>
      </c>
      <c r="B1590" s="230">
        <v>1</v>
      </c>
      <c r="C1590" s="278" t="s">
        <v>24</v>
      </c>
      <c r="D1590" s="278" t="s">
        <v>2448</v>
      </c>
      <c r="E1590" s="278" t="s">
        <v>13</v>
      </c>
      <c r="F1590" s="278" t="s">
        <v>50</v>
      </c>
      <c r="G1590" s="278"/>
      <c r="H1590" s="278" t="s">
        <v>55</v>
      </c>
      <c r="I1590" s="303">
        <v>2012</v>
      </c>
      <c r="J1590" s="189" t="s">
        <v>3914</v>
      </c>
      <c r="K1590" s="303" t="s">
        <v>3915</v>
      </c>
      <c r="L1590" s="303" t="s">
        <v>3916</v>
      </c>
      <c r="M1590" s="556" t="s">
        <v>4396</v>
      </c>
      <c r="N1590" s="283" t="s">
        <v>122</v>
      </c>
      <c r="O1590" s="283" t="s">
        <v>292</v>
      </c>
      <c r="P1590" s="283" t="s">
        <v>292</v>
      </c>
      <c r="Q1590" s="283" t="s">
        <v>122</v>
      </c>
      <c r="R1590" s="283" t="s">
        <v>292</v>
      </c>
      <c r="S1590" s="283" t="s">
        <v>292</v>
      </c>
      <c r="T1590" s="283" t="s">
        <v>292</v>
      </c>
      <c r="U1590" s="283" t="s">
        <v>292</v>
      </c>
      <c r="V1590" s="283" t="s">
        <v>292</v>
      </c>
      <c r="W1590" s="283" t="s">
        <v>292</v>
      </c>
      <c r="X1590" s="283" t="s">
        <v>292</v>
      </c>
      <c r="Y1590" s="283" t="s">
        <v>292</v>
      </c>
      <c r="Z1590" s="281"/>
      <c r="AA1590" s="281" t="s">
        <v>1439</v>
      </c>
      <c r="AB1590" s="281"/>
      <c r="AC1590" s="281"/>
      <c r="AD1590" s="288" t="s">
        <v>581</v>
      </c>
      <c r="AE1590" s="288" t="s">
        <v>3917</v>
      </c>
      <c r="AF1590" s="162">
        <f t="shared" si="146"/>
        <v>11.168831168831169</v>
      </c>
      <c r="AG1590" s="162">
        <f t="shared" si="144"/>
        <v>16.623376623376622</v>
      </c>
      <c r="AH1590" s="164">
        <f t="shared" si="140"/>
        <v>3.2805</v>
      </c>
      <c r="AI1590" s="164">
        <f t="shared" si="141"/>
        <v>3.7142857142857144</v>
      </c>
      <c r="AJ1590" s="387">
        <f>8.6/0.77</f>
        <v>11.168831168831169</v>
      </c>
      <c r="AK1590" s="382"/>
      <c r="AL1590" s="382">
        <f>4.2/0.77</f>
        <v>5.454545454545455</v>
      </c>
      <c r="AM1590" s="382"/>
      <c r="AN1590" s="382"/>
      <c r="AO1590" s="382"/>
      <c r="AP1590" s="382"/>
      <c r="AQ1590" s="382"/>
      <c r="AR1590" s="393"/>
      <c r="AS1590" s="286">
        <f t="shared" si="148"/>
        <v>11.168831168831169</v>
      </c>
      <c r="AT1590" s="286">
        <f>SUM(AJ1590:AL1590)</f>
        <v>16.623376623376622</v>
      </c>
      <c r="AU1590" s="382"/>
      <c r="AW1590" s="332">
        <f>2.525985/0.77</f>
        <v>3.2805</v>
      </c>
      <c r="AX1590" s="332"/>
      <c r="AY1590" s="332">
        <f>0.334015/0.77</f>
        <v>0.43378571428571427</v>
      </c>
      <c r="AZ1590" s="332"/>
      <c r="BA1590" s="332"/>
      <c r="BB1590" s="332"/>
      <c r="BC1590" s="332"/>
      <c r="BD1590" s="332"/>
      <c r="BE1590" s="332"/>
      <c r="BF1590" s="476">
        <f t="shared" si="147"/>
        <v>3.2805</v>
      </c>
      <c r="BG1590" s="476">
        <f>SUM(AW1590:AY1590)</f>
        <v>3.7142857142857144</v>
      </c>
      <c r="BH1590" s="332"/>
      <c r="BI1590" s="332"/>
      <c r="BJ1590" s="334"/>
    </row>
    <row r="1591" spans="1:62" ht="15" customHeight="1" thickBot="1" x14ac:dyDescent="0.25">
      <c r="A1591" s="176">
        <v>1592</v>
      </c>
      <c r="B1591" s="230">
        <v>1</v>
      </c>
      <c r="C1591" s="278" t="s">
        <v>11</v>
      </c>
      <c r="D1591" s="278" t="s">
        <v>3633</v>
      </c>
      <c r="E1591" s="278" t="s">
        <v>13</v>
      </c>
      <c r="F1591" s="278" t="s">
        <v>3919</v>
      </c>
      <c r="G1591" s="278"/>
      <c r="H1591" s="278" t="s">
        <v>376</v>
      </c>
      <c r="I1591" s="303">
        <v>2012</v>
      </c>
      <c r="J1591" s="189" t="s">
        <v>3920</v>
      </c>
      <c r="K1591" s="303" t="s">
        <v>3921</v>
      </c>
      <c r="L1591" s="303" t="s">
        <v>19</v>
      </c>
      <c r="M1591" s="556" t="s">
        <v>4397</v>
      </c>
      <c r="N1591" s="283" t="s">
        <v>122</v>
      </c>
      <c r="O1591" s="283" t="s">
        <v>122</v>
      </c>
      <c r="P1591" s="283" t="s">
        <v>292</v>
      </c>
      <c r="Q1591" s="283" t="s">
        <v>292</v>
      </c>
      <c r="R1591" s="283" t="s">
        <v>292</v>
      </c>
      <c r="S1591" s="283" t="s">
        <v>292</v>
      </c>
      <c r="T1591" s="283" t="s">
        <v>292</v>
      </c>
      <c r="U1591" s="283" t="s">
        <v>292</v>
      </c>
      <c r="V1591" s="283" t="s">
        <v>292</v>
      </c>
      <c r="W1591" s="283" t="s">
        <v>292</v>
      </c>
      <c r="X1591" s="283" t="s">
        <v>292</v>
      </c>
      <c r="Y1591" s="283" t="s">
        <v>292</v>
      </c>
      <c r="Z1591" s="281"/>
      <c r="AA1591" s="281" t="s">
        <v>303</v>
      </c>
      <c r="AB1591" s="281"/>
      <c r="AC1591" s="281"/>
      <c r="AD1591" s="288" t="s">
        <v>3922</v>
      </c>
      <c r="AE1591" s="288"/>
      <c r="AF1591" s="162">
        <f t="shared" si="146"/>
        <v>2.2999999999999998</v>
      </c>
      <c r="AG1591" s="162" t="str">
        <f t="shared" si="144"/>
        <v/>
      </c>
      <c r="AH1591" s="164">
        <f t="shared" si="140"/>
        <v>0.87429999999999997</v>
      </c>
      <c r="AI1591" s="164" t="str">
        <f t="shared" si="141"/>
        <v/>
      </c>
      <c r="AJ1591" s="387">
        <v>2.2999999999999998</v>
      </c>
      <c r="AK1591" s="382"/>
      <c r="AL1591" s="382"/>
      <c r="AM1591" s="382"/>
      <c r="AN1591" s="382"/>
      <c r="AO1591" s="382"/>
      <c r="AP1591" s="382"/>
      <c r="AQ1591" s="382"/>
      <c r="AR1591" s="382"/>
      <c r="AS1591" s="287">
        <f t="shared" si="148"/>
        <v>2.2999999999999998</v>
      </c>
      <c r="AT1591" s="286"/>
      <c r="AU1591" s="382"/>
      <c r="AW1591" s="332">
        <v>0.87429999999999997</v>
      </c>
      <c r="AX1591" s="332"/>
      <c r="AY1591" s="332"/>
      <c r="AZ1591" s="332"/>
      <c r="BA1591" s="332"/>
      <c r="BB1591" s="332"/>
      <c r="BC1591" s="332"/>
      <c r="BD1591" s="332"/>
      <c r="BE1591" s="332"/>
      <c r="BF1591" s="476">
        <f t="shared" si="147"/>
        <v>0.87429999999999997</v>
      </c>
      <c r="BG1591" s="476"/>
      <c r="BH1591" s="332"/>
      <c r="BI1591" s="332"/>
      <c r="BJ1591" s="334"/>
    </row>
    <row r="1592" spans="1:62" ht="15" customHeight="1" thickBot="1" x14ac:dyDescent="0.25">
      <c r="A1592" s="176">
        <v>1593</v>
      </c>
      <c r="B1592" s="230">
        <v>1</v>
      </c>
      <c r="C1592" s="278" t="s">
        <v>11</v>
      </c>
      <c r="D1592" s="278" t="s">
        <v>3633</v>
      </c>
      <c r="E1592" s="278" t="s">
        <v>13</v>
      </c>
      <c r="F1592" s="278" t="s">
        <v>3923</v>
      </c>
      <c r="G1592" s="278"/>
      <c r="H1592" s="278" t="s">
        <v>376</v>
      </c>
      <c r="I1592" s="303">
        <v>2012</v>
      </c>
      <c r="J1592" s="189" t="s">
        <v>3920</v>
      </c>
      <c r="K1592" s="303" t="s">
        <v>3921</v>
      </c>
      <c r="L1592" s="303" t="s">
        <v>19</v>
      </c>
      <c r="M1592" s="556" t="s">
        <v>4397</v>
      </c>
      <c r="N1592" s="283" t="s">
        <v>122</v>
      </c>
      <c r="O1592" s="283" t="s">
        <v>122</v>
      </c>
      <c r="P1592" s="283" t="s">
        <v>292</v>
      </c>
      <c r="Q1592" s="283" t="s">
        <v>292</v>
      </c>
      <c r="R1592" s="283" t="s">
        <v>292</v>
      </c>
      <c r="S1592" s="283" t="s">
        <v>292</v>
      </c>
      <c r="T1592" s="283" t="s">
        <v>292</v>
      </c>
      <c r="U1592" s="283" t="s">
        <v>292</v>
      </c>
      <c r="V1592" s="283" t="s">
        <v>292</v>
      </c>
      <c r="W1592" s="283" t="s">
        <v>292</v>
      </c>
      <c r="X1592" s="283" t="s">
        <v>292</v>
      </c>
      <c r="Y1592" s="283" t="s">
        <v>292</v>
      </c>
      <c r="Z1592" s="281"/>
      <c r="AA1592" s="281" t="s">
        <v>303</v>
      </c>
      <c r="AB1592" s="281"/>
      <c r="AC1592" s="281"/>
      <c r="AD1592" s="288" t="s">
        <v>3922</v>
      </c>
      <c r="AE1592" s="288"/>
      <c r="AF1592" s="162">
        <f t="shared" si="146"/>
        <v>3.9</v>
      </c>
      <c r="AG1592" s="162" t="str">
        <f t="shared" si="144"/>
        <v/>
      </c>
      <c r="AH1592" s="164">
        <f t="shared" si="140"/>
        <v>1.0274000000000001</v>
      </c>
      <c r="AI1592" s="164" t="str">
        <f t="shared" si="141"/>
        <v/>
      </c>
      <c r="AJ1592" s="387">
        <v>3.9</v>
      </c>
      <c r="AK1592" s="382"/>
      <c r="AL1592" s="382"/>
      <c r="AM1592" s="382"/>
      <c r="AN1592" s="382"/>
      <c r="AO1592" s="382"/>
      <c r="AP1592" s="382"/>
      <c r="AQ1592" s="382"/>
      <c r="AR1592" s="382"/>
      <c r="AS1592" s="287">
        <f t="shared" si="148"/>
        <v>3.9</v>
      </c>
      <c r="AT1592" s="286"/>
      <c r="AU1592" s="382"/>
      <c r="AW1592" s="332">
        <v>1.0274000000000001</v>
      </c>
      <c r="AX1592" s="332"/>
      <c r="AY1592" s="332"/>
      <c r="AZ1592" s="332"/>
      <c r="BA1592" s="332"/>
      <c r="BB1592" s="332"/>
      <c r="BC1592" s="332"/>
      <c r="BD1592" s="332"/>
      <c r="BE1592" s="332"/>
      <c r="BF1592" s="476">
        <f t="shared" si="147"/>
        <v>1.0274000000000001</v>
      </c>
      <c r="BG1592" s="476"/>
      <c r="BH1592" s="332"/>
      <c r="BI1592" s="332"/>
      <c r="BJ1592" s="334"/>
    </row>
    <row r="1593" spans="1:62" ht="15" customHeight="1" thickBot="1" x14ac:dyDescent="0.25">
      <c r="A1593" s="176">
        <v>1594</v>
      </c>
      <c r="B1593" s="230">
        <v>1</v>
      </c>
      <c r="C1593" s="278" t="s">
        <v>24</v>
      </c>
      <c r="D1593" s="278" t="s">
        <v>53</v>
      </c>
      <c r="E1593" s="278" t="s">
        <v>13</v>
      </c>
      <c r="F1593" s="278" t="s">
        <v>3924</v>
      </c>
      <c r="G1593" s="278" t="s">
        <v>20</v>
      </c>
      <c r="H1593" s="278" t="s">
        <v>165</v>
      </c>
      <c r="I1593" s="303">
        <v>2012</v>
      </c>
      <c r="J1593" s="189" t="s">
        <v>3925</v>
      </c>
      <c r="K1593" s="303" t="s">
        <v>3926</v>
      </c>
      <c r="L1593" s="303" t="s">
        <v>19</v>
      </c>
      <c r="M1593" s="556" t="s">
        <v>4398</v>
      </c>
      <c r="N1593" s="283" t="s">
        <v>122</v>
      </c>
      <c r="O1593" s="283" t="s">
        <v>122</v>
      </c>
      <c r="P1593" s="283" t="s">
        <v>292</v>
      </c>
      <c r="Q1593" s="283" t="s">
        <v>292</v>
      </c>
      <c r="R1593" s="283" t="s">
        <v>292</v>
      </c>
      <c r="S1593" s="283" t="s">
        <v>292</v>
      </c>
      <c r="T1593" s="283" t="s">
        <v>292</v>
      </c>
      <c r="U1593" s="283" t="s">
        <v>292</v>
      </c>
      <c r="V1593" s="283" t="s">
        <v>292</v>
      </c>
      <c r="W1593" s="283" t="s">
        <v>292</v>
      </c>
      <c r="X1593" s="283" t="s">
        <v>292</v>
      </c>
      <c r="Y1593" s="283" t="s">
        <v>292</v>
      </c>
      <c r="Z1593" s="281"/>
      <c r="AA1593" s="281" t="s">
        <v>3927</v>
      </c>
      <c r="AB1593" s="281"/>
      <c r="AC1593" s="281"/>
      <c r="AD1593" s="288" t="s">
        <v>581</v>
      </c>
      <c r="AE1593" s="288" t="s">
        <v>3641</v>
      </c>
      <c r="AF1593" s="162">
        <f t="shared" si="146"/>
        <v>97.151424287856059</v>
      </c>
      <c r="AG1593" s="162" t="str">
        <f t="shared" si="144"/>
        <v/>
      </c>
      <c r="AH1593" s="164">
        <f t="shared" si="140"/>
        <v>41.679160419790101</v>
      </c>
      <c r="AI1593" s="164" t="str">
        <f t="shared" si="141"/>
        <v/>
      </c>
      <c r="AJ1593" s="387">
        <f>64.8/0.667</f>
        <v>97.151424287856059</v>
      </c>
      <c r="AK1593" s="382"/>
      <c r="AL1593" s="382"/>
      <c r="AM1593" s="382"/>
      <c r="AN1593" s="382"/>
      <c r="AO1593" s="382"/>
      <c r="AP1593" s="382"/>
      <c r="AQ1593" s="382"/>
      <c r="AR1593" s="382"/>
      <c r="AS1593" s="287">
        <f t="shared" si="148"/>
        <v>97.151424287856059</v>
      </c>
      <c r="AT1593" s="286"/>
      <c r="AU1593" s="382"/>
      <c r="AW1593" s="332">
        <f>27.8/0.667</f>
        <v>41.679160419790101</v>
      </c>
      <c r="AX1593" s="332"/>
      <c r="AY1593" s="332"/>
      <c r="AZ1593" s="332"/>
      <c r="BA1593" s="332"/>
      <c r="BB1593" s="332"/>
      <c r="BC1593" s="332"/>
      <c r="BD1593" s="332"/>
      <c r="BE1593" s="332"/>
      <c r="BF1593" s="476">
        <f t="shared" si="147"/>
        <v>41.679160419790101</v>
      </c>
      <c r="BG1593" s="476"/>
      <c r="BH1593" s="332"/>
      <c r="BI1593" s="332"/>
      <c r="BJ1593" s="334"/>
    </row>
    <row r="1594" spans="1:62" ht="15" customHeight="1" thickBot="1" x14ac:dyDescent="0.25">
      <c r="A1594" s="176">
        <v>1595</v>
      </c>
      <c r="B1594" s="230">
        <v>1</v>
      </c>
      <c r="C1594" s="278" t="s">
        <v>24</v>
      </c>
      <c r="D1594" s="278" t="s">
        <v>53</v>
      </c>
      <c r="E1594" s="278" t="s">
        <v>13</v>
      </c>
      <c r="F1594" s="278" t="s">
        <v>3928</v>
      </c>
      <c r="G1594" s="278" t="s">
        <v>20</v>
      </c>
      <c r="H1594" s="278" t="s">
        <v>165</v>
      </c>
      <c r="I1594" s="303">
        <v>2012</v>
      </c>
      <c r="J1594" s="189" t="s">
        <v>3925</v>
      </c>
      <c r="K1594" s="303" t="s">
        <v>3926</v>
      </c>
      <c r="L1594" s="303" t="s">
        <v>19</v>
      </c>
      <c r="M1594" s="556" t="s">
        <v>4398</v>
      </c>
      <c r="N1594" s="283" t="s">
        <v>122</v>
      </c>
      <c r="O1594" s="283" t="s">
        <v>122</v>
      </c>
      <c r="P1594" s="283" t="s">
        <v>292</v>
      </c>
      <c r="Q1594" s="283" t="s">
        <v>292</v>
      </c>
      <c r="R1594" s="283" t="s">
        <v>292</v>
      </c>
      <c r="S1594" s="283" t="s">
        <v>292</v>
      </c>
      <c r="T1594" s="283" t="s">
        <v>292</v>
      </c>
      <c r="U1594" s="283" t="s">
        <v>292</v>
      </c>
      <c r="V1594" s="283" t="s">
        <v>292</v>
      </c>
      <c r="W1594" s="283" t="s">
        <v>292</v>
      </c>
      <c r="X1594" s="283" t="s">
        <v>292</v>
      </c>
      <c r="Y1594" s="283" t="s">
        <v>292</v>
      </c>
      <c r="Z1594" s="281"/>
      <c r="AA1594" s="281" t="s">
        <v>3927</v>
      </c>
      <c r="AB1594" s="281"/>
      <c r="AC1594" s="281"/>
      <c r="AD1594" s="288" t="s">
        <v>581</v>
      </c>
      <c r="AE1594" s="288" t="s">
        <v>3641</v>
      </c>
      <c r="AF1594" s="162">
        <f t="shared" si="146"/>
        <v>102.54872563718141</v>
      </c>
      <c r="AG1594" s="162" t="str">
        <f t="shared" si="144"/>
        <v/>
      </c>
      <c r="AH1594" s="164">
        <f t="shared" si="140"/>
        <v>41.52923538230884</v>
      </c>
      <c r="AI1594" s="164" t="str">
        <f t="shared" si="141"/>
        <v/>
      </c>
      <c r="AJ1594" s="387">
        <f>68.4/0.667</f>
        <v>102.54872563718141</v>
      </c>
      <c r="AK1594" s="382"/>
      <c r="AL1594" s="382"/>
      <c r="AM1594" s="382"/>
      <c r="AN1594" s="382"/>
      <c r="AO1594" s="382"/>
      <c r="AP1594" s="382"/>
      <c r="AQ1594" s="382"/>
      <c r="AR1594" s="382"/>
      <c r="AS1594" s="287">
        <f t="shared" si="148"/>
        <v>102.54872563718141</v>
      </c>
      <c r="AT1594" s="286"/>
      <c r="AU1594" s="382"/>
      <c r="AW1594" s="332">
        <f>27.7/0.667</f>
        <v>41.52923538230884</v>
      </c>
      <c r="AX1594" s="332"/>
      <c r="AY1594" s="332"/>
      <c r="AZ1594" s="332"/>
      <c r="BA1594" s="332"/>
      <c r="BB1594" s="332"/>
      <c r="BC1594" s="332"/>
      <c r="BD1594" s="332"/>
      <c r="BE1594" s="332"/>
      <c r="BF1594" s="476">
        <f t="shared" si="147"/>
        <v>41.52923538230884</v>
      </c>
      <c r="BG1594" s="476"/>
      <c r="BH1594" s="332"/>
      <c r="BI1594" s="332"/>
      <c r="BJ1594" s="334"/>
    </row>
    <row r="1595" spans="1:62" ht="15" customHeight="1" thickBot="1" x14ac:dyDescent="0.25">
      <c r="A1595" s="176">
        <v>1596</v>
      </c>
      <c r="B1595" s="230">
        <v>1</v>
      </c>
      <c r="C1595" s="278" t="s">
        <v>24</v>
      </c>
      <c r="D1595" s="278" t="s">
        <v>53</v>
      </c>
      <c r="E1595" s="278" t="s">
        <v>13</v>
      </c>
      <c r="F1595" s="278" t="s">
        <v>3929</v>
      </c>
      <c r="G1595" s="278" t="s">
        <v>20</v>
      </c>
      <c r="H1595" s="278" t="s">
        <v>165</v>
      </c>
      <c r="I1595" s="303">
        <v>2012</v>
      </c>
      <c r="J1595" s="189" t="s">
        <v>3925</v>
      </c>
      <c r="K1595" s="303" t="s">
        <v>3926</v>
      </c>
      <c r="L1595" s="303" t="s">
        <v>19</v>
      </c>
      <c r="M1595" s="556" t="s">
        <v>4398</v>
      </c>
      <c r="N1595" s="283" t="s">
        <v>122</v>
      </c>
      <c r="O1595" s="283" t="s">
        <v>122</v>
      </c>
      <c r="P1595" s="283" t="s">
        <v>292</v>
      </c>
      <c r="Q1595" s="283" t="s">
        <v>292</v>
      </c>
      <c r="R1595" s="283" t="s">
        <v>292</v>
      </c>
      <c r="S1595" s="283" t="s">
        <v>292</v>
      </c>
      <c r="T1595" s="283" t="s">
        <v>292</v>
      </c>
      <c r="U1595" s="283" t="s">
        <v>292</v>
      </c>
      <c r="V1595" s="283" t="s">
        <v>292</v>
      </c>
      <c r="W1595" s="283" t="s">
        <v>292</v>
      </c>
      <c r="X1595" s="283" t="s">
        <v>292</v>
      </c>
      <c r="Y1595" s="283" t="s">
        <v>292</v>
      </c>
      <c r="Z1595" s="281"/>
      <c r="AA1595" s="281" t="s">
        <v>3927</v>
      </c>
      <c r="AB1595" s="281"/>
      <c r="AC1595" s="281"/>
      <c r="AD1595" s="288" t="s">
        <v>581</v>
      </c>
      <c r="AE1595" s="288" t="s">
        <v>3641</v>
      </c>
      <c r="AF1595" s="162">
        <f t="shared" si="146"/>
        <v>110.04497751124438</v>
      </c>
      <c r="AG1595" s="162" t="str">
        <f t="shared" si="144"/>
        <v/>
      </c>
      <c r="AH1595" s="164">
        <f t="shared" si="140"/>
        <v>41.829085457271361</v>
      </c>
      <c r="AI1595" s="164" t="str">
        <f t="shared" si="141"/>
        <v/>
      </c>
      <c r="AJ1595" s="387">
        <f>73.4/0.667</f>
        <v>110.04497751124438</v>
      </c>
      <c r="AK1595" s="382"/>
      <c r="AL1595" s="382"/>
      <c r="AM1595" s="382"/>
      <c r="AN1595" s="382"/>
      <c r="AO1595" s="382"/>
      <c r="AP1595" s="382"/>
      <c r="AQ1595" s="382"/>
      <c r="AR1595" s="382"/>
      <c r="AS1595" s="287">
        <f t="shared" si="148"/>
        <v>110.04497751124438</v>
      </c>
      <c r="AT1595" s="286"/>
      <c r="AU1595" s="382"/>
      <c r="AW1595" s="332">
        <f>27.9/0.667</f>
        <v>41.829085457271361</v>
      </c>
      <c r="AX1595" s="332"/>
      <c r="AY1595" s="332"/>
      <c r="AZ1595" s="332"/>
      <c r="BA1595" s="332"/>
      <c r="BB1595" s="332"/>
      <c r="BC1595" s="332"/>
      <c r="BD1595" s="332"/>
      <c r="BE1595" s="332"/>
      <c r="BF1595" s="476">
        <f t="shared" si="147"/>
        <v>41.829085457271361</v>
      </c>
      <c r="BG1595" s="476"/>
      <c r="BH1595" s="332"/>
      <c r="BI1595" s="332"/>
      <c r="BJ1595" s="334"/>
    </row>
    <row r="1596" spans="1:62" ht="15" customHeight="1" thickBot="1" x14ac:dyDescent="0.25">
      <c r="A1596" s="176">
        <v>1597</v>
      </c>
      <c r="B1596" s="230">
        <v>1</v>
      </c>
      <c r="C1596" s="278" t="s">
        <v>24</v>
      </c>
      <c r="D1596" s="278" t="s">
        <v>53</v>
      </c>
      <c r="E1596" s="278" t="s">
        <v>13</v>
      </c>
      <c r="F1596" s="278" t="s">
        <v>3930</v>
      </c>
      <c r="G1596" s="278" t="s">
        <v>20</v>
      </c>
      <c r="H1596" s="278" t="s">
        <v>165</v>
      </c>
      <c r="I1596" s="303">
        <v>2012</v>
      </c>
      <c r="J1596" s="189" t="s">
        <v>3925</v>
      </c>
      <c r="K1596" s="303" t="s">
        <v>3926</v>
      </c>
      <c r="L1596" s="303" t="s">
        <v>19</v>
      </c>
      <c r="M1596" s="556" t="s">
        <v>4398</v>
      </c>
      <c r="N1596" s="283" t="s">
        <v>122</v>
      </c>
      <c r="O1596" s="283" t="s">
        <v>122</v>
      </c>
      <c r="P1596" s="283" t="s">
        <v>292</v>
      </c>
      <c r="Q1596" s="283" t="s">
        <v>292</v>
      </c>
      <c r="R1596" s="283" t="s">
        <v>292</v>
      </c>
      <c r="S1596" s="283" t="s">
        <v>292</v>
      </c>
      <c r="T1596" s="283" t="s">
        <v>292</v>
      </c>
      <c r="U1596" s="283" t="s">
        <v>292</v>
      </c>
      <c r="V1596" s="283" t="s">
        <v>292</v>
      </c>
      <c r="W1596" s="283" t="s">
        <v>292</v>
      </c>
      <c r="X1596" s="283" t="s">
        <v>292</v>
      </c>
      <c r="Y1596" s="283" t="s">
        <v>292</v>
      </c>
      <c r="Z1596" s="281"/>
      <c r="AA1596" s="281" t="s">
        <v>3927</v>
      </c>
      <c r="AB1596" s="281"/>
      <c r="AC1596" s="281"/>
      <c r="AD1596" s="288" t="s">
        <v>581</v>
      </c>
      <c r="AE1596" s="288" t="s">
        <v>3641</v>
      </c>
      <c r="AF1596" s="162">
        <f t="shared" si="146"/>
        <v>106.5967016491754</v>
      </c>
      <c r="AG1596" s="162" t="str">
        <f t="shared" si="144"/>
        <v/>
      </c>
      <c r="AH1596" s="164">
        <f t="shared" si="140"/>
        <v>40.479760119940025</v>
      </c>
      <c r="AI1596" s="164" t="str">
        <f t="shared" si="141"/>
        <v/>
      </c>
      <c r="AJ1596" s="387">
        <f>71.1/0.667</f>
        <v>106.5967016491754</v>
      </c>
      <c r="AK1596" s="382"/>
      <c r="AL1596" s="382"/>
      <c r="AM1596" s="382"/>
      <c r="AN1596" s="382"/>
      <c r="AO1596" s="382"/>
      <c r="AP1596" s="382"/>
      <c r="AQ1596" s="382"/>
      <c r="AR1596" s="382"/>
      <c r="AS1596" s="287">
        <f t="shared" si="148"/>
        <v>106.5967016491754</v>
      </c>
      <c r="AT1596" s="286"/>
      <c r="AU1596" s="382"/>
      <c r="AW1596" s="332">
        <f>27/0.667</f>
        <v>40.479760119940025</v>
      </c>
      <c r="AX1596" s="332"/>
      <c r="AY1596" s="332"/>
      <c r="AZ1596" s="332"/>
      <c r="BA1596" s="332"/>
      <c r="BB1596" s="332"/>
      <c r="BC1596" s="332"/>
      <c r="BD1596" s="332"/>
      <c r="BE1596" s="332"/>
      <c r="BF1596" s="476">
        <f t="shared" si="147"/>
        <v>40.479760119940025</v>
      </c>
      <c r="BG1596" s="476"/>
      <c r="BH1596" s="332"/>
      <c r="BI1596" s="332"/>
      <c r="BJ1596" s="334"/>
    </row>
    <row r="1597" spans="1:62" ht="15" customHeight="1" thickBot="1" x14ac:dyDescent="0.25">
      <c r="A1597" s="176">
        <v>1598</v>
      </c>
      <c r="B1597" s="230">
        <v>1</v>
      </c>
      <c r="C1597" s="278" t="s">
        <v>162</v>
      </c>
      <c r="D1597" s="278" t="s">
        <v>2279</v>
      </c>
      <c r="E1597" s="278" t="s">
        <v>13</v>
      </c>
      <c r="F1597" s="278" t="s">
        <v>3931</v>
      </c>
      <c r="G1597" s="278" t="s">
        <v>20</v>
      </c>
      <c r="H1597" s="278" t="s">
        <v>258</v>
      </c>
      <c r="I1597" s="303">
        <v>2012</v>
      </c>
      <c r="J1597" s="189" t="s">
        <v>3932</v>
      </c>
      <c r="K1597" s="303" t="s">
        <v>3933</v>
      </c>
      <c r="L1597" s="303" t="s">
        <v>19</v>
      </c>
      <c r="M1597" s="556" t="s">
        <v>4325</v>
      </c>
      <c r="N1597" s="283" t="s">
        <v>122</v>
      </c>
      <c r="O1597" s="283" t="s">
        <v>292</v>
      </c>
      <c r="P1597" s="283" t="s">
        <v>292</v>
      </c>
      <c r="Q1597" s="283" t="s">
        <v>292</v>
      </c>
      <c r="R1597" s="283" t="s">
        <v>292</v>
      </c>
      <c r="S1597" s="283" t="s">
        <v>122</v>
      </c>
      <c r="T1597" s="283" t="s">
        <v>122</v>
      </c>
      <c r="U1597" s="283" t="s">
        <v>122</v>
      </c>
      <c r="V1597" s="283" t="s">
        <v>292</v>
      </c>
      <c r="W1597" s="283" t="s">
        <v>292</v>
      </c>
      <c r="X1597" s="283" t="s">
        <v>292</v>
      </c>
      <c r="Y1597" s="283" t="s">
        <v>292</v>
      </c>
      <c r="Z1597" s="281"/>
      <c r="AA1597" s="281" t="s">
        <v>3934</v>
      </c>
      <c r="AB1597" s="281" t="s">
        <v>122</v>
      </c>
      <c r="AC1597" s="281"/>
      <c r="AD1597" s="288" t="s">
        <v>3935</v>
      </c>
      <c r="AE1597" s="288"/>
      <c r="AF1597" s="162" t="str">
        <f t="shared" si="146"/>
        <v/>
      </c>
      <c r="AG1597" s="162" t="str">
        <f t="shared" si="144"/>
        <v/>
      </c>
      <c r="AH1597" s="164">
        <f t="shared" si="140"/>
        <v>3.5799999999999998E-2</v>
      </c>
      <c r="AI1597" s="164" t="str">
        <f t="shared" si="141"/>
        <v/>
      </c>
      <c r="AJ1597" s="387"/>
      <c r="AK1597" s="382"/>
      <c r="AL1597" s="382"/>
      <c r="AM1597" s="382"/>
      <c r="AN1597" s="382"/>
      <c r="AO1597" s="382"/>
      <c r="AP1597" s="382"/>
      <c r="AQ1597" s="382"/>
      <c r="AR1597" s="382"/>
      <c r="AS1597" s="287"/>
      <c r="AT1597" s="286"/>
      <c r="AU1597" s="382"/>
      <c r="AW1597" s="332">
        <v>3.5799999999999998E-2</v>
      </c>
      <c r="AX1597" s="332"/>
      <c r="AY1597" s="332"/>
      <c r="AZ1597" s="332"/>
      <c r="BA1597" s="332">
        <f>0.001/1000</f>
        <v>9.9999999999999995E-7</v>
      </c>
      <c r="BB1597" s="332">
        <f>(0.005+0.7)/1000</f>
        <v>7.0500000000000001E-4</v>
      </c>
      <c r="BC1597" s="332">
        <f>673.5/1000</f>
        <v>0.67349999999999999</v>
      </c>
      <c r="BD1597" s="332"/>
      <c r="BE1597" s="332"/>
      <c r="BF1597" s="476">
        <f t="shared" si="147"/>
        <v>3.5799999999999998E-2</v>
      </c>
      <c r="BG1597" s="476">
        <f t="shared" ref="BG1597:BG1603" si="149">SUM(AW1597:BC1597)</f>
        <v>0.71000600000000003</v>
      </c>
      <c r="BH1597" s="332"/>
      <c r="BI1597" s="332"/>
      <c r="BJ1597" s="334" t="s">
        <v>3936</v>
      </c>
    </row>
    <row r="1598" spans="1:62" ht="15" customHeight="1" thickBot="1" x14ac:dyDescent="0.25">
      <c r="A1598" s="176">
        <v>1599</v>
      </c>
      <c r="B1598" s="230">
        <v>1</v>
      </c>
      <c r="C1598" s="278" t="s">
        <v>162</v>
      </c>
      <c r="D1598" s="278" t="s">
        <v>2279</v>
      </c>
      <c r="E1598" s="278" t="s">
        <v>13</v>
      </c>
      <c r="F1598" s="278" t="s">
        <v>3937</v>
      </c>
      <c r="G1598" s="278" t="s">
        <v>20</v>
      </c>
      <c r="H1598" s="278" t="s">
        <v>258</v>
      </c>
      <c r="I1598" s="303">
        <v>2012</v>
      </c>
      <c r="J1598" s="189" t="s">
        <v>3932</v>
      </c>
      <c r="K1598" s="303" t="s">
        <v>3933</v>
      </c>
      <c r="L1598" s="303" t="s">
        <v>19</v>
      </c>
      <c r="M1598" s="556" t="s">
        <v>4325</v>
      </c>
      <c r="N1598" s="283" t="s">
        <v>122</v>
      </c>
      <c r="O1598" s="283" t="s">
        <v>292</v>
      </c>
      <c r="P1598" s="283" t="s">
        <v>292</v>
      </c>
      <c r="Q1598" s="283" t="s">
        <v>292</v>
      </c>
      <c r="R1598" s="283" t="s">
        <v>292</v>
      </c>
      <c r="S1598" s="283" t="s">
        <v>122</v>
      </c>
      <c r="T1598" s="283" t="s">
        <v>122</v>
      </c>
      <c r="U1598" s="283" t="s">
        <v>122</v>
      </c>
      <c r="V1598" s="283" t="s">
        <v>292</v>
      </c>
      <c r="W1598" s="283" t="s">
        <v>292</v>
      </c>
      <c r="X1598" s="283" t="s">
        <v>292</v>
      </c>
      <c r="Y1598" s="283" t="s">
        <v>292</v>
      </c>
      <c r="Z1598" s="281"/>
      <c r="AA1598" s="281" t="s">
        <v>3934</v>
      </c>
      <c r="AB1598" s="281" t="s">
        <v>122</v>
      </c>
      <c r="AC1598" s="281"/>
      <c r="AD1598" s="288" t="s">
        <v>3935</v>
      </c>
      <c r="AE1598" s="288"/>
      <c r="AF1598" s="162" t="str">
        <f t="shared" si="146"/>
        <v/>
      </c>
      <c r="AG1598" s="162" t="str">
        <f t="shared" si="144"/>
        <v/>
      </c>
      <c r="AH1598" s="164">
        <f t="shared" si="140"/>
        <v>4.1300000000000003E-2</v>
      </c>
      <c r="AI1598" s="164" t="str">
        <f t="shared" si="141"/>
        <v/>
      </c>
      <c r="AJ1598" s="387"/>
      <c r="AK1598" s="382"/>
      <c r="AL1598" s="382"/>
      <c r="AM1598" s="382"/>
      <c r="AN1598" s="382"/>
      <c r="AO1598" s="382"/>
      <c r="AP1598" s="382"/>
      <c r="AQ1598" s="382"/>
      <c r="AR1598" s="382"/>
      <c r="AS1598" s="287"/>
      <c r="AT1598" s="286"/>
      <c r="AU1598" s="382"/>
      <c r="AW1598" s="332">
        <v>4.1300000000000003E-2</v>
      </c>
      <c r="AX1598" s="332"/>
      <c r="AY1598" s="332"/>
      <c r="AZ1598" s="332"/>
      <c r="BA1598" s="332">
        <v>0</v>
      </c>
      <c r="BB1598" s="332">
        <f>(0.0003+0.8)/1000</f>
        <v>8.0029999999999999E-4</v>
      </c>
      <c r="BC1598" s="332">
        <f>673.5/1000</f>
        <v>0.67349999999999999</v>
      </c>
      <c r="BD1598" s="332"/>
      <c r="BE1598" s="332"/>
      <c r="BF1598" s="476">
        <f t="shared" si="147"/>
        <v>4.1300000000000003E-2</v>
      </c>
      <c r="BG1598" s="476">
        <f t="shared" si="149"/>
        <v>0.71560029999999997</v>
      </c>
      <c r="BH1598" s="332"/>
      <c r="BI1598" s="332"/>
      <c r="BJ1598" s="334" t="s">
        <v>3936</v>
      </c>
    </row>
    <row r="1599" spans="1:62" ht="15" customHeight="1" thickBot="1" x14ac:dyDescent="0.25">
      <c r="A1599" s="176">
        <v>1600</v>
      </c>
      <c r="B1599" s="230">
        <v>1</v>
      </c>
      <c r="C1599" s="278" t="s">
        <v>162</v>
      </c>
      <c r="D1599" s="278" t="s">
        <v>2279</v>
      </c>
      <c r="E1599" s="278" t="s">
        <v>13</v>
      </c>
      <c r="F1599" s="278" t="s">
        <v>3938</v>
      </c>
      <c r="G1599" s="278" t="s">
        <v>20</v>
      </c>
      <c r="H1599" s="278" t="s">
        <v>258</v>
      </c>
      <c r="I1599" s="303">
        <v>2012</v>
      </c>
      <c r="J1599" s="189" t="s">
        <v>3932</v>
      </c>
      <c r="K1599" s="303" t="s">
        <v>3933</v>
      </c>
      <c r="L1599" s="303" t="s">
        <v>19</v>
      </c>
      <c r="M1599" s="556" t="s">
        <v>4325</v>
      </c>
      <c r="N1599" s="283" t="s">
        <v>122</v>
      </c>
      <c r="O1599" s="283" t="s">
        <v>292</v>
      </c>
      <c r="P1599" s="283" t="s">
        <v>292</v>
      </c>
      <c r="Q1599" s="283" t="s">
        <v>292</v>
      </c>
      <c r="R1599" s="283" t="s">
        <v>292</v>
      </c>
      <c r="S1599" s="283" t="s">
        <v>122</v>
      </c>
      <c r="T1599" s="283" t="s">
        <v>122</v>
      </c>
      <c r="U1599" s="283" t="s">
        <v>122</v>
      </c>
      <c r="V1599" s="283" t="s">
        <v>292</v>
      </c>
      <c r="W1599" s="283" t="s">
        <v>292</v>
      </c>
      <c r="X1599" s="283" t="s">
        <v>292</v>
      </c>
      <c r="Y1599" s="283" t="s">
        <v>292</v>
      </c>
      <c r="Z1599" s="281"/>
      <c r="AA1599" s="281" t="s">
        <v>3934</v>
      </c>
      <c r="AB1599" s="281" t="s">
        <v>122</v>
      </c>
      <c r="AC1599" s="281"/>
      <c r="AD1599" s="288" t="s">
        <v>3935</v>
      </c>
      <c r="AE1599" s="288"/>
      <c r="AF1599" s="162" t="str">
        <f t="shared" si="146"/>
        <v/>
      </c>
      <c r="AG1599" s="162" t="str">
        <f t="shared" si="144"/>
        <v/>
      </c>
      <c r="AH1599" s="164">
        <f t="shared" si="140"/>
        <v>1.46E-2</v>
      </c>
      <c r="AI1599" s="164" t="str">
        <f t="shared" si="141"/>
        <v/>
      </c>
      <c r="AJ1599" s="387"/>
      <c r="AK1599" s="382"/>
      <c r="AL1599" s="382"/>
      <c r="AM1599" s="382"/>
      <c r="AN1599" s="382"/>
      <c r="AO1599" s="382"/>
      <c r="AP1599" s="382"/>
      <c r="AQ1599" s="382"/>
      <c r="AR1599" s="382"/>
      <c r="AS1599" s="287"/>
      <c r="AT1599" s="286"/>
      <c r="AU1599" s="382"/>
      <c r="AW1599" s="332">
        <v>1.46E-2</v>
      </c>
      <c r="AX1599" s="332"/>
      <c r="AY1599" s="332"/>
      <c r="AZ1599" s="332"/>
      <c r="BA1599" s="332">
        <f>0.05/1000</f>
        <v>5.0000000000000002E-5</v>
      </c>
      <c r="BB1599" s="332">
        <f>0.9/1000</f>
        <v>8.9999999999999998E-4</v>
      </c>
      <c r="BC1599" s="332">
        <f>123.5/1000</f>
        <v>0.1235</v>
      </c>
      <c r="BD1599" s="332"/>
      <c r="BE1599" s="332"/>
      <c r="BF1599" s="476">
        <f t="shared" si="147"/>
        <v>1.46E-2</v>
      </c>
      <c r="BG1599" s="476">
        <f t="shared" si="149"/>
        <v>0.13905000000000001</v>
      </c>
      <c r="BH1599" s="332"/>
      <c r="BI1599" s="332"/>
      <c r="BJ1599" s="334" t="s">
        <v>3936</v>
      </c>
    </row>
    <row r="1600" spans="1:62" ht="15" customHeight="1" thickBot="1" x14ac:dyDescent="0.25">
      <c r="A1600" s="176">
        <v>1601</v>
      </c>
      <c r="B1600" s="230">
        <v>1</v>
      </c>
      <c r="C1600" s="278" t="s">
        <v>162</v>
      </c>
      <c r="D1600" s="278" t="s">
        <v>2279</v>
      </c>
      <c r="E1600" s="278" t="s">
        <v>13</v>
      </c>
      <c r="F1600" s="278" t="s">
        <v>3939</v>
      </c>
      <c r="G1600" s="278" t="s">
        <v>20</v>
      </c>
      <c r="H1600" s="278" t="s">
        <v>369</v>
      </c>
      <c r="I1600" s="303">
        <v>2012</v>
      </c>
      <c r="J1600" s="189" t="s">
        <v>3932</v>
      </c>
      <c r="K1600" s="303" t="s">
        <v>3933</v>
      </c>
      <c r="L1600" s="303" t="s">
        <v>19</v>
      </c>
      <c r="M1600" s="556" t="s">
        <v>4325</v>
      </c>
      <c r="N1600" s="283" t="s">
        <v>122</v>
      </c>
      <c r="O1600" s="283" t="s">
        <v>292</v>
      </c>
      <c r="P1600" s="283" t="s">
        <v>292</v>
      </c>
      <c r="Q1600" s="283" t="s">
        <v>292</v>
      </c>
      <c r="R1600" s="283" t="s">
        <v>292</v>
      </c>
      <c r="S1600" s="283" t="s">
        <v>122</v>
      </c>
      <c r="T1600" s="283" t="s">
        <v>122</v>
      </c>
      <c r="U1600" s="283" t="s">
        <v>122</v>
      </c>
      <c r="V1600" s="283" t="s">
        <v>292</v>
      </c>
      <c r="W1600" s="283" t="s">
        <v>292</v>
      </c>
      <c r="X1600" s="283" t="s">
        <v>292</v>
      </c>
      <c r="Y1600" s="283" t="s">
        <v>292</v>
      </c>
      <c r="Z1600" s="281"/>
      <c r="AA1600" s="281" t="s">
        <v>3934</v>
      </c>
      <c r="AB1600" s="281" t="s">
        <v>122</v>
      </c>
      <c r="AC1600" s="281"/>
      <c r="AD1600" s="288" t="s">
        <v>3935</v>
      </c>
      <c r="AE1600" s="288"/>
      <c r="AF1600" s="162" t="str">
        <f t="shared" si="146"/>
        <v/>
      </c>
      <c r="AG1600" s="162" t="str">
        <f t="shared" si="144"/>
        <v/>
      </c>
      <c r="AH1600" s="164">
        <f t="shared" si="140"/>
        <v>4.1300000000000003E-2</v>
      </c>
      <c r="AI1600" s="164" t="str">
        <f t="shared" si="141"/>
        <v/>
      </c>
      <c r="AJ1600" s="387"/>
      <c r="AK1600" s="382"/>
      <c r="AL1600" s="382"/>
      <c r="AM1600" s="382"/>
      <c r="AN1600" s="382"/>
      <c r="AO1600" s="382"/>
      <c r="AP1600" s="382"/>
      <c r="AQ1600" s="382"/>
      <c r="AR1600" s="382"/>
      <c r="AS1600" s="287"/>
      <c r="AT1600" s="286"/>
      <c r="AU1600" s="382"/>
      <c r="AW1600" s="332">
        <v>4.1300000000000003E-2</v>
      </c>
      <c r="AX1600" s="332"/>
      <c r="AY1600" s="332"/>
      <c r="AZ1600" s="332"/>
      <c r="BA1600" s="332">
        <f>71.3/1000</f>
        <v>7.1300000000000002E-2</v>
      </c>
      <c r="BB1600" s="332">
        <f>6.8/1000</f>
        <v>6.7999999999999996E-3</v>
      </c>
      <c r="BC1600" s="332">
        <f>123.5/1000</f>
        <v>0.1235</v>
      </c>
      <c r="BD1600" s="332"/>
      <c r="BE1600" s="332"/>
      <c r="BF1600" s="476">
        <f t="shared" si="147"/>
        <v>4.1300000000000003E-2</v>
      </c>
      <c r="BG1600" s="476">
        <f t="shared" si="149"/>
        <v>0.2429</v>
      </c>
      <c r="BH1600" s="332"/>
      <c r="BI1600" s="332"/>
      <c r="BJ1600" s="334" t="s">
        <v>3936</v>
      </c>
    </row>
    <row r="1601" spans="1:62" ht="15" customHeight="1" thickBot="1" x14ac:dyDescent="0.25">
      <c r="A1601" s="176">
        <v>1602</v>
      </c>
      <c r="B1601" s="230">
        <v>1</v>
      </c>
      <c r="C1601" s="278" t="s">
        <v>24</v>
      </c>
      <c r="D1601" s="278" t="s">
        <v>2448</v>
      </c>
      <c r="E1601" s="278" t="s">
        <v>13</v>
      </c>
      <c r="F1601" s="278" t="s">
        <v>3940</v>
      </c>
      <c r="G1601" s="278"/>
      <c r="H1601" s="278" t="s">
        <v>1284</v>
      </c>
      <c r="I1601" s="303">
        <v>2012</v>
      </c>
      <c r="J1601" s="189" t="s">
        <v>3941</v>
      </c>
      <c r="K1601" s="303" t="s">
        <v>3942</v>
      </c>
      <c r="L1601" s="303" t="s">
        <v>19</v>
      </c>
      <c r="M1601" s="556" t="s">
        <v>4399</v>
      </c>
      <c r="N1601" s="283" t="s">
        <v>122</v>
      </c>
      <c r="O1601" s="283" t="s">
        <v>292</v>
      </c>
      <c r="P1601" s="283" t="s">
        <v>292</v>
      </c>
      <c r="Q1601" s="283" t="s">
        <v>122</v>
      </c>
      <c r="R1601" s="283" t="s">
        <v>122</v>
      </c>
      <c r="S1601" s="283" t="s">
        <v>122</v>
      </c>
      <c r="T1601" s="283" t="s">
        <v>122</v>
      </c>
      <c r="U1601" s="283" t="s">
        <v>122</v>
      </c>
      <c r="V1601" s="283" t="s">
        <v>122</v>
      </c>
      <c r="W1601" s="283" t="s">
        <v>122</v>
      </c>
      <c r="X1601" s="283" t="s">
        <v>292</v>
      </c>
      <c r="Y1601" s="283" t="s">
        <v>292</v>
      </c>
      <c r="Z1601" s="281"/>
      <c r="AA1601" s="281" t="s">
        <v>999</v>
      </c>
      <c r="AB1601" s="281"/>
      <c r="AC1601" s="281"/>
      <c r="AD1601" s="288" t="s">
        <v>3943</v>
      </c>
      <c r="AE1601" s="288"/>
      <c r="AF1601" s="162" t="str">
        <f t="shared" si="146"/>
        <v/>
      </c>
      <c r="AG1601" s="162" t="str">
        <f t="shared" si="144"/>
        <v/>
      </c>
      <c r="AH1601" s="164">
        <f t="shared" si="140"/>
        <v>4.57</v>
      </c>
      <c r="AI1601" s="164">
        <f t="shared" si="141"/>
        <v>4.74</v>
      </c>
      <c r="AJ1601" s="387"/>
      <c r="AK1601" s="382"/>
      <c r="AL1601" s="382"/>
      <c r="AM1601" s="382"/>
      <c r="AN1601" s="382"/>
      <c r="AO1601" s="382"/>
      <c r="AP1601" s="382"/>
      <c r="AQ1601" s="382"/>
      <c r="AR1601" s="382"/>
      <c r="AS1601" s="287"/>
      <c r="AT1601" s="286"/>
      <c r="AU1601" s="382"/>
      <c r="AW1601" s="332">
        <v>4.57</v>
      </c>
      <c r="AX1601" s="332"/>
      <c r="AY1601" s="332">
        <v>0.17</v>
      </c>
      <c r="AZ1601" s="332">
        <v>0.6</v>
      </c>
      <c r="BA1601" s="332">
        <v>0.23</v>
      </c>
      <c r="BB1601" s="332">
        <v>0.06</v>
      </c>
      <c r="BC1601" s="332">
        <v>0.34</v>
      </c>
      <c r="BD1601" s="332"/>
      <c r="BE1601" s="332"/>
      <c r="BF1601" s="476">
        <f t="shared" si="147"/>
        <v>4.57</v>
      </c>
      <c r="BG1601" s="476">
        <f t="shared" si="149"/>
        <v>5.97</v>
      </c>
      <c r="BH1601" s="332"/>
      <c r="BI1601" s="332"/>
      <c r="BJ1601" s="334" t="s">
        <v>3944</v>
      </c>
    </row>
    <row r="1602" spans="1:62" ht="15" customHeight="1" thickBot="1" x14ac:dyDescent="0.25">
      <c r="A1602" s="176">
        <v>1603</v>
      </c>
      <c r="B1602" s="230">
        <v>1</v>
      </c>
      <c r="C1602" s="278" t="s">
        <v>24</v>
      </c>
      <c r="D1602" s="278" t="s">
        <v>269</v>
      </c>
      <c r="E1602" s="278" t="s">
        <v>13</v>
      </c>
      <c r="F1602" s="278" t="s">
        <v>3940</v>
      </c>
      <c r="G1602" s="278"/>
      <c r="H1602" s="278" t="s">
        <v>1284</v>
      </c>
      <c r="I1602" s="303">
        <v>2012</v>
      </c>
      <c r="J1602" s="189" t="s">
        <v>3941</v>
      </c>
      <c r="K1602" s="303" t="s">
        <v>3942</v>
      </c>
      <c r="L1602" s="303" t="s">
        <v>19</v>
      </c>
      <c r="M1602" s="556" t="s">
        <v>4399</v>
      </c>
      <c r="N1602" s="283" t="s">
        <v>122</v>
      </c>
      <c r="O1602" s="283" t="s">
        <v>292</v>
      </c>
      <c r="P1602" s="283" t="s">
        <v>292</v>
      </c>
      <c r="Q1602" s="283" t="s">
        <v>122</v>
      </c>
      <c r="R1602" s="283" t="s">
        <v>122</v>
      </c>
      <c r="S1602" s="283" t="s">
        <v>122</v>
      </c>
      <c r="T1602" s="283" t="s">
        <v>122</v>
      </c>
      <c r="U1602" s="283" t="s">
        <v>122</v>
      </c>
      <c r="V1602" s="283" t="s">
        <v>122</v>
      </c>
      <c r="W1602" s="283" t="s">
        <v>122</v>
      </c>
      <c r="X1602" s="283" t="s">
        <v>292</v>
      </c>
      <c r="Y1602" s="283" t="s">
        <v>292</v>
      </c>
      <c r="Z1602" s="281"/>
      <c r="AA1602" s="281" t="s">
        <v>999</v>
      </c>
      <c r="AB1602" s="281"/>
      <c r="AC1602" s="281"/>
      <c r="AD1602" s="288" t="s">
        <v>3943</v>
      </c>
      <c r="AE1602" s="288"/>
      <c r="AF1602" s="162" t="str">
        <f t="shared" si="146"/>
        <v/>
      </c>
      <c r="AG1602" s="162" t="str">
        <f t="shared" si="144"/>
        <v/>
      </c>
      <c r="AH1602" s="164">
        <f t="shared" ref="AH1602:AH1645" si="150">IF(BF1602&lt;&gt;0,BF1602,"")</f>
        <v>5.57</v>
      </c>
      <c r="AI1602" s="164">
        <f t="shared" ref="AI1602:AI1645" si="151">IF(AND(SUM(AW1602:AY1602)&lt;&gt;0,SUM(AW1602:AY1602)&lt;&gt;AW1602),SUM(AW1602:AY1602),"")</f>
        <v>5.69</v>
      </c>
      <c r="AJ1602" s="387"/>
      <c r="AK1602" s="382"/>
      <c r="AL1602" s="382"/>
      <c r="AM1602" s="382"/>
      <c r="AN1602" s="382"/>
      <c r="AO1602" s="382"/>
      <c r="AP1602" s="382"/>
      <c r="AQ1602" s="382"/>
      <c r="AR1602" s="382"/>
      <c r="AS1602" s="287"/>
      <c r="AT1602" s="286"/>
      <c r="AU1602" s="382"/>
      <c r="AW1602" s="332">
        <v>5.57</v>
      </c>
      <c r="AX1602" s="332"/>
      <c r="AY1602" s="332">
        <v>0.12</v>
      </c>
      <c r="AZ1602" s="332">
        <v>0.6</v>
      </c>
      <c r="BA1602" s="332">
        <v>0.24</v>
      </c>
      <c r="BB1602" s="332">
        <v>7.0000000000000007E-2</v>
      </c>
      <c r="BC1602" s="332">
        <v>0.34</v>
      </c>
      <c r="BD1602" s="332"/>
      <c r="BE1602" s="332"/>
      <c r="BF1602" s="476">
        <f t="shared" si="147"/>
        <v>5.57</v>
      </c>
      <c r="BG1602" s="476">
        <f t="shared" si="149"/>
        <v>6.94</v>
      </c>
      <c r="BH1602" s="332"/>
      <c r="BI1602" s="332"/>
      <c r="BJ1602" s="334" t="s">
        <v>3944</v>
      </c>
    </row>
    <row r="1603" spans="1:62" ht="15" customHeight="1" thickBot="1" x14ac:dyDescent="0.25">
      <c r="A1603" s="176">
        <v>1604</v>
      </c>
      <c r="B1603" s="230">
        <v>1</v>
      </c>
      <c r="C1603" s="278" t="s">
        <v>24</v>
      </c>
      <c r="D1603" s="278" t="s">
        <v>53</v>
      </c>
      <c r="E1603" s="278" t="s">
        <v>13</v>
      </c>
      <c r="F1603" s="278" t="s">
        <v>3940</v>
      </c>
      <c r="G1603" s="278"/>
      <c r="H1603" s="278" t="s">
        <v>1284</v>
      </c>
      <c r="I1603" s="303">
        <v>2012</v>
      </c>
      <c r="J1603" s="189" t="s">
        <v>3941</v>
      </c>
      <c r="K1603" s="303" t="s">
        <v>3942</v>
      </c>
      <c r="L1603" s="303" t="s">
        <v>19</v>
      </c>
      <c r="M1603" s="556" t="s">
        <v>4399</v>
      </c>
      <c r="N1603" s="283" t="s">
        <v>122</v>
      </c>
      <c r="O1603" s="283" t="s">
        <v>292</v>
      </c>
      <c r="P1603" s="283" t="s">
        <v>292</v>
      </c>
      <c r="Q1603" s="283" t="s">
        <v>122</v>
      </c>
      <c r="R1603" s="283" t="s">
        <v>122</v>
      </c>
      <c r="S1603" s="283" t="s">
        <v>122</v>
      </c>
      <c r="T1603" s="283" t="s">
        <v>122</v>
      </c>
      <c r="U1603" s="283" t="s">
        <v>122</v>
      </c>
      <c r="V1603" s="283" t="s">
        <v>122</v>
      </c>
      <c r="W1603" s="283" t="s">
        <v>122</v>
      </c>
      <c r="X1603" s="283" t="s">
        <v>292</v>
      </c>
      <c r="Y1603" s="283" t="s">
        <v>292</v>
      </c>
      <c r="Z1603" s="281"/>
      <c r="AA1603" s="281" t="s">
        <v>999</v>
      </c>
      <c r="AB1603" s="281"/>
      <c r="AC1603" s="281"/>
      <c r="AD1603" s="288" t="s">
        <v>3943</v>
      </c>
      <c r="AE1603" s="288"/>
      <c r="AF1603" s="162" t="str">
        <f t="shared" si="146"/>
        <v/>
      </c>
      <c r="AG1603" s="162" t="str">
        <f t="shared" si="144"/>
        <v/>
      </c>
      <c r="AH1603" s="164">
        <f t="shared" si="150"/>
        <v>34.299999999999997</v>
      </c>
      <c r="AI1603" s="164">
        <f t="shared" si="151"/>
        <v>34.339999999999996</v>
      </c>
      <c r="AJ1603" s="387"/>
      <c r="AK1603" s="382"/>
      <c r="AL1603" s="382"/>
      <c r="AM1603" s="382"/>
      <c r="AN1603" s="382"/>
      <c r="AO1603" s="382"/>
      <c r="AP1603" s="382"/>
      <c r="AQ1603" s="382"/>
      <c r="AR1603" s="382"/>
      <c r="AS1603" s="287"/>
      <c r="AT1603" s="286"/>
      <c r="AU1603" s="382"/>
      <c r="AW1603" s="332">
        <v>34.299999999999997</v>
      </c>
      <c r="AX1603" s="332"/>
      <c r="AY1603" s="332">
        <v>0.04</v>
      </c>
      <c r="AZ1603" s="332">
        <v>0.6</v>
      </c>
      <c r="BA1603" s="332">
        <v>0.24</v>
      </c>
      <c r="BB1603" s="332">
        <v>7.0000000000000007E-2</v>
      </c>
      <c r="BC1603" s="332">
        <v>0.34</v>
      </c>
      <c r="BD1603" s="332"/>
      <c r="BE1603" s="332"/>
      <c r="BF1603" s="476">
        <f t="shared" si="147"/>
        <v>34.299999999999997</v>
      </c>
      <c r="BG1603" s="476">
        <f t="shared" si="149"/>
        <v>35.590000000000003</v>
      </c>
      <c r="BH1603" s="332"/>
      <c r="BI1603" s="332"/>
      <c r="BJ1603" s="334" t="s">
        <v>3944</v>
      </c>
    </row>
    <row r="1604" spans="1:62" ht="15" customHeight="1" thickBot="1" x14ac:dyDescent="0.25">
      <c r="A1604" s="176">
        <v>1605</v>
      </c>
      <c r="B1604" s="230">
        <v>1</v>
      </c>
      <c r="C1604" s="278" t="s">
        <v>259</v>
      </c>
      <c r="D1604" s="278" t="s">
        <v>2747</v>
      </c>
      <c r="E1604" s="278" t="s">
        <v>1266</v>
      </c>
      <c r="F1604" s="278" t="s">
        <v>3945</v>
      </c>
      <c r="G1604" s="278" t="s">
        <v>20</v>
      </c>
      <c r="H1604" s="278" t="s">
        <v>1284</v>
      </c>
      <c r="I1604" s="303">
        <v>2012</v>
      </c>
      <c r="J1604" s="189" t="s">
        <v>3946</v>
      </c>
      <c r="K1604" s="303" t="s">
        <v>3947</v>
      </c>
      <c r="L1604" s="303" t="s">
        <v>19</v>
      </c>
      <c r="M1604" s="556" t="s">
        <v>4400</v>
      </c>
      <c r="N1604" s="283" t="s">
        <v>122</v>
      </c>
      <c r="O1604" s="283" t="s">
        <v>292</v>
      </c>
      <c r="P1604" s="283" t="s">
        <v>292</v>
      </c>
      <c r="Q1604" s="283" t="s">
        <v>292</v>
      </c>
      <c r="R1604" s="283" t="s">
        <v>292</v>
      </c>
      <c r="S1604" s="283" t="s">
        <v>292</v>
      </c>
      <c r="T1604" s="283" t="s">
        <v>292</v>
      </c>
      <c r="U1604" s="283" t="s">
        <v>292</v>
      </c>
      <c r="V1604" s="283" t="s">
        <v>292</v>
      </c>
      <c r="W1604" s="283" t="s">
        <v>292</v>
      </c>
      <c r="X1604" s="283" t="s">
        <v>292</v>
      </c>
      <c r="Y1604" s="283" t="s">
        <v>292</v>
      </c>
      <c r="Z1604" s="281"/>
      <c r="AA1604" s="281" t="s">
        <v>303</v>
      </c>
      <c r="AB1604" s="281"/>
      <c r="AC1604" s="281"/>
      <c r="AD1604" s="288" t="s">
        <v>3948</v>
      </c>
      <c r="AE1604" s="288"/>
      <c r="AF1604" s="162">
        <f t="shared" si="146"/>
        <v>5.2</v>
      </c>
      <c r="AG1604" s="162" t="str">
        <f t="shared" si="144"/>
        <v/>
      </c>
      <c r="AH1604" s="164">
        <f t="shared" si="150"/>
        <v>1.46</v>
      </c>
      <c r="AI1604" s="164" t="str">
        <f t="shared" si="151"/>
        <v/>
      </c>
      <c r="AJ1604" s="387">
        <v>5.2</v>
      </c>
      <c r="AK1604" s="382"/>
      <c r="AL1604" s="382"/>
      <c r="AM1604" s="382"/>
      <c r="AN1604" s="382"/>
      <c r="AO1604" s="382"/>
      <c r="AP1604" s="382"/>
      <c r="AQ1604" s="382"/>
      <c r="AR1604" s="382"/>
      <c r="AS1604" s="287">
        <f>AJ1604</f>
        <v>5.2</v>
      </c>
      <c r="AT1604" s="286"/>
      <c r="AU1604" s="382"/>
      <c r="AW1604" s="332">
        <v>1.46</v>
      </c>
      <c r="AX1604" s="332"/>
      <c r="AY1604" s="332"/>
      <c r="AZ1604" s="332"/>
      <c r="BA1604" s="332"/>
      <c r="BB1604" s="332"/>
      <c r="BC1604" s="332"/>
      <c r="BD1604" s="332"/>
      <c r="BE1604" s="332"/>
      <c r="BF1604" s="476">
        <f t="shared" si="147"/>
        <v>1.46</v>
      </c>
      <c r="BG1604" s="476"/>
      <c r="BH1604" s="332"/>
      <c r="BI1604" s="332"/>
      <c r="BJ1604" s="334"/>
    </row>
    <row r="1605" spans="1:62" ht="15" customHeight="1" thickBot="1" x14ac:dyDescent="0.25">
      <c r="A1605" s="176">
        <v>1606</v>
      </c>
      <c r="B1605" s="230">
        <v>1</v>
      </c>
      <c r="C1605" s="278" t="s">
        <v>259</v>
      </c>
      <c r="D1605" s="278" t="s">
        <v>2747</v>
      </c>
      <c r="E1605" s="278" t="s">
        <v>1266</v>
      </c>
      <c r="F1605" s="278" t="s">
        <v>3949</v>
      </c>
      <c r="G1605" s="278" t="s">
        <v>20</v>
      </c>
      <c r="H1605" s="278" t="s">
        <v>1284</v>
      </c>
      <c r="I1605" s="303">
        <v>2012</v>
      </c>
      <c r="J1605" s="189" t="s">
        <v>3946</v>
      </c>
      <c r="K1605" s="303" t="s">
        <v>3947</v>
      </c>
      <c r="L1605" s="303" t="s">
        <v>19</v>
      </c>
      <c r="M1605" s="556" t="s">
        <v>4400</v>
      </c>
      <c r="N1605" s="283" t="s">
        <v>122</v>
      </c>
      <c r="O1605" s="283" t="s">
        <v>292</v>
      </c>
      <c r="P1605" s="283" t="s">
        <v>292</v>
      </c>
      <c r="Q1605" s="283" t="s">
        <v>292</v>
      </c>
      <c r="R1605" s="283" t="s">
        <v>292</v>
      </c>
      <c r="S1605" s="283" t="s">
        <v>292</v>
      </c>
      <c r="T1605" s="283" t="s">
        <v>292</v>
      </c>
      <c r="U1605" s="283" t="s">
        <v>292</v>
      </c>
      <c r="V1605" s="283" t="s">
        <v>292</v>
      </c>
      <c r="W1605" s="283" t="s">
        <v>292</v>
      </c>
      <c r="X1605" s="283" t="s">
        <v>292</v>
      </c>
      <c r="Y1605" s="283" t="s">
        <v>292</v>
      </c>
      <c r="Z1605" s="281"/>
      <c r="AA1605" s="281" t="s">
        <v>303</v>
      </c>
      <c r="AB1605" s="281"/>
      <c r="AC1605" s="281"/>
      <c r="AD1605" s="288" t="s">
        <v>3948</v>
      </c>
      <c r="AE1605" s="288"/>
      <c r="AF1605" s="162">
        <f t="shared" si="146"/>
        <v>4.5999999999999996</v>
      </c>
      <c r="AG1605" s="162" t="str">
        <f t="shared" si="144"/>
        <v/>
      </c>
      <c r="AH1605" s="164">
        <f t="shared" si="150"/>
        <v>1.58</v>
      </c>
      <c r="AI1605" s="164" t="str">
        <f t="shared" si="151"/>
        <v/>
      </c>
      <c r="AJ1605" s="387">
        <v>4.5999999999999996</v>
      </c>
      <c r="AK1605" s="382"/>
      <c r="AL1605" s="382"/>
      <c r="AM1605" s="382"/>
      <c r="AN1605" s="382"/>
      <c r="AO1605" s="382"/>
      <c r="AP1605" s="382"/>
      <c r="AQ1605" s="382"/>
      <c r="AR1605" s="382"/>
      <c r="AS1605" s="287">
        <f>AJ1605</f>
        <v>4.5999999999999996</v>
      </c>
      <c r="AT1605" s="286"/>
      <c r="AU1605" s="382"/>
      <c r="AW1605" s="332">
        <v>1.58</v>
      </c>
      <c r="AX1605" s="332"/>
      <c r="AY1605" s="332"/>
      <c r="AZ1605" s="332"/>
      <c r="BA1605" s="332"/>
      <c r="BB1605" s="332"/>
      <c r="BC1605" s="332"/>
      <c r="BD1605" s="332"/>
      <c r="BE1605" s="332"/>
      <c r="BF1605" s="476">
        <f t="shared" si="147"/>
        <v>1.58</v>
      </c>
      <c r="BG1605" s="476"/>
      <c r="BH1605" s="332"/>
      <c r="BI1605" s="332"/>
      <c r="BJ1605" s="334"/>
    </row>
    <row r="1606" spans="1:62" ht="15" customHeight="1" thickBot="1" x14ac:dyDescent="0.25">
      <c r="A1606" s="176">
        <v>1607</v>
      </c>
      <c r="B1606" s="230">
        <v>1</v>
      </c>
      <c r="C1606" s="278" t="s">
        <v>259</v>
      </c>
      <c r="D1606" s="278" t="s">
        <v>2747</v>
      </c>
      <c r="E1606" s="278" t="s">
        <v>1266</v>
      </c>
      <c r="F1606" s="278" t="s">
        <v>3950</v>
      </c>
      <c r="G1606" s="278" t="s">
        <v>20</v>
      </c>
      <c r="H1606" s="278" t="s">
        <v>1284</v>
      </c>
      <c r="I1606" s="303">
        <v>2012</v>
      </c>
      <c r="J1606" s="189" t="s">
        <v>3946</v>
      </c>
      <c r="K1606" s="303" t="s">
        <v>3947</v>
      </c>
      <c r="L1606" s="303" t="s">
        <v>19</v>
      </c>
      <c r="M1606" s="556" t="s">
        <v>4400</v>
      </c>
      <c r="N1606" s="283" t="s">
        <v>122</v>
      </c>
      <c r="O1606" s="283" t="s">
        <v>292</v>
      </c>
      <c r="P1606" s="283" t="s">
        <v>292</v>
      </c>
      <c r="Q1606" s="283" t="s">
        <v>292</v>
      </c>
      <c r="R1606" s="283" t="s">
        <v>292</v>
      </c>
      <c r="S1606" s="283" t="s">
        <v>292</v>
      </c>
      <c r="T1606" s="283" t="s">
        <v>292</v>
      </c>
      <c r="U1606" s="283" t="s">
        <v>292</v>
      </c>
      <c r="V1606" s="283" t="s">
        <v>292</v>
      </c>
      <c r="W1606" s="283" t="s">
        <v>292</v>
      </c>
      <c r="X1606" s="283" t="s">
        <v>292</v>
      </c>
      <c r="Y1606" s="283" t="s">
        <v>292</v>
      </c>
      <c r="Z1606" s="281"/>
      <c r="AA1606" s="281" t="s">
        <v>303</v>
      </c>
      <c r="AB1606" s="281"/>
      <c r="AC1606" s="281"/>
      <c r="AD1606" s="288" t="s">
        <v>3948</v>
      </c>
      <c r="AE1606" s="288"/>
      <c r="AF1606" s="162">
        <f t="shared" si="146"/>
        <v>6.1</v>
      </c>
      <c r="AG1606" s="162" t="str">
        <f t="shared" si="144"/>
        <v/>
      </c>
      <c r="AH1606" s="164">
        <f t="shared" si="150"/>
        <v>2</v>
      </c>
      <c r="AI1606" s="164" t="str">
        <f t="shared" si="151"/>
        <v/>
      </c>
      <c r="AJ1606" s="387">
        <v>6.1</v>
      </c>
      <c r="AK1606" s="382"/>
      <c r="AL1606" s="382"/>
      <c r="AM1606" s="382"/>
      <c r="AN1606" s="382"/>
      <c r="AO1606" s="382"/>
      <c r="AP1606" s="382"/>
      <c r="AQ1606" s="382"/>
      <c r="AR1606" s="382"/>
      <c r="AS1606" s="287">
        <f>AJ1606</f>
        <v>6.1</v>
      </c>
      <c r="AT1606" s="286"/>
      <c r="AU1606" s="382"/>
      <c r="AW1606" s="332">
        <v>2</v>
      </c>
      <c r="AX1606" s="332"/>
      <c r="AY1606" s="332"/>
      <c r="AZ1606" s="332"/>
      <c r="BA1606" s="332"/>
      <c r="BB1606" s="332"/>
      <c r="BC1606" s="332"/>
      <c r="BD1606" s="332"/>
      <c r="BE1606" s="332"/>
      <c r="BF1606" s="476">
        <f t="shared" si="147"/>
        <v>2</v>
      </c>
      <c r="BG1606" s="476"/>
      <c r="BH1606" s="332"/>
      <c r="BI1606" s="332"/>
      <c r="BJ1606" s="334"/>
    </row>
    <row r="1607" spans="1:62" ht="15" customHeight="1" thickBot="1" x14ac:dyDescent="0.25">
      <c r="A1607" s="176">
        <v>1608</v>
      </c>
      <c r="B1607" s="230">
        <v>1</v>
      </c>
      <c r="C1607" s="278" t="s">
        <v>236</v>
      </c>
      <c r="D1607" s="278" t="s">
        <v>2098</v>
      </c>
      <c r="E1607" s="278" t="s">
        <v>13</v>
      </c>
      <c r="F1607" s="278" t="s">
        <v>3951</v>
      </c>
      <c r="G1607" s="278" t="s">
        <v>20</v>
      </c>
      <c r="H1607" s="278" t="s">
        <v>87</v>
      </c>
      <c r="I1607" s="303">
        <v>2012</v>
      </c>
      <c r="J1607" s="189" t="s">
        <v>3952</v>
      </c>
      <c r="K1607" s="303" t="s">
        <v>3953</v>
      </c>
      <c r="L1607" s="303" t="s">
        <v>19</v>
      </c>
      <c r="M1607" s="556" t="s">
        <v>4401</v>
      </c>
      <c r="N1607" s="283" t="s">
        <v>122</v>
      </c>
      <c r="O1607" s="283" t="s">
        <v>292</v>
      </c>
      <c r="P1607" s="283" t="s">
        <v>292</v>
      </c>
      <c r="Q1607" s="283" t="s">
        <v>292</v>
      </c>
      <c r="R1607" s="283" t="s">
        <v>292</v>
      </c>
      <c r="S1607" s="283" t="s">
        <v>292</v>
      </c>
      <c r="T1607" s="283" t="s">
        <v>292</v>
      </c>
      <c r="U1607" s="283" t="s">
        <v>292</v>
      </c>
      <c r="V1607" s="283" t="s">
        <v>292</v>
      </c>
      <c r="W1607" s="283" t="s">
        <v>292</v>
      </c>
      <c r="X1607" s="283" t="s">
        <v>292</v>
      </c>
      <c r="Y1607" s="283" t="s">
        <v>292</v>
      </c>
      <c r="Z1607" s="281"/>
      <c r="AA1607" s="281" t="s">
        <v>303</v>
      </c>
      <c r="AB1607" s="281"/>
      <c r="AC1607" s="281"/>
      <c r="AD1607" s="288" t="s">
        <v>3954</v>
      </c>
      <c r="AE1607" s="288"/>
      <c r="AF1607" s="162" t="str">
        <f t="shared" si="146"/>
        <v/>
      </c>
      <c r="AG1607" s="162" t="str">
        <f t="shared" si="144"/>
        <v/>
      </c>
      <c r="AH1607" s="164">
        <f t="shared" si="150"/>
        <v>0.54220000000000002</v>
      </c>
      <c r="AI1607" s="164" t="str">
        <f t="shared" si="151"/>
        <v/>
      </c>
      <c r="AJ1607" s="387"/>
      <c r="AK1607" s="382"/>
      <c r="AL1607" s="382"/>
      <c r="AM1607" s="382"/>
      <c r="AN1607" s="382"/>
      <c r="AO1607" s="382"/>
      <c r="AP1607" s="382"/>
      <c r="AQ1607" s="382"/>
      <c r="AR1607" s="382"/>
      <c r="AS1607" s="287"/>
      <c r="AT1607" s="286"/>
      <c r="AU1607" s="382"/>
      <c r="AW1607" s="332">
        <f>542.2/1000</f>
        <v>0.54220000000000002</v>
      </c>
      <c r="AX1607" s="332"/>
      <c r="AY1607" s="332"/>
      <c r="AZ1607" s="332"/>
      <c r="BA1607" s="332"/>
      <c r="BB1607" s="332"/>
      <c r="BC1607" s="332"/>
      <c r="BD1607" s="332"/>
      <c r="BE1607" s="332"/>
      <c r="BF1607" s="476">
        <f t="shared" si="147"/>
        <v>0.54220000000000002</v>
      </c>
      <c r="BG1607" s="476"/>
      <c r="BH1607" s="332"/>
      <c r="BI1607" s="332"/>
      <c r="BJ1607" s="334"/>
    </row>
    <row r="1608" spans="1:62" ht="15" customHeight="1" thickBot="1" x14ac:dyDescent="0.25">
      <c r="A1608" s="176">
        <v>1609</v>
      </c>
      <c r="B1608" s="230">
        <v>1</v>
      </c>
      <c r="C1608" s="278" t="s">
        <v>236</v>
      </c>
      <c r="D1608" s="278" t="s">
        <v>2098</v>
      </c>
      <c r="E1608" s="278" t="s">
        <v>13</v>
      </c>
      <c r="F1608" s="278" t="s">
        <v>3955</v>
      </c>
      <c r="G1608" s="278" t="s">
        <v>20</v>
      </c>
      <c r="H1608" s="278" t="s">
        <v>87</v>
      </c>
      <c r="I1608" s="303">
        <v>2012</v>
      </c>
      <c r="J1608" s="189" t="s">
        <v>3952</v>
      </c>
      <c r="K1608" s="303" t="s">
        <v>3953</v>
      </c>
      <c r="L1608" s="303" t="s">
        <v>19</v>
      </c>
      <c r="M1608" s="556" t="s">
        <v>4401</v>
      </c>
      <c r="N1608" s="283" t="s">
        <v>122</v>
      </c>
      <c r="O1608" s="283" t="s">
        <v>292</v>
      </c>
      <c r="P1608" s="283" t="s">
        <v>292</v>
      </c>
      <c r="Q1608" s="283" t="s">
        <v>292</v>
      </c>
      <c r="R1608" s="283" t="s">
        <v>292</v>
      </c>
      <c r="S1608" s="283" t="s">
        <v>292</v>
      </c>
      <c r="T1608" s="283" t="s">
        <v>292</v>
      </c>
      <c r="U1608" s="283" t="s">
        <v>292</v>
      </c>
      <c r="V1608" s="283" t="s">
        <v>292</v>
      </c>
      <c r="W1608" s="283" t="s">
        <v>292</v>
      </c>
      <c r="X1608" s="283" t="s">
        <v>292</v>
      </c>
      <c r="Y1608" s="283" t="s">
        <v>292</v>
      </c>
      <c r="Z1608" s="281"/>
      <c r="AA1608" s="281" t="s">
        <v>303</v>
      </c>
      <c r="AB1608" s="281"/>
      <c r="AC1608" s="281"/>
      <c r="AD1608" s="288" t="s">
        <v>3954</v>
      </c>
      <c r="AE1608" s="288"/>
      <c r="AF1608" s="162" t="str">
        <f t="shared" si="146"/>
        <v/>
      </c>
      <c r="AG1608" s="162" t="str">
        <f t="shared" si="144"/>
        <v/>
      </c>
      <c r="AH1608" s="164">
        <f t="shared" si="150"/>
        <v>0.70710000000000006</v>
      </c>
      <c r="AI1608" s="164" t="str">
        <f t="shared" si="151"/>
        <v/>
      </c>
      <c r="AJ1608" s="387"/>
      <c r="AK1608" s="382"/>
      <c r="AL1608" s="382"/>
      <c r="AM1608" s="382"/>
      <c r="AN1608" s="382"/>
      <c r="AO1608" s="382"/>
      <c r="AP1608" s="382"/>
      <c r="AQ1608" s="382"/>
      <c r="AR1608" s="382"/>
      <c r="AS1608" s="287"/>
      <c r="AT1608" s="286"/>
      <c r="AU1608" s="382"/>
      <c r="AW1608" s="332">
        <f>707.1/1000</f>
        <v>0.70710000000000006</v>
      </c>
      <c r="AX1608" s="332"/>
      <c r="AY1608" s="332"/>
      <c r="AZ1608" s="332"/>
      <c r="BA1608" s="332"/>
      <c r="BB1608" s="332"/>
      <c r="BC1608" s="332"/>
      <c r="BD1608" s="332"/>
      <c r="BE1608" s="332"/>
      <c r="BF1608" s="476">
        <f t="shared" si="147"/>
        <v>0.70710000000000006</v>
      </c>
      <c r="BG1608" s="476"/>
      <c r="BH1608" s="332"/>
      <c r="BI1608" s="332"/>
      <c r="BJ1608" s="334"/>
    </row>
    <row r="1609" spans="1:62" ht="15" customHeight="1" thickBot="1" x14ac:dyDescent="0.25">
      <c r="A1609" s="176">
        <v>1610</v>
      </c>
      <c r="B1609" s="230">
        <v>1</v>
      </c>
      <c r="C1609" s="278" t="s">
        <v>236</v>
      </c>
      <c r="D1609" s="278" t="s">
        <v>3956</v>
      </c>
      <c r="E1609" s="278" t="s">
        <v>13</v>
      </c>
      <c r="F1609" s="278" t="s">
        <v>3957</v>
      </c>
      <c r="G1609" s="278"/>
      <c r="H1609" s="278" t="s">
        <v>87</v>
      </c>
      <c r="I1609" s="303">
        <v>2012</v>
      </c>
      <c r="J1609" s="189" t="s">
        <v>3958</v>
      </c>
      <c r="K1609" s="303" t="s">
        <v>3959</v>
      </c>
      <c r="L1609" s="303" t="s">
        <v>19</v>
      </c>
      <c r="M1609" s="556" t="s">
        <v>4402</v>
      </c>
      <c r="N1609" s="283" t="s">
        <v>122</v>
      </c>
      <c r="O1609" s="280" t="s">
        <v>292</v>
      </c>
      <c r="P1609" s="283" t="s">
        <v>122</v>
      </c>
      <c r="Q1609" s="283" t="s">
        <v>292</v>
      </c>
      <c r="R1609" s="283" t="s">
        <v>122</v>
      </c>
      <c r="S1609" s="283" t="s">
        <v>122</v>
      </c>
      <c r="T1609" s="283" t="s">
        <v>292</v>
      </c>
      <c r="U1609" s="283" t="s">
        <v>292</v>
      </c>
      <c r="V1609" s="283" t="s">
        <v>292</v>
      </c>
      <c r="W1609" s="283" t="s">
        <v>292</v>
      </c>
      <c r="X1609" s="283" t="s">
        <v>292</v>
      </c>
      <c r="Y1609" s="283" t="s">
        <v>292</v>
      </c>
      <c r="Z1609" s="281"/>
      <c r="AA1609" s="281" t="s">
        <v>3906</v>
      </c>
      <c r="AB1609" s="281"/>
      <c r="AC1609" s="281"/>
      <c r="AD1609" s="288" t="s">
        <v>3960</v>
      </c>
      <c r="AE1609" s="288"/>
      <c r="AF1609" s="162" t="str">
        <f t="shared" si="146"/>
        <v/>
      </c>
      <c r="AG1609" s="162" t="str">
        <f t="shared" si="144"/>
        <v/>
      </c>
      <c r="AH1609" s="164" t="str">
        <f t="shared" si="150"/>
        <v/>
      </c>
      <c r="AI1609" s="164" t="str">
        <f t="shared" si="151"/>
        <v/>
      </c>
      <c r="AJ1609" s="387"/>
      <c r="AK1609" s="382"/>
      <c r="AL1609" s="382"/>
      <c r="AM1609" s="382"/>
      <c r="AN1609" s="382"/>
      <c r="AO1609" s="382"/>
      <c r="AP1609" s="382"/>
      <c r="AQ1609" s="382"/>
      <c r="AR1609" s="382"/>
      <c r="AS1609" s="287"/>
      <c r="AT1609" s="286">
        <v>24</v>
      </c>
      <c r="AU1609" s="382"/>
      <c r="AV1609" s="387" t="s">
        <v>3961</v>
      </c>
      <c r="AW1609" s="332"/>
      <c r="AX1609" s="332"/>
      <c r="AY1609" s="332"/>
      <c r="AZ1609" s="332"/>
      <c r="BA1609" s="332"/>
      <c r="BB1609" s="332"/>
      <c r="BC1609" s="332"/>
      <c r="BD1609" s="332"/>
      <c r="BE1609" s="332"/>
      <c r="BF1609" s="476"/>
      <c r="BG1609" s="476">
        <v>1.4275</v>
      </c>
      <c r="BH1609" s="332"/>
      <c r="BI1609" s="332"/>
      <c r="BJ1609" s="334" t="s">
        <v>3962</v>
      </c>
    </row>
    <row r="1610" spans="1:62" ht="15" customHeight="1" thickBot="1" x14ac:dyDescent="0.25">
      <c r="A1610" s="176">
        <v>1611</v>
      </c>
      <c r="B1610" s="230">
        <v>1</v>
      </c>
      <c r="C1610" s="278" t="s">
        <v>162</v>
      </c>
      <c r="D1610" s="278" t="s">
        <v>3963</v>
      </c>
      <c r="E1610" s="278" t="s">
        <v>13</v>
      </c>
      <c r="F1610" s="278" t="s">
        <v>3957</v>
      </c>
      <c r="G1610" s="278"/>
      <c r="H1610" s="278" t="s">
        <v>87</v>
      </c>
      <c r="I1610" s="303">
        <v>2012</v>
      </c>
      <c r="J1610" s="189" t="s">
        <v>3958</v>
      </c>
      <c r="K1610" s="303" t="s">
        <v>3959</v>
      </c>
      <c r="L1610" s="303" t="s">
        <v>19</v>
      </c>
      <c r="M1610" s="556" t="s">
        <v>4402</v>
      </c>
      <c r="N1610" s="283" t="s">
        <v>122</v>
      </c>
      <c r="O1610" s="280" t="s">
        <v>292</v>
      </c>
      <c r="P1610" s="283" t="s">
        <v>122</v>
      </c>
      <c r="Q1610" s="283" t="s">
        <v>292</v>
      </c>
      <c r="R1610" s="283" t="s">
        <v>122</v>
      </c>
      <c r="S1610" s="283" t="s">
        <v>122</v>
      </c>
      <c r="T1610" s="283" t="s">
        <v>292</v>
      </c>
      <c r="U1610" s="283" t="s">
        <v>292</v>
      </c>
      <c r="V1610" s="283" t="s">
        <v>292</v>
      </c>
      <c r="W1610" s="283" t="s">
        <v>292</v>
      </c>
      <c r="X1610" s="283" t="s">
        <v>292</v>
      </c>
      <c r="Y1610" s="283" t="s">
        <v>292</v>
      </c>
      <c r="Z1610" s="281"/>
      <c r="AA1610" s="281" t="s">
        <v>3906</v>
      </c>
      <c r="AB1610" s="281"/>
      <c r="AC1610" s="281"/>
      <c r="AD1610" s="288" t="s">
        <v>3960</v>
      </c>
      <c r="AE1610" s="288"/>
      <c r="AF1610" s="162" t="str">
        <f t="shared" si="146"/>
        <v/>
      </c>
      <c r="AG1610" s="162" t="str">
        <f t="shared" si="144"/>
        <v/>
      </c>
      <c r="AH1610" s="164" t="str">
        <f t="shared" si="150"/>
        <v/>
      </c>
      <c r="AI1610" s="164" t="str">
        <f t="shared" si="151"/>
        <v/>
      </c>
      <c r="AJ1610" s="387"/>
      <c r="AK1610" s="382"/>
      <c r="AL1610" s="382"/>
      <c r="AM1610" s="382"/>
      <c r="AN1610" s="382"/>
      <c r="AO1610" s="382"/>
      <c r="AP1610" s="382"/>
      <c r="AQ1610" s="382"/>
      <c r="AR1610" s="382"/>
      <c r="AS1610" s="287"/>
      <c r="AT1610" s="286">
        <v>18</v>
      </c>
      <c r="AU1610" s="382"/>
      <c r="AV1610" s="387" t="s">
        <v>3961</v>
      </c>
      <c r="AW1610" s="332"/>
      <c r="AX1610" s="332"/>
      <c r="AY1610" s="332"/>
      <c r="AZ1610" s="332"/>
      <c r="BA1610" s="332"/>
      <c r="BB1610" s="332"/>
      <c r="BC1610" s="332"/>
      <c r="BD1610" s="332"/>
      <c r="BE1610" s="332"/>
      <c r="BF1610" s="476"/>
      <c r="BG1610" s="476">
        <v>0.91549999999999998</v>
      </c>
      <c r="BH1610" s="332"/>
      <c r="BI1610" s="332"/>
      <c r="BJ1610" s="334" t="s">
        <v>3962</v>
      </c>
    </row>
    <row r="1611" spans="1:62" ht="15" customHeight="1" thickBot="1" x14ac:dyDescent="0.25">
      <c r="A1611" s="176">
        <v>1612</v>
      </c>
      <c r="B1611" s="230">
        <v>1</v>
      </c>
      <c r="C1611" s="278" t="s">
        <v>162</v>
      </c>
      <c r="D1611" s="278" t="s">
        <v>3964</v>
      </c>
      <c r="E1611" s="278" t="s">
        <v>13</v>
      </c>
      <c r="F1611" s="278" t="s">
        <v>3957</v>
      </c>
      <c r="G1611" s="278"/>
      <c r="H1611" s="278" t="s">
        <v>87</v>
      </c>
      <c r="I1611" s="303">
        <v>2012</v>
      </c>
      <c r="J1611" s="189" t="s">
        <v>3958</v>
      </c>
      <c r="K1611" s="303" t="s">
        <v>3959</v>
      </c>
      <c r="L1611" s="303" t="s">
        <v>19</v>
      </c>
      <c r="M1611" s="556" t="s">
        <v>4402</v>
      </c>
      <c r="N1611" s="283" t="s">
        <v>122</v>
      </c>
      <c r="O1611" s="280" t="s">
        <v>292</v>
      </c>
      <c r="P1611" s="283" t="s">
        <v>122</v>
      </c>
      <c r="Q1611" s="283" t="s">
        <v>292</v>
      </c>
      <c r="R1611" s="283" t="s">
        <v>122</v>
      </c>
      <c r="S1611" s="283" t="s">
        <v>122</v>
      </c>
      <c r="T1611" s="283" t="s">
        <v>292</v>
      </c>
      <c r="U1611" s="283" t="s">
        <v>292</v>
      </c>
      <c r="V1611" s="283" t="s">
        <v>292</v>
      </c>
      <c r="W1611" s="283" t="s">
        <v>292</v>
      </c>
      <c r="X1611" s="283" t="s">
        <v>292</v>
      </c>
      <c r="Y1611" s="283" t="s">
        <v>292</v>
      </c>
      <c r="Z1611" s="281"/>
      <c r="AA1611" s="281" t="s">
        <v>3906</v>
      </c>
      <c r="AB1611" s="281"/>
      <c r="AC1611" s="281"/>
      <c r="AD1611" s="288" t="s">
        <v>3960</v>
      </c>
      <c r="AE1611" s="288"/>
      <c r="AF1611" s="162" t="str">
        <f t="shared" si="146"/>
        <v/>
      </c>
      <c r="AG1611" s="162" t="str">
        <f t="shared" si="144"/>
        <v/>
      </c>
      <c r="AH1611" s="164" t="str">
        <f t="shared" si="150"/>
        <v/>
      </c>
      <c r="AI1611" s="164" t="str">
        <f t="shared" si="151"/>
        <v/>
      </c>
      <c r="AJ1611" s="387"/>
      <c r="AK1611" s="382"/>
      <c r="AL1611" s="382"/>
      <c r="AM1611" s="382"/>
      <c r="AN1611" s="382"/>
      <c r="AO1611" s="382"/>
      <c r="AP1611" s="382"/>
      <c r="AQ1611" s="382"/>
      <c r="AR1611" s="382"/>
      <c r="AS1611" s="287"/>
      <c r="AT1611" s="286">
        <v>29</v>
      </c>
      <c r="AU1611" s="382"/>
      <c r="AV1611" s="387" t="s">
        <v>3961</v>
      </c>
      <c r="AW1611" s="332"/>
      <c r="AX1611" s="332"/>
      <c r="AY1611" s="332"/>
      <c r="AZ1611" s="332"/>
      <c r="BA1611" s="332"/>
      <c r="BB1611" s="332"/>
      <c r="BC1611" s="332"/>
      <c r="BD1611" s="332"/>
      <c r="BE1611" s="332"/>
      <c r="BF1611" s="476"/>
      <c r="BG1611" s="476">
        <v>1.571</v>
      </c>
      <c r="BH1611" s="332"/>
      <c r="BI1611" s="332"/>
      <c r="BJ1611" s="334" t="s">
        <v>3962</v>
      </c>
    </row>
    <row r="1612" spans="1:62" ht="15" customHeight="1" thickBot="1" x14ac:dyDescent="0.25">
      <c r="A1612" s="176">
        <v>1613</v>
      </c>
      <c r="B1612" s="230">
        <v>1</v>
      </c>
      <c r="C1612" s="278" t="s">
        <v>162</v>
      </c>
      <c r="D1612" s="278" t="s">
        <v>3513</v>
      </c>
      <c r="E1612" s="278" t="s">
        <v>13</v>
      </c>
      <c r="F1612" s="278" t="s">
        <v>3957</v>
      </c>
      <c r="G1612" s="278"/>
      <c r="H1612" s="278" t="s">
        <v>87</v>
      </c>
      <c r="I1612" s="303">
        <v>2012</v>
      </c>
      <c r="J1612" s="189" t="s">
        <v>3958</v>
      </c>
      <c r="K1612" s="303" t="s">
        <v>3959</v>
      </c>
      <c r="L1612" s="303" t="s">
        <v>19</v>
      </c>
      <c r="M1612" s="556" t="s">
        <v>4402</v>
      </c>
      <c r="N1612" s="283" t="s">
        <v>122</v>
      </c>
      <c r="O1612" s="280" t="s">
        <v>292</v>
      </c>
      <c r="P1612" s="283" t="s">
        <v>122</v>
      </c>
      <c r="Q1612" s="283" t="s">
        <v>292</v>
      </c>
      <c r="R1612" s="283" t="s">
        <v>122</v>
      </c>
      <c r="S1612" s="283" t="s">
        <v>122</v>
      </c>
      <c r="T1612" s="283" t="s">
        <v>292</v>
      </c>
      <c r="U1612" s="283" t="s">
        <v>292</v>
      </c>
      <c r="V1612" s="283" t="s">
        <v>292</v>
      </c>
      <c r="W1612" s="283" t="s">
        <v>292</v>
      </c>
      <c r="X1612" s="283" t="s">
        <v>292</v>
      </c>
      <c r="Y1612" s="283" t="s">
        <v>292</v>
      </c>
      <c r="Z1612" s="281"/>
      <c r="AA1612" s="281" t="s">
        <v>3906</v>
      </c>
      <c r="AB1612" s="281"/>
      <c r="AC1612" s="281"/>
      <c r="AD1612" s="288" t="s">
        <v>3960</v>
      </c>
      <c r="AE1612" s="288"/>
      <c r="AF1612" s="162" t="str">
        <f t="shared" si="146"/>
        <v/>
      </c>
      <c r="AG1612" s="162" t="str">
        <f t="shared" si="144"/>
        <v/>
      </c>
      <c r="AH1612" s="164" t="str">
        <f t="shared" si="150"/>
        <v/>
      </c>
      <c r="AI1612" s="164" t="str">
        <f t="shared" si="151"/>
        <v/>
      </c>
      <c r="AJ1612" s="387"/>
      <c r="AK1612" s="382"/>
      <c r="AL1612" s="382"/>
      <c r="AM1612" s="382"/>
      <c r="AN1612" s="382"/>
      <c r="AO1612" s="382"/>
      <c r="AP1612" s="382"/>
      <c r="AQ1612" s="382"/>
      <c r="AR1612" s="382"/>
      <c r="AS1612" s="287"/>
      <c r="AT1612" s="286">
        <v>16.2</v>
      </c>
      <c r="AU1612" s="382"/>
      <c r="AV1612" s="387" t="s">
        <v>3961</v>
      </c>
      <c r="AW1612" s="332"/>
      <c r="AX1612" s="332"/>
      <c r="AY1612" s="332"/>
      <c r="AZ1612" s="332"/>
      <c r="BA1612" s="332"/>
      <c r="BB1612" s="332"/>
      <c r="BC1612" s="332"/>
      <c r="BD1612" s="332"/>
      <c r="BE1612" s="332"/>
      <c r="BF1612" s="476"/>
      <c r="BG1612" s="476">
        <v>0.74</v>
      </c>
      <c r="BH1612" s="332"/>
      <c r="BI1612" s="332"/>
      <c r="BJ1612" s="334" t="s">
        <v>3962</v>
      </c>
    </row>
    <row r="1613" spans="1:62" ht="15" customHeight="1" thickBot="1" x14ac:dyDescent="0.25">
      <c r="A1613" s="176">
        <v>1614</v>
      </c>
      <c r="B1613" s="230">
        <v>1</v>
      </c>
      <c r="C1613" s="278" t="s">
        <v>162</v>
      </c>
      <c r="D1613" s="278" t="s">
        <v>3513</v>
      </c>
      <c r="E1613" s="278" t="s">
        <v>13</v>
      </c>
      <c r="F1613" s="278" t="s">
        <v>3965</v>
      </c>
      <c r="G1613" s="278"/>
      <c r="H1613" s="278" t="s">
        <v>87</v>
      </c>
      <c r="I1613" s="303">
        <v>2012</v>
      </c>
      <c r="J1613" s="189" t="s">
        <v>3958</v>
      </c>
      <c r="K1613" s="303" t="s">
        <v>3959</v>
      </c>
      <c r="L1613" s="303" t="s">
        <v>19</v>
      </c>
      <c r="M1613" s="556" t="s">
        <v>4402</v>
      </c>
      <c r="N1613" s="283" t="s">
        <v>122</v>
      </c>
      <c r="O1613" s="280" t="s">
        <v>292</v>
      </c>
      <c r="P1613" s="283" t="s">
        <v>122</v>
      </c>
      <c r="Q1613" s="283" t="s">
        <v>292</v>
      </c>
      <c r="R1613" s="283" t="s">
        <v>122</v>
      </c>
      <c r="S1613" s="283" t="s">
        <v>122</v>
      </c>
      <c r="T1613" s="283" t="s">
        <v>292</v>
      </c>
      <c r="U1613" s="283" t="s">
        <v>292</v>
      </c>
      <c r="V1613" s="283" t="s">
        <v>292</v>
      </c>
      <c r="W1613" s="283" t="s">
        <v>292</v>
      </c>
      <c r="X1613" s="283" t="s">
        <v>292</v>
      </c>
      <c r="Y1613" s="283" t="s">
        <v>292</v>
      </c>
      <c r="Z1613" s="281"/>
      <c r="AA1613" s="281" t="s">
        <v>3906</v>
      </c>
      <c r="AB1613" s="281"/>
      <c r="AC1613" s="281"/>
      <c r="AD1613" s="288" t="s">
        <v>3960</v>
      </c>
      <c r="AE1613" s="288"/>
      <c r="AF1613" s="162" t="str">
        <f t="shared" si="146"/>
        <v/>
      </c>
      <c r="AG1613" s="162" t="str">
        <f t="shared" si="144"/>
        <v/>
      </c>
      <c r="AH1613" s="164" t="str">
        <f t="shared" si="150"/>
        <v/>
      </c>
      <c r="AI1613" s="164" t="str">
        <f t="shared" si="151"/>
        <v/>
      </c>
      <c r="AJ1613" s="387"/>
      <c r="AK1613" s="382"/>
      <c r="AL1613" s="382"/>
      <c r="AM1613" s="382"/>
      <c r="AN1613" s="382"/>
      <c r="AO1613" s="382"/>
      <c r="AP1613" s="382"/>
      <c r="AQ1613" s="382"/>
      <c r="AR1613" s="382"/>
      <c r="AS1613" s="287"/>
      <c r="AT1613" s="286">
        <v>23</v>
      </c>
      <c r="AU1613" s="382"/>
      <c r="AV1613" s="387" t="s">
        <v>3961</v>
      </c>
      <c r="AW1613" s="332"/>
      <c r="AX1613" s="332"/>
      <c r="AY1613" s="332"/>
      <c r="AZ1613" s="332"/>
      <c r="BA1613" s="332"/>
      <c r="BB1613" s="332"/>
      <c r="BC1613" s="332"/>
      <c r="BD1613" s="332"/>
      <c r="BE1613" s="332"/>
      <c r="BF1613" s="476"/>
      <c r="BG1613" s="476">
        <v>1.2459</v>
      </c>
      <c r="BH1613" s="332"/>
      <c r="BI1613" s="332"/>
      <c r="BJ1613" s="334" t="s">
        <v>3962</v>
      </c>
    </row>
    <row r="1614" spans="1:62" ht="15" customHeight="1" thickBot="1" x14ac:dyDescent="0.25">
      <c r="A1614" s="176">
        <v>1615</v>
      </c>
      <c r="B1614" s="230">
        <v>1</v>
      </c>
      <c r="C1614" s="278" t="s">
        <v>3589</v>
      </c>
      <c r="D1614" s="278" t="s">
        <v>12</v>
      </c>
      <c r="E1614" s="278" t="s">
        <v>13</v>
      </c>
      <c r="F1614" s="278" t="s">
        <v>3966</v>
      </c>
      <c r="G1614" s="278"/>
      <c r="H1614" s="278" t="s">
        <v>80</v>
      </c>
      <c r="I1614" s="303">
        <v>2012</v>
      </c>
      <c r="J1614" s="189" t="s">
        <v>3967</v>
      </c>
      <c r="K1614" s="303" t="s">
        <v>3968</v>
      </c>
      <c r="L1614" s="303" t="s">
        <v>104</v>
      </c>
      <c r="M1614" s="556" t="s">
        <v>4403</v>
      </c>
      <c r="N1614" s="283" t="s">
        <v>122</v>
      </c>
      <c r="O1614" s="283" t="s">
        <v>122</v>
      </c>
      <c r="P1614" s="283" t="s">
        <v>292</v>
      </c>
      <c r="Q1614" s="283" t="s">
        <v>292</v>
      </c>
      <c r="R1614" s="283" t="s">
        <v>292</v>
      </c>
      <c r="S1614" s="283" t="s">
        <v>292</v>
      </c>
      <c r="T1614" s="283" t="s">
        <v>292</v>
      </c>
      <c r="U1614" s="283" t="s">
        <v>292</v>
      </c>
      <c r="V1614" s="283" t="s">
        <v>292</v>
      </c>
      <c r="W1614" s="283" t="s">
        <v>292</v>
      </c>
      <c r="X1614" s="283" t="s">
        <v>292</v>
      </c>
      <c r="Y1614" s="283" t="s">
        <v>122</v>
      </c>
      <c r="Z1614" s="281"/>
      <c r="AA1614" s="281" t="s">
        <v>3927</v>
      </c>
      <c r="AB1614" s="281"/>
      <c r="AC1614" s="281"/>
      <c r="AD1614" s="288" t="s">
        <v>3636</v>
      </c>
      <c r="AE1614" s="288"/>
      <c r="AF1614" s="162" t="str">
        <f t="shared" si="146"/>
        <v/>
      </c>
      <c r="AG1614" s="162" t="str">
        <f t="shared" si="144"/>
        <v/>
      </c>
      <c r="AH1614" s="164">
        <f t="shared" si="150"/>
        <v>1.01</v>
      </c>
      <c r="AI1614" s="164" t="str">
        <f t="shared" si="151"/>
        <v/>
      </c>
      <c r="AJ1614" s="387"/>
      <c r="AK1614" s="382"/>
      <c r="AL1614" s="382"/>
      <c r="AM1614" s="382"/>
      <c r="AN1614" s="382"/>
      <c r="AO1614" s="382"/>
      <c r="AP1614" s="382"/>
      <c r="AQ1614" s="382"/>
      <c r="AR1614" s="382"/>
      <c r="AS1614" s="287"/>
      <c r="AT1614" s="286"/>
      <c r="AU1614" s="382"/>
      <c r="AW1614" s="332">
        <v>1.01</v>
      </c>
      <c r="AX1614" s="332"/>
      <c r="AY1614" s="332"/>
      <c r="AZ1614" s="332"/>
      <c r="BA1614" s="332"/>
      <c r="BB1614" s="332"/>
      <c r="BC1614" s="332"/>
      <c r="BD1614" s="332"/>
      <c r="BE1614" s="332"/>
      <c r="BF1614" s="476">
        <f t="shared" ref="BF1614:BF1645" si="152">AW1614</f>
        <v>1.01</v>
      </c>
      <c r="BG1614" s="476"/>
      <c r="BH1614" s="332"/>
      <c r="BI1614" s="332"/>
      <c r="BJ1614" s="334" t="s">
        <v>3969</v>
      </c>
    </row>
    <row r="1615" spans="1:62" ht="15" customHeight="1" thickBot="1" x14ac:dyDescent="0.25">
      <c r="A1615" s="176">
        <v>1616</v>
      </c>
      <c r="B1615" s="230">
        <v>1</v>
      </c>
      <c r="C1615" s="278" t="s">
        <v>3589</v>
      </c>
      <c r="D1615" s="278" t="s">
        <v>12</v>
      </c>
      <c r="E1615" s="278" t="s">
        <v>13</v>
      </c>
      <c r="F1615" s="278" t="s">
        <v>3966</v>
      </c>
      <c r="G1615" s="278"/>
      <c r="H1615" s="278" t="s">
        <v>101</v>
      </c>
      <c r="I1615" s="303">
        <v>2012</v>
      </c>
      <c r="J1615" s="189" t="s">
        <v>3967</v>
      </c>
      <c r="K1615" s="303" t="s">
        <v>3968</v>
      </c>
      <c r="L1615" s="303" t="s">
        <v>104</v>
      </c>
      <c r="M1615" s="556" t="s">
        <v>4403</v>
      </c>
      <c r="N1615" s="283" t="s">
        <v>122</v>
      </c>
      <c r="O1615" s="283" t="s">
        <v>122</v>
      </c>
      <c r="P1615" s="283" t="s">
        <v>292</v>
      </c>
      <c r="Q1615" s="283" t="s">
        <v>292</v>
      </c>
      <c r="R1615" s="283" t="s">
        <v>292</v>
      </c>
      <c r="S1615" s="283" t="s">
        <v>292</v>
      </c>
      <c r="T1615" s="283" t="s">
        <v>292</v>
      </c>
      <c r="U1615" s="283" t="s">
        <v>292</v>
      </c>
      <c r="V1615" s="283" t="s">
        <v>292</v>
      </c>
      <c r="W1615" s="283" t="s">
        <v>292</v>
      </c>
      <c r="X1615" s="283" t="s">
        <v>292</v>
      </c>
      <c r="Y1615" s="283" t="s">
        <v>122</v>
      </c>
      <c r="Z1615" s="281"/>
      <c r="AA1615" s="281" t="s">
        <v>3927</v>
      </c>
      <c r="AB1615" s="281"/>
      <c r="AC1615" s="281"/>
      <c r="AD1615" s="288" t="s">
        <v>3636</v>
      </c>
      <c r="AE1615" s="288"/>
      <c r="AF1615" s="162" t="str">
        <f t="shared" si="146"/>
        <v/>
      </c>
      <c r="AG1615" s="162" t="str">
        <f t="shared" si="144"/>
        <v/>
      </c>
      <c r="AH1615" s="164">
        <f t="shared" si="150"/>
        <v>1.25</v>
      </c>
      <c r="AI1615" s="164" t="str">
        <f t="shared" si="151"/>
        <v/>
      </c>
      <c r="AJ1615" s="387"/>
      <c r="AK1615" s="382"/>
      <c r="AL1615" s="382"/>
      <c r="AM1615" s="382"/>
      <c r="AN1615" s="382"/>
      <c r="AO1615" s="382"/>
      <c r="AP1615" s="382"/>
      <c r="AQ1615" s="382"/>
      <c r="AR1615" s="382"/>
      <c r="AS1615" s="287"/>
      <c r="AT1615" s="286"/>
      <c r="AU1615" s="382"/>
      <c r="AW1615" s="332">
        <v>1.25</v>
      </c>
      <c r="AX1615" s="332"/>
      <c r="AY1615" s="332"/>
      <c r="AZ1615" s="332"/>
      <c r="BA1615" s="332"/>
      <c r="BB1615" s="332"/>
      <c r="BC1615" s="332"/>
      <c r="BD1615" s="332"/>
      <c r="BE1615" s="332"/>
      <c r="BF1615" s="476">
        <f t="shared" si="152"/>
        <v>1.25</v>
      </c>
      <c r="BG1615" s="476"/>
      <c r="BH1615" s="332"/>
      <c r="BI1615" s="332"/>
      <c r="BJ1615" s="334" t="s">
        <v>3969</v>
      </c>
    </row>
    <row r="1616" spans="1:62" ht="15" customHeight="1" thickBot="1" x14ac:dyDescent="0.25">
      <c r="A1616" s="176">
        <v>1617</v>
      </c>
      <c r="B1616" s="230">
        <v>1</v>
      </c>
      <c r="C1616" s="278" t="s">
        <v>3589</v>
      </c>
      <c r="D1616" s="278" t="s">
        <v>12</v>
      </c>
      <c r="E1616" s="278" t="s">
        <v>13</v>
      </c>
      <c r="F1616" s="278" t="s">
        <v>3970</v>
      </c>
      <c r="G1616" s="278"/>
      <c r="H1616" s="278" t="s">
        <v>80</v>
      </c>
      <c r="I1616" s="303">
        <v>2012</v>
      </c>
      <c r="J1616" s="189" t="s">
        <v>3967</v>
      </c>
      <c r="K1616" s="303" t="s">
        <v>3968</v>
      </c>
      <c r="L1616" s="303" t="s">
        <v>104</v>
      </c>
      <c r="M1616" s="556" t="s">
        <v>4403</v>
      </c>
      <c r="N1616" s="283" t="s">
        <v>122</v>
      </c>
      <c r="O1616" s="283" t="s">
        <v>122</v>
      </c>
      <c r="P1616" s="283" t="s">
        <v>292</v>
      </c>
      <c r="Q1616" s="283" t="s">
        <v>292</v>
      </c>
      <c r="R1616" s="283" t="s">
        <v>292</v>
      </c>
      <c r="S1616" s="283" t="s">
        <v>292</v>
      </c>
      <c r="T1616" s="283" t="s">
        <v>292</v>
      </c>
      <c r="U1616" s="283" t="s">
        <v>292</v>
      </c>
      <c r="V1616" s="283" t="s">
        <v>292</v>
      </c>
      <c r="W1616" s="283" t="s">
        <v>292</v>
      </c>
      <c r="X1616" s="283" t="s">
        <v>292</v>
      </c>
      <c r="Y1616" s="283" t="s">
        <v>292</v>
      </c>
      <c r="Z1616" s="281"/>
      <c r="AA1616" s="281" t="s">
        <v>3927</v>
      </c>
      <c r="AB1616" s="281"/>
      <c r="AC1616" s="281"/>
      <c r="AD1616" s="288" t="s">
        <v>3636</v>
      </c>
      <c r="AE1616" s="288"/>
      <c r="AF1616" s="162" t="str">
        <f t="shared" si="146"/>
        <v/>
      </c>
      <c r="AG1616" s="162" t="str">
        <f t="shared" si="144"/>
        <v/>
      </c>
      <c r="AH1616" s="164">
        <f t="shared" si="150"/>
        <v>0.94199999999999995</v>
      </c>
      <c r="AI1616" s="164" t="str">
        <f t="shared" si="151"/>
        <v/>
      </c>
      <c r="AJ1616" s="387"/>
      <c r="AK1616" s="382"/>
      <c r="AL1616" s="382"/>
      <c r="AM1616" s="382"/>
      <c r="AN1616" s="382"/>
      <c r="AO1616" s="382"/>
      <c r="AP1616" s="382"/>
      <c r="AQ1616" s="382"/>
      <c r="AR1616" s="382"/>
      <c r="AS1616" s="287"/>
      <c r="AT1616" s="286"/>
      <c r="AU1616" s="382"/>
      <c r="AW1616" s="332">
        <v>0.94199999999999995</v>
      </c>
      <c r="AX1616" s="332"/>
      <c r="AY1616" s="332"/>
      <c r="AZ1616" s="332"/>
      <c r="BA1616" s="332"/>
      <c r="BB1616" s="332"/>
      <c r="BC1616" s="332"/>
      <c r="BD1616" s="332"/>
      <c r="BE1616" s="332"/>
      <c r="BF1616" s="476">
        <f t="shared" si="152"/>
        <v>0.94199999999999995</v>
      </c>
      <c r="BG1616" s="476"/>
      <c r="BH1616" s="332"/>
      <c r="BI1616" s="332"/>
      <c r="BJ1616" s="334" t="s">
        <v>3971</v>
      </c>
    </row>
    <row r="1617" spans="1:62" ht="15" customHeight="1" thickBot="1" x14ac:dyDescent="0.25">
      <c r="A1617" s="176">
        <v>1618</v>
      </c>
      <c r="B1617" s="230">
        <v>1</v>
      </c>
      <c r="C1617" s="278" t="s">
        <v>3589</v>
      </c>
      <c r="D1617" s="278" t="s">
        <v>12</v>
      </c>
      <c r="E1617" s="278" t="s">
        <v>13</v>
      </c>
      <c r="F1617" s="278" t="s">
        <v>3970</v>
      </c>
      <c r="G1617" s="278"/>
      <c r="H1617" s="278" t="s">
        <v>101</v>
      </c>
      <c r="I1617" s="303">
        <v>2012</v>
      </c>
      <c r="J1617" s="189" t="s">
        <v>3967</v>
      </c>
      <c r="K1617" s="303" t="s">
        <v>3968</v>
      </c>
      <c r="L1617" s="303" t="s">
        <v>104</v>
      </c>
      <c r="M1617" s="556" t="s">
        <v>4403</v>
      </c>
      <c r="N1617" s="283" t="s">
        <v>122</v>
      </c>
      <c r="O1617" s="283" t="s">
        <v>122</v>
      </c>
      <c r="P1617" s="283" t="s">
        <v>292</v>
      </c>
      <c r="Q1617" s="283" t="s">
        <v>292</v>
      </c>
      <c r="R1617" s="283" t="s">
        <v>292</v>
      </c>
      <c r="S1617" s="283" t="s">
        <v>292</v>
      </c>
      <c r="T1617" s="283" t="s">
        <v>292</v>
      </c>
      <c r="U1617" s="283" t="s">
        <v>292</v>
      </c>
      <c r="V1617" s="283" t="s">
        <v>292</v>
      </c>
      <c r="W1617" s="283" t="s">
        <v>292</v>
      </c>
      <c r="X1617" s="283" t="s">
        <v>292</v>
      </c>
      <c r="Y1617" s="283" t="s">
        <v>292</v>
      </c>
      <c r="Z1617" s="281"/>
      <c r="AA1617" s="281" t="s">
        <v>3927</v>
      </c>
      <c r="AB1617" s="281"/>
      <c r="AC1617" s="281"/>
      <c r="AD1617" s="288" t="s">
        <v>3636</v>
      </c>
      <c r="AE1617" s="288"/>
      <c r="AF1617" s="162" t="str">
        <f t="shared" si="146"/>
        <v/>
      </c>
      <c r="AG1617" s="162" t="str">
        <f t="shared" si="144"/>
        <v/>
      </c>
      <c r="AH1617" s="164">
        <f t="shared" si="150"/>
        <v>1.1599999999999999</v>
      </c>
      <c r="AI1617" s="164" t="str">
        <f t="shared" si="151"/>
        <v/>
      </c>
      <c r="AJ1617" s="387"/>
      <c r="AK1617" s="382"/>
      <c r="AL1617" s="382"/>
      <c r="AM1617" s="382"/>
      <c r="AN1617" s="382"/>
      <c r="AO1617" s="382"/>
      <c r="AP1617" s="382"/>
      <c r="AQ1617" s="382"/>
      <c r="AR1617" s="382"/>
      <c r="AS1617" s="287"/>
      <c r="AT1617" s="286"/>
      <c r="AU1617" s="382"/>
      <c r="AW1617" s="332">
        <v>1.1599999999999999</v>
      </c>
      <c r="AX1617" s="332"/>
      <c r="AY1617" s="332"/>
      <c r="AZ1617" s="332"/>
      <c r="BA1617" s="332"/>
      <c r="BB1617" s="332"/>
      <c r="BC1617" s="332"/>
      <c r="BD1617" s="332"/>
      <c r="BE1617" s="332"/>
      <c r="BF1617" s="476">
        <f t="shared" si="152"/>
        <v>1.1599999999999999</v>
      </c>
      <c r="BG1617" s="476"/>
      <c r="BH1617" s="332"/>
      <c r="BI1617" s="332"/>
      <c r="BJ1617" s="334" t="s">
        <v>3971</v>
      </c>
    </row>
    <row r="1618" spans="1:62" ht="15" customHeight="1" thickBot="1" x14ac:dyDescent="0.25">
      <c r="A1618" s="176">
        <v>1619</v>
      </c>
      <c r="B1618" s="230">
        <v>1</v>
      </c>
      <c r="C1618" s="278" t="s">
        <v>3589</v>
      </c>
      <c r="D1618" s="278" t="s">
        <v>12</v>
      </c>
      <c r="E1618" s="278" t="s">
        <v>13</v>
      </c>
      <c r="F1618" s="278" t="s">
        <v>3972</v>
      </c>
      <c r="G1618" s="278"/>
      <c r="H1618" s="278" t="s">
        <v>80</v>
      </c>
      <c r="I1618" s="303">
        <v>2012</v>
      </c>
      <c r="J1618" s="189" t="s">
        <v>3967</v>
      </c>
      <c r="K1618" s="303" t="s">
        <v>3968</v>
      </c>
      <c r="L1618" s="303" t="s">
        <v>104</v>
      </c>
      <c r="M1618" s="556" t="s">
        <v>4403</v>
      </c>
      <c r="N1618" s="283" t="s">
        <v>122</v>
      </c>
      <c r="O1618" s="283" t="s">
        <v>122</v>
      </c>
      <c r="P1618" s="283" t="s">
        <v>292</v>
      </c>
      <c r="Q1618" s="283" t="s">
        <v>292</v>
      </c>
      <c r="R1618" s="283" t="s">
        <v>292</v>
      </c>
      <c r="S1618" s="283" t="s">
        <v>292</v>
      </c>
      <c r="T1618" s="283" t="s">
        <v>292</v>
      </c>
      <c r="U1618" s="283" t="s">
        <v>292</v>
      </c>
      <c r="V1618" s="283" t="s">
        <v>292</v>
      </c>
      <c r="W1618" s="283" t="s">
        <v>292</v>
      </c>
      <c r="X1618" s="283" t="s">
        <v>292</v>
      </c>
      <c r="Y1618" s="283" t="s">
        <v>122</v>
      </c>
      <c r="Z1618" s="281"/>
      <c r="AA1618" s="281" t="s">
        <v>3927</v>
      </c>
      <c r="AB1618" s="281"/>
      <c r="AC1618" s="281"/>
      <c r="AD1618" s="288" t="s">
        <v>3636</v>
      </c>
      <c r="AE1618" s="288"/>
      <c r="AF1618" s="162" t="str">
        <f t="shared" si="146"/>
        <v/>
      </c>
      <c r="AG1618" s="162" t="str">
        <f t="shared" si="144"/>
        <v/>
      </c>
      <c r="AH1618" s="164">
        <f t="shared" si="150"/>
        <v>0.98099999999999998</v>
      </c>
      <c r="AI1618" s="164" t="str">
        <f t="shared" si="151"/>
        <v/>
      </c>
      <c r="AJ1618" s="387"/>
      <c r="AK1618" s="382"/>
      <c r="AL1618" s="382"/>
      <c r="AM1618" s="382"/>
      <c r="AN1618" s="382"/>
      <c r="AO1618" s="382"/>
      <c r="AP1618" s="382"/>
      <c r="AQ1618" s="382"/>
      <c r="AR1618" s="382"/>
      <c r="AS1618" s="287"/>
      <c r="AT1618" s="286"/>
      <c r="AU1618" s="382"/>
      <c r="AV1618" s="382"/>
      <c r="AW1618" s="332">
        <v>0.98099999999999998</v>
      </c>
      <c r="AX1618" s="332"/>
      <c r="AY1618" s="332"/>
      <c r="AZ1618" s="332"/>
      <c r="BA1618" s="332"/>
      <c r="BB1618" s="332"/>
      <c r="BC1618" s="332"/>
      <c r="BD1618" s="332"/>
      <c r="BE1618" s="332"/>
      <c r="BF1618" s="476">
        <f t="shared" si="152"/>
        <v>0.98099999999999998</v>
      </c>
      <c r="BG1618" s="476"/>
      <c r="BH1618" s="332"/>
      <c r="BI1618" s="332"/>
      <c r="BJ1618" s="334" t="s">
        <v>3971</v>
      </c>
    </row>
    <row r="1619" spans="1:62" ht="15" customHeight="1" thickBot="1" x14ac:dyDescent="0.25">
      <c r="A1619" s="176">
        <v>1620</v>
      </c>
      <c r="B1619" s="230">
        <v>1</v>
      </c>
      <c r="C1619" s="278" t="s">
        <v>3589</v>
      </c>
      <c r="D1619" s="278" t="s">
        <v>12</v>
      </c>
      <c r="E1619" s="278" t="s">
        <v>13</v>
      </c>
      <c r="F1619" s="278" t="s">
        <v>3972</v>
      </c>
      <c r="G1619" s="278"/>
      <c r="H1619" s="278" t="s">
        <v>101</v>
      </c>
      <c r="I1619" s="303">
        <v>2012</v>
      </c>
      <c r="J1619" s="189" t="s">
        <v>3967</v>
      </c>
      <c r="K1619" s="303" t="s">
        <v>3968</v>
      </c>
      <c r="L1619" s="303" t="s">
        <v>104</v>
      </c>
      <c r="M1619" s="556" t="s">
        <v>4403</v>
      </c>
      <c r="N1619" s="283" t="s">
        <v>122</v>
      </c>
      <c r="O1619" s="283" t="s">
        <v>122</v>
      </c>
      <c r="P1619" s="283" t="s">
        <v>292</v>
      </c>
      <c r="Q1619" s="283" t="s">
        <v>292</v>
      </c>
      <c r="R1619" s="283" t="s">
        <v>292</v>
      </c>
      <c r="S1619" s="283" t="s">
        <v>292</v>
      </c>
      <c r="T1619" s="283" t="s">
        <v>292</v>
      </c>
      <c r="U1619" s="283" t="s">
        <v>292</v>
      </c>
      <c r="V1619" s="283" t="s">
        <v>292</v>
      </c>
      <c r="W1619" s="283" t="s">
        <v>292</v>
      </c>
      <c r="X1619" s="283" t="s">
        <v>292</v>
      </c>
      <c r="Y1619" s="283" t="s">
        <v>122</v>
      </c>
      <c r="Z1619" s="281"/>
      <c r="AA1619" s="281" t="s">
        <v>3927</v>
      </c>
      <c r="AB1619" s="281"/>
      <c r="AC1619" s="281"/>
      <c r="AD1619" s="288" t="s">
        <v>3636</v>
      </c>
      <c r="AE1619" s="288"/>
      <c r="AF1619" s="162" t="str">
        <f t="shared" si="146"/>
        <v/>
      </c>
      <c r="AG1619" s="162" t="str">
        <f t="shared" ref="AG1619:AG1645" si="153">IF(AND(SUM(AJ1619:AL1619)&lt;&gt;0,SUM(AJ1619:AL1619)&lt;&gt;AJ1619),SUM(AJ1619:AL1619),"")</f>
        <v/>
      </c>
      <c r="AH1619" s="164">
        <f t="shared" si="150"/>
        <v>1.0900000000000001</v>
      </c>
      <c r="AI1619" s="164" t="str">
        <f t="shared" si="151"/>
        <v/>
      </c>
      <c r="AJ1619" s="387"/>
      <c r="AK1619" s="382"/>
      <c r="AL1619" s="382"/>
      <c r="AM1619" s="382"/>
      <c r="AN1619" s="382"/>
      <c r="AO1619" s="382"/>
      <c r="AP1619" s="382"/>
      <c r="AQ1619" s="382"/>
      <c r="AR1619" s="382"/>
      <c r="AS1619" s="287"/>
      <c r="AT1619" s="286"/>
      <c r="AU1619" s="382"/>
      <c r="AV1619" s="382"/>
      <c r="AW1619" s="332">
        <v>1.0900000000000001</v>
      </c>
      <c r="AX1619" s="332"/>
      <c r="AY1619" s="332"/>
      <c r="AZ1619" s="332"/>
      <c r="BA1619" s="332"/>
      <c r="BB1619" s="332"/>
      <c r="BC1619" s="332"/>
      <c r="BD1619" s="332"/>
      <c r="BE1619" s="332"/>
      <c r="BF1619" s="476">
        <f t="shared" si="152"/>
        <v>1.0900000000000001</v>
      </c>
      <c r="BG1619" s="476"/>
      <c r="BH1619" s="332"/>
      <c r="BI1619" s="332"/>
      <c r="BJ1619" s="334" t="s">
        <v>3971</v>
      </c>
    </row>
    <row r="1620" spans="1:62" ht="15" customHeight="1" thickBot="1" x14ac:dyDescent="0.25">
      <c r="A1620" s="176">
        <v>1621</v>
      </c>
      <c r="B1620" s="230">
        <v>1</v>
      </c>
      <c r="C1620" s="278" t="s">
        <v>975</v>
      </c>
      <c r="D1620" s="278" t="s">
        <v>1984</v>
      </c>
      <c r="E1620" s="278" t="s">
        <v>13</v>
      </c>
      <c r="F1620" s="278" t="s">
        <v>3973</v>
      </c>
      <c r="G1620" s="278"/>
      <c r="H1620" s="278" t="s">
        <v>492</v>
      </c>
      <c r="I1620" s="303">
        <v>2012</v>
      </c>
      <c r="J1620" s="189" t="s">
        <v>3974</v>
      </c>
      <c r="K1620" s="303" t="s">
        <v>3975</v>
      </c>
      <c r="L1620" s="303" t="s">
        <v>3976</v>
      </c>
      <c r="M1620" s="556" t="s">
        <v>4404</v>
      </c>
      <c r="N1620" s="283" t="s">
        <v>122</v>
      </c>
      <c r="O1620" s="283" t="s">
        <v>292</v>
      </c>
      <c r="P1620" s="283" t="s">
        <v>292</v>
      </c>
      <c r="Q1620" s="283" t="s">
        <v>292</v>
      </c>
      <c r="R1620" s="283" t="s">
        <v>292</v>
      </c>
      <c r="S1620" s="283" t="s">
        <v>292</v>
      </c>
      <c r="T1620" s="283" t="s">
        <v>292</v>
      </c>
      <c r="U1620" s="283" t="s">
        <v>292</v>
      </c>
      <c r="V1620" s="283" t="s">
        <v>292</v>
      </c>
      <c r="W1620" s="283" t="s">
        <v>292</v>
      </c>
      <c r="X1620" s="283" t="s">
        <v>292</v>
      </c>
      <c r="Y1620" s="283" t="s">
        <v>292</v>
      </c>
      <c r="Z1620" s="281"/>
      <c r="AA1620" s="281" t="s">
        <v>303</v>
      </c>
      <c r="AB1620" s="281"/>
      <c r="AC1620" s="281"/>
      <c r="AD1620" s="288" t="s">
        <v>3977</v>
      </c>
      <c r="AE1620" s="288" t="s">
        <v>3978</v>
      </c>
      <c r="AF1620" s="162">
        <f t="shared" si="146"/>
        <v>28.769230769230766</v>
      </c>
      <c r="AG1620" s="162" t="str">
        <f t="shared" si="153"/>
        <v/>
      </c>
      <c r="AH1620" s="164">
        <f t="shared" si="150"/>
        <v>2.6846153846153848</v>
      </c>
      <c r="AI1620" s="164" t="str">
        <f t="shared" si="151"/>
        <v/>
      </c>
      <c r="AJ1620" s="387">
        <f>18.7/0.65</f>
        <v>28.769230769230766</v>
      </c>
      <c r="AK1620" s="382"/>
      <c r="AL1620" s="382"/>
      <c r="AM1620" s="382"/>
      <c r="AN1620" s="382"/>
      <c r="AO1620" s="382"/>
      <c r="AP1620" s="382"/>
      <c r="AQ1620" s="382"/>
      <c r="AR1620" s="382"/>
      <c r="AS1620" s="287">
        <f>AJ1620</f>
        <v>28.769230769230766</v>
      </c>
      <c r="AT1620" s="286"/>
      <c r="AU1620" s="382"/>
      <c r="AV1620" s="382"/>
      <c r="AW1620" s="332">
        <f>1745/1000/0.65</f>
        <v>2.6846153846153848</v>
      </c>
      <c r="AX1620" s="332"/>
      <c r="AY1620" s="332"/>
      <c r="AZ1620" s="332"/>
      <c r="BA1620" s="332"/>
      <c r="BB1620" s="332"/>
      <c r="BC1620" s="332"/>
      <c r="BD1620" s="332"/>
      <c r="BE1620" s="332"/>
      <c r="BF1620" s="476">
        <f t="shared" si="152"/>
        <v>2.6846153846153848</v>
      </c>
      <c r="BG1620" s="476"/>
      <c r="BH1620" s="332"/>
      <c r="BI1620" s="332"/>
      <c r="BJ1620" s="334"/>
    </row>
    <row r="1621" spans="1:62" ht="15" customHeight="1" thickBot="1" x14ac:dyDescent="0.25">
      <c r="A1621" s="176">
        <v>1622</v>
      </c>
      <c r="B1621" s="230">
        <v>1</v>
      </c>
      <c r="C1621" s="278" t="s">
        <v>11</v>
      </c>
      <c r="D1621" s="278" t="s">
        <v>12</v>
      </c>
      <c r="E1621" s="278" t="s">
        <v>13</v>
      </c>
      <c r="F1621" s="278" t="s">
        <v>3979</v>
      </c>
      <c r="G1621" s="278"/>
      <c r="H1621" s="278" t="s">
        <v>87</v>
      </c>
      <c r="I1621" s="303">
        <v>2012</v>
      </c>
      <c r="J1621" s="189" t="s">
        <v>3980</v>
      </c>
      <c r="K1621" s="303" t="s">
        <v>3981</v>
      </c>
      <c r="L1621" s="303" t="s">
        <v>19</v>
      </c>
      <c r="M1621" s="556" t="s">
        <v>4405</v>
      </c>
      <c r="N1621" s="283" t="s">
        <v>122</v>
      </c>
      <c r="O1621" s="283" t="s">
        <v>292</v>
      </c>
      <c r="P1621" s="283" t="s">
        <v>122</v>
      </c>
      <c r="Q1621" s="283" t="s">
        <v>122</v>
      </c>
      <c r="R1621" s="283" t="s">
        <v>122</v>
      </c>
      <c r="S1621" s="283" t="s">
        <v>122</v>
      </c>
      <c r="T1621" s="283" t="s">
        <v>292</v>
      </c>
      <c r="U1621" s="283" t="s">
        <v>292</v>
      </c>
      <c r="V1621" s="283" t="s">
        <v>292</v>
      </c>
      <c r="W1621" s="283" t="s">
        <v>292</v>
      </c>
      <c r="X1621" s="283" t="s">
        <v>292</v>
      </c>
      <c r="Y1621" s="283" t="s">
        <v>292</v>
      </c>
      <c r="Z1621" s="281"/>
      <c r="AA1621" s="281" t="s">
        <v>3982</v>
      </c>
      <c r="AB1621" s="281"/>
      <c r="AC1621" s="281"/>
      <c r="AD1621" s="288" t="s">
        <v>3983</v>
      </c>
      <c r="AE1621" s="288" t="s">
        <v>3984</v>
      </c>
      <c r="AF1621" s="162" t="str">
        <f t="shared" si="146"/>
        <v/>
      </c>
      <c r="AG1621" s="162" t="str">
        <f t="shared" si="153"/>
        <v/>
      </c>
      <c r="AH1621" s="164">
        <f t="shared" si="150"/>
        <v>1.3196249999999998</v>
      </c>
      <c r="AI1621" s="164">
        <f t="shared" si="151"/>
        <v>1.5059249999999997</v>
      </c>
      <c r="AJ1621" s="387"/>
      <c r="AK1621" s="382"/>
      <c r="AL1621" s="382"/>
      <c r="AM1621" s="382"/>
      <c r="AN1621" s="382"/>
      <c r="AO1621" s="382"/>
      <c r="AP1621" s="382"/>
      <c r="AQ1621" s="382"/>
      <c r="AR1621" s="382"/>
      <c r="AS1621" s="287"/>
      <c r="AT1621" s="286"/>
      <c r="AU1621" s="382"/>
      <c r="AV1621" s="382"/>
      <c r="AW1621" s="332">
        <f>1.5*0.85*1.035</f>
        <v>1.3196249999999998</v>
      </c>
      <c r="AX1621" s="332">
        <f>1.5*0.01*1.035</f>
        <v>1.5524999999999999E-2</v>
      </c>
      <c r="AY1621" s="332">
        <f>1.5*0.11*1.035</f>
        <v>0.17077499999999998</v>
      </c>
      <c r="AZ1621" s="332"/>
      <c r="BA1621" s="332">
        <f>1.5*0.03*1.035</f>
        <v>4.6574999999999991E-2</v>
      </c>
      <c r="BB1621" s="332"/>
      <c r="BC1621" s="332"/>
      <c r="BD1621" s="332"/>
      <c r="BE1621" s="332"/>
      <c r="BF1621" s="476">
        <f t="shared" si="152"/>
        <v>1.3196249999999998</v>
      </c>
      <c r="BG1621" s="476">
        <f>SUM(AW1621:BA1621)</f>
        <v>1.5524999999999998</v>
      </c>
      <c r="BH1621" s="332"/>
      <c r="BI1621" s="332"/>
      <c r="BJ1621" s="334" t="s">
        <v>3985</v>
      </c>
    </row>
    <row r="1622" spans="1:62" ht="15" customHeight="1" thickBot="1" x14ac:dyDescent="0.25">
      <c r="A1622" s="176">
        <v>1623</v>
      </c>
      <c r="B1622" s="230">
        <v>1</v>
      </c>
      <c r="C1622" s="278" t="s">
        <v>3589</v>
      </c>
      <c r="D1622" s="278" t="s">
        <v>12</v>
      </c>
      <c r="E1622" s="278" t="s">
        <v>13</v>
      </c>
      <c r="F1622" s="278" t="s">
        <v>3986</v>
      </c>
      <c r="G1622" s="278"/>
      <c r="H1622" s="278" t="s">
        <v>87</v>
      </c>
      <c r="I1622" s="303">
        <v>2012</v>
      </c>
      <c r="J1622" s="189" t="s">
        <v>3980</v>
      </c>
      <c r="K1622" s="303" t="s">
        <v>3981</v>
      </c>
      <c r="L1622" s="303" t="s">
        <v>19</v>
      </c>
      <c r="M1622" s="556" t="s">
        <v>4405</v>
      </c>
      <c r="N1622" s="283" t="s">
        <v>122</v>
      </c>
      <c r="O1622" s="283" t="s">
        <v>292</v>
      </c>
      <c r="P1622" s="283" t="s">
        <v>122</v>
      </c>
      <c r="Q1622" s="283" t="s">
        <v>122</v>
      </c>
      <c r="R1622" s="283" t="s">
        <v>122</v>
      </c>
      <c r="S1622" s="283" t="s">
        <v>122</v>
      </c>
      <c r="T1622" s="283" t="s">
        <v>292</v>
      </c>
      <c r="U1622" s="283" t="s">
        <v>292</v>
      </c>
      <c r="V1622" s="283" t="s">
        <v>292</v>
      </c>
      <c r="W1622" s="283" t="s">
        <v>292</v>
      </c>
      <c r="X1622" s="283" t="s">
        <v>292</v>
      </c>
      <c r="Y1622" s="283" t="s">
        <v>292</v>
      </c>
      <c r="Z1622" s="281"/>
      <c r="AA1622" s="281" t="s">
        <v>3982</v>
      </c>
      <c r="AB1622" s="281"/>
      <c r="AC1622" s="281"/>
      <c r="AD1622" s="288" t="s">
        <v>3983</v>
      </c>
      <c r="AE1622" s="288" t="s">
        <v>3984</v>
      </c>
      <c r="AF1622" s="162" t="str">
        <f t="shared" si="146"/>
        <v/>
      </c>
      <c r="AG1622" s="162" t="str">
        <f t="shared" si="153"/>
        <v/>
      </c>
      <c r="AH1622" s="164">
        <f t="shared" si="150"/>
        <v>1.10331</v>
      </c>
      <c r="AI1622" s="164">
        <f t="shared" si="151"/>
        <v>1.3051349999999999</v>
      </c>
      <c r="AJ1622" s="387"/>
      <c r="AK1622" s="382"/>
      <c r="AL1622" s="382"/>
      <c r="AM1622" s="382"/>
      <c r="AN1622" s="382"/>
      <c r="AO1622" s="382"/>
      <c r="AP1622" s="382"/>
      <c r="AQ1622" s="382"/>
      <c r="AR1622" s="382"/>
      <c r="AS1622" s="287"/>
      <c r="AT1622" s="286"/>
      <c r="AU1622" s="382"/>
      <c r="AV1622" s="382"/>
      <c r="AW1622" s="332">
        <f>1.3*0.82*1.035</f>
        <v>1.10331</v>
      </c>
      <c r="AX1622" s="332">
        <f>1.3*0.01*1.035</f>
        <v>1.3455E-2</v>
      </c>
      <c r="AY1622" s="332">
        <f>1.3*0.14*1.035</f>
        <v>0.18837000000000001</v>
      </c>
      <c r="AZ1622" s="332"/>
      <c r="BA1622" s="332">
        <f>1.3*0.03*1.035</f>
        <v>4.0364999999999998E-2</v>
      </c>
      <c r="BB1622" s="332"/>
      <c r="BC1622" s="332"/>
      <c r="BD1622" s="332"/>
      <c r="BE1622" s="332"/>
      <c r="BF1622" s="476">
        <f t="shared" si="152"/>
        <v>1.10331</v>
      </c>
      <c r="BG1622" s="476">
        <f>SUM(AW1622:BA1622)</f>
        <v>1.3454999999999999</v>
      </c>
      <c r="BH1622" s="332"/>
      <c r="BI1622" s="332"/>
      <c r="BJ1622" s="334" t="s">
        <v>3985</v>
      </c>
    </row>
    <row r="1623" spans="1:62" ht="15" customHeight="1" thickBot="1" x14ac:dyDescent="0.25">
      <c r="A1623" s="176">
        <v>1624</v>
      </c>
      <c r="B1623" s="230">
        <v>1</v>
      </c>
      <c r="C1623" s="278" t="s">
        <v>24</v>
      </c>
      <c r="D1623" s="278" t="s">
        <v>3451</v>
      </c>
      <c r="E1623" s="278" t="s">
        <v>13</v>
      </c>
      <c r="F1623" s="278" t="s">
        <v>3987</v>
      </c>
      <c r="G1623" s="278"/>
      <c r="H1623" s="278" t="s">
        <v>101</v>
      </c>
      <c r="I1623" s="303">
        <v>2011</v>
      </c>
      <c r="J1623" s="189" t="s">
        <v>3988</v>
      </c>
      <c r="K1623" s="303" t="s">
        <v>3989</v>
      </c>
      <c r="L1623" s="303" t="s">
        <v>3916</v>
      </c>
      <c r="M1623" s="556" t="s">
        <v>4406</v>
      </c>
      <c r="N1623" s="283" t="s">
        <v>122</v>
      </c>
      <c r="O1623" s="283" t="s">
        <v>292</v>
      </c>
      <c r="P1623" s="283" t="s">
        <v>122</v>
      </c>
      <c r="Q1623" s="283" t="s">
        <v>122</v>
      </c>
      <c r="R1623" s="283" t="s">
        <v>122</v>
      </c>
      <c r="S1623" s="283" t="s">
        <v>122</v>
      </c>
      <c r="T1623" s="283" t="s">
        <v>292</v>
      </c>
      <c r="U1623" s="283" t="s">
        <v>292</v>
      </c>
      <c r="V1623" s="283" t="s">
        <v>292</v>
      </c>
      <c r="W1623" s="283" t="s">
        <v>292</v>
      </c>
      <c r="X1623" s="283" t="s">
        <v>292</v>
      </c>
      <c r="Y1623" s="283" t="s">
        <v>292</v>
      </c>
      <c r="Z1623" s="281"/>
      <c r="AA1623" s="281" t="s">
        <v>3990</v>
      </c>
      <c r="AB1623" s="281"/>
      <c r="AC1623" s="281"/>
      <c r="AD1623" s="288" t="s">
        <v>581</v>
      </c>
      <c r="AE1623" s="288" t="s">
        <v>3991</v>
      </c>
      <c r="AF1623" s="162">
        <f t="shared" si="146"/>
        <v>47.112462006079028</v>
      </c>
      <c r="AG1623" s="162">
        <f t="shared" si="153"/>
        <v>54.711246200607903</v>
      </c>
      <c r="AH1623" s="164">
        <f t="shared" si="150"/>
        <v>24.012158054711247</v>
      </c>
      <c r="AI1623" s="164">
        <f t="shared" si="151"/>
        <v>24.316109422492403</v>
      </c>
      <c r="AJ1623" s="387">
        <f>31/0.658</f>
        <v>47.112462006079028</v>
      </c>
      <c r="AK1623" s="382"/>
      <c r="AL1623" s="382">
        <f>5/0.658</f>
        <v>7.598784194528875</v>
      </c>
      <c r="AM1623" s="382"/>
      <c r="AN1623" s="382"/>
      <c r="AO1623" s="382"/>
      <c r="AP1623" s="382"/>
      <c r="AQ1623" s="382"/>
      <c r="AR1623" s="382"/>
      <c r="AS1623" s="287">
        <f>AJ1623</f>
        <v>47.112462006079028</v>
      </c>
      <c r="AT1623" s="286">
        <f>SUM(AJ1623:AL1623)</f>
        <v>54.711246200607903</v>
      </c>
      <c r="AU1623" s="382"/>
      <c r="AV1623" s="387" t="s">
        <v>3992</v>
      </c>
      <c r="AW1623" s="332">
        <f>15.8/0.658</f>
        <v>24.012158054711247</v>
      </c>
      <c r="AX1623" s="332"/>
      <c r="AY1623" s="332">
        <f>0.2/0.658</f>
        <v>0.303951367781155</v>
      </c>
      <c r="AZ1623" s="332"/>
      <c r="BA1623" s="332"/>
      <c r="BB1623" s="332"/>
      <c r="BC1623" s="332"/>
      <c r="BD1623" s="332"/>
      <c r="BE1623" s="332"/>
      <c r="BF1623" s="476">
        <f t="shared" si="152"/>
        <v>24.012158054711247</v>
      </c>
      <c r="BG1623" s="476">
        <f>SUM(AW1623:AY1623)</f>
        <v>24.316109422492403</v>
      </c>
      <c r="BH1623" s="332"/>
      <c r="BI1623" s="332"/>
      <c r="BJ1623" s="334" t="s">
        <v>3992</v>
      </c>
    </row>
    <row r="1624" spans="1:62" ht="15" customHeight="1" thickBot="1" x14ac:dyDescent="0.25">
      <c r="A1624" s="176">
        <v>1625</v>
      </c>
      <c r="B1624" s="230">
        <v>1</v>
      </c>
      <c r="C1624" s="278" t="s">
        <v>11</v>
      </c>
      <c r="D1624" s="278" t="s">
        <v>426</v>
      </c>
      <c r="E1624" s="278" t="s">
        <v>13</v>
      </c>
      <c r="F1624" s="278" t="s">
        <v>3993</v>
      </c>
      <c r="G1624" s="278"/>
      <c r="H1624" s="278" t="s">
        <v>3994</v>
      </c>
      <c r="I1624" s="303">
        <v>2011</v>
      </c>
      <c r="J1624" s="189" t="s">
        <v>3995</v>
      </c>
      <c r="K1624" s="303" t="s">
        <v>3996</v>
      </c>
      <c r="L1624" s="303" t="s">
        <v>19</v>
      </c>
      <c r="M1624" s="556" t="s">
        <v>4407</v>
      </c>
      <c r="N1624" s="283" t="s">
        <v>122</v>
      </c>
      <c r="O1624" s="283" t="s">
        <v>122</v>
      </c>
      <c r="P1624" s="283" t="s">
        <v>122</v>
      </c>
      <c r="Q1624" s="283" t="s">
        <v>122</v>
      </c>
      <c r="R1624" s="283" t="s">
        <v>122</v>
      </c>
      <c r="S1624" s="283" t="s">
        <v>122</v>
      </c>
      <c r="T1624" s="283" t="s">
        <v>122</v>
      </c>
      <c r="U1624" s="283" t="s">
        <v>292</v>
      </c>
      <c r="V1624" s="283" t="s">
        <v>292</v>
      </c>
      <c r="W1624" s="283" t="s">
        <v>292</v>
      </c>
      <c r="X1624" s="283" t="s">
        <v>292</v>
      </c>
      <c r="Y1624" s="283" t="s">
        <v>292</v>
      </c>
      <c r="Z1624" s="281"/>
      <c r="AA1624" s="281" t="s">
        <v>3997</v>
      </c>
      <c r="AB1624" s="281"/>
      <c r="AC1624" s="281"/>
      <c r="AD1624" s="288" t="s">
        <v>3998</v>
      </c>
      <c r="AE1624" s="288"/>
      <c r="AF1624" s="162">
        <f t="shared" si="146"/>
        <v>32.200000000000003</v>
      </c>
      <c r="AG1624" s="162">
        <f t="shared" si="153"/>
        <v>42.67</v>
      </c>
      <c r="AH1624" s="164">
        <f t="shared" si="150"/>
        <v>7.5</v>
      </c>
      <c r="AI1624" s="164">
        <f t="shared" si="151"/>
        <v>8.09</v>
      </c>
      <c r="AJ1624" s="387">
        <v>32.200000000000003</v>
      </c>
      <c r="AK1624" s="382"/>
      <c r="AL1624" s="382">
        <f>6.01+4.46</f>
        <v>10.469999999999999</v>
      </c>
      <c r="AM1624" s="382">
        <v>3.38</v>
      </c>
      <c r="AN1624" s="382"/>
      <c r="AO1624" s="382">
        <v>1.1100000000000001</v>
      </c>
      <c r="AP1624" s="382"/>
      <c r="AQ1624" s="382"/>
      <c r="AR1624" s="382"/>
      <c r="AS1624" s="287">
        <f>AJ1624</f>
        <v>32.200000000000003</v>
      </c>
      <c r="AT1624" s="282">
        <f>SUM(AJ1624:AO1624)</f>
        <v>47.160000000000004</v>
      </c>
      <c r="AU1624" s="382"/>
      <c r="AW1624" s="332">
        <v>7.5</v>
      </c>
      <c r="AX1624" s="332"/>
      <c r="AY1624" s="332">
        <f>0.3+0.29</f>
        <v>0.59</v>
      </c>
      <c r="AZ1624" s="332">
        <v>0.38</v>
      </c>
      <c r="BA1624" s="332"/>
      <c r="BB1624" s="332">
        <v>0.02</v>
      </c>
      <c r="BC1624" s="332"/>
      <c r="BD1624" s="332"/>
      <c r="BE1624" s="332"/>
      <c r="BF1624" s="476">
        <f t="shared" si="152"/>
        <v>7.5</v>
      </c>
      <c r="BG1624" s="476">
        <f>SUM(AW1624:BB1624)</f>
        <v>8.49</v>
      </c>
      <c r="BH1624" s="332"/>
      <c r="BI1624" s="332"/>
      <c r="BJ1624" s="334"/>
    </row>
    <row r="1625" spans="1:62" ht="15" customHeight="1" thickBot="1" x14ac:dyDescent="0.25">
      <c r="A1625" s="176">
        <v>1626</v>
      </c>
      <c r="B1625" s="230">
        <v>1</v>
      </c>
      <c r="C1625" s="278" t="s">
        <v>236</v>
      </c>
      <c r="D1625" s="278" t="s">
        <v>836</v>
      </c>
      <c r="E1625" s="278" t="s">
        <v>13</v>
      </c>
      <c r="F1625" s="278" t="s">
        <v>3999</v>
      </c>
      <c r="G1625" s="278"/>
      <c r="H1625" s="278" t="s">
        <v>4000</v>
      </c>
      <c r="I1625" s="303">
        <v>2012</v>
      </c>
      <c r="J1625" s="303" t="s">
        <v>4001</v>
      </c>
      <c r="K1625" s="303" t="s">
        <v>4002</v>
      </c>
      <c r="L1625" s="303" t="s">
        <v>1110</v>
      </c>
      <c r="M1625" s="556" t="s">
        <v>4408</v>
      </c>
      <c r="N1625" s="283" t="s">
        <v>122</v>
      </c>
      <c r="O1625" s="283" t="s">
        <v>292</v>
      </c>
      <c r="P1625" s="283" t="s">
        <v>292</v>
      </c>
      <c r="Q1625" s="283" t="s">
        <v>122</v>
      </c>
      <c r="R1625" s="283" t="s">
        <v>122</v>
      </c>
      <c r="S1625" s="283" t="s">
        <v>122</v>
      </c>
      <c r="T1625" s="283" t="s">
        <v>292</v>
      </c>
      <c r="U1625" s="283" t="s">
        <v>292</v>
      </c>
      <c r="V1625" s="283" t="s">
        <v>292</v>
      </c>
      <c r="W1625" s="283" t="s">
        <v>292</v>
      </c>
      <c r="X1625" s="283" t="s">
        <v>292</v>
      </c>
      <c r="Y1625" s="283" t="s">
        <v>292</v>
      </c>
      <c r="Z1625" s="281"/>
      <c r="AA1625" s="281" t="s">
        <v>3906</v>
      </c>
      <c r="AB1625" s="281"/>
      <c r="AC1625" s="281"/>
      <c r="AD1625" s="288" t="s">
        <v>4003</v>
      </c>
      <c r="AE1625" s="288"/>
      <c r="AF1625" s="162" t="str">
        <f t="shared" si="146"/>
        <v/>
      </c>
      <c r="AG1625" s="162" t="str">
        <f t="shared" si="153"/>
        <v/>
      </c>
      <c r="AH1625" s="164">
        <f t="shared" si="150"/>
        <v>0.13780000000000001</v>
      </c>
      <c r="AI1625" s="164">
        <f t="shared" si="151"/>
        <v>0.22739999999999999</v>
      </c>
      <c r="AJ1625" s="387"/>
      <c r="AK1625" s="382"/>
      <c r="AL1625" s="382"/>
      <c r="AM1625" s="382"/>
      <c r="AN1625" s="382"/>
      <c r="AO1625" s="382"/>
      <c r="AP1625" s="382"/>
      <c r="AQ1625" s="382"/>
      <c r="AR1625" s="382"/>
      <c r="AS1625" s="287"/>
      <c r="AT1625" s="286"/>
      <c r="AU1625" s="382"/>
      <c r="AW1625" s="332">
        <f>137.8/1000</f>
        <v>0.13780000000000001</v>
      </c>
      <c r="AX1625" s="332"/>
      <c r="AY1625" s="332">
        <f>89.6/1000</f>
        <v>8.9599999999999999E-2</v>
      </c>
      <c r="AZ1625" s="332"/>
      <c r="BA1625" s="332">
        <f>(14.1+25.8+691.7+84.5+26.6+53.5)/1000</f>
        <v>0.8962</v>
      </c>
      <c r="BB1625" s="332"/>
      <c r="BC1625" s="332"/>
      <c r="BD1625" s="332"/>
      <c r="BE1625" s="332"/>
      <c r="BF1625" s="476">
        <f t="shared" si="152"/>
        <v>0.13780000000000001</v>
      </c>
      <c r="BG1625" s="476">
        <f>SUM(AW1625:BA1625)</f>
        <v>1.1235999999999999</v>
      </c>
      <c r="BH1625" s="332"/>
      <c r="BI1625" s="332"/>
      <c r="BJ1625" s="334"/>
    </row>
    <row r="1626" spans="1:62" ht="15" customHeight="1" thickBot="1" x14ac:dyDescent="0.25">
      <c r="A1626" s="176">
        <v>1627</v>
      </c>
      <c r="B1626" s="230">
        <v>1</v>
      </c>
      <c r="C1626" s="278" t="s">
        <v>3450</v>
      </c>
      <c r="D1626" s="278" t="s">
        <v>836</v>
      </c>
      <c r="E1626" s="278" t="s">
        <v>13</v>
      </c>
      <c r="F1626" s="278" t="s">
        <v>4004</v>
      </c>
      <c r="G1626" s="278"/>
      <c r="H1626" s="278" t="s">
        <v>4000</v>
      </c>
      <c r="I1626" s="303">
        <v>2012</v>
      </c>
      <c r="J1626" s="303" t="s">
        <v>4001</v>
      </c>
      <c r="K1626" s="303" t="s">
        <v>4002</v>
      </c>
      <c r="L1626" s="303" t="s">
        <v>1110</v>
      </c>
      <c r="M1626" s="556" t="s">
        <v>4408</v>
      </c>
      <c r="N1626" s="283" t="s">
        <v>122</v>
      </c>
      <c r="O1626" s="283" t="s">
        <v>292</v>
      </c>
      <c r="P1626" s="283" t="s">
        <v>122</v>
      </c>
      <c r="Q1626" s="283" t="s">
        <v>292</v>
      </c>
      <c r="R1626" s="283" t="s">
        <v>292</v>
      </c>
      <c r="S1626" s="283" t="s">
        <v>122</v>
      </c>
      <c r="T1626" s="283" t="s">
        <v>292</v>
      </c>
      <c r="U1626" s="283" t="s">
        <v>292</v>
      </c>
      <c r="V1626" s="283" t="s">
        <v>292</v>
      </c>
      <c r="W1626" s="283" t="s">
        <v>292</v>
      </c>
      <c r="X1626" s="283" t="s">
        <v>292</v>
      </c>
      <c r="Y1626" s="283" t="s">
        <v>292</v>
      </c>
      <c r="Z1626" s="281"/>
      <c r="AA1626" s="281" t="s">
        <v>3906</v>
      </c>
      <c r="AB1626" s="281"/>
      <c r="AC1626" s="281"/>
      <c r="AD1626" s="288" t="s">
        <v>4003</v>
      </c>
      <c r="AE1626" s="288"/>
      <c r="AF1626" s="162" t="str">
        <f t="shared" si="146"/>
        <v/>
      </c>
      <c r="AG1626" s="162" t="str">
        <f t="shared" si="153"/>
        <v/>
      </c>
      <c r="AH1626" s="164">
        <f t="shared" si="150"/>
        <v>0.27750000000000008</v>
      </c>
      <c r="AI1626" s="164">
        <f t="shared" si="151"/>
        <v>0.36360000000000009</v>
      </c>
      <c r="AJ1626" s="387"/>
      <c r="AK1626" s="382"/>
      <c r="AL1626" s="382"/>
      <c r="AM1626" s="382"/>
      <c r="AN1626" s="382"/>
      <c r="AO1626" s="382"/>
      <c r="AP1626" s="382"/>
      <c r="AQ1626" s="382"/>
      <c r="AR1626" s="382"/>
      <c r="AS1626" s="287"/>
      <c r="AT1626" s="286"/>
      <c r="AU1626" s="382"/>
      <c r="AV1626" s="382"/>
      <c r="AW1626" s="332">
        <f>(3.8+5+266.1+2.6)/1000</f>
        <v>0.27750000000000008</v>
      </c>
      <c r="AX1626" s="332">
        <f>86.1/1000</f>
        <v>8.6099999999999996E-2</v>
      </c>
      <c r="AY1626" s="332"/>
      <c r="AZ1626" s="332"/>
      <c r="BA1626" s="332">
        <f>(170.5+258.9+17.2+44.8+70.8)/1000</f>
        <v>0.56219999999999992</v>
      </c>
      <c r="BB1626" s="332"/>
      <c r="BC1626" s="332"/>
      <c r="BD1626" s="332"/>
      <c r="BE1626" s="332"/>
      <c r="BF1626" s="476">
        <f t="shared" si="152"/>
        <v>0.27750000000000008</v>
      </c>
      <c r="BG1626" s="476">
        <f>SUM(AW1626:BA1626)</f>
        <v>0.92579999999999996</v>
      </c>
      <c r="BH1626" s="332"/>
      <c r="BI1626" s="332"/>
      <c r="BJ1626" s="334"/>
    </row>
    <row r="1627" spans="1:62" ht="15" customHeight="1" thickBot="1" x14ac:dyDescent="0.25">
      <c r="A1627" s="176">
        <v>1628</v>
      </c>
      <c r="B1627" s="230">
        <v>1</v>
      </c>
      <c r="C1627" s="278" t="s">
        <v>3450</v>
      </c>
      <c r="D1627" s="278" t="s">
        <v>836</v>
      </c>
      <c r="E1627" s="278" t="s">
        <v>13</v>
      </c>
      <c r="F1627" s="278" t="s">
        <v>4005</v>
      </c>
      <c r="G1627" s="278"/>
      <c r="H1627" s="278" t="s">
        <v>4000</v>
      </c>
      <c r="I1627" s="303">
        <v>2012</v>
      </c>
      <c r="J1627" s="303" t="s">
        <v>4001</v>
      </c>
      <c r="K1627" s="303" t="s">
        <v>4002</v>
      </c>
      <c r="L1627" s="303" t="s">
        <v>1110</v>
      </c>
      <c r="M1627" s="556" t="s">
        <v>4408</v>
      </c>
      <c r="N1627" s="283" t="s">
        <v>122</v>
      </c>
      <c r="O1627" s="283" t="s">
        <v>292</v>
      </c>
      <c r="P1627" s="283" t="s">
        <v>292</v>
      </c>
      <c r="Q1627" s="283" t="s">
        <v>292</v>
      </c>
      <c r="R1627" s="283" t="s">
        <v>292</v>
      </c>
      <c r="S1627" s="283" t="s">
        <v>122</v>
      </c>
      <c r="T1627" s="283" t="s">
        <v>292</v>
      </c>
      <c r="U1627" s="283" t="s">
        <v>292</v>
      </c>
      <c r="V1627" s="283" t="s">
        <v>292</v>
      </c>
      <c r="W1627" s="283" t="s">
        <v>292</v>
      </c>
      <c r="X1627" s="283" t="s">
        <v>292</v>
      </c>
      <c r="Y1627" s="283" t="s">
        <v>292</v>
      </c>
      <c r="Z1627" s="281"/>
      <c r="AA1627" s="281" t="s">
        <v>3906</v>
      </c>
      <c r="AB1627" s="281"/>
      <c r="AC1627" s="281"/>
      <c r="AD1627" s="288" t="s">
        <v>4003</v>
      </c>
      <c r="AE1627" s="288"/>
      <c r="AF1627" s="162" t="str">
        <f t="shared" si="146"/>
        <v/>
      </c>
      <c r="AG1627" s="162" t="str">
        <f t="shared" si="153"/>
        <v/>
      </c>
      <c r="AH1627" s="164">
        <f t="shared" si="150"/>
        <v>0.36499999999999999</v>
      </c>
      <c r="AI1627" s="164" t="str">
        <f t="shared" si="151"/>
        <v/>
      </c>
      <c r="AJ1627" s="387"/>
      <c r="AK1627" s="382"/>
      <c r="AL1627" s="382"/>
      <c r="AM1627" s="382"/>
      <c r="AN1627" s="382"/>
      <c r="AO1627" s="382"/>
      <c r="AP1627" s="382"/>
      <c r="AQ1627" s="382"/>
      <c r="AR1627" s="382"/>
      <c r="AS1627" s="287"/>
      <c r="AT1627" s="286"/>
      <c r="AU1627" s="382"/>
      <c r="AV1627" s="382"/>
      <c r="AW1627" s="332">
        <f>(75+290)/1000</f>
        <v>0.36499999999999999</v>
      </c>
      <c r="AX1627" s="332"/>
      <c r="AY1627" s="332"/>
      <c r="AZ1627" s="332"/>
      <c r="BA1627" s="332">
        <f>(98+230)/1000</f>
        <v>0.32800000000000001</v>
      </c>
      <c r="BB1627" s="332"/>
      <c r="BC1627" s="332"/>
      <c r="BD1627" s="332"/>
      <c r="BE1627" s="332"/>
      <c r="BF1627" s="476">
        <f t="shared" si="152"/>
        <v>0.36499999999999999</v>
      </c>
      <c r="BG1627" s="476">
        <f>SUM(AW1627:BA1627)</f>
        <v>0.69300000000000006</v>
      </c>
      <c r="BH1627" s="332"/>
      <c r="BI1627" s="332"/>
      <c r="BJ1627" s="334"/>
    </row>
    <row r="1628" spans="1:62" ht="15" customHeight="1" thickBot="1" x14ac:dyDescent="0.25">
      <c r="A1628" s="176">
        <v>1629</v>
      </c>
      <c r="B1628" s="230">
        <v>1</v>
      </c>
      <c r="C1628" s="278" t="s">
        <v>3450</v>
      </c>
      <c r="D1628" s="278" t="s">
        <v>836</v>
      </c>
      <c r="E1628" s="278" t="s">
        <v>13</v>
      </c>
      <c r="F1628" s="278" t="s">
        <v>4006</v>
      </c>
      <c r="G1628" s="278"/>
      <c r="H1628" s="278" t="s">
        <v>4000</v>
      </c>
      <c r="I1628" s="303">
        <v>2012</v>
      </c>
      <c r="J1628" s="303" t="s">
        <v>4001</v>
      </c>
      <c r="K1628" s="303" t="s">
        <v>4002</v>
      </c>
      <c r="L1628" s="303" t="s">
        <v>1110</v>
      </c>
      <c r="M1628" s="556" t="s">
        <v>4408</v>
      </c>
      <c r="N1628" s="283" t="s">
        <v>122</v>
      </c>
      <c r="O1628" s="283" t="s">
        <v>292</v>
      </c>
      <c r="P1628" s="283" t="s">
        <v>292</v>
      </c>
      <c r="Q1628" s="283" t="s">
        <v>122</v>
      </c>
      <c r="R1628" s="283" t="s">
        <v>122</v>
      </c>
      <c r="S1628" s="283" t="s">
        <v>122</v>
      </c>
      <c r="T1628" s="283" t="s">
        <v>292</v>
      </c>
      <c r="U1628" s="283" t="s">
        <v>292</v>
      </c>
      <c r="V1628" s="283" t="s">
        <v>292</v>
      </c>
      <c r="W1628" s="283" t="s">
        <v>292</v>
      </c>
      <c r="X1628" s="283" t="s">
        <v>292</v>
      </c>
      <c r="Y1628" s="283" t="s">
        <v>292</v>
      </c>
      <c r="Z1628" s="281"/>
      <c r="AA1628" s="281" t="s">
        <v>3906</v>
      </c>
      <c r="AB1628" s="281"/>
      <c r="AC1628" s="281"/>
      <c r="AD1628" s="288" t="s">
        <v>4003</v>
      </c>
      <c r="AE1628" s="288"/>
      <c r="AF1628" s="162" t="str">
        <f t="shared" si="146"/>
        <v/>
      </c>
      <c r="AG1628" s="162" t="str">
        <f t="shared" si="153"/>
        <v/>
      </c>
      <c r="AH1628" s="164">
        <f t="shared" si="150"/>
        <v>0.19159999999999999</v>
      </c>
      <c r="AI1628" s="164">
        <f t="shared" si="151"/>
        <v>0.30159999999999998</v>
      </c>
      <c r="AJ1628" s="387"/>
      <c r="AK1628" s="382"/>
      <c r="AL1628" s="382"/>
      <c r="AM1628" s="382"/>
      <c r="AN1628" s="382"/>
      <c r="AO1628" s="382"/>
      <c r="AP1628" s="382"/>
      <c r="AQ1628" s="382"/>
      <c r="AR1628" s="382"/>
      <c r="AS1628" s="287"/>
      <c r="AT1628" s="286"/>
      <c r="AU1628" s="382"/>
      <c r="AV1628" s="382"/>
      <c r="AW1628" s="332">
        <f>(4.4+161+0.2+22.7+3.3)/1000</f>
        <v>0.19159999999999999</v>
      </c>
      <c r="AX1628" s="332"/>
      <c r="AY1628" s="332">
        <f>110/1000</f>
        <v>0.11</v>
      </c>
      <c r="AZ1628" s="332"/>
      <c r="BA1628" s="332">
        <f>(10.6+4.3+36+13.2+287)/1000</f>
        <v>0.35110000000000002</v>
      </c>
      <c r="BB1628" s="332"/>
      <c r="BC1628" s="332"/>
      <c r="BD1628" s="332"/>
      <c r="BE1628" s="332"/>
      <c r="BF1628" s="476">
        <f t="shared" si="152"/>
        <v>0.19159999999999999</v>
      </c>
      <c r="BG1628" s="476">
        <f>SUM(AW1628:BA1628)</f>
        <v>0.65270000000000006</v>
      </c>
      <c r="BH1628" s="332"/>
      <c r="BI1628" s="332"/>
      <c r="BJ1628" s="334"/>
    </row>
    <row r="1629" spans="1:62" ht="15" customHeight="1" thickBot="1" x14ac:dyDescent="0.25">
      <c r="A1629" s="176">
        <v>1630</v>
      </c>
      <c r="B1629" s="230">
        <v>1</v>
      </c>
      <c r="C1629" s="278" t="s">
        <v>24</v>
      </c>
      <c r="D1629" s="278" t="s">
        <v>283</v>
      </c>
      <c r="E1629" s="278" t="s">
        <v>13</v>
      </c>
      <c r="F1629" s="278" t="s">
        <v>4007</v>
      </c>
      <c r="G1629" s="278"/>
      <c r="H1629" s="278" t="s">
        <v>80</v>
      </c>
      <c r="I1629" s="303">
        <v>2011</v>
      </c>
      <c r="J1629" s="189" t="s">
        <v>4008</v>
      </c>
      <c r="K1629" s="303" t="s">
        <v>4009</v>
      </c>
      <c r="L1629" s="303" t="s">
        <v>1110</v>
      </c>
      <c r="M1629" s="556" t="s">
        <v>4409</v>
      </c>
      <c r="N1629" s="283" t="s">
        <v>122</v>
      </c>
      <c r="O1629" s="283" t="s">
        <v>292</v>
      </c>
      <c r="P1629" s="283" t="s">
        <v>292</v>
      </c>
      <c r="Q1629" s="283" t="s">
        <v>122</v>
      </c>
      <c r="R1629" s="283" t="s">
        <v>292</v>
      </c>
      <c r="S1629" s="283" t="s">
        <v>292</v>
      </c>
      <c r="T1629" s="283" t="s">
        <v>292</v>
      </c>
      <c r="U1629" s="283" t="s">
        <v>292</v>
      </c>
      <c r="V1629" s="283" t="s">
        <v>292</v>
      </c>
      <c r="W1629" s="283" t="s">
        <v>292</v>
      </c>
      <c r="X1629" s="283" t="s">
        <v>292</v>
      </c>
      <c r="Y1629" s="283" t="s">
        <v>122</v>
      </c>
      <c r="Z1629" s="281"/>
      <c r="AA1629" s="281" t="s">
        <v>1439</v>
      </c>
      <c r="AB1629" s="281"/>
      <c r="AC1629" s="281"/>
      <c r="AD1629" s="288" t="s">
        <v>581</v>
      </c>
      <c r="AE1629" s="288" t="s">
        <v>3917</v>
      </c>
      <c r="AF1629" s="162" t="str">
        <f t="shared" si="146"/>
        <v/>
      </c>
      <c r="AG1629" s="162" t="str">
        <f t="shared" si="153"/>
        <v/>
      </c>
      <c r="AH1629" s="164">
        <f t="shared" si="150"/>
        <v>2.6970000000000001</v>
      </c>
      <c r="AI1629" s="164">
        <f t="shared" si="151"/>
        <v>3</v>
      </c>
      <c r="AJ1629" s="387"/>
      <c r="AK1629" s="382"/>
      <c r="AL1629" s="382"/>
      <c r="AM1629" s="382"/>
      <c r="AN1629" s="382"/>
      <c r="AO1629" s="382"/>
      <c r="AP1629" s="382"/>
      <c r="AQ1629" s="382"/>
      <c r="AR1629" s="382"/>
      <c r="AS1629" s="287"/>
      <c r="AT1629" s="286"/>
      <c r="AU1629" s="382"/>
      <c r="AV1629" s="382"/>
      <c r="AW1629" s="332">
        <f>(2.31*0.899)/0.77</f>
        <v>2.6970000000000001</v>
      </c>
      <c r="AX1629" s="332"/>
      <c r="AY1629" s="332">
        <f>(2.31*0.101)/0.77</f>
        <v>0.30299999999999999</v>
      </c>
      <c r="AZ1629" s="332"/>
      <c r="BA1629" s="332"/>
      <c r="BB1629" s="332"/>
      <c r="BC1629" s="332"/>
      <c r="BD1629" s="332"/>
      <c r="BE1629" s="332"/>
      <c r="BF1629" s="476">
        <f t="shared" si="152"/>
        <v>2.6970000000000001</v>
      </c>
      <c r="BG1629" s="476">
        <f>SUM(AW1629:AY1629)</f>
        <v>3</v>
      </c>
      <c r="BH1629" s="332"/>
      <c r="BI1629" s="332"/>
      <c r="BJ1629" s="334"/>
    </row>
    <row r="1630" spans="1:62" ht="15" customHeight="1" thickBot="1" x14ac:dyDescent="0.25">
      <c r="A1630" s="176">
        <v>1631</v>
      </c>
      <c r="B1630" s="230">
        <v>1</v>
      </c>
      <c r="C1630" s="278" t="s">
        <v>24</v>
      </c>
      <c r="D1630" s="278" t="s">
        <v>4010</v>
      </c>
      <c r="E1630" s="301" t="s">
        <v>4011</v>
      </c>
      <c r="F1630" s="279" t="s">
        <v>4012</v>
      </c>
      <c r="G1630" s="278"/>
      <c r="H1630" s="278" t="s">
        <v>55</v>
      </c>
      <c r="I1630" s="303">
        <v>2011</v>
      </c>
      <c r="J1630" s="303" t="s">
        <v>4013</v>
      </c>
      <c r="K1630" s="304" t="s">
        <v>4014</v>
      </c>
      <c r="L1630" s="304" t="s">
        <v>3916</v>
      </c>
      <c r="M1630" s="556" t="s">
        <v>4410</v>
      </c>
      <c r="N1630" s="283" t="s">
        <v>122</v>
      </c>
      <c r="O1630" s="280" t="s">
        <v>292</v>
      </c>
      <c r="P1630" s="280" t="s">
        <v>122</v>
      </c>
      <c r="Q1630" s="283" t="s">
        <v>122</v>
      </c>
      <c r="R1630" s="280" t="s">
        <v>122</v>
      </c>
      <c r="S1630" s="283" t="s">
        <v>122</v>
      </c>
      <c r="T1630" s="280" t="s">
        <v>292</v>
      </c>
      <c r="U1630" s="280" t="s">
        <v>292</v>
      </c>
      <c r="V1630" s="280" t="s">
        <v>292</v>
      </c>
      <c r="W1630" s="280" t="s">
        <v>292</v>
      </c>
      <c r="X1630" s="280" t="s">
        <v>292</v>
      </c>
      <c r="Y1630" s="280" t="s">
        <v>122</v>
      </c>
      <c r="Z1630" s="281"/>
      <c r="AA1630" s="284" t="s">
        <v>3906</v>
      </c>
      <c r="AB1630" s="281"/>
      <c r="AC1630" s="281"/>
      <c r="AD1630" s="288" t="s">
        <v>581</v>
      </c>
      <c r="AE1630" s="288" t="s">
        <v>4015</v>
      </c>
      <c r="AF1630" s="162">
        <f t="shared" si="146"/>
        <v>25.555555555555554</v>
      </c>
      <c r="AG1630" s="162">
        <f t="shared" si="153"/>
        <v>31.644444444444442</v>
      </c>
      <c r="AH1630" s="164">
        <f t="shared" si="150"/>
        <v>3.5999999999999996</v>
      </c>
      <c r="AI1630" s="164">
        <f t="shared" si="151"/>
        <v>4.3066666666666666</v>
      </c>
      <c r="AJ1630" s="387">
        <f>(1.43+10.07)/0.45</f>
        <v>25.555555555555554</v>
      </c>
      <c r="AK1630" s="382"/>
      <c r="AL1630" s="382">
        <f>2.74/0.45</f>
        <v>6.0888888888888895</v>
      </c>
      <c r="AM1630" s="382"/>
      <c r="AN1630" s="382">
        <f>1.06/0.45</f>
        <v>2.3555555555555556</v>
      </c>
      <c r="AO1630" s="382"/>
      <c r="AP1630" s="382"/>
      <c r="AQ1630" s="382"/>
      <c r="AR1630" s="382"/>
      <c r="AS1630" s="287">
        <f>AJ1630</f>
        <v>25.555555555555554</v>
      </c>
      <c r="AT1630" s="282">
        <f>SUM(AJ1630:AO1630)</f>
        <v>34</v>
      </c>
      <c r="AU1630" s="382"/>
      <c r="AV1630" s="424"/>
      <c r="AW1630" s="332">
        <f>(0.18+1.44)/0.45</f>
        <v>3.5999999999999996</v>
      </c>
      <c r="AX1630" s="332"/>
      <c r="AY1630" s="332">
        <f>0.318/0.45</f>
        <v>0.70666666666666667</v>
      </c>
      <c r="AZ1630" s="332"/>
      <c r="BA1630" s="332">
        <f>0.132/0.45</f>
        <v>0.29333333333333333</v>
      </c>
      <c r="BB1630" s="332"/>
      <c r="BC1630" s="332"/>
      <c r="BD1630" s="332"/>
      <c r="BE1630" s="332"/>
      <c r="BF1630" s="476">
        <f t="shared" si="152"/>
        <v>3.5999999999999996</v>
      </c>
      <c r="BG1630" s="476">
        <f>SUM(AW1630:BE1630)</f>
        <v>4.5999999999999996</v>
      </c>
      <c r="BH1630" s="332"/>
      <c r="BI1630" s="332"/>
      <c r="BJ1630" s="511"/>
    </row>
    <row r="1631" spans="1:62" ht="15" customHeight="1" thickBot="1" x14ac:dyDescent="0.25">
      <c r="A1631" s="176">
        <v>1632</v>
      </c>
      <c r="B1631" s="230">
        <v>1</v>
      </c>
      <c r="C1631" s="278" t="s">
        <v>24</v>
      </c>
      <c r="D1631" s="278" t="s">
        <v>2224</v>
      </c>
      <c r="E1631" s="301" t="s">
        <v>4011</v>
      </c>
      <c r="F1631" s="279" t="s">
        <v>4016</v>
      </c>
      <c r="G1631" s="278"/>
      <c r="H1631" s="278" t="s">
        <v>55</v>
      </c>
      <c r="I1631" s="303">
        <v>2011</v>
      </c>
      <c r="J1631" s="303" t="s">
        <v>4013</v>
      </c>
      <c r="K1631" s="304" t="s">
        <v>4014</v>
      </c>
      <c r="L1631" s="304" t="s">
        <v>3916</v>
      </c>
      <c r="M1631" s="556" t="s">
        <v>4410</v>
      </c>
      <c r="N1631" s="280" t="s">
        <v>122</v>
      </c>
      <c r="O1631" s="280" t="s">
        <v>292</v>
      </c>
      <c r="P1631" s="280" t="s">
        <v>122</v>
      </c>
      <c r="Q1631" s="280" t="s">
        <v>122</v>
      </c>
      <c r="R1631" s="280" t="s">
        <v>122</v>
      </c>
      <c r="S1631" s="280" t="s">
        <v>122</v>
      </c>
      <c r="T1631" s="280" t="s">
        <v>292</v>
      </c>
      <c r="U1631" s="280" t="s">
        <v>292</v>
      </c>
      <c r="V1631" s="280" t="s">
        <v>292</v>
      </c>
      <c r="W1631" s="280" t="s">
        <v>292</v>
      </c>
      <c r="X1631" s="280" t="s">
        <v>292</v>
      </c>
      <c r="Y1631" s="280" t="s">
        <v>122</v>
      </c>
      <c r="Z1631" s="281"/>
      <c r="AA1631" s="281" t="s">
        <v>3906</v>
      </c>
      <c r="AB1631" s="281"/>
      <c r="AC1631" s="281"/>
      <c r="AD1631" s="289" t="s">
        <v>4017</v>
      </c>
      <c r="AE1631" s="288" t="s">
        <v>4018</v>
      </c>
      <c r="AF1631" s="162">
        <f t="shared" si="146"/>
        <v>55.220125786163514</v>
      </c>
      <c r="AG1631" s="162">
        <f t="shared" si="153"/>
        <v>65.132075471698101</v>
      </c>
      <c r="AH1631" s="164">
        <f t="shared" si="150"/>
        <v>4.5408805031446535</v>
      </c>
      <c r="AI1631" s="164">
        <f t="shared" si="151"/>
        <v>5.3723270440251572</v>
      </c>
      <c r="AJ1631" s="387">
        <f>43.9/0.795</f>
        <v>55.220125786163514</v>
      </c>
      <c r="AK1631" s="382"/>
      <c r="AL1631" s="382">
        <f>7.88/0.795</f>
        <v>9.9119496855345908</v>
      </c>
      <c r="AM1631" s="382"/>
      <c r="AN1631" s="382">
        <f>1.05/0.795</f>
        <v>1.320754716981132</v>
      </c>
      <c r="AO1631" s="382"/>
      <c r="AP1631" s="382"/>
      <c r="AQ1631" s="382"/>
      <c r="AR1631" s="382"/>
      <c r="AS1631" s="287">
        <f>AJ1631</f>
        <v>55.220125786163514</v>
      </c>
      <c r="AT1631" s="282">
        <f>SUM(AJ1631:AO1631)</f>
        <v>66.452830188679229</v>
      </c>
      <c r="AU1631" s="382"/>
      <c r="AV1631" s="424"/>
      <c r="AW1631" s="332">
        <f>3.61/0.795</f>
        <v>4.5408805031446535</v>
      </c>
      <c r="AX1631" s="332"/>
      <c r="AY1631" s="332">
        <f>0.661/0.795</f>
        <v>0.83144654088050318</v>
      </c>
      <c r="AZ1631" s="332"/>
      <c r="BA1631" s="332">
        <f>0.105/0.795</f>
        <v>0.13207547169811321</v>
      </c>
      <c r="BB1631" s="332"/>
      <c r="BC1631" s="332"/>
      <c r="BD1631" s="332"/>
      <c r="BE1631" s="332"/>
      <c r="BF1631" s="476">
        <f t="shared" si="152"/>
        <v>4.5408805031446535</v>
      </c>
      <c r="BG1631" s="476">
        <f>SUM(AW1631:BE1631)</f>
        <v>5.5044025157232701</v>
      </c>
      <c r="BH1631" s="332"/>
      <c r="BI1631" s="332"/>
      <c r="BJ1631" s="334"/>
    </row>
    <row r="1632" spans="1:62" ht="15" customHeight="1" thickBot="1" x14ac:dyDescent="0.25">
      <c r="A1632" s="176">
        <v>1633</v>
      </c>
      <c r="B1632" s="230">
        <v>1</v>
      </c>
      <c r="C1632" s="279" t="s">
        <v>24</v>
      </c>
      <c r="D1632" s="278" t="s">
        <v>4010</v>
      </c>
      <c r="E1632" s="279" t="s">
        <v>13</v>
      </c>
      <c r="F1632" s="279" t="s">
        <v>4019</v>
      </c>
      <c r="G1632" s="278"/>
      <c r="H1632" s="278" t="s">
        <v>55</v>
      </c>
      <c r="I1632" s="303">
        <v>2011</v>
      </c>
      <c r="J1632" s="303" t="s">
        <v>4013</v>
      </c>
      <c r="K1632" s="304" t="s">
        <v>4014</v>
      </c>
      <c r="L1632" s="304" t="s">
        <v>3916</v>
      </c>
      <c r="M1632" s="556" t="s">
        <v>4410</v>
      </c>
      <c r="N1632" s="280" t="s">
        <v>122</v>
      </c>
      <c r="O1632" s="280" t="s">
        <v>292</v>
      </c>
      <c r="P1632" s="280" t="s">
        <v>122</v>
      </c>
      <c r="Q1632" s="280" t="s">
        <v>122</v>
      </c>
      <c r="R1632" s="280" t="s">
        <v>122</v>
      </c>
      <c r="S1632" s="280" t="s">
        <v>122</v>
      </c>
      <c r="T1632" s="280" t="s">
        <v>292</v>
      </c>
      <c r="U1632" s="280" t="s">
        <v>292</v>
      </c>
      <c r="V1632" s="280" t="s">
        <v>292</v>
      </c>
      <c r="W1632" s="280" t="s">
        <v>292</v>
      </c>
      <c r="X1632" s="280" t="s">
        <v>292</v>
      </c>
      <c r="Y1632" s="280" t="s">
        <v>122</v>
      </c>
      <c r="Z1632" s="281"/>
      <c r="AA1632" s="284" t="s">
        <v>1439</v>
      </c>
      <c r="AB1632" s="281"/>
      <c r="AC1632" s="281"/>
      <c r="AD1632" s="289" t="s">
        <v>4020</v>
      </c>
      <c r="AE1632" s="288" t="s">
        <v>4021</v>
      </c>
      <c r="AF1632" s="162">
        <f t="shared" si="146"/>
        <v>44.246153846153845</v>
      </c>
      <c r="AG1632" s="162">
        <f t="shared" si="153"/>
        <v>49.98646153846154</v>
      </c>
      <c r="AH1632" s="164">
        <f t="shared" si="150"/>
        <v>4.3538461538461535</v>
      </c>
      <c r="AI1632" s="164">
        <f t="shared" si="151"/>
        <v>4.8615384615384611</v>
      </c>
      <c r="AJ1632" s="387">
        <f>14.38/0.325</f>
        <v>44.246153846153845</v>
      </c>
      <c r="AK1632" s="382"/>
      <c r="AL1632" s="382">
        <f>1.8656/0.325</f>
        <v>5.7403076923076917</v>
      </c>
      <c r="AM1632" s="382"/>
      <c r="AN1632" s="382"/>
      <c r="AO1632" s="382"/>
      <c r="AP1632" s="382"/>
      <c r="AQ1632" s="382"/>
      <c r="AR1632" s="382"/>
      <c r="AS1632" s="287">
        <f>AJ1632</f>
        <v>44.246153846153845</v>
      </c>
      <c r="AT1632" s="282">
        <f>SUM(AJ1632:AO1632)</f>
        <v>49.98646153846154</v>
      </c>
      <c r="AU1632" s="382"/>
      <c r="AV1632" s="382" t="s">
        <v>4022</v>
      </c>
      <c r="AW1632" s="332">
        <f>(1.58-0.22*0.75)/0.325</f>
        <v>4.3538461538461535</v>
      </c>
      <c r="AX1632" s="332"/>
      <c r="AY1632" s="332">
        <f>0.22*0.75/0.325</f>
        <v>0.50769230769230766</v>
      </c>
      <c r="AZ1632" s="332"/>
      <c r="BA1632" s="332"/>
      <c r="BB1632" s="332"/>
      <c r="BC1632" s="332"/>
      <c r="BD1632" s="332"/>
      <c r="BE1632" s="332"/>
      <c r="BF1632" s="476">
        <f t="shared" si="152"/>
        <v>4.3538461538461535</v>
      </c>
      <c r="BG1632" s="476">
        <f>SUM(AW1632:BE1632)</f>
        <v>4.8615384615384611</v>
      </c>
      <c r="BH1632" s="332"/>
      <c r="BI1632" s="332"/>
      <c r="BJ1632" s="334" t="s">
        <v>4022</v>
      </c>
    </row>
    <row r="1633" spans="1:62" ht="15" customHeight="1" thickBot="1" x14ac:dyDescent="0.25">
      <c r="A1633" s="176">
        <v>1634</v>
      </c>
      <c r="B1633" s="230">
        <v>1</v>
      </c>
      <c r="C1633" s="279" t="s">
        <v>11</v>
      </c>
      <c r="D1633" s="279" t="s">
        <v>4023</v>
      </c>
      <c r="E1633" s="279" t="s">
        <v>13</v>
      </c>
      <c r="F1633" s="279" t="s">
        <v>4024</v>
      </c>
      <c r="G1633" s="278"/>
      <c r="H1633" s="278" t="s">
        <v>55</v>
      </c>
      <c r="I1633" s="303">
        <v>2011</v>
      </c>
      <c r="J1633" s="303" t="s">
        <v>4013</v>
      </c>
      <c r="K1633" s="304" t="s">
        <v>4014</v>
      </c>
      <c r="L1633" s="304" t="s">
        <v>3916</v>
      </c>
      <c r="M1633" s="556" t="s">
        <v>4410</v>
      </c>
      <c r="N1633" s="280" t="s">
        <v>122</v>
      </c>
      <c r="O1633" s="280" t="s">
        <v>292</v>
      </c>
      <c r="P1633" s="280" t="s">
        <v>292</v>
      </c>
      <c r="Q1633" s="280" t="s">
        <v>292</v>
      </c>
      <c r="R1633" s="280" t="s">
        <v>292</v>
      </c>
      <c r="S1633" s="280" t="s">
        <v>292</v>
      </c>
      <c r="T1633" s="280" t="s">
        <v>292</v>
      </c>
      <c r="U1633" s="280" t="s">
        <v>292</v>
      </c>
      <c r="V1633" s="280" t="s">
        <v>292</v>
      </c>
      <c r="W1633" s="280" t="s">
        <v>292</v>
      </c>
      <c r="X1633" s="280" t="s">
        <v>292</v>
      </c>
      <c r="Y1633" s="280" t="s">
        <v>122</v>
      </c>
      <c r="Z1633" s="281"/>
      <c r="AA1633" s="284" t="s">
        <v>1439</v>
      </c>
      <c r="AB1633" s="281"/>
      <c r="AC1633" s="281"/>
      <c r="AD1633" s="289" t="s">
        <v>252</v>
      </c>
      <c r="AE1633" s="288"/>
      <c r="AF1633" s="162">
        <f t="shared" si="146"/>
        <v>9.56</v>
      </c>
      <c r="AG1633" s="162" t="str">
        <f t="shared" si="153"/>
        <v/>
      </c>
      <c r="AH1633" s="164">
        <f t="shared" si="150"/>
        <v>5.61</v>
      </c>
      <c r="AI1633" s="164" t="str">
        <f t="shared" si="151"/>
        <v/>
      </c>
      <c r="AJ1633" s="387">
        <v>9.56</v>
      </c>
      <c r="AK1633" s="382"/>
      <c r="AL1633" s="382"/>
      <c r="AM1633" s="382"/>
      <c r="AN1633" s="382"/>
      <c r="AO1633" s="382"/>
      <c r="AP1633" s="382"/>
      <c r="AQ1633" s="382"/>
      <c r="AR1633" s="382"/>
      <c r="AS1633" s="287">
        <f>AJ1633</f>
        <v>9.56</v>
      </c>
      <c r="AT1633" s="286"/>
      <c r="AU1633" s="382"/>
      <c r="AV1633" s="382"/>
      <c r="AW1633" s="332">
        <v>5.61</v>
      </c>
      <c r="AX1633" s="332"/>
      <c r="AY1633" s="332"/>
      <c r="AZ1633" s="332"/>
      <c r="BA1633" s="332"/>
      <c r="BB1633" s="332"/>
      <c r="BC1633" s="332"/>
      <c r="BD1633" s="332"/>
      <c r="BE1633" s="332"/>
      <c r="BF1633" s="476">
        <f t="shared" si="152"/>
        <v>5.61</v>
      </c>
      <c r="BG1633" s="476"/>
      <c r="BH1633" s="332"/>
      <c r="BI1633" s="332"/>
      <c r="BJ1633" s="334"/>
    </row>
    <row r="1634" spans="1:62" ht="15" customHeight="1" thickBot="1" x14ac:dyDescent="0.25">
      <c r="A1634" s="176">
        <v>1635</v>
      </c>
      <c r="B1634" s="230">
        <v>1</v>
      </c>
      <c r="C1634" s="279" t="s">
        <v>11</v>
      </c>
      <c r="D1634" s="279" t="s">
        <v>4025</v>
      </c>
      <c r="E1634" s="279" t="s">
        <v>13</v>
      </c>
      <c r="F1634" s="279" t="s">
        <v>4026</v>
      </c>
      <c r="G1634" s="278"/>
      <c r="H1634" s="279" t="s">
        <v>55</v>
      </c>
      <c r="I1634" s="303">
        <v>2011</v>
      </c>
      <c r="J1634" s="303" t="s">
        <v>4013</v>
      </c>
      <c r="K1634" s="304" t="s">
        <v>4014</v>
      </c>
      <c r="L1634" s="304" t="s">
        <v>3916</v>
      </c>
      <c r="M1634" s="556" t="s">
        <v>4410</v>
      </c>
      <c r="N1634" s="280" t="s">
        <v>122</v>
      </c>
      <c r="O1634" s="280" t="s">
        <v>292</v>
      </c>
      <c r="P1634" s="280" t="s">
        <v>292</v>
      </c>
      <c r="Q1634" s="280" t="s">
        <v>292</v>
      </c>
      <c r="R1634" s="280" t="s">
        <v>292</v>
      </c>
      <c r="S1634" s="280" t="s">
        <v>292</v>
      </c>
      <c r="T1634" s="280" t="s">
        <v>292</v>
      </c>
      <c r="U1634" s="280" t="s">
        <v>292</v>
      </c>
      <c r="V1634" s="280" t="s">
        <v>292</v>
      </c>
      <c r="W1634" s="280" t="s">
        <v>292</v>
      </c>
      <c r="X1634" s="280" t="s">
        <v>292</v>
      </c>
      <c r="Y1634" s="280" t="s">
        <v>122</v>
      </c>
      <c r="Z1634" s="281"/>
      <c r="AA1634" s="281" t="s">
        <v>1439</v>
      </c>
      <c r="AB1634" s="281"/>
      <c r="AC1634" s="281"/>
      <c r="AD1634" s="289" t="s">
        <v>252</v>
      </c>
      <c r="AE1634" s="288"/>
      <c r="AF1634" s="162">
        <f t="shared" si="146"/>
        <v>6.55</v>
      </c>
      <c r="AG1634" s="162" t="str">
        <f t="shared" si="153"/>
        <v/>
      </c>
      <c r="AH1634" s="164">
        <f t="shared" si="150"/>
        <v>4.0999999999999996</v>
      </c>
      <c r="AI1634" s="164" t="str">
        <f t="shared" si="151"/>
        <v/>
      </c>
      <c r="AJ1634" s="387">
        <v>6.55</v>
      </c>
      <c r="AK1634" s="382"/>
      <c r="AL1634" s="382"/>
      <c r="AM1634" s="382"/>
      <c r="AN1634" s="382"/>
      <c r="AO1634" s="382"/>
      <c r="AP1634" s="382"/>
      <c r="AQ1634" s="382"/>
      <c r="AR1634" s="382"/>
      <c r="AS1634" s="287">
        <f>AJ1634</f>
        <v>6.55</v>
      </c>
      <c r="AT1634" s="286"/>
      <c r="AU1634" s="382"/>
      <c r="AV1634" s="382"/>
      <c r="AW1634" s="332">
        <v>4.0999999999999996</v>
      </c>
      <c r="AX1634" s="332"/>
      <c r="AY1634" s="332"/>
      <c r="AZ1634" s="332"/>
      <c r="BA1634" s="332"/>
      <c r="BB1634" s="332"/>
      <c r="BC1634" s="332"/>
      <c r="BD1634" s="332"/>
      <c r="BE1634" s="332"/>
      <c r="BF1634" s="476">
        <f t="shared" si="152"/>
        <v>4.0999999999999996</v>
      </c>
      <c r="BG1634" s="476"/>
      <c r="BH1634" s="332"/>
      <c r="BI1634" s="332"/>
      <c r="BJ1634" s="334"/>
    </row>
    <row r="1635" spans="1:62" ht="15" customHeight="1" thickBot="1" x14ac:dyDescent="0.25">
      <c r="A1635" s="176">
        <v>1636</v>
      </c>
      <c r="B1635" s="230">
        <v>1</v>
      </c>
      <c r="C1635" s="278" t="s">
        <v>975</v>
      </c>
      <c r="D1635" s="278" t="s">
        <v>3059</v>
      </c>
      <c r="E1635" s="278" t="s">
        <v>778</v>
      </c>
      <c r="F1635" s="278" t="s">
        <v>4027</v>
      </c>
      <c r="G1635" s="278" t="s">
        <v>20</v>
      </c>
      <c r="H1635" s="278" t="s">
        <v>4028</v>
      </c>
      <c r="I1635" s="303">
        <v>2011</v>
      </c>
      <c r="J1635" s="189" t="s">
        <v>4029</v>
      </c>
      <c r="K1635" s="303" t="s">
        <v>4030</v>
      </c>
      <c r="L1635" s="303" t="s">
        <v>19</v>
      </c>
      <c r="M1635" s="556" t="s">
        <v>4411</v>
      </c>
      <c r="N1635" s="283" t="s">
        <v>122</v>
      </c>
      <c r="O1635" s="283" t="s">
        <v>292</v>
      </c>
      <c r="P1635" s="283" t="s">
        <v>122</v>
      </c>
      <c r="Q1635" s="283" t="s">
        <v>122</v>
      </c>
      <c r="R1635" s="283" t="s">
        <v>122</v>
      </c>
      <c r="S1635" s="283" t="s">
        <v>122</v>
      </c>
      <c r="T1635" s="283" t="s">
        <v>292</v>
      </c>
      <c r="U1635" s="283" t="s">
        <v>292</v>
      </c>
      <c r="V1635" s="283" t="s">
        <v>292</v>
      </c>
      <c r="W1635" s="283" t="s">
        <v>292</v>
      </c>
      <c r="X1635" s="283" t="s">
        <v>292</v>
      </c>
      <c r="Y1635" s="283" t="s">
        <v>292</v>
      </c>
      <c r="Z1635" s="281"/>
      <c r="AA1635" s="281" t="s">
        <v>3906</v>
      </c>
      <c r="AB1635" s="281"/>
      <c r="AC1635" s="281"/>
      <c r="AD1635" s="288" t="s">
        <v>4031</v>
      </c>
      <c r="AE1635" s="288"/>
      <c r="AF1635" s="162" t="str">
        <f t="shared" si="146"/>
        <v/>
      </c>
      <c r="AG1635" s="162" t="str">
        <f t="shared" si="153"/>
        <v/>
      </c>
      <c r="AH1635" s="164">
        <f t="shared" si="150"/>
        <v>28.697916666666664</v>
      </c>
      <c r="AI1635" s="164">
        <f t="shared" si="151"/>
        <v>35.229166666666664</v>
      </c>
      <c r="AJ1635" s="387"/>
      <c r="AK1635" s="382"/>
      <c r="AL1635" s="382"/>
      <c r="AM1635" s="382"/>
      <c r="AN1635" s="382"/>
      <c r="AO1635" s="382"/>
      <c r="AP1635" s="382"/>
      <c r="AQ1635" s="382"/>
      <c r="AR1635" s="382"/>
      <c r="AS1635" s="287"/>
      <c r="AT1635" s="286"/>
      <c r="AU1635" s="382"/>
      <c r="AV1635" s="382"/>
      <c r="AW1635" s="332">
        <f>(4.35/5.76)*38</f>
        <v>28.697916666666664</v>
      </c>
      <c r="AX1635" s="332"/>
      <c r="AY1635" s="332">
        <f>(0.99/5.76)*38</f>
        <v>6.53125</v>
      </c>
      <c r="AZ1635" s="332"/>
      <c r="BA1635" s="332">
        <f>(0.42/5.76)*38</f>
        <v>2.7708333333333335</v>
      </c>
      <c r="BB1635" s="332"/>
      <c r="BC1635" s="332"/>
      <c r="BD1635" s="332"/>
      <c r="BE1635" s="332"/>
      <c r="BF1635" s="476">
        <f t="shared" si="152"/>
        <v>28.697916666666664</v>
      </c>
      <c r="BG1635" s="476">
        <f>SUM(AW1635:BA1635)</f>
        <v>38</v>
      </c>
      <c r="BH1635" s="332"/>
      <c r="BI1635" s="332"/>
      <c r="BJ1635" s="334" t="s">
        <v>4032</v>
      </c>
    </row>
    <row r="1636" spans="1:62" ht="15" customHeight="1" thickBot="1" x14ac:dyDescent="0.25">
      <c r="A1636" s="176">
        <v>1637</v>
      </c>
      <c r="B1636" s="230">
        <v>1</v>
      </c>
      <c r="C1636" s="278" t="s">
        <v>975</v>
      </c>
      <c r="D1636" s="278" t="s">
        <v>3059</v>
      </c>
      <c r="E1636" s="278" t="s">
        <v>778</v>
      </c>
      <c r="F1636" s="278" t="s">
        <v>4033</v>
      </c>
      <c r="G1636" s="278" t="s">
        <v>20</v>
      </c>
      <c r="H1636" s="278" t="s">
        <v>4028</v>
      </c>
      <c r="I1636" s="303">
        <v>2011</v>
      </c>
      <c r="J1636" s="189" t="s">
        <v>4029</v>
      </c>
      <c r="K1636" s="303" t="s">
        <v>4030</v>
      </c>
      <c r="L1636" s="303" t="s">
        <v>19</v>
      </c>
      <c r="M1636" s="556" t="s">
        <v>4411</v>
      </c>
      <c r="N1636" s="283" t="s">
        <v>122</v>
      </c>
      <c r="O1636" s="283" t="s">
        <v>292</v>
      </c>
      <c r="P1636" s="283" t="s">
        <v>122</v>
      </c>
      <c r="Q1636" s="283" t="s">
        <v>122</v>
      </c>
      <c r="R1636" s="283" t="s">
        <v>122</v>
      </c>
      <c r="S1636" s="283" t="s">
        <v>122</v>
      </c>
      <c r="T1636" s="283" t="s">
        <v>292</v>
      </c>
      <c r="U1636" s="283" t="s">
        <v>292</v>
      </c>
      <c r="V1636" s="283" t="s">
        <v>292</v>
      </c>
      <c r="W1636" s="283" t="s">
        <v>292</v>
      </c>
      <c r="X1636" s="283" t="s">
        <v>292</v>
      </c>
      <c r="Y1636" s="283" t="s">
        <v>292</v>
      </c>
      <c r="Z1636" s="281"/>
      <c r="AA1636" s="281" t="s">
        <v>3906</v>
      </c>
      <c r="AB1636" s="281"/>
      <c r="AC1636" s="281"/>
      <c r="AD1636" s="288" t="s">
        <v>4031</v>
      </c>
      <c r="AE1636" s="288"/>
      <c r="AF1636" s="162" t="str">
        <f t="shared" si="146"/>
        <v/>
      </c>
      <c r="AG1636" s="162" t="str">
        <f t="shared" si="153"/>
        <v/>
      </c>
      <c r="AH1636" s="164">
        <f t="shared" si="150"/>
        <v>5.4166666666666669E-2</v>
      </c>
      <c r="AI1636" s="164">
        <f t="shared" si="151"/>
        <v>4.3874999999999993</v>
      </c>
      <c r="AJ1636" s="387"/>
      <c r="AK1636" s="382"/>
      <c r="AL1636" s="382"/>
      <c r="AM1636" s="382"/>
      <c r="AN1636" s="382"/>
      <c r="AO1636" s="382"/>
      <c r="AP1636" s="382"/>
      <c r="AQ1636" s="382"/>
      <c r="AR1636" s="382"/>
      <c r="AS1636" s="287"/>
      <c r="AT1636" s="282"/>
      <c r="AU1636" s="382"/>
      <c r="AW1636" s="332">
        <f>(0.04/5.76*7.8)</f>
        <v>5.4166666666666669E-2</v>
      </c>
      <c r="AX1636" s="332"/>
      <c r="AY1636" s="332">
        <f>(3.2/5.76*7.8)</f>
        <v>4.333333333333333</v>
      </c>
      <c r="AZ1636" s="332">
        <f>(0.07/5.76*7.8)</f>
        <v>9.4791666666666677E-2</v>
      </c>
      <c r="BA1636" s="332">
        <f>(2.45/5.76*7.8)</f>
        <v>3.3177083333333335</v>
      </c>
      <c r="BB1636" s="332"/>
      <c r="BC1636" s="332"/>
      <c r="BD1636" s="332"/>
      <c r="BE1636" s="332"/>
      <c r="BF1636" s="476">
        <f t="shared" si="152"/>
        <v>5.4166666666666669E-2</v>
      </c>
      <c r="BG1636" s="476">
        <f>SUM(AW1636:BA1636)</f>
        <v>7.7999999999999989</v>
      </c>
      <c r="BH1636" s="332"/>
      <c r="BI1636" s="332"/>
      <c r="BJ1636" s="334" t="s">
        <v>4034</v>
      </c>
    </row>
    <row r="1637" spans="1:62" ht="15" customHeight="1" thickBot="1" x14ac:dyDescent="0.25">
      <c r="A1637" s="176">
        <v>1638</v>
      </c>
      <c r="B1637" s="230">
        <v>1</v>
      </c>
      <c r="C1637" s="278" t="s">
        <v>3589</v>
      </c>
      <c r="D1637" s="278" t="s">
        <v>12</v>
      </c>
      <c r="E1637" s="278" t="s">
        <v>13</v>
      </c>
      <c r="F1637" s="278" t="s">
        <v>4035</v>
      </c>
      <c r="G1637" s="278" t="s">
        <v>20</v>
      </c>
      <c r="H1637" s="278" t="s">
        <v>4036</v>
      </c>
      <c r="I1637" s="303">
        <v>2012</v>
      </c>
      <c r="J1637" s="189" t="s">
        <v>4037</v>
      </c>
      <c r="K1637" s="303" t="s">
        <v>4038</v>
      </c>
      <c r="L1637" s="303" t="s">
        <v>19</v>
      </c>
      <c r="M1637" s="556" t="s">
        <v>4412</v>
      </c>
      <c r="N1637" s="283" t="s">
        <v>122</v>
      </c>
      <c r="O1637" s="283" t="s">
        <v>292</v>
      </c>
      <c r="P1637" s="283" t="s">
        <v>292</v>
      </c>
      <c r="Q1637" s="283" t="s">
        <v>292</v>
      </c>
      <c r="R1637" s="283" t="s">
        <v>292</v>
      </c>
      <c r="S1637" s="283" t="s">
        <v>292</v>
      </c>
      <c r="T1637" s="283" t="s">
        <v>292</v>
      </c>
      <c r="U1637" s="283" t="s">
        <v>292</v>
      </c>
      <c r="V1637" s="283" t="s">
        <v>292</v>
      </c>
      <c r="W1637" s="283" t="s">
        <v>292</v>
      </c>
      <c r="X1637" s="283" t="s">
        <v>292</v>
      </c>
      <c r="Y1637" s="283" t="s">
        <v>292</v>
      </c>
      <c r="Z1637" s="281"/>
      <c r="AA1637" s="281" t="s">
        <v>303</v>
      </c>
      <c r="AB1637" s="281"/>
      <c r="AC1637" s="281"/>
      <c r="AD1637" s="288" t="s">
        <v>3636</v>
      </c>
      <c r="AE1637" s="288"/>
      <c r="AF1637" s="162" t="str">
        <f t="shared" si="146"/>
        <v/>
      </c>
      <c r="AG1637" s="162" t="str">
        <f t="shared" si="153"/>
        <v/>
      </c>
      <c r="AH1637" s="164">
        <f t="shared" si="150"/>
        <v>0.79</v>
      </c>
      <c r="AI1637" s="164" t="str">
        <f t="shared" si="151"/>
        <v/>
      </c>
      <c r="AJ1637" s="387"/>
      <c r="AK1637" s="382"/>
      <c r="AL1637" s="382"/>
      <c r="AM1637" s="382"/>
      <c r="AN1637" s="382"/>
      <c r="AO1637" s="382"/>
      <c r="AP1637" s="382"/>
      <c r="AQ1637" s="382"/>
      <c r="AR1637" s="382"/>
      <c r="AS1637" s="287"/>
      <c r="AT1637" s="282"/>
      <c r="AU1637" s="382"/>
      <c r="AW1637" s="332">
        <v>0.79</v>
      </c>
      <c r="AX1637" s="332"/>
      <c r="AY1637" s="332"/>
      <c r="AZ1637" s="332"/>
      <c r="BA1637" s="332"/>
      <c r="BB1637" s="332"/>
      <c r="BC1637" s="332"/>
      <c r="BD1637" s="332"/>
      <c r="BE1637" s="332"/>
      <c r="BF1637" s="476">
        <f t="shared" si="152"/>
        <v>0.79</v>
      </c>
      <c r="BG1637" s="476"/>
      <c r="BH1637" s="332"/>
      <c r="BI1637" s="332"/>
      <c r="BJ1637" s="334" t="s">
        <v>4039</v>
      </c>
    </row>
    <row r="1638" spans="1:62" ht="15" customHeight="1" thickBot="1" x14ac:dyDescent="0.25">
      <c r="A1638" s="176">
        <v>1639</v>
      </c>
      <c r="B1638" s="230">
        <v>1</v>
      </c>
      <c r="C1638" s="278" t="s">
        <v>3589</v>
      </c>
      <c r="D1638" s="278" t="s">
        <v>12</v>
      </c>
      <c r="E1638" s="278" t="s">
        <v>13</v>
      </c>
      <c r="F1638" s="278" t="s">
        <v>4040</v>
      </c>
      <c r="G1638" s="278" t="s">
        <v>20</v>
      </c>
      <c r="H1638" s="278" t="s">
        <v>4036</v>
      </c>
      <c r="I1638" s="303">
        <v>2012</v>
      </c>
      <c r="J1638" s="189" t="s">
        <v>4037</v>
      </c>
      <c r="K1638" s="303" t="s">
        <v>4038</v>
      </c>
      <c r="L1638" s="303" t="s">
        <v>19</v>
      </c>
      <c r="M1638" s="556" t="s">
        <v>4412</v>
      </c>
      <c r="N1638" s="283" t="s">
        <v>122</v>
      </c>
      <c r="O1638" s="283" t="s">
        <v>292</v>
      </c>
      <c r="P1638" s="283" t="s">
        <v>292</v>
      </c>
      <c r="Q1638" s="283" t="s">
        <v>292</v>
      </c>
      <c r="R1638" s="283" t="s">
        <v>292</v>
      </c>
      <c r="S1638" s="283" t="s">
        <v>292</v>
      </c>
      <c r="T1638" s="283" t="s">
        <v>292</v>
      </c>
      <c r="U1638" s="283" t="s">
        <v>292</v>
      </c>
      <c r="V1638" s="283" t="s">
        <v>292</v>
      </c>
      <c r="W1638" s="283" t="s">
        <v>292</v>
      </c>
      <c r="X1638" s="283" t="s">
        <v>292</v>
      </c>
      <c r="Y1638" s="283" t="s">
        <v>292</v>
      </c>
      <c r="Z1638" s="281"/>
      <c r="AA1638" s="281" t="s">
        <v>303</v>
      </c>
      <c r="AB1638" s="281"/>
      <c r="AC1638" s="281"/>
      <c r="AD1638" s="288" t="s">
        <v>3636</v>
      </c>
      <c r="AE1638" s="288"/>
      <c r="AF1638" s="162" t="str">
        <f t="shared" si="146"/>
        <v/>
      </c>
      <c r="AG1638" s="162" t="str">
        <f t="shared" si="153"/>
        <v/>
      </c>
      <c r="AH1638" s="164">
        <f t="shared" si="150"/>
        <v>0.87</v>
      </c>
      <c r="AI1638" s="164" t="str">
        <f t="shared" si="151"/>
        <v/>
      </c>
      <c r="AJ1638" s="382"/>
      <c r="AK1638" s="382"/>
      <c r="AL1638" s="382"/>
      <c r="AM1638" s="382"/>
      <c r="AN1638" s="382"/>
      <c r="AO1638" s="382"/>
      <c r="AP1638" s="382"/>
      <c r="AQ1638" s="382"/>
      <c r="AR1638" s="382"/>
      <c r="AS1638" s="290"/>
      <c r="AT1638" s="282"/>
      <c r="AU1638" s="382"/>
      <c r="AV1638" s="382"/>
      <c r="AW1638" s="332">
        <v>0.87</v>
      </c>
      <c r="AX1638" s="332"/>
      <c r="AY1638" s="332"/>
      <c r="AZ1638" s="332"/>
      <c r="BA1638" s="332"/>
      <c r="BB1638" s="332"/>
      <c r="BC1638" s="332"/>
      <c r="BD1638" s="332"/>
      <c r="BE1638" s="332"/>
      <c r="BF1638" s="476">
        <f t="shared" si="152"/>
        <v>0.87</v>
      </c>
      <c r="BG1638" s="476"/>
      <c r="BH1638" s="332"/>
      <c r="BI1638" s="332"/>
      <c r="BJ1638" s="334" t="s">
        <v>4039</v>
      </c>
    </row>
    <row r="1639" spans="1:62" ht="15" customHeight="1" thickBot="1" x14ac:dyDescent="0.25">
      <c r="A1639" s="176">
        <v>1640</v>
      </c>
      <c r="B1639" s="230">
        <v>1</v>
      </c>
      <c r="C1639" s="278" t="s">
        <v>24</v>
      </c>
      <c r="D1639" s="278" t="s">
        <v>269</v>
      </c>
      <c r="E1639" s="278" t="s">
        <v>13</v>
      </c>
      <c r="F1639" s="278" t="s">
        <v>4041</v>
      </c>
      <c r="G1639" s="278"/>
      <c r="H1639" s="278" t="s">
        <v>80</v>
      </c>
      <c r="I1639" s="303">
        <v>2011</v>
      </c>
      <c r="J1639" s="189" t="s">
        <v>4042</v>
      </c>
      <c r="K1639" s="303" t="s">
        <v>4043</v>
      </c>
      <c r="L1639" s="303" t="s">
        <v>4044</v>
      </c>
      <c r="M1639" s="556" t="s">
        <v>4413</v>
      </c>
      <c r="N1639" s="283" t="s">
        <v>122</v>
      </c>
      <c r="O1639" s="283" t="s">
        <v>292</v>
      </c>
      <c r="P1639" s="283" t="s">
        <v>292</v>
      </c>
      <c r="Q1639" s="283" t="s">
        <v>122</v>
      </c>
      <c r="R1639" s="283" t="s">
        <v>292</v>
      </c>
      <c r="S1639" s="283" t="s">
        <v>292</v>
      </c>
      <c r="T1639" s="283" t="s">
        <v>292</v>
      </c>
      <c r="U1639" s="283" t="s">
        <v>292</v>
      </c>
      <c r="V1639" s="283" t="s">
        <v>292</v>
      </c>
      <c r="W1639" s="283" t="s">
        <v>292</v>
      </c>
      <c r="X1639" s="283" t="s">
        <v>292</v>
      </c>
      <c r="Y1639" s="283" t="s">
        <v>292</v>
      </c>
      <c r="Z1639" s="281"/>
      <c r="AA1639" s="281" t="s">
        <v>1439</v>
      </c>
      <c r="AB1639" s="281"/>
      <c r="AC1639" s="281"/>
      <c r="AD1639" s="288" t="s">
        <v>4045</v>
      </c>
      <c r="AE1639" s="288" t="s">
        <v>4046</v>
      </c>
      <c r="AF1639" s="162">
        <f t="shared" si="146"/>
        <v>25.824837156612858</v>
      </c>
      <c r="AG1639" s="162">
        <f t="shared" si="153"/>
        <v>28.658061519778379</v>
      </c>
      <c r="AH1639" s="164">
        <f t="shared" si="150"/>
        <v>4.134806003964882</v>
      </c>
      <c r="AI1639" s="164">
        <f t="shared" si="151"/>
        <v>4.3206962902359232</v>
      </c>
      <c r="AJ1639" s="382">
        <f>(1459/107/0.528)</f>
        <v>25.824837156612858</v>
      </c>
      <c r="AK1639" s="382"/>
      <c r="AL1639" s="382">
        <f>(221/107/0.729)</f>
        <v>2.8332243631655194</v>
      </c>
      <c r="AM1639" s="382"/>
      <c r="AN1639" s="382"/>
      <c r="AO1639" s="382"/>
      <c r="AP1639" s="382"/>
      <c r="AQ1639" s="382"/>
      <c r="AR1639" s="382"/>
      <c r="AS1639" s="290">
        <f>AJ1639</f>
        <v>25.824837156612858</v>
      </c>
      <c r="AT1639" s="282">
        <f>SUM(AJ1639:AL1639)</f>
        <v>28.658061519778379</v>
      </c>
      <c r="AU1639" s="382"/>
      <c r="AV1639" s="382"/>
      <c r="AW1639" s="332">
        <f>(233.6/107/0.528)</f>
        <v>4.134806003964882</v>
      </c>
      <c r="AX1639" s="332"/>
      <c r="AY1639" s="332">
        <f>(14.5/107)/0.729</f>
        <v>0.18589028627104084</v>
      </c>
      <c r="AZ1639" s="332"/>
      <c r="BA1639" s="332"/>
      <c r="BB1639" s="332"/>
      <c r="BC1639" s="332"/>
      <c r="BD1639" s="332"/>
      <c r="BE1639" s="332"/>
      <c r="BF1639" s="476">
        <f t="shared" si="152"/>
        <v>4.134806003964882</v>
      </c>
      <c r="BG1639" s="476">
        <f>SUM(AW1639:AY1639)</f>
        <v>4.3206962902359232</v>
      </c>
      <c r="BH1639" s="332"/>
      <c r="BI1639" s="332"/>
      <c r="BJ1639" s="334"/>
    </row>
    <row r="1640" spans="1:62" ht="15" customHeight="1" thickBot="1" x14ac:dyDescent="0.25">
      <c r="A1640" s="176">
        <v>1641</v>
      </c>
      <c r="B1640" s="230">
        <v>1</v>
      </c>
      <c r="C1640" s="278" t="s">
        <v>11</v>
      </c>
      <c r="D1640" s="278" t="s">
        <v>12</v>
      </c>
      <c r="E1640" s="278" t="s">
        <v>13</v>
      </c>
      <c r="F1640" s="279" t="s">
        <v>4047</v>
      </c>
      <c r="G1640" s="278"/>
      <c r="H1640" s="279" t="s">
        <v>80</v>
      </c>
      <c r="I1640" s="303">
        <v>2011</v>
      </c>
      <c r="J1640" s="189" t="s">
        <v>4048</v>
      </c>
      <c r="K1640" s="304" t="s">
        <v>4049</v>
      </c>
      <c r="L1640" s="303" t="s">
        <v>19</v>
      </c>
      <c r="M1640" s="556" t="s">
        <v>4414</v>
      </c>
      <c r="N1640" s="280" t="s">
        <v>122</v>
      </c>
      <c r="O1640" s="280" t="s">
        <v>292</v>
      </c>
      <c r="P1640" s="280" t="s">
        <v>292</v>
      </c>
      <c r="Q1640" s="280" t="s">
        <v>292</v>
      </c>
      <c r="R1640" s="280" t="s">
        <v>292</v>
      </c>
      <c r="S1640" s="280" t="s">
        <v>292</v>
      </c>
      <c r="T1640" s="280" t="s">
        <v>292</v>
      </c>
      <c r="U1640" s="280" t="s">
        <v>292</v>
      </c>
      <c r="V1640" s="280" t="s">
        <v>292</v>
      </c>
      <c r="W1640" s="280" t="s">
        <v>292</v>
      </c>
      <c r="X1640" s="280" t="s">
        <v>292</v>
      </c>
      <c r="Y1640" s="280" t="s">
        <v>292</v>
      </c>
      <c r="Z1640" s="281"/>
      <c r="AA1640" s="284" t="s">
        <v>303</v>
      </c>
      <c r="AB1640" s="281"/>
      <c r="AC1640" s="281"/>
      <c r="AD1640" s="289" t="s">
        <v>3636</v>
      </c>
      <c r="AE1640" s="288"/>
      <c r="AF1640" s="162" t="str">
        <f t="shared" si="146"/>
        <v/>
      </c>
      <c r="AG1640" s="162" t="str">
        <f t="shared" si="153"/>
        <v/>
      </c>
      <c r="AH1640" s="164">
        <f t="shared" si="150"/>
        <v>0.91</v>
      </c>
      <c r="AI1640" s="164" t="str">
        <f t="shared" si="151"/>
        <v/>
      </c>
      <c r="AJ1640" s="382"/>
      <c r="AK1640" s="382"/>
      <c r="AL1640" s="382"/>
      <c r="AM1640" s="382"/>
      <c r="AN1640" s="382"/>
      <c r="AO1640" s="382"/>
      <c r="AP1640" s="382"/>
      <c r="AQ1640" s="382"/>
      <c r="AR1640" s="382"/>
      <c r="AS1640" s="290"/>
      <c r="AT1640" s="282"/>
      <c r="AU1640" s="382"/>
      <c r="AV1640" s="382"/>
      <c r="AW1640" s="332">
        <v>0.91</v>
      </c>
      <c r="AX1640" s="332"/>
      <c r="AY1640" s="332"/>
      <c r="AZ1640" s="332"/>
      <c r="BA1640" s="332"/>
      <c r="BB1640" s="332"/>
      <c r="BC1640" s="332"/>
      <c r="BD1640" s="332"/>
      <c r="BE1640" s="332"/>
      <c r="BF1640" s="476">
        <f t="shared" si="152"/>
        <v>0.91</v>
      </c>
      <c r="BG1640" s="476"/>
      <c r="BH1640" s="332"/>
      <c r="BI1640" s="464" t="s">
        <v>4050</v>
      </c>
      <c r="BJ1640" s="334"/>
    </row>
    <row r="1641" spans="1:62" ht="15" customHeight="1" thickBot="1" x14ac:dyDescent="0.25">
      <c r="A1641" s="176">
        <v>1642</v>
      </c>
      <c r="B1641" s="230">
        <v>1</v>
      </c>
      <c r="C1641" s="279" t="s">
        <v>3589</v>
      </c>
      <c r="D1641" s="279" t="s">
        <v>12</v>
      </c>
      <c r="E1641" s="279" t="s">
        <v>13</v>
      </c>
      <c r="F1641" s="279" t="s">
        <v>4051</v>
      </c>
      <c r="G1641" s="278"/>
      <c r="H1641" s="279" t="s">
        <v>80</v>
      </c>
      <c r="I1641" s="303">
        <v>2011</v>
      </c>
      <c r="J1641" s="189" t="s">
        <v>4048</v>
      </c>
      <c r="K1641" s="304" t="s">
        <v>4049</v>
      </c>
      <c r="L1641" s="303" t="s">
        <v>19</v>
      </c>
      <c r="M1641" s="556" t="s">
        <v>4414</v>
      </c>
      <c r="N1641" s="280" t="s">
        <v>122</v>
      </c>
      <c r="O1641" s="280" t="s">
        <v>292</v>
      </c>
      <c r="P1641" s="280" t="s">
        <v>292</v>
      </c>
      <c r="Q1641" s="280" t="s">
        <v>292</v>
      </c>
      <c r="R1641" s="280" t="s">
        <v>292</v>
      </c>
      <c r="S1641" s="280" t="s">
        <v>292</v>
      </c>
      <c r="T1641" s="280" t="s">
        <v>292</v>
      </c>
      <c r="U1641" s="280" t="s">
        <v>292</v>
      </c>
      <c r="V1641" s="280" t="s">
        <v>292</v>
      </c>
      <c r="W1641" s="280" t="s">
        <v>292</v>
      </c>
      <c r="X1641" s="280" t="s">
        <v>292</v>
      </c>
      <c r="Y1641" s="280" t="s">
        <v>292</v>
      </c>
      <c r="Z1641" s="281"/>
      <c r="AA1641" s="284" t="s">
        <v>303</v>
      </c>
      <c r="AB1641" s="281"/>
      <c r="AC1641" s="281"/>
      <c r="AD1641" s="289" t="s">
        <v>3636</v>
      </c>
      <c r="AE1641" s="288"/>
      <c r="AF1641" s="162" t="str">
        <f t="shared" si="146"/>
        <v/>
      </c>
      <c r="AG1641" s="162" t="str">
        <f t="shared" si="153"/>
        <v/>
      </c>
      <c r="AH1641" s="164">
        <f t="shared" si="150"/>
        <v>0.9</v>
      </c>
      <c r="AI1641" s="164" t="str">
        <f t="shared" si="151"/>
        <v/>
      </c>
      <c r="AJ1641" s="382"/>
      <c r="AK1641" s="382"/>
      <c r="AL1641" s="382"/>
      <c r="AM1641" s="382"/>
      <c r="AN1641" s="382"/>
      <c r="AO1641" s="382"/>
      <c r="AP1641" s="382"/>
      <c r="AQ1641" s="382"/>
      <c r="AR1641" s="382"/>
      <c r="AS1641" s="290"/>
      <c r="AT1641" s="282"/>
      <c r="AU1641" s="382"/>
      <c r="AV1641" s="382"/>
      <c r="AW1641" s="332">
        <v>0.9</v>
      </c>
      <c r="AX1641" s="332"/>
      <c r="AY1641" s="332"/>
      <c r="AZ1641" s="332"/>
      <c r="BA1641" s="332"/>
      <c r="BB1641" s="332"/>
      <c r="BC1641" s="332"/>
      <c r="BD1641" s="332"/>
      <c r="BE1641" s="332"/>
      <c r="BF1641" s="476">
        <f t="shared" si="152"/>
        <v>0.9</v>
      </c>
      <c r="BG1641" s="476"/>
      <c r="BH1641" s="332"/>
      <c r="BI1641" s="332" t="s">
        <v>4050</v>
      </c>
      <c r="BJ1641" s="334"/>
    </row>
    <row r="1642" spans="1:62" ht="15" customHeight="1" thickBot="1" x14ac:dyDescent="0.25">
      <c r="A1642" s="176">
        <v>1643</v>
      </c>
      <c r="B1642" s="230">
        <v>1</v>
      </c>
      <c r="C1642" s="279" t="s">
        <v>24</v>
      </c>
      <c r="D1642" s="279" t="s">
        <v>3639</v>
      </c>
      <c r="E1642" s="279" t="s">
        <v>13</v>
      </c>
      <c r="F1642" s="279" t="s">
        <v>4047</v>
      </c>
      <c r="G1642" s="278"/>
      <c r="H1642" s="279" t="s">
        <v>80</v>
      </c>
      <c r="I1642" s="303">
        <v>2011</v>
      </c>
      <c r="J1642" s="189" t="s">
        <v>4048</v>
      </c>
      <c r="K1642" s="304" t="s">
        <v>4049</v>
      </c>
      <c r="L1642" s="303" t="s">
        <v>19</v>
      </c>
      <c r="M1642" s="556" t="s">
        <v>4414</v>
      </c>
      <c r="N1642" s="280" t="s">
        <v>122</v>
      </c>
      <c r="O1642" s="280" t="s">
        <v>292</v>
      </c>
      <c r="P1642" s="280" t="s">
        <v>292</v>
      </c>
      <c r="Q1642" s="280" t="s">
        <v>292</v>
      </c>
      <c r="R1642" s="280" t="s">
        <v>292</v>
      </c>
      <c r="S1642" s="280" t="s">
        <v>292</v>
      </c>
      <c r="T1642" s="280" t="s">
        <v>292</v>
      </c>
      <c r="U1642" s="280" t="s">
        <v>292</v>
      </c>
      <c r="V1642" s="280" t="s">
        <v>292</v>
      </c>
      <c r="W1642" s="280" t="s">
        <v>292</v>
      </c>
      <c r="X1642" s="280" t="s">
        <v>292</v>
      </c>
      <c r="Y1642" s="280" t="s">
        <v>292</v>
      </c>
      <c r="Z1642" s="281"/>
      <c r="AA1642" s="284" t="s">
        <v>303</v>
      </c>
      <c r="AB1642" s="281"/>
      <c r="AC1642" s="281"/>
      <c r="AD1642" s="289" t="s">
        <v>3943</v>
      </c>
      <c r="AE1642" s="288"/>
      <c r="AF1642" s="162" t="str">
        <f t="shared" si="146"/>
        <v/>
      </c>
      <c r="AG1642" s="162" t="str">
        <f t="shared" si="153"/>
        <v/>
      </c>
      <c r="AH1642" s="164">
        <f t="shared" si="150"/>
        <v>6.92</v>
      </c>
      <c r="AI1642" s="164" t="str">
        <f t="shared" si="151"/>
        <v/>
      </c>
      <c r="AJ1642" s="394"/>
      <c r="AK1642" s="394"/>
      <c r="AL1642" s="394"/>
      <c r="AM1642" s="394"/>
      <c r="AN1642" s="394"/>
      <c r="AO1642" s="394"/>
      <c r="AP1642" s="394"/>
      <c r="AQ1642" s="394"/>
      <c r="AR1642" s="394"/>
      <c r="AS1642" s="290"/>
      <c r="AT1642" s="282"/>
      <c r="AU1642" s="394"/>
      <c r="AV1642" s="382"/>
      <c r="AW1642" s="332">
        <v>6.92</v>
      </c>
      <c r="AX1642" s="332"/>
      <c r="AY1642" s="332"/>
      <c r="AZ1642" s="332"/>
      <c r="BA1642" s="332"/>
      <c r="BB1642" s="332"/>
      <c r="BC1642" s="332"/>
      <c r="BD1642" s="332"/>
      <c r="BE1642" s="332"/>
      <c r="BF1642" s="476">
        <f t="shared" si="152"/>
        <v>6.92</v>
      </c>
      <c r="BG1642" s="476"/>
      <c r="BH1642" s="332"/>
      <c r="BI1642" s="332" t="s">
        <v>4050</v>
      </c>
      <c r="BJ1642" s="334"/>
    </row>
    <row r="1643" spans="1:62" ht="15" customHeight="1" thickBot="1" x14ac:dyDescent="0.25">
      <c r="A1643" s="176">
        <v>1644</v>
      </c>
      <c r="B1643" s="230">
        <v>1</v>
      </c>
      <c r="C1643" s="279" t="s">
        <v>24</v>
      </c>
      <c r="D1643" s="279" t="s">
        <v>3639</v>
      </c>
      <c r="E1643" s="279" t="s">
        <v>13</v>
      </c>
      <c r="F1643" s="279" t="s">
        <v>4051</v>
      </c>
      <c r="G1643" s="278"/>
      <c r="H1643" s="279" t="s">
        <v>80</v>
      </c>
      <c r="I1643" s="303">
        <v>2011</v>
      </c>
      <c r="J1643" s="189" t="s">
        <v>4048</v>
      </c>
      <c r="K1643" s="304" t="s">
        <v>4049</v>
      </c>
      <c r="L1643" s="303" t="s">
        <v>19</v>
      </c>
      <c r="M1643" s="556" t="s">
        <v>4414</v>
      </c>
      <c r="N1643" s="280" t="s">
        <v>122</v>
      </c>
      <c r="O1643" s="280" t="s">
        <v>292</v>
      </c>
      <c r="P1643" s="280" t="s">
        <v>292</v>
      </c>
      <c r="Q1643" s="280" t="s">
        <v>292</v>
      </c>
      <c r="R1643" s="280" t="s">
        <v>292</v>
      </c>
      <c r="S1643" s="280" t="s">
        <v>292</v>
      </c>
      <c r="T1643" s="280" t="s">
        <v>292</v>
      </c>
      <c r="U1643" s="280" t="s">
        <v>292</v>
      </c>
      <c r="V1643" s="280" t="s">
        <v>292</v>
      </c>
      <c r="W1643" s="280" t="s">
        <v>292</v>
      </c>
      <c r="X1643" s="280" t="s">
        <v>292</v>
      </c>
      <c r="Y1643" s="280" t="s">
        <v>292</v>
      </c>
      <c r="Z1643" s="281"/>
      <c r="AA1643" s="284" t="s">
        <v>303</v>
      </c>
      <c r="AB1643" s="281"/>
      <c r="AC1643" s="281"/>
      <c r="AD1643" s="289" t="s">
        <v>3943</v>
      </c>
      <c r="AE1643" s="288"/>
      <c r="AF1643" s="162" t="str">
        <f t="shared" si="146"/>
        <v/>
      </c>
      <c r="AG1643" s="162" t="str">
        <f t="shared" si="153"/>
        <v/>
      </c>
      <c r="AH1643" s="164">
        <f t="shared" si="150"/>
        <v>7.33</v>
      </c>
      <c r="AI1643" s="164" t="str">
        <f t="shared" si="151"/>
        <v/>
      </c>
      <c r="AJ1643" s="382"/>
      <c r="AK1643" s="382"/>
      <c r="AL1643" s="382"/>
      <c r="AM1643" s="382"/>
      <c r="AN1643" s="382"/>
      <c r="AO1643" s="382"/>
      <c r="AP1643" s="382"/>
      <c r="AQ1643" s="382"/>
      <c r="AR1643" s="382"/>
      <c r="AS1643" s="290"/>
      <c r="AT1643" s="282"/>
      <c r="AU1643" s="382"/>
      <c r="AV1643" s="382"/>
      <c r="AW1643" s="332">
        <v>7.33</v>
      </c>
      <c r="AX1643" s="332"/>
      <c r="AY1643" s="332"/>
      <c r="AZ1643" s="332"/>
      <c r="BA1643" s="332"/>
      <c r="BB1643" s="332"/>
      <c r="BC1643" s="332"/>
      <c r="BD1643" s="332"/>
      <c r="BE1643" s="332"/>
      <c r="BF1643" s="476">
        <f t="shared" si="152"/>
        <v>7.33</v>
      </c>
      <c r="BG1643" s="476"/>
      <c r="BH1643" s="332"/>
      <c r="BI1643" s="332" t="s">
        <v>4050</v>
      </c>
      <c r="BJ1643" s="334"/>
    </row>
    <row r="1644" spans="1:62" ht="15" customHeight="1" thickBot="1" x14ac:dyDescent="0.25">
      <c r="A1644" s="176">
        <v>1645</v>
      </c>
      <c r="B1644" s="175">
        <v>1</v>
      </c>
      <c r="C1644" s="166" t="s">
        <v>596</v>
      </c>
      <c r="D1644" s="166" t="s">
        <v>1043</v>
      </c>
      <c r="E1644" s="166" t="s">
        <v>13</v>
      </c>
      <c r="F1644" s="166" t="s">
        <v>4052</v>
      </c>
      <c r="G1644" s="166" t="s">
        <v>292</v>
      </c>
      <c r="H1644" s="166" t="s">
        <v>108</v>
      </c>
      <c r="I1644" s="181">
        <v>2012</v>
      </c>
      <c r="J1644" s="181" t="s">
        <v>1045</v>
      </c>
      <c r="K1644" s="181"/>
      <c r="L1644" s="181" t="s">
        <v>19</v>
      </c>
      <c r="M1644" s="556" t="s">
        <v>4188</v>
      </c>
      <c r="N1644" s="214" t="s">
        <v>20</v>
      </c>
      <c r="O1644" s="214" t="s">
        <v>15</v>
      </c>
      <c r="P1644" s="214" t="s">
        <v>20</v>
      </c>
      <c r="Q1644" s="214" t="s">
        <v>20</v>
      </c>
      <c r="R1644" s="214" t="s">
        <v>20</v>
      </c>
      <c r="S1644" s="214" t="s">
        <v>20</v>
      </c>
      <c r="T1644" s="214" t="s">
        <v>20</v>
      </c>
      <c r="U1644" s="214" t="s">
        <v>20</v>
      </c>
      <c r="V1644" s="214" t="s">
        <v>20</v>
      </c>
      <c r="W1644" s="214" t="s">
        <v>15</v>
      </c>
      <c r="X1644" s="214" t="s">
        <v>15</v>
      </c>
      <c r="Y1644" s="214" t="s">
        <v>15</v>
      </c>
      <c r="Z1644" s="234"/>
      <c r="AA1644" s="214" t="s">
        <v>243</v>
      </c>
      <c r="AB1644" s="214" t="s">
        <v>15</v>
      </c>
      <c r="AC1644" s="214" t="s">
        <v>15</v>
      </c>
      <c r="AD1644" s="320" t="s">
        <v>1046</v>
      </c>
      <c r="AE1644" s="320" t="s">
        <v>1047</v>
      </c>
      <c r="AF1644" s="162" t="str">
        <f t="shared" si="146"/>
        <v/>
      </c>
      <c r="AG1644" s="162" t="str">
        <f t="shared" si="153"/>
        <v/>
      </c>
      <c r="AH1644" s="164">
        <f t="shared" si="150"/>
        <v>3.8387715930902108E-2</v>
      </c>
      <c r="AI1644" s="164">
        <f t="shared" si="151"/>
        <v>4.9904030710172742E-2</v>
      </c>
      <c r="AJ1644" s="377"/>
      <c r="AK1644" s="377"/>
      <c r="AL1644" s="377"/>
      <c r="AM1644" s="378"/>
      <c r="AN1644" s="377"/>
      <c r="AO1644" s="377"/>
      <c r="AP1644" s="377"/>
      <c r="AQ1644" s="377"/>
      <c r="AR1644" s="377"/>
      <c r="AS1644" s="204"/>
      <c r="AT1644" s="199">
        <f>4.6/1.042</f>
        <v>4.4145873320537419</v>
      </c>
      <c r="AU1644" s="377"/>
      <c r="AW1644" s="341">
        <f>0.04/1.042</f>
        <v>3.8387715930902108E-2</v>
      </c>
      <c r="AX1644" s="341"/>
      <c r="AY1644" s="341">
        <f>0.012/1.042</f>
        <v>1.1516314779270634E-2</v>
      </c>
      <c r="AZ1644" s="341">
        <f>0.248/1.042</f>
        <v>0.23800383877159309</v>
      </c>
      <c r="BA1644" s="335">
        <f>0.005/1.042</f>
        <v>4.7984644913627635E-3</v>
      </c>
      <c r="BB1644" s="341">
        <f>0.155/1.042</f>
        <v>0.14875239923224567</v>
      </c>
      <c r="BC1644" s="335"/>
      <c r="BD1644" s="341">
        <f>0.007/1.042</f>
        <v>6.7178502879078695E-3</v>
      </c>
      <c r="BE1644" s="341"/>
      <c r="BF1644" s="467">
        <f t="shared" si="152"/>
        <v>3.8387715930902108E-2</v>
      </c>
      <c r="BG1644" s="481">
        <f>SUM(AW1644:BE1644)</f>
        <v>0.44817658349328221</v>
      </c>
      <c r="BH1644" s="341"/>
      <c r="BI1644" s="335" t="s">
        <v>990</v>
      </c>
      <c r="BJ1644" s="511"/>
    </row>
    <row r="1645" spans="1:62" ht="15.75" customHeight="1" thickBot="1" x14ac:dyDescent="0.25">
      <c r="A1645" s="176">
        <v>1646</v>
      </c>
      <c r="B1645" s="175">
        <v>1</v>
      </c>
      <c r="C1645" s="166" t="s">
        <v>596</v>
      </c>
      <c r="D1645" s="166" t="s">
        <v>1043</v>
      </c>
      <c r="E1645" s="166" t="s">
        <v>13</v>
      </c>
      <c r="F1645" s="166" t="s">
        <v>4053</v>
      </c>
      <c r="G1645" s="166" t="s">
        <v>292</v>
      </c>
      <c r="H1645" s="166" t="s">
        <v>108</v>
      </c>
      <c r="I1645" s="181">
        <v>2012</v>
      </c>
      <c r="J1645" s="181" t="s">
        <v>1045</v>
      </c>
      <c r="K1645" s="181"/>
      <c r="L1645" s="181" t="s">
        <v>19</v>
      </c>
      <c r="M1645" s="556" t="s">
        <v>4188</v>
      </c>
      <c r="N1645" s="214" t="s">
        <v>20</v>
      </c>
      <c r="O1645" s="214" t="s">
        <v>15</v>
      </c>
      <c r="P1645" s="214" t="s">
        <v>20</v>
      </c>
      <c r="Q1645" s="214" t="s">
        <v>20</v>
      </c>
      <c r="R1645" s="214" t="s">
        <v>20</v>
      </c>
      <c r="S1645" s="214" t="s">
        <v>20</v>
      </c>
      <c r="T1645" s="214" t="s">
        <v>20</v>
      </c>
      <c r="U1645" s="214" t="s">
        <v>20</v>
      </c>
      <c r="V1645" s="214" t="s">
        <v>20</v>
      </c>
      <c r="W1645" s="214" t="s">
        <v>15</v>
      </c>
      <c r="X1645" s="214" t="s">
        <v>15</v>
      </c>
      <c r="Y1645" s="214" t="s">
        <v>15</v>
      </c>
      <c r="Z1645" s="234"/>
      <c r="AA1645" s="214" t="s">
        <v>243</v>
      </c>
      <c r="AB1645" s="214" t="s">
        <v>15</v>
      </c>
      <c r="AC1645" s="214" t="s">
        <v>15</v>
      </c>
      <c r="AD1645" s="320" t="s">
        <v>1046</v>
      </c>
      <c r="AE1645" s="320" t="s">
        <v>1047</v>
      </c>
      <c r="AF1645" s="162" t="str">
        <f t="shared" si="146"/>
        <v/>
      </c>
      <c r="AG1645" s="162" t="str">
        <f t="shared" si="153"/>
        <v/>
      </c>
      <c r="AH1645" s="164">
        <f t="shared" si="150"/>
        <v>3.8387715930902108E-2</v>
      </c>
      <c r="AI1645" s="164">
        <f t="shared" si="151"/>
        <v>7.4856046065259113E-2</v>
      </c>
      <c r="AJ1645" s="368"/>
      <c r="AK1645" s="368"/>
      <c r="AL1645" s="368"/>
      <c r="AM1645" s="369"/>
      <c r="AN1645" s="368"/>
      <c r="AO1645" s="368"/>
      <c r="AP1645" s="368"/>
      <c r="AQ1645" s="368"/>
      <c r="AR1645" s="368"/>
      <c r="AS1645" s="195"/>
      <c r="AT1645" s="199">
        <f>7.3/1.042</f>
        <v>7.0057581573896348</v>
      </c>
      <c r="AU1645" s="377"/>
      <c r="AW1645" s="426">
        <f>0.04/1.042</f>
        <v>3.8387715930902108E-2</v>
      </c>
      <c r="AX1645" s="426"/>
      <c r="AY1645" s="426">
        <f>0.038/1.042</f>
        <v>3.6468330134357005E-2</v>
      </c>
      <c r="AZ1645" s="426">
        <f>0.174/1.042</f>
        <v>0.16698656429942416</v>
      </c>
      <c r="BA1645" s="359">
        <f>0.006/1.042</f>
        <v>5.7581573896353169E-3</v>
      </c>
      <c r="BB1645" s="426">
        <f>0.095/1.042</f>
        <v>9.1170825335892519E-2</v>
      </c>
      <c r="BC1645" s="359"/>
      <c r="BD1645" s="426">
        <f>0.035/1.042</f>
        <v>3.358925143953935E-2</v>
      </c>
      <c r="BE1645" s="426"/>
      <c r="BF1645" s="479">
        <f t="shared" si="152"/>
        <v>3.8387715930902108E-2</v>
      </c>
      <c r="BG1645" s="481">
        <f>SUM(AW1645:BE1645)</f>
        <v>0.37236084452975043</v>
      </c>
      <c r="BH1645" s="341"/>
      <c r="BI1645" s="446" t="s">
        <v>990</v>
      </c>
      <c r="BJ1645" s="507"/>
    </row>
    <row r="1646" spans="1:62" ht="15.75" customHeight="1" thickBot="1" x14ac:dyDescent="0.25">
      <c r="A1646" s="176"/>
      <c r="B1646" s="175"/>
      <c r="C1646" s="278"/>
      <c r="D1646" s="145"/>
      <c r="E1646" s="166"/>
      <c r="F1646" s="166"/>
      <c r="G1646" s="166"/>
      <c r="H1646" s="166"/>
      <c r="I1646" s="183"/>
      <c r="J1646" s="181"/>
      <c r="K1646" s="181"/>
      <c r="L1646" s="181"/>
      <c r="M1646" s="559"/>
      <c r="N1646" s="214"/>
      <c r="O1646" s="214"/>
      <c r="P1646" s="214"/>
      <c r="Q1646" s="214"/>
      <c r="R1646" s="214"/>
      <c r="S1646" s="214"/>
      <c r="T1646" s="214"/>
      <c r="U1646" s="214"/>
      <c r="V1646" s="214"/>
      <c r="W1646" s="214"/>
      <c r="X1646" s="214"/>
      <c r="Y1646" s="214"/>
      <c r="Z1646" s="214"/>
      <c r="AA1646" s="214"/>
      <c r="AB1646" s="214"/>
      <c r="AC1646" s="214"/>
      <c r="AD1646" s="320"/>
      <c r="AE1646" s="320"/>
      <c r="AF1646" s="162"/>
      <c r="AG1646" s="162"/>
      <c r="AH1646" s="164"/>
      <c r="AI1646" s="164"/>
      <c r="AJ1646" s="368"/>
      <c r="AK1646" s="369"/>
      <c r="AL1646" s="369"/>
      <c r="AM1646" s="368"/>
      <c r="AN1646" s="368"/>
      <c r="AO1646" s="368"/>
      <c r="AP1646" s="368"/>
      <c r="AQ1646" s="368"/>
      <c r="AR1646" s="368"/>
      <c r="AS1646" s="195"/>
      <c r="AT1646" s="199"/>
      <c r="AU1646" s="378"/>
      <c r="AV1646" s="401"/>
      <c r="AW1646" s="426"/>
      <c r="AX1646" s="426"/>
      <c r="AY1646" s="426"/>
      <c r="AZ1646" s="426"/>
      <c r="BA1646" s="426"/>
      <c r="BB1646" s="426"/>
      <c r="BC1646" s="426"/>
      <c r="BD1646" s="426"/>
      <c r="BE1646" s="426"/>
      <c r="BF1646" s="543"/>
      <c r="BG1646" s="471"/>
      <c r="BH1646" s="335"/>
      <c r="BI1646" s="446"/>
      <c r="BJ1646" s="506"/>
    </row>
  </sheetData>
  <autoFilter ref="A1:BJ1646" xr:uid="{00000000-0009-0000-0000-000002000000}">
    <sortState xmlns:xlrd2="http://schemas.microsoft.com/office/spreadsheetml/2017/richdata2" ref="A2:BJ1646">
      <sortCondition ref="A1:A1646"/>
    </sortState>
  </autoFilter>
  <sortState xmlns:xlrd2="http://schemas.microsoft.com/office/spreadsheetml/2017/richdata2" ref="A2:BG978">
    <sortCondition ref="C2:C978"/>
    <sortCondition ref="D2:D978"/>
  </sortState>
  <dataConsolidate/>
  <dataValidations count="9">
    <dataValidation type="list" allowBlank="1" showErrorMessage="1" sqref="L82:L233 L240:L325 L329:L331 L758:L981 L495:L755 L1008:L1009 L1019 L334:L452 L1187:L1222 L1320:L1323 L3:L80" xr:uid="{00000000-0002-0000-0200-000000000000}">
      <formula1>SourceType</formula1>
    </dataValidation>
    <dataValidation type="list" allowBlank="1" sqref="L81" xr:uid="{00000000-0002-0000-0200-000001000000}">
      <formula1>SourceType</formula1>
    </dataValidation>
    <dataValidation type="list" allowBlank="1" sqref="E572:E580 E290:E293 E297:E311 E323:E333 E469 E498 E3:E99 E1019 E367:E452" xr:uid="{00000000-0002-0000-0200-000002000000}">
      <formula1>FoodForm</formula1>
    </dataValidation>
    <dataValidation type="list" allowBlank="1" showErrorMessage="1" sqref="AB71:AB78 AB3:AC70 N79:X80 G290:G293 AB290:AC293 N453:Z453 G3:G80 N3:Y78 N519:Y981 N81:Y452 N1019:Y1021 N454:Y511 N1023:Y1035 N1320:N1323 N1576:Y1646" xr:uid="{00000000-0002-0000-0200-000003000000}">
      <formula1>YesNo</formula1>
    </dataValidation>
    <dataValidation type="list" allowBlank="1" showErrorMessage="1" sqref="C1023:C1061 C3:C1021 C1183:C1222 C1271 C1645" xr:uid="{00000000-0002-0000-0200-000004000000}">
      <formula1>FoodTypes</formula1>
    </dataValidation>
    <dataValidation type="list" allowBlank="1" showErrorMessage="1" sqref="N1223:Z1281 AC1278:AC1281 N1282:N1319 N1324:N1575 O1282:Z1575" xr:uid="{00000000-0002-0000-0200-000005000000}">
      <formula1>Yes_No</formula1>
    </dataValidation>
    <dataValidation type="list" allowBlank="1" showErrorMessage="1" sqref="C1223:C1270 C1272:C1575" xr:uid="{00000000-0002-0000-0200-000006000000}">
      <formula1>Food_Type</formula1>
    </dataValidation>
    <dataValidation type="list" allowBlank="1" showInputMessage="1" showErrorMessage="1" sqref="L1299:L1319 L1324:L1576 L1223:L1286" xr:uid="{00000000-0002-0000-0200-000007000000}">
      <formula1>Source_Type</formula1>
    </dataValidation>
    <dataValidation type="list" allowBlank="1" showInputMessage="1" showErrorMessage="1" sqref="E1223:E1575" xr:uid="{00000000-0002-0000-0200-000008000000}">
      <formula1>Food_Form</formula1>
    </dataValidation>
  </dataValidations>
  <pageMargins left="0.7" right="0.7" top="0.75" bottom="0.75" header="0.3" footer="0.3"/>
  <pageSetup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T335"/>
  <sheetViews>
    <sheetView workbookViewId="0">
      <pane xSplit="2" ySplit="4" topLeftCell="C169" activePane="bottomRight" state="frozen"/>
      <selection pane="topRight" activeCell="C1" sqref="C1"/>
      <selection pane="bottomLeft" activeCell="A5" sqref="A5"/>
      <selection pane="bottomRight" activeCell="B178" sqref="B178"/>
    </sheetView>
  </sheetViews>
  <sheetFormatPr baseColWidth="10" defaultColWidth="8.83203125" defaultRowHeight="16" x14ac:dyDescent="0.2"/>
  <cols>
    <col min="1" max="1" width="18.83203125" customWidth="1"/>
    <col min="2" max="2" width="30.83203125" style="3" customWidth="1"/>
    <col min="3" max="7" width="16.5" style="3" customWidth="1"/>
    <col min="8" max="11" width="16" style="3" customWidth="1"/>
    <col min="12" max="12" width="16" customWidth="1"/>
    <col min="13" max="13" width="13.6640625" customWidth="1"/>
    <col min="14" max="15" width="11.83203125" customWidth="1"/>
    <col min="16" max="16" width="12.1640625" customWidth="1"/>
    <col min="17" max="17" width="11.83203125" customWidth="1"/>
  </cols>
  <sheetData>
    <row r="2" spans="1:20" ht="26" x14ac:dyDescent="0.3">
      <c r="C2" s="586" t="s">
        <v>3251</v>
      </c>
      <c r="D2" s="586"/>
      <c r="E2" s="586"/>
      <c r="F2" s="586"/>
      <c r="G2" s="586"/>
      <c r="H2" s="587" t="s">
        <v>3252</v>
      </c>
      <c r="I2" s="587"/>
      <c r="J2" s="587"/>
      <c r="K2" s="587"/>
      <c r="L2" s="587"/>
      <c r="M2" s="588" t="s">
        <v>3253</v>
      </c>
      <c r="N2" s="588"/>
      <c r="O2" s="588"/>
      <c r="P2" s="588"/>
      <c r="Q2" s="588"/>
    </row>
    <row r="3" spans="1:20" s="3" customFormat="1" ht="25" x14ac:dyDescent="0.3">
      <c r="C3" s="563" t="s">
        <v>1705</v>
      </c>
      <c r="D3" s="206"/>
      <c r="E3" s="206"/>
      <c r="F3" s="206"/>
      <c r="G3" s="206"/>
      <c r="H3" s="207"/>
      <c r="I3" s="207"/>
      <c r="J3" s="207"/>
      <c r="K3" s="207"/>
      <c r="L3" s="207"/>
      <c r="M3" s="208"/>
      <c r="N3" s="208"/>
      <c r="O3" s="208"/>
      <c r="P3" s="208"/>
      <c r="Q3" s="208"/>
    </row>
    <row r="4" spans="1:20" s="3" customFormat="1" ht="68" x14ac:dyDescent="0.2">
      <c r="A4" s="2" t="s">
        <v>0</v>
      </c>
      <c r="B4" s="2" t="s">
        <v>1</v>
      </c>
      <c r="C4" s="206" t="s">
        <v>3243</v>
      </c>
      <c r="D4" s="206" t="s">
        <v>3258</v>
      </c>
      <c r="E4" s="206" t="s">
        <v>3259</v>
      </c>
      <c r="F4" s="206" t="s">
        <v>3260</v>
      </c>
      <c r="G4" s="206" t="s">
        <v>3261</v>
      </c>
      <c r="H4" s="207" t="s">
        <v>3244</v>
      </c>
      <c r="I4" s="207" t="s">
        <v>3262</v>
      </c>
      <c r="J4" s="207" t="s">
        <v>3263</v>
      </c>
      <c r="K4" s="207" t="s">
        <v>3264</v>
      </c>
      <c r="L4" s="207" t="s">
        <v>3265</v>
      </c>
      <c r="M4" s="208" t="s">
        <v>1712</v>
      </c>
      <c r="N4" s="208" t="s">
        <v>1714</v>
      </c>
      <c r="O4" s="208" t="s">
        <v>1715</v>
      </c>
      <c r="P4" s="208" t="s">
        <v>1713</v>
      </c>
      <c r="Q4" s="208" t="s">
        <v>1716</v>
      </c>
    </row>
    <row r="5" spans="1:20" x14ac:dyDescent="0.2">
      <c r="A5" t="s">
        <v>596</v>
      </c>
      <c r="B5" t="s">
        <v>1418</v>
      </c>
      <c r="C5" s="4">
        <v>26</v>
      </c>
      <c r="D5" s="4">
        <v>0.16674710733172968</v>
      </c>
      <c r="E5" s="4">
        <v>4.4835491241431782E-2</v>
      </c>
      <c r="F5" s="4">
        <v>0.33589108910891086</v>
      </c>
      <c r="G5" s="4">
        <v>8.9083720480812853E-2</v>
      </c>
      <c r="H5" s="4">
        <v>24</v>
      </c>
      <c r="I5" s="4">
        <v>0.31490559274351443</v>
      </c>
      <c r="J5" s="4">
        <v>6.5386138613861389E-2</v>
      </c>
      <c r="K5" s="4">
        <v>0.85940594059405928</v>
      </c>
      <c r="L5" s="4">
        <v>0.25888556570190008</v>
      </c>
      <c r="M5" s="4">
        <v>26</v>
      </c>
      <c r="N5" s="4">
        <v>0.69194772124998372</v>
      </c>
      <c r="O5" s="4">
        <v>9.1227722772277239E-2</v>
      </c>
      <c r="P5" s="4">
        <v>1.4831683168316832</v>
      </c>
      <c r="Q5" s="4">
        <v>0.40950772969462468</v>
      </c>
    </row>
    <row r="6" spans="1:20" x14ac:dyDescent="0.2">
      <c r="B6" t="s">
        <v>1043</v>
      </c>
      <c r="C6" s="4">
        <v>6</v>
      </c>
      <c r="D6" s="4">
        <v>3.8387715930902115E-2</v>
      </c>
      <c r="E6" s="4">
        <v>3.8387715930902108E-2</v>
      </c>
      <c r="F6" s="4">
        <v>3.8387715930902108E-2</v>
      </c>
      <c r="G6" s="4">
        <v>0</v>
      </c>
      <c r="H6" s="4">
        <v>6</v>
      </c>
      <c r="I6" s="4">
        <v>6.6058861164427385E-2</v>
      </c>
      <c r="J6" s="4">
        <v>4.9904030710172742E-2</v>
      </c>
      <c r="K6" s="4">
        <v>9.2130518234165071E-2</v>
      </c>
      <c r="L6" s="4">
        <v>1.7236219821152213E-2</v>
      </c>
      <c r="M6" s="4">
        <v>17</v>
      </c>
      <c r="N6" s="4">
        <v>0.47525326654828737</v>
      </c>
      <c r="O6" s="4">
        <v>0.11632641191182458</v>
      </c>
      <c r="P6" s="4">
        <v>1.0469377072064212</v>
      </c>
      <c r="Q6" s="4">
        <v>0.31137353865601436</v>
      </c>
    </row>
    <row r="7" spans="1:20" x14ac:dyDescent="0.2">
      <c r="B7" t="s">
        <v>2760</v>
      </c>
      <c r="C7" s="4">
        <v>1</v>
      </c>
      <c r="D7" s="4">
        <v>0.38</v>
      </c>
      <c r="E7" s="4">
        <v>0.38</v>
      </c>
      <c r="F7" s="4">
        <v>0.38</v>
      </c>
      <c r="G7" s="4" t="e">
        <v>#DIV/0!</v>
      </c>
      <c r="H7" s="4">
        <v>0</v>
      </c>
      <c r="I7" s="4" t="e">
        <v>#DIV/0!</v>
      </c>
      <c r="J7" s="4">
        <v>0</v>
      </c>
      <c r="K7" s="4">
        <v>0</v>
      </c>
      <c r="L7" s="4" t="e">
        <v>#DIV/0!</v>
      </c>
      <c r="M7" s="4">
        <v>4</v>
      </c>
      <c r="N7" s="4">
        <v>0.80468819213146903</v>
      </c>
      <c r="O7" s="4">
        <v>0.38040813566199472</v>
      </c>
      <c r="P7" s="4">
        <v>1.21</v>
      </c>
      <c r="Q7" s="4">
        <v>0.4114470620183745</v>
      </c>
    </row>
    <row r="8" spans="1:20" x14ac:dyDescent="0.2">
      <c r="B8" t="s">
        <v>3052</v>
      </c>
      <c r="C8" s="4">
        <v>1</v>
      </c>
      <c r="D8" s="4">
        <v>7.75</v>
      </c>
      <c r="E8" s="4">
        <v>7.75</v>
      </c>
      <c r="F8" s="4">
        <v>7.75</v>
      </c>
      <c r="G8" s="4" t="e">
        <v>#DIV/0!</v>
      </c>
      <c r="H8" s="4">
        <v>2</v>
      </c>
      <c r="I8" s="4">
        <v>19.2</v>
      </c>
      <c r="J8" s="4">
        <v>11.35</v>
      </c>
      <c r="K8" s="4">
        <v>27.05</v>
      </c>
      <c r="L8" s="4">
        <v>11.101576464628796</v>
      </c>
      <c r="M8" s="4">
        <v>2</v>
      </c>
      <c r="N8" s="4">
        <v>37.225000000000001</v>
      </c>
      <c r="O8" s="4">
        <v>35</v>
      </c>
      <c r="P8" s="4">
        <v>39.450000000000003</v>
      </c>
      <c r="Q8" s="4">
        <v>3.1466251762801192</v>
      </c>
    </row>
    <row r="9" spans="1:20" x14ac:dyDescent="0.2">
      <c r="B9" t="s">
        <v>1928</v>
      </c>
      <c r="C9" s="4">
        <v>2</v>
      </c>
      <c r="D9" s="4">
        <v>3.5678062678062679</v>
      </c>
      <c r="E9" s="4">
        <v>2.8740740740740738</v>
      </c>
      <c r="F9" s="4">
        <v>4.2615384615384615</v>
      </c>
      <c r="G9" s="4">
        <v>0.98108547703090598</v>
      </c>
      <c r="H9" s="4">
        <v>3</v>
      </c>
      <c r="I9" s="4">
        <v>6.2790801790801787</v>
      </c>
      <c r="J9" s="4">
        <v>3.2888888888888888</v>
      </c>
      <c r="K9" s="4">
        <v>10.671428571428571</v>
      </c>
      <c r="L9" s="4">
        <v>3.8858726748846881</v>
      </c>
      <c r="M9" s="4">
        <v>3</v>
      </c>
      <c r="N9" s="4">
        <v>12.608021978021975</v>
      </c>
      <c r="O9" s="4">
        <v>8.6</v>
      </c>
      <c r="P9" s="4">
        <v>16.676923076923075</v>
      </c>
      <c r="Q9" s="4">
        <v>4.0388056771962173</v>
      </c>
    </row>
    <row r="10" spans="1:20" x14ac:dyDescent="0.2">
      <c r="B10" t="s">
        <v>2020</v>
      </c>
      <c r="C10" s="4">
        <v>92</v>
      </c>
      <c r="D10" s="4">
        <v>0.5297185743862759</v>
      </c>
      <c r="E10" s="4">
        <v>6.1224489795918366E-2</v>
      </c>
      <c r="F10" s="4">
        <v>2.7210884353741496</v>
      </c>
      <c r="G10" s="4">
        <v>0.40891759792692239</v>
      </c>
      <c r="H10" s="4">
        <v>44</v>
      </c>
      <c r="I10" s="4">
        <v>0.77988901978973402</v>
      </c>
      <c r="J10" s="4">
        <v>8.8435374149659865E-2</v>
      </c>
      <c r="K10" s="4">
        <v>4.5605442176870747</v>
      </c>
      <c r="L10" s="4">
        <v>0.79168603453409458</v>
      </c>
      <c r="M10" s="4">
        <v>50</v>
      </c>
      <c r="N10" s="4">
        <v>1.8211145823129251</v>
      </c>
      <c r="O10" s="4">
        <v>0.39863945578231291</v>
      </c>
      <c r="P10" s="4">
        <v>6.1414965986394563</v>
      </c>
      <c r="Q10" s="4">
        <v>1.0262060936723976</v>
      </c>
    </row>
    <row r="11" spans="1:20" x14ac:dyDescent="0.2">
      <c r="B11" t="s">
        <v>2050</v>
      </c>
      <c r="C11" s="4">
        <v>1</v>
      </c>
      <c r="D11" s="4">
        <v>0.26400000000000001</v>
      </c>
      <c r="E11" s="4">
        <v>0.26400000000000001</v>
      </c>
      <c r="F11" s="4">
        <v>0.26400000000000001</v>
      </c>
      <c r="G11" s="4" t="e">
        <v>#DIV/0!</v>
      </c>
      <c r="H11" s="4">
        <v>1</v>
      </c>
      <c r="I11" s="4">
        <v>0.33160000000000001</v>
      </c>
      <c r="J11" s="4">
        <v>0.33160000000000001</v>
      </c>
      <c r="K11" s="4">
        <v>0.33160000000000001</v>
      </c>
      <c r="L11" s="4" t="e">
        <v>#DIV/0!</v>
      </c>
      <c r="M11" s="4">
        <v>1</v>
      </c>
      <c r="N11" s="4">
        <v>0.62159999999999993</v>
      </c>
      <c r="O11" s="4">
        <v>0.62159999999999993</v>
      </c>
      <c r="P11" s="4">
        <v>0.62159999999999993</v>
      </c>
      <c r="Q11" s="4" t="e">
        <v>#DIV/0!</v>
      </c>
    </row>
    <row r="12" spans="1:20" x14ac:dyDescent="0.2">
      <c r="B12" t="s">
        <v>3065</v>
      </c>
      <c r="C12" s="4">
        <v>0</v>
      </c>
      <c r="D12" s="4" t="e">
        <v>#DIV/0!</v>
      </c>
      <c r="E12" s="4">
        <v>0</v>
      </c>
      <c r="F12" s="4">
        <v>0</v>
      </c>
      <c r="G12" s="4" t="e">
        <v>#DIV/0!</v>
      </c>
      <c r="H12" s="4">
        <v>0</v>
      </c>
      <c r="I12" s="4" t="e">
        <v>#DIV/0!</v>
      </c>
      <c r="J12" s="4">
        <v>0</v>
      </c>
      <c r="K12" s="4">
        <v>0</v>
      </c>
      <c r="L12" s="4" t="e">
        <v>#DIV/0!</v>
      </c>
      <c r="M12" s="4">
        <v>1</v>
      </c>
      <c r="N12" s="4">
        <v>4</v>
      </c>
      <c r="O12" s="4">
        <v>4</v>
      </c>
      <c r="P12" s="4">
        <v>4</v>
      </c>
      <c r="Q12" s="4" t="e">
        <v>#DIV/0!</v>
      </c>
    </row>
    <row r="13" spans="1:20" x14ac:dyDescent="0.2">
      <c r="B13" t="s">
        <v>2808</v>
      </c>
      <c r="C13" s="4">
        <v>4</v>
      </c>
      <c r="D13" s="4">
        <v>0.67786347517730494</v>
      </c>
      <c r="E13" s="4">
        <v>0.65957446808510645</v>
      </c>
      <c r="F13" s="4">
        <v>0.70382978723404255</v>
      </c>
      <c r="G13" s="4">
        <v>1.8619967683090689E-2</v>
      </c>
      <c r="H13" s="4">
        <v>3</v>
      </c>
      <c r="I13" s="4">
        <v>2.1711347517730499</v>
      </c>
      <c r="J13" s="4">
        <v>1.6308510638297875</v>
      </c>
      <c r="K13" s="4">
        <v>2.8019858156028374</v>
      </c>
      <c r="L13" s="4">
        <v>0.59079691001549584</v>
      </c>
      <c r="M13" s="4">
        <v>4</v>
      </c>
      <c r="N13" s="4">
        <v>3.1893528368794328</v>
      </c>
      <c r="O13" s="4">
        <v>2.2450000000000001</v>
      </c>
      <c r="P13" s="4">
        <v>4.212765957446809</v>
      </c>
      <c r="Q13" s="4">
        <v>1.0115933152574541</v>
      </c>
    </row>
    <row r="14" spans="1:20" x14ac:dyDescent="0.2">
      <c r="B14" t="s">
        <v>3064</v>
      </c>
      <c r="C14" s="4">
        <v>7</v>
      </c>
      <c r="D14" s="4">
        <v>0.28010665420037439</v>
      </c>
      <c r="E14" s="4">
        <v>0.10305343511450381</v>
      </c>
      <c r="F14" s="4">
        <v>0.54616135235076602</v>
      </c>
      <c r="G14" s="4">
        <v>0.20037263114282905</v>
      </c>
      <c r="H14" s="4">
        <v>5</v>
      </c>
      <c r="I14" s="4">
        <v>0.50938628992632562</v>
      </c>
      <c r="J14" s="4">
        <v>0.17080152671755722</v>
      </c>
      <c r="K14" s="4">
        <v>0.8129553523507661</v>
      </c>
      <c r="L14" s="4">
        <v>0.2724524805172428</v>
      </c>
      <c r="M14" s="4">
        <v>5</v>
      </c>
      <c r="N14" s="4">
        <v>0.75025561534460017</v>
      </c>
      <c r="O14" s="4">
        <v>0.40458015267175568</v>
      </c>
      <c r="P14" s="4">
        <v>0.9732614896988907</v>
      </c>
      <c r="Q14" s="4">
        <v>0.22904828704662894</v>
      </c>
      <c r="T14">
        <f>CONFIDENCE(0.1,L14,H14)</f>
        <v>0.2004162911235797</v>
      </c>
    </row>
    <row r="15" spans="1:20" x14ac:dyDescent="0.2">
      <c r="B15" t="s">
        <v>3066</v>
      </c>
      <c r="C15" s="4">
        <v>0</v>
      </c>
      <c r="D15" s="4" t="e">
        <v>#DIV/0!</v>
      </c>
      <c r="E15" s="4">
        <v>0</v>
      </c>
      <c r="F15" s="4">
        <v>0</v>
      </c>
      <c r="G15" s="4" t="e">
        <v>#DIV/0!</v>
      </c>
      <c r="H15" s="4">
        <v>0</v>
      </c>
      <c r="I15" s="4" t="e">
        <v>#DIV/0!</v>
      </c>
      <c r="J15" s="4">
        <v>0</v>
      </c>
      <c r="K15" s="4">
        <v>0</v>
      </c>
      <c r="L15" s="4" t="e">
        <v>#DIV/0!</v>
      </c>
      <c r="M15" s="4">
        <v>1</v>
      </c>
      <c r="N15" s="4">
        <v>5.7</v>
      </c>
      <c r="O15" s="4">
        <v>5.7</v>
      </c>
      <c r="P15" s="4">
        <v>5.7</v>
      </c>
      <c r="Q15" s="4" t="e">
        <v>#DIV/0!</v>
      </c>
    </row>
    <row r="16" spans="1:20" x14ac:dyDescent="0.2">
      <c r="B16" t="s">
        <v>2272</v>
      </c>
      <c r="C16" s="4">
        <v>1</v>
      </c>
      <c r="D16" s="4">
        <v>9.2999999999999999E-2</v>
      </c>
      <c r="E16" s="4">
        <v>9.2999999999999999E-2</v>
      </c>
      <c r="F16" s="4">
        <v>9.2999999999999999E-2</v>
      </c>
      <c r="G16" s="4" t="e">
        <v>#DIV/0!</v>
      </c>
      <c r="H16" s="4">
        <v>3</v>
      </c>
      <c r="I16" s="4">
        <v>0.25832333333333329</v>
      </c>
      <c r="J16" s="4">
        <v>0.15309</v>
      </c>
      <c r="K16" s="4">
        <v>0.45300000000000001</v>
      </c>
      <c r="L16" s="4">
        <v>0.16877969200509091</v>
      </c>
      <c r="M16" s="4">
        <v>7</v>
      </c>
      <c r="N16" s="4">
        <v>0.56404333333333334</v>
      </c>
      <c r="O16" s="4">
        <v>0.15309</v>
      </c>
      <c r="P16" s="4">
        <v>0.89</v>
      </c>
      <c r="Q16" s="4">
        <v>0.29104303055275743</v>
      </c>
    </row>
    <row r="17" spans="1:17" x14ac:dyDescent="0.2">
      <c r="B17" t="s">
        <v>1028</v>
      </c>
      <c r="C17" s="4">
        <v>0</v>
      </c>
      <c r="D17" s="4" t="e">
        <v>#DIV/0!</v>
      </c>
      <c r="E17" s="4">
        <v>0</v>
      </c>
      <c r="F17" s="4">
        <v>0</v>
      </c>
      <c r="G17" s="4" t="e">
        <v>#DIV/0!</v>
      </c>
      <c r="H17" s="4">
        <v>0</v>
      </c>
      <c r="I17" s="4" t="e">
        <v>#DIV/0!</v>
      </c>
      <c r="J17" s="4">
        <v>0</v>
      </c>
      <c r="K17" s="4">
        <v>0</v>
      </c>
      <c r="L17" s="4" t="e">
        <v>#DIV/0!</v>
      </c>
      <c r="M17" s="4">
        <v>4</v>
      </c>
      <c r="N17" s="4">
        <v>0.19126337645743494</v>
      </c>
      <c r="O17" s="4">
        <v>0.17888516211467817</v>
      </c>
      <c r="P17" s="4">
        <v>0.20603737422137039</v>
      </c>
      <c r="Q17" s="4">
        <v>1.2328740006291718E-2</v>
      </c>
    </row>
    <row r="18" spans="1:17" x14ac:dyDescent="0.2">
      <c r="B18" t="s">
        <v>2305</v>
      </c>
      <c r="C18" s="4">
        <v>4</v>
      </c>
      <c r="D18" s="4">
        <v>1.7796428571428573</v>
      </c>
      <c r="E18" s="4">
        <v>1.07</v>
      </c>
      <c r="F18" s="4">
        <v>2.9142857142857146</v>
      </c>
      <c r="G18" s="4">
        <v>0.80096232511804388</v>
      </c>
      <c r="H18" s="4">
        <v>5</v>
      </c>
      <c r="I18" s="4">
        <v>3.8202857142857143</v>
      </c>
      <c r="J18" s="4">
        <v>1.1300000000000001</v>
      </c>
      <c r="K18" s="4">
        <v>6.6857142857142859</v>
      </c>
      <c r="L18" s="4">
        <v>2.4468664675874909</v>
      </c>
      <c r="M18" s="4">
        <v>5</v>
      </c>
      <c r="N18" s="4">
        <v>12.181428571428572</v>
      </c>
      <c r="O18" s="4">
        <v>4.32</v>
      </c>
      <c r="P18" s="4">
        <v>16.628571428571426</v>
      </c>
      <c r="Q18" s="4">
        <v>4.8011845902222667</v>
      </c>
    </row>
    <row r="19" spans="1:17" s="83" customFormat="1" x14ac:dyDescent="0.2">
      <c r="A19"/>
      <c r="B19" t="s">
        <v>2338</v>
      </c>
      <c r="C19" s="4">
        <v>0</v>
      </c>
      <c r="D19" s="4" t="e">
        <v>#DIV/0!</v>
      </c>
      <c r="E19" s="4">
        <v>0</v>
      </c>
      <c r="F19" s="4">
        <v>0</v>
      </c>
      <c r="G19" s="4" t="e">
        <v>#DIV/0!</v>
      </c>
      <c r="H19" s="4">
        <v>24</v>
      </c>
      <c r="I19" s="4">
        <v>8.8904616115864227E-3</v>
      </c>
      <c r="J19" s="4">
        <v>4.1376087425408015E-4</v>
      </c>
      <c r="K19" s="4">
        <v>1.0926977736237927E-2</v>
      </c>
      <c r="L19" s="4">
        <v>3.6804461408643384E-3</v>
      </c>
      <c r="M19" s="4">
        <v>24</v>
      </c>
      <c r="N19" s="4">
        <v>0.2904480262579785</v>
      </c>
      <c r="O19" s="4">
        <v>5.7804658853979424E-2</v>
      </c>
      <c r="P19" s="4">
        <v>1.3542190907565845</v>
      </c>
      <c r="Q19" s="4">
        <v>0.34336673882152069</v>
      </c>
    </row>
    <row r="20" spans="1:17" x14ac:dyDescent="0.2">
      <c r="B20" t="s">
        <v>2339</v>
      </c>
      <c r="C20" s="4">
        <v>0</v>
      </c>
      <c r="D20" s="4" t="e">
        <v>#DIV/0!</v>
      </c>
      <c r="E20" s="4">
        <v>0</v>
      </c>
      <c r="F20" s="4">
        <v>0</v>
      </c>
      <c r="G20" s="4" t="e">
        <v>#DIV/0!</v>
      </c>
      <c r="H20" s="4">
        <v>12</v>
      </c>
      <c r="I20" s="4">
        <v>4.6652447256372763E-4</v>
      </c>
      <c r="J20" s="4">
        <v>2.7919572459079257E-4</v>
      </c>
      <c r="K20" s="4">
        <v>7.2495027200613509E-4</v>
      </c>
      <c r="L20" s="4">
        <v>1.3263871323363659E-4</v>
      </c>
      <c r="M20" s="4">
        <v>12</v>
      </c>
      <c r="N20" s="4">
        <v>3.1955364632012852E-2</v>
      </c>
      <c r="O20" s="4">
        <v>1.2544156062022191E-3</v>
      </c>
      <c r="P20" s="4">
        <v>7.398926354638484E-2</v>
      </c>
      <c r="Q20" s="4">
        <v>1.8320690837865493E-2</v>
      </c>
    </row>
    <row r="21" spans="1:17" x14ac:dyDescent="0.2">
      <c r="A21" s="83" t="s">
        <v>2830</v>
      </c>
      <c r="B21" s="83"/>
      <c r="C21" s="84">
        <v>145</v>
      </c>
      <c r="D21" s="84">
        <v>0.55664306464857616</v>
      </c>
      <c r="E21" s="84">
        <v>3.8387715930902108E-2</v>
      </c>
      <c r="F21" s="84">
        <v>7.75</v>
      </c>
      <c r="G21" s="84">
        <v>0.83733221480207931</v>
      </c>
      <c r="H21" s="84">
        <v>132</v>
      </c>
      <c r="I21" s="84">
        <v>0.97722536704202934</v>
      </c>
      <c r="J21" s="84">
        <v>2.7919572459079257E-4</v>
      </c>
      <c r="K21" s="84">
        <v>27.05</v>
      </c>
      <c r="L21" s="84">
        <v>2.8369648532256964</v>
      </c>
      <c r="M21" s="84">
        <v>166</v>
      </c>
      <c r="N21" s="84">
        <v>2.0025512061950654</v>
      </c>
      <c r="O21" s="84">
        <v>1.2544156062022191E-3</v>
      </c>
      <c r="P21" s="84">
        <v>39.450000000000003</v>
      </c>
      <c r="Q21" s="84">
        <v>4.8022135140839231</v>
      </c>
    </row>
    <row r="22" spans="1:17" x14ac:dyDescent="0.2">
      <c r="A22" t="s">
        <v>259</v>
      </c>
      <c r="B22" t="s">
        <v>641</v>
      </c>
      <c r="C22" s="4">
        <v>1</v>
      </c>
      <c r="D22" s="4">
        <v>0.17100000000000001</v>
      </c>
      <c r="E22" s="4">
        <v>0.17100000000000001</v>
      </c>
      <c r="F22" s="4">
        <v>0.17100000000000001</v>
      </c>
      <c r="G22" s="4" t="e">
        <v>#DIV/0!</v>
      </c>
      <c r="H22" s="4">
        <v>0</v>
      </c>
      <c r="I22" s="4" t="e">
        <v>#DIV/0!</v>
      </c>
      <c r="J22" s="4">
        <v>0</v>
      </c>
      <c r="K22" s="4">
        <v>0</v>
      </c>
      <c r="L22" s="4" t="e">
        <v>#DIV/0!</v>
      </c>
      <c r="M22" s="4"/>
      <c r="N22" s="4"/>
      <c r="O22" s="4"/>
      <c r="P22" s="4"/>
      <c r="Q22" s="4"/>
    </row>
    <row r="23" spans="1:17" x14ac:dyDescent="0.2">
      <c r="B23" t="s">
        <v>260</v>
      </c>
      <c r="C23" s="4">
        <v>7</v>
      </c>
      <c r="D23" s="4">
        <v>0.62291171232142861</v>
      </c>
      <c r="E23" s="4">
        <v>0.4567740500000001</v>
      </c>
      <c r="F23" s="4">
        <v>0.80400000000000005</v>
      </c>
      <c r="G23" s="4">
        <v>0.1472242414978375</v>
      </c>
      <c r="H23" s="4">
        <v>7</v>
      </c>
      <c r="I23" s="4">
        <v>3.2292773783928572</v>
      </c>
      <c r="J23" s="4">
        <v>0.83251461999999998</v>
      </c>
      <c r="K23" s="4">
        <v>10.57</v>
      </c>
      <c r="L23" s="4">
        <v>4.0831111362957344</v>
      </c>
      <c r="M23" s="4">
        <v>8</v>
      </c>
      <c r="N23" s="4">
        <v>0.81933124999999996</v>
      </c>
      <c r="O23" s="4">
        <v>-0.56000000000000005</v>
      </c>
      <c r="P23" s="4">
        <v>1.5553375</v>
      </c>
      <c r="Q23" s="4">
        <v>0.89972895258794472</v>
      </c>
    </row>
    <row r="24" spans="1:17" x14ac:dyDescent="0.2">
      <c r="B24" t="s">
        <v>1271</v>
      </c>
      <c r="C24" s="4">
        <v>3</v>
      </c>
      <c r="D24" s="4">
        <v>0.46233333333333332</v>
      </c>
      <c r="E24" s="4">
        <v>0.15</v>
      </c>
      <c r="F24" s="4">
        <v>0.69599999999999995</v>
      </c>
      <c r="G24" s="4">
        <v>0.28137223269777933</v>
      </c>
      <c r="H24" s="4">
        <v>0</v>
      </c>
      <c r="I24" s="4" t="e">
        <v>#DIV/0!</v>
      </c>
      <c r="J24" s="4">
        <v>0</v>
      </c>
      <c r="K24" s="4">
        <v>0</v>
      </c>
      <c r="L24" s="4" t="e">
        <v>#DIV/0!</v>
      </c>
      <c r="M24" s="4"/>
      <c r="N24" s="4"/>
      <c r="O24" s="4"/>
      <c r="P24" s="4"/>
      <c r="Q24" s="4"/>
    </row>
    <row r="25" spans="1:17" x14ac:dyDescent="0.2">
      <c r="B25" t="s">
        <v>1200</v>
      </c>
      <c r="C25" s="4">
        <v>0</v>
      </c>
      <c r="D25" s="4" t="e">
        <v>#DIV/0!</v>
      </c>
      <c r="E25" s="4">
        <v>0</v>
      </c>
      <c r="F25" s="4">
        <v>0</v>
      </c>
      <c r="G25" s="4" t="e">
        <v>#DIV/0!</v>
      </c>
      <c r="H25" s="4">
        <v>0</v>
      </c>
      <c r="I25" s="4" t="e">
        <v>#DIV/0!</v>
      </c>
      <c r="J25" s="4">
        <v>0</v>
      </c>
      <c r="K25" s="4">
        <v>0</v>
      </c>
      <c r="L25" s="4" t="e">
        <v>#DIV/0!</v>
      </c>
      <c r="M25" s="4">
        <v>2</v>
      </c>
      <c r="N25" s="4">
        <v>5.74</v>
      </c>
      <c r="O25" s="4">
        <v>2.64</v>
      </c>
      <c r="P25" s="4">
        <v>8.84</v>
      </c>
      <c r="Q25" s="4">
        <v>4.3840620433565949</v>
      </c>
    </row>
    <row r="26" spans="1:17" x14ac:dyDescent="0.2">
      <c r="B26" t="s">
        <v>2430</v>
      </c>
      <c r="C26" s="4">
        <v>3</v>
      </c>
      <c r="D26" s="4">
        <v>0.40266666666666673</v>
      </c>
      <c r="E26" s="4">
        <v>0.25600000000000001</v>
      </c>
      <c r="F26" s="4">
        <v>0.622</v>
      </c>
      <c r="G26" s="4">
        <v>0.19351830232133937</v>
      </c>
      <c r="H26" s="4">
        <v>0</v>
      </c>
      <c r="I26" s="4" t="e">
        <v>#DIV/0!</v>
      </c>
      <c r="J26" s="4">
        <v>0</v>
      </c>
      <c r="K26" s="4">
        <v>0</v>
      </c>
      <c r="L26" s="4" t="e">
        <v>#DIV/0!</v>
      </c>
      <c r="M26" s="4"/>
      <c r="N26" s="4"/>
      <c r="O26" s="4"/>
      <c r="P26" s="4"/>
      <c r="Q26" s="4"/>
    </row>
    <row r="27" spans="1:17" x14ac:dyDescent="0.2">
      <c r="B27" t="s">
        <v>1934</v>
      </c>
      <c r="C27" s="4">
        <v>0</v>
      </c>
      <c r="D27" s="4" t="e">
        <v>#DIV/0!</v>
      </c>
      <c r="E27" s="4">
        <v>0</v>
      </c>
      <c r="F27" s="4">
        <v>0</v>
      </c>
      <c r="G27" s="4" t="e">
        <v>#DIV/0!</v>
      </c>
      <c r="H27" s="4">
        <v>1</v>
      </c>
      <c r="I27" s="4">
        <v>0.55000000000000004</v>
      </c>
      <c r="J27" s="4">
        <v>0.55000000000000004</v>
      </c>
      <c r="K27" s="4">
        <v>0.55000000000000004</v>
      </c>
      <c r="L27" s="4" t="e">
        <v>#DIV/0!</v>
      </c>
      <c r="M27" s="4">
        <v>1</v>
      </c>
      <c r="N27" s="4">
        <v>0.55000000000000004</v>
      </c>
      <c r="O27" s="4">
        <v>0.55000000000000004</v>
      </c>
      <c r="P27" s="4">
        <v>0.55000000000000004</v>
      </c>
      <c r="Q27" s="4" t="e">
        <v>#DIV/0!</v>
      </c>
    </row>
    <row r="28" spans="1:17" x14ac:dyDescent="0.2">
      <c r="B28" t="s">
        <v>1936</v>
      </c>
      <c r="C28" s="4">
        <v>0</v>
      </c>
      <c r="D28" s="4" t="e">
        <v>#DIV/0!</v>
      </c>
      <c r="E28" s="4">
        <v>0</v>
      </c>
      <c r="F28" s="4">
        <v>0</v>
      </c>
      <c r="G28" s="4" t="e">
        <v>#DIV/0!</v>
      </c>
      <c r="H28" s="4">
        <v>0</v>
      </c>
      <c r="I28" s="4" t="e">
        <v>#DIV/0!</v>
      </c>
      <c r="J28" s="4">
        <v>0</v>
      </c>
      <c r="K28" s="4">
        <v>0</v>
      </c>
      <c r="L28" s="4" t="e">
        <v>#DIV/0!</v>
      </c>
      <c r="M28" s="4"/>
      <c r="N28" s="4"/>
      <c r="O28" s="4"/>
      <c r="P28" s="4"/>
      <c r="Q28" s="4"/>
    </row>
    <row r="29" spans="1:17" x14ac:dyDescent="0.2">
      <c r="B29" t="s">
        <v>3053</v>
      </c>
      <c r="C29" s="4">
        <v>0</v>
      </c>
      <c r="D29" s="4" t="e">
        <v>#DIV/0!</v>
      </c>
      <c r="E29" s="4">
        <v>0</v>
      </c>
      <c r="F29" s="4">
        <v>0</v>
      </c>
      <c r="G29" s="4" t="e">
        <v>#DIV/0!</v>
      </c>
      <c r="H29" s="4">
        <v>1</v>
      </c>
      <c r="I29" s="4">
        <v>0.76</v>
      </c>
      <c r="J29" s="4">
        <v>0.76</v>
      </c>
      <c r="K29" s="4">
        <v>0.76</v>
      </c>
      <c r="L29" s="4" t="e">
        <v>#DIV/0!</v>
      </c>
      <c r="M29" s="4">
        <v>1</v>
      </c>
      <c r="N29" s="4">
        <v>0.76</v>
      </c>
      <c r="O29" s="4">
        <v>0.76</v>
      </c>
      <c r="P29" s="4">
        <v>0.76</v>
      </c>
      <c r="Q29" s="4" t="e">
        <v>#DIV/0!</v>
      </c>
    </row>
    <row r="30" spans="1:17" x14ac:dyDescent="0.2">
      <c r="B30" t="s">
        <v>2083</v>
      </c>
      <c r="C30" s="4">
        <v>1</v>
      </c>
      <c r="D30" s="4">
        <v>0.47</v>
      </c>
      <c r="E30" s="4">
        <v>0.47</v>
      </c>
      <c r="F30" s="4">
        <v>0.47</v>
      </c>
      <c r="G30" s="4" t="e">
        <v>#DIV/0!</v>
      </c>
      <c r="H30" s="4">
        <v>0</v>
      </c>
      <c r="I30" s="4" t="e">
        <v>#DIV/0!</v>
      </c>
      <c r="J30" s="4">
        <v>0</v>
      </c>
      <c r="K30" s="4">
        <v>0</v>
      </c>
      <c r="L30" s="4" t="e">
        <v>#DIV/0!</v>
      </c>
      <c r="M30" s="4"/>
      <c r="N30" s="4"/>
      <c r="O30" s="4"/>
      <c r="P30" s="4"/>
      <c r="Q30" s="4"/>
    </row>
    <row r="31" spans="1:17" x14ac:dyDescent="0.2">
      <c r="B31" t="s">
        <v>2093</v>
      </c>
      <c r="C31" s="4">
        <v>0</v>
      </c>
      <c r="D31" s="4" t="e">
        <v>#DIV/0!</v>
      </c>
      <c r="E31" s="4">
        <v>0</v>
      </c>
      <c r="F31" s="4">
        <v>0</v>
      </c>
      <c r="G31" s="4" t="e">
        <v>#DIV/0!</v>
      </c>
      <c r="H31" s="4">
        <v>2</v>
      </c>
      <c r="I31" s="4">
        <v>0.49838499999999997</v>
      </c>
      <c r="J31" s="4">
        <v>0.47300999999999999</v>
      </c>
      <c r="K31" s="4">
        <v>0.52376</v>
      </c>
      <c r="L31" s="4">
        <v>3.588566914521818E-2</v>
      </c>
      <c r="M31" s="4">
        <v>2</v>
      </c>
      <c r="N31" s="4">
        <v>0.49838499999999997</v>
      </c>
      <c r="O31" s="4">
        <v>0.47300999999999999</v>
      </c>
      <c r="P31" s="4">
        <v>0.52376</v>
      </c>
      <c r="Q31" s="4">
        <v>3.588566914521818E-2</v>
      </c>
    </row>
    <row r="32" spans="1:17" s="83" customFormat="1" x14ac:dyDescent="0.2">
      <c r="A32"/>
      <c r="B32" t="s">
        <v>2094</v>
      </c>
      <c r="C32" s="4">
        <v>4</v>
      </c>
      <c r="D32" s="4">
        <v>0.47382249999999998</v>
      </c>
      <c r="E32" s="4">
        <v>0.36201</v>
      </c>
      <c r="F32" s="4">
        <v>0.65051999999999999</v>
      </c>
      <c r="G32" s="4">
        <v>0.125787230505856</v>
      </c>
      <c r="H32" s="4">
        <v>0</v>
      </c>
      <c r="I32" s="4" t="e">
        <v>#DIV/0!</v>
      </c>
      <c r="J32" s="4">
        <v>0</v>
      </c>
      <c r="K32" s="4">
        <v>0</v>
      </c>
      <c r="L32" s="4" t="e">
        <v>#DIV/0!</v>
      </c>
      <c r="M32" s="4">
        <v>1</v>
      </c>
      <c r="N32" s="4">
        <v>0.83399999999999996</v>
      </c>
      <c r="O32" s="4">
        <v>0.83399999999999996</v>
      </c>
      <c r="P32" s="4">
        <v>0.83399999999999996</v>
      </c>
      <c r="Q32" s="4" t="e">
        <v>#DIV/0!</v>
      </c>
    </row>
    <row r="33" spans="1:17" x14ac:dyDescent="0.2">
      <c r="B33" t="s">
        <v>3579</v>
      </c>
      <c r="C33" s="4">
        <v>1</v>
      </c>
      <c r="D33" s="4">
        <v>0.91971728887277993</v>
      </c>
      <c r="E33" s="4">
        <v>0.91971728887277993</v>
      </c>
      <c r="F33" s="4">
        <v>0.91971728887277993</v>
      </c>
      <c r="G33" s="4" t="e">
        <v>#DIV/0!</v>
      </c>
      <c r="H33" s="4">
        <v>1</v>
      </c>
      <c r="I33" s="4">
        <v>1.134650235592606</v>
      </c>
      <c r="J33" s="4">
        <v>1.134650235592606</v>
      </c>
      <c r="K33" s="4">
        <v>1.134650235592606</v>
      </c>
      <c r="L33" s="4" t="e">
        <v>#DIV/0!</v>
      </c>
      <c r="M33" s="4">
        <v>1</v>
      </c>
      <c r="N33" s="4">
        <v>1.2776368249365713</v>
      </c>
      <c r="O33" s="4">
        <v>1.2776368249365713</v>
      </c>
      <c r="P33" s="4">
        <v>1.2776368249365713</v>
      </c>
      <c r="Q33" s="4" t="e">
        <v>#DIV/0!</v>
      </c>
    </row>
    <row r="34" spans="1:17" x14ac:dyDescent="0.2">
      <c r="B34" t="s">
        <v>513</v>
      </c>
      <c r="C34" s="4">
        <v>3</v>
      </c>
      <c r="D34" s="4">
        <v>1.5766666666666669</v>
      </c>
      <c r="E34" s="4">
        <v>1.4</v>
      </c>
      <c r="F34" s="4">
        <v>1.71</v>
      </c>
      <c r="G34" s="4">
        <v>0.15947831618540803</v>
      </c>
      <c r="H34" s="4">
        <v>0</v>
      </c>
      <c r="I34" s="4" t="e">
        <v>#DIV/0!</v>
      </c>
      <c r="J34" s="4">
        <v>0</v>
      </c>
      <c r="K34" s="4">
        <v>0</v>
      </c>
      <c r="L34" s="4" t="e">
        <v>#DIV/0!</v>
      </c>
      <c r="M34" s="4"/>
      <c r="N34" s="4"/>
      <c r="O34" s="4"/>
      <c r="P34" s="4"/>
      <c r="Q34" s="4"/>
    </row>
    <row r="35" spans="1:17" x14ac:dyDescent="0.2">
      <c r="B35" t="s">
        <v>2235</v>
      </c>
      <c r="C35" s="4">
        <v>0</v>
      </c>
      <c r="D35" s="4" t="e">
        <v>#DIV/0!</v>
      </c>
      <c r="E35" s="4">
        <v>0</v>
      </c>
      <c r="F35" s="4">
        <v>0</v>
      </c>
      <c r="G35" s="4" t="e">
        <v>#DIV/0!</v>
      </c>
      <c r="H35" s="4">
        <v>1</v>
      </c>
      <c r="I35" s="4">
        <v>1.3567</v>
      </c>
      <c r="J35" s="4">
        <v>1.3567</v>
      </c>
      <c r="K35" s="4">
        <v>1.3567</v>
      </c>
      <c r="L35" s="4" t="e">
        <v>#DIV/0!</v>
      </c>
      <c r="M35" s="4">
        <v>1</v>
      </c>
      <c r="N35" s="4">
        <v>1.3567</v>
      </c>
      <c r="O35" s="4">
        <v>1.3567</v>
      </c>
      <c r="P35" s="4">
        <v>1.3567</v>
      </c>
      <c r="Q35" s="4" t="e">
        <v>#DIV/0!</v>
      </c>
    </row>
    <row r="36" spans="1:17" x14ac:dyDescent="0.2">
      <c r="B36" t="s">
        <v>2236</v>
      </c>
      <c r="C36" s="4">
        <v>12</v>
      </c>
      <c r="D36" s="4">
        <v>2.0609339082246336</v>
      </c>
      <c r="E36" s="4">
        <v>0.15426615384615386</v>
      </c>
      <c r="F36" s="4">
        <v>5.55</v>
      </c>
      <c r="G36" s="4">
        <v>1.650151605839224</v>
      </c>
      <c r="H36" s="4">
        <v>2</v>
      </c>
      <c r="I36" s="4">
        <v>0.24508339997561868</v>
      </c>
      <c r="J36" s="4">
        <v>0.21488153846153848</v>
      </c>
      <c r="K36" s="4">
        <v>0.2752852614896989</v>
      </c>
      <c r="L36" s="4">
        <v>4.2711882162126291E-2</v>
      </c>
      <c r="M36" s="4">
        <v>3</v>
      </c>
      <c r="N36" s="4">
        <v>0.74711650209273028</v>
      </c>
      <c r="O36" s="4">
        <v>0.30307692307692308</v>
      </c>
      <c r="P36" s="4">
        <v>1.55</v>
      </c>
      <c r="Q36" s="4">
        <v>0.69662113701413442</v>
      </c>
    </row>
    <row r="37" spans="1:17" x14ac:dyDescent="0.2">
      <c r="B37" t="s">
        <v>2239</v>
      </c>
      <c r="C37" s="4">
        <v>9</v>
      </c>
      <c r="D37" s="4">
        <v>1.3844547103542599</v>
      </c>
      <c r="E37" s="4">
        <v>0.17907765451664026</v>
      </c>
      <c r="F37" s="4">
        <v>4.58</v>
      </c>
      <c r="G37" s="4">
        <v>1.4987205001646833</v>
      </c>
      <c r="H37" s="4">
        <v>8</v>
      </c>
      <c r="I37" s="4">
        <v>1.540643545130288</v>
      </c>
      <c r="J37" s="4">
        <v>0.2494421553090333</v>
      </c>
      <c r="K37" s="4">
        <v>4.76</v>
      </c>
      <c r="L37" s="4">
        <v>1.6219269893594999</v>
      </c>
      <c r="M37" s="4">
        <v>8</v>
      </c>
      <c r="N37" s="4">
        <v>1.8724718549087276</v>
      </c>
      <c r="O37" s="4">
        <v>0.35182250396196513</v>
      </c>
      <c r="P37" s="4">
        <v>6.6150000000000002</v>
      </c>
      <c r="Q37" s="4">
        <v>2.1559446188800941</v>
      </c>
    </row>
    <row r="38" spans="1:17" x14ac:dyDescent="0.2">
      <c r="B38" t="s">
        <v>2242</v>
      </c>
      <c r="C38" s="4">
        <v>0</v>
      </c>
      <c r="D38" s="4" t="e">
        <v>#DIV/0!</v>
      </c>
      <c r="E38" s="4">
        <v>0</v>
      </c>
      <c r="F38" s="4">
        <v>0</v>
      </c>
      <c r="G38" s="4" t="e">
        <v>#DIV/0!</v>
      </c>
      <c r="H38" s="4">
        <v>3</v>
      </c>
      <c r="I38" s="4">
        <v>0.41778048333333334</v>
      </c>
      <c r="J38" s="4">
        <v>0.39468321000000001</v>
      </c>
      <c r="K38" s="4">
        <v>0.43798810999999999</v>
      </c>
      <c r="L38" s="4">
        <v>2.179658538386561E-2</v>
      </c>
      <c r="M38" s="4">
        <v>3</v>
      </c>
      <c r="N38" s="4">
        <v>0.41778048333333334</v>
      </c>
      <c r="O38" s="4">
        <v>0.39468321000000001</v>
      </c>
      <c r="P38" s="4">
        <v>0.43798810999999999</v>
      </c>
      <c r="Q38" s="4">
        <v>2.179658538386561E-2</v>
      </c>
    </row>
    <row r="39" spans="1:17" x14ac:dyDescent="0.2">
      <c r="B39" t="s">
        <v>2243</v>
      </c>
      <c r="C39" s="4">
        <v>20</v>
      </c>
      <c r="D39" s="4">
        <v>0.385175779</v>
      </c>
      <c r="E39" s="4">
        <v>0.20081935000000001</v>
      </c>
      <c r="F39" s="4">
        <v>1.0864594999999999</v>
      </c>
      <c r="G39" s="4">
        <v>0.18272507972769947</v>
      </c>
      <c r="H39" s="4">
        <v>0</v>
      </c>
      <c r="I39" s="4" t="e">
        <v>#DIV/0!</v>
      </c>
      <c r="J39" s="4">
        <v>0</v>
      </c>
      <c r="K39" s="4">
        <v>0</v>
      </c>
      <c r="L39" s="4" t="e">
        <v>#DIV/0!</v>
      </c>
      <c r="M39" s="4"/>
      <c r="N39" s="4"/>
      <c r="O39" s="4"/>
      <c r="P39" s="4"/>
      <c r="Q39" s="4"/>
    </row>
    <row r="40" spans="1:17" x14ac:dyDescent="0.2">
      <c r="B40" t="s">
        <v>2348</v>
      </c>
      <c r="C40" s="4">
        <v>2</v>
      </c>
      <c r="D40" s="4">
        <v>0.26119402985074625</v>
      </c>
      <c r="E40" s="4">
        <v>0.23880597014925373</v>
      </c>
      <c r="F40" s="4">
        <v>0.28358208955223879</v>
      </c>
      <c r="G40" s="4">
        <v>3.1661497665069517E-2</v>
      </c>
      <c r="H40" s="4">
        <v>3</v>
      </c>
      <c r="I40" s="4">
        <v>0.35789944666666668</v>
      </c>
      <c r="J40" s="4">
        <v>0.35133746999999999</v>
      </c>
      <c r="K40" s="4">
        <v>0.37024625999999999</v>
      </c>
      <c r="L40" s="4">
        <v>1.0699711970936575E-2</v>
      </c>
      <c r="M40" s="4">
        <v>5</v>
      </c>
      <c r="N40" s="4">
        <v>0.40279936949253725</v>
      </c>
      <c r="O40" s="4">
        <v>0.35133746999999999</v>
      </c>
      <c r="P40" s="4">
        <v>0.4925373134328358</v>
      </c>
      <c r="Q40" s="4">
        <v>6.3936376833117911E-2</v>
      </c>
    </row>
    <row r="41" spans="1:17" x14ac:dyDescent="0.2">
      <c r="B41" t="s">
        <v>2351</v>
      </c>
      <c r="C41" s="4">
        <v>19</v>
      </c>
      <c r="D41" s="4">
        <v>0.3467578947368421</v>
      </c>
      <c r="E41" s="4">
        <v>0.04</v>
      </c>
      <c r="F41" s="4">
        <v>0.8</v>
      </c>
      <c r="G41" s="4">
        <v>0.1880892882406576</v>
      </c>
      <c r="H41" s="4">
        <v>1</v>
      </c>
      <c r="I41" s="4">
        <v>0.52</v>
      </c>
      <c r="J41" s="4">
        <v>0.52</v>
      </c>
      <c r="K41" s="4">
        <v>0.52</v>
      </c>
      <c r="L41" s="4" t="e">
        <v>#DIV/0!</v>
      </c>
      <c r="M41" s="4">
        <v>1</v>
      </c>
      <c r="N41" s="4">
        <v>1.0610000000000002</v>
      </c>
      <c r="O41" s="4">
        <v>1.0610000000000002</v>
      </c>
      <c r="P41" s="4">
        <v>1.0610000000000002</v>
      </c>
      <c r="Q41" s="4" t="e">
        <v>#DIV/0!</v>
      </c>
    </row>
    <row r="42" spans="1:17" x14ac:dyDescent="0.2">
      <c r="A42" s="83" t="s">
        <v>2831</v>
      </c>
      <c r="B42" s="83"/>
      <c r="C42" s="84">
        <v>85</v>
      </c>
      <c r="D42" s="84">
        <v>0.78996461419656749</v>
      </c>
      <c r="E42" s="84">
        <v>0.04</v>
      </c>
      <c r="F42" s="84">
        <v>5.55</v>
      </c>
      <c r="G42" s="84">
        <v>0.99711433615856626</v>
      </c>
      <c r="H42" s="84">
        <v>30</v>
      </c>
      <c r="I42" s="84">
        <v>1.4355138945112047</v>
      </c>
      <c r="J42" s="84">
        <v>0.21488153846153848</v>
      </c>
      <c r="K42" s="84">
        <v>10.57</v>
      </c>
      <c r="L42" s="84">
        <v>2.307545748305682</v>
      </c>
      <c r="M42" s="84">
        <v>37</v>
      </c>
      <c r="N42" s="84">
        <v>1.2259248504850611</v>
      </c>
      <c r="O42" s="84">
        <v>-0.56000000000000005</v>
      </c>
      <c r="P42" s="84">
        <v>8.84</v>
      </c>
      <c r="Q42" s="84">
        <v>1.7622650321883355</v>
      </c>
    </row>
    <row r="43" spans="1:17" x14ac:dyDescent="0.2">
      <c r="A43" t="s">
        <v>11</v>
      </c>
      <c r="B43" t="s">
        <v>143</v>
      </c>
      <c r="C43" s="4">
        <v>1</v>
      </c>
      <c r="D43" s="4">
        <v>2.2599999999999998</v>
      </c>
      <c r="E43" s="4">
        <v>2.2599999999999998</v>
      </c>
      <c r="F43" s="4">
        <v>2.2599999999999998</v>
      </c>
      <c r="G43" s="4" t="e">
        <v>#DIV/0!</v>
      </c>
      <c r="H43" s="4">
        <v>1</v>
      </c>
      <c r="I43" s="4">
        <v>2.3499999999999996</v>
      </c>
      <c r="J43" s="4">
        <v>2.3499999999999996</v>
      </c>
      <c r="K43" s="4">
        <v>2.3499999999999996</v>
      </c>
      <c r="L43" s="4" t="e">
        <v>#DIV/0!</v>
      </c>
      <c r="M43" s="4">
        <v>6</v>
      </c>
      <c r="N43" s="4">
        <v>9.5775000000000006</v>
      </c>
      <c r="O43" s="4">
        <v>3.3699999999999992</v>
      </c>
      <c r="P43" s="4">
        <v>20.995000000000001</v>
      </c>
      <c r="Q43" s="4">
        <v>6.0010980245285115</v>
      </c>
    </row>
    <row r="44" spans="1:17" x14ac:dyDescent="0.2">
      <c r="B44" t="s">
        <v>443</v>
      </c>
      <c r="C44" s="4">
        <v>0</v>
      </c>
      <c r="D44" s="4" t="e">
        <v>#DIV/0!</v>
      </c>
      <c r="E44" s="4">
        <v>0</v>
      </c>
      <c r="F44" s="4">
        <v>0</v>
      </c>
      <c r="G44" s="4" t="e">
        <v>#DIV/0!</v>
      </c>
      <c r="H44" s="4">
        <v>0</v>
      </c>
      <c r="I44" s="4" t="e">
        <v>#DIV/0!</v>
      </c>
      <c r="J44" s="4">
        <v>0</v>
      </c>
      <c r="K44" s="4">
        <v>0</v>
      </c>
      <c r="L44" s="4" t="e">
        <v>#DIV/0!</v>
      </c>
      <c r="M44" s="4">
        <v>1</v>
      </c>
      <c r="N44" s="4">
        <v>9.99</v>
      </c>
      <c r="O44" s="4">
        <v>9.99</v>
      </c>
      <c r="P44" s="4">
        <v>9.99</v>
      </c>
      <c r="Q44" s="4" t="e">
        <v>#DIV/0!</v>
      </c>
    </row>
    <row r="45" spans="1:17" x14ac:dyDescent="0.2">
      <c r="B45" t="s">
        <v>426</v>
      </c>
      <c r="C45" s="4">
        <v>10</v>
      </c>
      <c r="D45" s="4">
        <v>7.6122700000000005</v>
      </c>
      <c r="E45" s="4">
        <v>1.2</v>
      </c>
      <c r="F45" s="4">
        <v>12.12</v>
      </c>
      <c r="G45" s="4">
        <v>3.1794825183597957</v>
      </c>
      <c r="H45" s="4">
        <v>7</v>
      </c>
      <c r="I45" s="4">
        <v>8.6071047619047629</v>
      </c>
      <c r="J45" s="4">
        <v>5.8</v>
      </c>
      <c r="K45" s="4">
        <v>12.35</v>
      </c>
      <c r="L45" s="4">
        <v>2.1118003559740299</v>
      </c>
      <c r="M45" s="4">
        <v>23</v>
      </c>
      <c r="N45" s="4">
        <v>8.8922173913043476</v>
      </c>
      <c r="O45" s="4">
        <v>5.3</v>
      </c>
      <c r="P45" s="4">
        <v>14.11</v>
      </c>
      <c r="Q45" s="4">
        <v>1.8749045056051075</v>
      </c>
    </row>
    <row r="46" spans="1:17" x14ac:dyDescent="0.2">
      <c r="B46" t="s">
        <v>436</v>
      </c>
      <c r="C46" s="4">
        <v>0</v>
      </c>
      <c r="D46" s="4" t="e">
        <v>#DIV/0!</v>
      </c>
      <c r="E46" s="4">
        <v>0</v>
      </c>
      <c r="F46" s="4">
        <v>0</v>
      </c>
      <c r="G46" s="4" t="e">
        <v>#DIV/0!</v>
      </c>
      <c r="H46" s="4">
        <v>0</v>
      </c>
      <c r="I46" s="4" t="e">
        <v>#DIV/0!</v>
      </c>
      <c r="J46" s="4">
        <v>0</v>
      </c>
      <c r="K46" s="4">
        <v>0</v>
      </c>
      <c r="L46" s="4" t="e">
        <v>#DIV/0!</v>
      </c>
      <c r="M46" s="4">
        <v>6</v>
      </c>
      <c r="N46" s="4">
        <v>8.6116666666666664</v>
      </c>
      <c r="O46" s="4">
        <v>7.27</v>
      </c>
      <c r="P46" s="4">
        <v>10.130000000000001</v>
      </c>
      <c r="Q46" s="4">
        <v>1.041890909196677</v>
      </c>
    </row>
    <row r="47" spans="1:17" x14ac:dyDescent="0.2">
      <c r="B47" t="s">
        <v>187</v>
      </c>
      <c r="C47" s="4">
        <v>0</v>
      </c>
      <c r="D47" s="4" t="e">
        <v>#DIV/0!</v>
      </c>
      <c r="E47" s="4">
        <v>0</v>
      </c>
      <c r="F47" s="4">
        <v>0</v>
      </c>
      <c r="G47" s="4" t="e">
        <v>#DIV/0!</v>
      </c>
      <c r="H47" s="4">
        <v>0</v>
      </c>
      <c r="I47" s="4" t="e">
        <v>#DIV/0!</v>
      </c>
      <c r="J47" s="4">
        <v>0</v>
      </c>
      <c r="K47" s="4">
        <v>0</v>
      </c>
      <c r="L47" s="4" t="e">
        <v>#DIV/0!</v>
      </c>
      <c r="M47" s="4">
        <v>1</v>
      </c>
      <c r="N47" s="4">
        <v>1.8</v>
      </c>
      <c r="O47" s="4">
        <v>1.8</v>
      </c>
      <c r="P47" s="4">
        <v>1.8</v>
      </c>
      <c r="Q47" s="4" t="e">
        <v>#DIV/0!</v>
      </c>
    </row>
    <row r="48" spans="1:17" x14ac:dyDescent="0.2">
      <c r="B48" t="s">
        <v>194</v>
      </c>
      <c r="C48" s="4">
        <v>0</v>
      </c>
      <c r="D48" s="4" t="e">
        <v>#DIV/0!</v>
      </c>
      <c r="E48" s="4">
        <v>0</v>
      </c>
      <c r="F48" s="4">
        <v>0</v>
      </c>
      <c r="G48" s="4" t="e">
        <v>#DIV/0!</v>
      </c>
      <c r="H48" s="4">
        <v>0</v>
      </c>
      <c r="I48" s="4" t="e">
        <v>#DIV/0!</v>
      </c>
      <c r="J48" s="4">
        <v>0</v>
      </c>
      <c r="K48" s="4">
        <v>0</v>
      </c>
      <c r="L48" s="4" t="e">
        <v>#DIV/0!</v>
      </c>
      <c r="M48" s="4">
        <v>1</v>
      </c>
      <c r="N48" s="4">
        <v>10.1</v>
      </c>
      <c r="O48" s="4">
        <v>10.1</v>
      </c>
      <c r="P48" s="4">
        <v>10.1</v>
      </c>
      <c r="Q48" s="4" t="e">
        <v>#DIV/0!</v>
      </c>
    </row>
    <row r="49" spans="1:17" x14ac:dyDescent="0.2">
      <c r="B49" t="s">
        <v>193</v>
      </c>
      <c r="C49" s="4">
        <v>0</v>
      </c>
      <c r="D49" s="4" t="e">
        <v>#DIV/0!</v>
      </c>
      <c r="E49" s="4">
        <v>0</v>
      </c>
      <c r="F49" s="4">
        <v>0</v>
      </c>
      <c r="G49" s="4" t="e">
        <v>#DIV/0!</v>
      </c>
      <c r="H49" s="4">
        <v>0</v>
      </c>
      <c r="I49" s="4" t="e">
        <v>#DIV/0!</v>
      </c>
      <c r="J49" s="4">
        <v>0</v>
      </c>
      <c r="K49" s="4">
        <v>0</v>
      </c>
      <c r="L49" s="4" t="e">
        <v>#DIV/0!</v>
      </c>
      <c r="M49" s="4">
        <v>1</v>
      </c>
      <c r="N49" s="4">
        <v>2.1</v>
      </c>
      <c r="O49" s="4">
        <v>2.1</v>
      </c>
      <c r="P49" s="4">
        <v>2.1</v>
      </c>
      <c r="Q49" s="4" t="e">
        <v>#DIV/0!</v>
      </c>
    </row>
    <row r="50" spans="1:17" x14ac:dyDescent="0.2">
      <c r="B50" t="s">
        <v>344</v>
      </c>
      <c r="C50" s="4">
        <v>2</v>
      </c>
      <c r="D50" s="4">
        <v>3.4550000000000001</v>
      </c>
      <c r="E50" s="4">
        <v>3.16</v>
      </c>
      <c r="F50" s="4">
        <v>3.75</v>
      </c>
      <c r="G50" s="4">
        <v>0.41719300090006439</v>
      </c>
      <c r="H50" s="4">
        <v>0</v>
      </c>
      <c r="I50" s="4" t="e">
        <v>#DIV/0!</v>
      </c>
      <c r="J50" s="4">
        <v>0</v>
      </c>
      <c r="K50" s="4">
        <v>0</v>
      </c>
      <c r="L50" s="4" t="e">
        <v>#DIV/0!</v>
      </c>
      <c r="M50" s="4">
        <v>1</v>
      </c>
      <c r="N50" s="4">
        <v>3.38</v>
      </c>
      <c r="O50" s="4">
        <v>3.38</v>
      </c>
      <c r="P50" s="4">
        <v>3.38</v>
      </c>
      <c r="Q50" s="4" t="e">
        <v>#DIV/0!</v>
      </c>
    </row>
    <row r="51" spans="1:17" x14ac:dyDescent="0.2">
      <c r="B51" t="s">
        <v>191</v>
      </c>
      <c r="C51" s="4">
        <v>0</v>
      </c>
      <c r="D51" s="4" t="e">
        <v>#DIV/0!</v>
      </c>
      <c r="E51" s="4">
        <v>0</v>
      </c>
      <c r="F51" s="4">
        <v>0</v>
      </c>
      <c r="G51" s="4" t="e">
        <v>#DIV/0!</v>
      </c>
      <c r="H51" s="4">
        <v>0</v>
      </c>
      <c r="I51" s="4" t="e">
        <v>#DIV/0!</v>
      </c>
      <c r="J51" s="4">
        <v>0</v>
      </c>
      <c r="K51" s="4">
        <v>0</v>
      </c>
      <c r="L51" s="4" t="e">
        <v>#DIV/0!</v>
      </c>
      <c r="M51" s="4">
        <v>1</v>
      </c>
      <c r="N51" s="4">
        <v>1.1000000000000001</v>
      </c>
      <c r="O51" s="4">
        <v>1.1000000000000001</v>
      </c>
      <c r="P51" s="4">
        <v>1.1000000000000001</v>
      </c>
      <c r="Q51" s="4" t="e">
        <v>#DIV/0!</v>
      </c>
    </row>
    <row r="52" spans="1:17" s="83" customFormat="1" x14ac:dyDescent="0.2">
      <c r="A52"/>
      <c r="B52" t="s">
        <v>195</v>
      </c>
      <c r="C52" s="4">
        <v>0</v>
      </c>
      <c r="D52" s="4" t="e">
        <v>#DIV/0!</v>
      </c>
      <c r="E52" s="4">
        <v>0</v>
      </c>
      <c r="F52" s="4">
        <v>0</v>
      </c>
      <c r="G52" s="4" t="e">
        <v>#DIV/0!</v>
      </c>
      <c r="H52" s="4">
        <v>0</v>
      </c>
      <c r="I52" s="4" t="e">
        <v>#DIV/0!</v>
      </c>
      <c r="J52" s="4">
        <v>0</v>
      </c>
      <c r="K52" s="4">
        <v>0</v>
      </c>
      <c r="L52" s="4" t="e">
        <v>#DIV/0!</v>
      </c>
      <c r="M52" s="4">
        <v>1</v>
      </c>
      <c r="N52" s="4">
        <v>3.1</v>
      </c>
      <c r="O52" s="4">
        <v>3.1</v>
      </c>
      <c r="P52" s="4">
        <v>3.1</v>
      </c>
      <c r="Q52" s="4" t="e">
        <v>#DIV/0!</v>
      </c>
    </row>
    <row r="53" spans="1:17" x14ac:dyDescent="0.2">
      <c r="B53" t="s">
        <v>12</v>
      </c>
      <c r="C53" s="4">
        <v>101</v>
      </c>
      <c r="D53" s="4">
        <v>1.8578176881427284</v>
      </c>
      <c r="E53" s="4">
        <v>0.21299999999999999</v>
      </c>
      <c r="F53" s="4">
        <v>14.3</v>
      </c>
      <c r="G53" s="4">
        <v>2.6615710386610991</v>
      </c>
      <c r="H53" s="4">
        <v>9</v>
      </c>
      <c r="I53" s="4">
        <v>1.3233105925925925</v>
      </c>
      <c r="J53" s="4">
        <v>0.94399999999999995</v>
      </c>
      <c r="K53" s="4">
        <v>1.734262</v>
      </c>
      <c r="L53" s="4">
        <v>0.32820469451153628</v>
      </c>
      <c r="M53" s="4">
        <v>27</v>
      </c>
      <c r="N53" s="4">
        <v>1.4356026390230814</v>
      </c>
      <c r="O53" s="4">
        <v>1</v>
      </c>
      <c r="P53" s="4">
        <v>2.79</v>
      </c>
      <c r="Q53" s="4">
        <v>0.47200255844422462</v>
      </c>
    </row>
    <row r="54" spans="1:17" s="83" customFormat="1" x14ac:dyDescent="0.2">
      <c r="A54"/>
      <c r="B54" t="s">
        <v>142</v>
      </c>
      <c r="C54" s="4">
        <v>0</v>
      </c>
      <c r="D54" s="4" t="e">
        <v>#DIV/0!</v>
      </c>
      <c r="E54" s="4">
        <v>0</v>
      </c>
      <c r="F54" s="4">
        <v>0</v>
      </c>
      <c r="G54" s="4" t="e">
        <v>#DIV/0!</v>
      </c>
      <c r="H54" s="4">
        <v>0</v>
      </c>
      <c r="I54" s="4" t="e">
        <v>#DIV/0!</v>
      </c>
      <c r="J54" s="4">
        <v>0</v>
      </c>
      <c r="K54" s="4">
        <v>0</v>
      </c>
      <c r="L54" s="4" t="e">
        <v>#DIV/0!</v>
      </c>
      <c r="M54" s="4">
        <v>2</v>
      </c>
      <c r="N54" s="4">
        <v>3.0625</v>
      </c>
      <c r="O54" s="4">
        <v>2.1</v>
      </c>
      <c r="P54" s="4">
        <v>4.0250000000000004</v>
      </c>
      <c r="Q54" s="4">
        <v>1.3611805537841049</v>
      </c>
    </row>
    <row r="55" spans="1:17" x14ac:dyDescent="0.2">
      <c r="B55" t="s">
        <v>425</v>
      </c>
      <c r="C55" s="4">
        <v>1</v>
      </c>
      <c r="D55" s="4">
        <v>5.61</v>
      </c>
      <c r="E55" s="4">
        <v>5.61</v>
      </c>
      <c r="F55" s="4">
        <v>5.61</v>
      </c>
      <c r="G55" s="4" t="e">
        <v>#DIV/0!</v>
      </c>
      <c r="H55" s="4">
        <v>0</v>
      </c>
      <c r="I55" s="4" t="e">
        <v>#DIV/0!</v>
      </c>
      <c r="J55" s="4">
        <v>0</v>
      </c>
      <c r="K55" s="4">
        <v>0</v>
      </c>
      <c r="L55" s="4" t="e">
        <v>#DIV/0!</v>
      </c>
      <c r="M55" s="4">
        <v>3</v>
      </c>
      <c r="N55" s="4">
        <v>2.67</v>
      </c>
      <c r="O55" s="4">
        <v>1.25</v>
      </c>
      <c r="P55" s="4">
        <v>5.2</v>
      </c>
      <c r="Q55" s="4">
        <v>2.1965199748693389</v>
      </c>
    </row>
    <row r="56" spans="1:17" x14ac:dyDescent="0.2">
      <c r="B56" t="s">
        <v>347</v>
      </c>
      <c r="C56" s="4">
        <v>1</v>
      </c>
      <c r="D56" s="4">
        <v>4.0999999999999996</v>
      </c>
      <c r="E56" s="4">
        <v>4.0999999999999996</v>
      </c>
      <c r="F56" s="4">
        <v>4.0999999999999996</v>
      </c>
      <c r="G56" s="4" t="e">
        <v>#DIV/0!</v>
      </c>
      <c r="H56" s="4">
        <v>0</v>
      </c>
      <c r="I56" s="4" t="e">
        <v>#DIV/0!</v>
      </c>
      <c r="J56" s="4">
        <v>0</v>
      </c>
      <c r="K56" s="4">
        <v>0</v>
      </c>
      <c r="L56" s="4" t="e">
        <v>#DIV/0!</v>
      </c>
      <c r="M56" s="4">
        <v>1</v>
      </c>
      <c r="N56" s="4">
        <v>8.4</v>
      </c>
      <c r="O56" s="4">
        <v>8.4</v>
      </c>
      <c r="P56" s="4">
        <v>8.4</v>
      </c>
      <c r="Q56" s="4" t="e">
        <v>#DIV/0!</v>
      </c>
    </row>
    <row r="57" spans="1:17" x14ac:dyDescent="0.2">
      <c r="B57" t="s">
        <v>254</v>
      </c>
      <c r="C57" s="4">
        <v>0</v>
      </c>
      <c r="D57" s="4" t="e">
        <v>#DIV/0!</v>
      </c>
      <c r="E57" s="4">
        <v>0</v>
      </c>
      <c r="F57" s="4">
        <v>0</v>
      </c>
      <c r="G57" s="4" t="e">
        <v>#DIV/0!</v>
      </c>
      <c r="H57" s="4">
        <v>0</v>
      </c>
      <c r="I57" s="4" t="e">
        <v>#DIV/0!</v>
      </c>
      <c r="J57" s="4">
        <v>0</v>
      </c>
      <c r="K57" s="4">
        <v>0</v>
      </c>
      <c r="L57" s="4" t="e">
        <v>#DIV/0!</v>
      </c>
      <c r="M57" s="4">
        <v>3</v>
      </c>
      <c r="N57" s="4">
        <v>1.36</v>
      </c>
      <c r="O57" s="4">
        <v>1.1000000000000001</v>
      </c>
      <c r="P57" s="4">
        <v>1.66</v>
      </c>
      <c r="Q57" s="4">
        <v>0.28213471959331787</v>
      </c>
    </row>
    <row r="58" spans="1:17" x14ac:dyDescent="0.2">
      <c r="B58" t="s">
        <v>188</v>
      </c>
      <c r="C58" s="4">
        <v>0</v>
      </c>
      <c r="D58" s="4" t="e">
        <v>#DIV/0!</v>
      </c>
      <c r="E58" s="4">
        <v>0</v>
      </c>
      <c r="F58" s="4">
        <v>0</v>
      </c>
      <c r="G58" s="4" t="e">
        <v>#DIV/0!</v>
      </c>
      <c r="H58" s="4">
        <v>0</v>
      </c>
      <c r="I58" s="4" t="e">
        <v>#DIV/0!</v>
      </c>
      <c r="J58" s="4">
        <v>0</v>
      </c>
      <c r="K58" s="4">
        <v>0</v>
      </c>
      <c r="L58" s="4" t="e">
        <v>#DIV/0!</v>
      </c>
      <c r="M58" s="4">
        <v>1</v>
      </c>
      <c r="N58" s="4">
        <v>2.5</v>
      </c>
      <c r="O58" s="4">
        <v>2.5</v>
      </c>
      <c r="P58" s="4">
        <v>2.5</v>
      </c>
      <c r="Q58" s="4" t="e">
        <v>#DIV/0!</v>
      </c>
    </row>
    <row r="59" spans="1:17" x14ac:dyDescent="0.2">
      <c r="B59" t="s">
        <v>140</v>
      </c>
      <c r="C59" s="4">
        <v>3</v>
      </c>
      <c r="D59" s="4">
        <v>0.93815666666666664</v>
      </c>
      <c r="E59" s="4">
        <v>0.60097</v>
      </c>
      <c r="F59" s="4">
        <v>1.2635000000000001</v>
      </c>
      <c r="G59" s="4">
        <v>0.33142374482425591</v>
      </c>
      <c r="H59" s="4">
        <v>3</v>
      </c>
      <c r="I59" s="4">
        <v>1.3304093333333333</v>
      </c>
      <c r="J59" s="4">
        <v>1.05</v>
      </c>
      <c r="K59" s="4">
        <v>1.57325</v>
      </c>
      <c r="L59" s="4">
        <v>0.26364027416412178</v>
      </c>
      <c r="M59" s="4">
        <v>14</v>
      </c>
      <c r="N59" s="4">
        <v>1.7261427857142857</v>
      </c>
      <c r="O59" s="4">
        <v>1.37</v>
      </c>
      <c r="P59" s="4">
        <v>2.06</v>
      </c>
      <c r="Q59" s="4">
        <v>0.22669152448822724</v>
      </c>
    </row>
    <row r="60" spans="1:17" x14ac:dyDescent="0.2">
      <c r="A60" s="83" t="s">
        <v>2832</v>
      </c>
      <c r="B60" s="83"/>
      <c r="C60" s="84">
        <v>119</v>
      </c>
      <c r="D60" s="84">
        <v>2.3987962731295425</v>
      </c>
      <c r="E60" s="84">
        <v>0.21299999999999999</v>
      </c>
      <c r="F60" s="84">
        <v>14.3</v>
      </c>
      <c r="G60" s="84">
        <v>3.0849415606189012</v>
      </c>
      <c r="H60" s="84">
        <v>20</v>
      </c>
      <c r="I60" s="84">
        <v>3.9250378333333336</v>
      </c>
      <c r="J60" s="84">
        <v>0.94399999999999995</v>
      </c>
      <c r="K60" s="84">
        <v>12.35</v>
      </c>
      <c r="L60" s="84">
        <v>3.7332722738201158</v>
      </c>
      <c r="M60" s="84">
        <v>93</v>
      </c>
      <c r="N60" s="84">
        <v>4.7018093575658417</v>
      </c>
      <c r="O60" s="84">
        <v>1</v>
      </c>
      <c r="P60" s="84">
        <v>20.995000000000001</v>
      </c>
      <c r="Q60" s="84">
        <v>4.025122091992583</v>
      </c>
    </row>
    <row r="61" spans="1:17" x14ac:dyDescent="0.2">
      <c r="A61" t="s">
        <v>39</v>
      </c>
      <c r="B61" t="s">
        <v>40</v>
      </c>
      <c r="C61" s="4">
        <v>25</v>
      </c>
      <c r="D61" s="4">
        <v>3.2930399999999995</v>
      </c>
      <c r="E61" s="4">
        <v>1.42</v>
      </c>
      <c r="F61" s="4">
        <v>7</v>
      </c>
      <c r="G61" s="4">
        <v>1.6360912128199545</v>
      </c>
      <c r="H61" s="4">
        <v>3</v>
      </c>
      <c r="I61" s="4">
        <v>4.3751066666666674</v>
      </c>
      <c r="J61" s="4">
        <v>2.0529999999999999</v>
      </c>
      <c r="K61" s="4">
        <v>5.9710000000000001</v>
      </c>
      <c r="L61" s="4">
        <v>2.0574791260504508</v>
      </c>
      <c r="M61" s="4">
        <v>16</v>
      </c>
      <c r="N61" s="4">
        <v>4.2141250000000001</v>
      </c>
      <c r="O61" s="4">
        <v>2.266</v>
      </c>
      <c r="P61" s="4">
        <v>5.98</v>
      </c>
      <c r="Q61" s="4">
        <v>0.85492938304867949</v>
      </c>
    </row>
    <row r="62" spans="1:17" x14ac:dyDescent="0.2">
      <c r="A62" s="83" t="s">
        <v>2833</v>
      </c>
      <c r="B62" s="83"/>
      <c r="C62" s="84">
        <v>25</v>
      </c>
      <c r="D62" s="84">
        <v>3.2930399999999995</v>
      </c>
      <c r="E62" s="84">
        <v>1.42</v>
      </c>
      <c r="F62" s="84">
        <v>7</v>
      </c>
      <c r="G62" s="84">
        <v>1.6360912128199545</v>
      </c>
      <c r="H62" s="84">
        <v>3</v>
      </c>
      <c r="I62" s="84">
        <v>4.3751066666666674</v>
      </c>
      <c r="J62" s="84">
        <v>2.0529999999999999</v>
      </c>
      <c r="K62" s="84">
        <v>5.9710000000000001</v>
      </c>
      <c r="L62" s="84">
        <v>2.0574791260504508</v>
      </c>
      <c r="M62" s="84">
        <v>16</v>
      </c>
      <c r="N62" s="84">
        <v>4.2141250000000001</v>
      </c>
      <c r="O62" s="84">
        <v>2.266</v>
      </c>
      <c r="P62" s="84">
        <v>5.98</v>
      </c>
      <c r="Q62" s="84">
        <v>0.85492938304867949</v>
      </c>
    </row>
    <row r="63" spans="1:17" x14ac:dyDescent="0.2">
      <c r="A63" t="s">
        <v>975</v>
      </c>
      <c r="B63" t="s">
        <v>3625</v>
      </c>
      <c r="C63" s="4">
        <v>1</v>
      </c>
      <c r="D63" s="4">
        <v>1.98084375</v>
      </c>
      <c r="E63" s="4">
        <v>1.98084375</v>
      </c>
      <c r="F63" s="4">
        <v>1.98084375</v>
      </c>
      <c r="G63" s="4" t="e">
        <v>#DIV/0!</v>
      </c>
      <c r="H63" s="4">
        <v>1</v>
      </c>
      <c r="I63" s="4">
        <v>2.1531562499999999</v>
      </c>
      <c r="J63" s="4">
        <v>2.1531562499999999</v>
      </c>
      <c r="K63" s="4">
        <v>2.1531562499999999</v>
      </c>
      <c r="L63" s="4" t="e">
        <v>#DIV/0!</v>
      </c>
      <c r="M63" s="4">
        <v>1</v>
      </c>
      <c r="N63" s="4">
        <v>2.2111562499999997</v>
      </c>
      <c r="O63" s="4">
        <v>2.2111562499999997</v>
      </c>
      <c r="P63" s="4">
        <v>2.2111562499999997</v>
      </c>
      <c r="Q63" s="4" t="e">
        <v>#DIV/0!</v>
      </c>
    </row>
    <row r="64" spans="1:17" x14ac:dyDescent="0.2">
      <c r="B64" t="s">
        <v>3055</v>
      </c>
      <c r="C64" s="4">
        <v>2</v>
      </c>
      <c r="D64" s="4">
        <v>1.5708</v>
      </c>
      <c r="E64" s="4">
        <v>1.5708</v>
      </c>
      <c r="F64" s="4">
        <v>1.5708</v>
      </c>
      <c r="G64" s="4">
        <v>0</v>
      </c>
      <c r="H64" s="4">
        <v>2</v>
      </c>
      <c r="I64" s="4">
        <v>1.9788000000000001</v>
      </c>
      <c r="J64" s="4">
        <v>1.9788000000000001</v>
      </c>
      <c r="K64" s="4">
        <v>1.9788000000000001</v>
      </c>
      <c r="L64" s="4">
        <v>0</v>
      </c>
      <c r="M64" s="4">
        <v>2</v>
      </c>
      <c r="N64" s="4">
        <v>2.2549999999999999</v>
      </c>
      <c r="O64" s="4">
        <v>2.2200000000000002</v>
      </c>
      <c r="P64" s="4">
        <v>2.29</v>
      </c>
      <c r="Q64" s="4">
        <v>4.9497474683072425E-2</v>
      </c>
    </row>
    <row r="65" spans="1:17" x14ac:dyDescent="0.2">
      <c r="B65" t="s">
        <v>3056</v>
      </c>
      <c r="C65" s="4">
        <v>51</v>
      </c>
      <c r="D65" s="4">
        <v>5.7173231238780273</v>
      </c>
      <c r="E65" s="4">
        <v>1.7846153846153845</v>
      </c>
      <c r="F65" s="4">
        <v>39.166666666666664</v>
      </c>
      <c r="G65" s="4">
        <v>6.7983880096389653</v>
      </c>
      <c r="H65" s="4">
        <v>9</v>
      </c>
      <c r="I65" s="4">
        <v>2.909011111111111</v>
      </c>
      <c r="J65" s="4">
        <v>2.14</v>
      </c>
      <c r="K65" s="4">
        <v>5.0600000000000005</v>
      </c>
      <c r="L65" s="4">
        <v>0.87213935303431478</v>
      </c>
      <c r="M65" s="4">
        <v>16</v>
      </c>
      <c r="N65" s="4">
        <v>4.8556604999999999</v>
      </c>
      <c r="O65" s="4">
        <v>2.46</v>
      </c>
      <c r="P65" s="4">
        <v>13.9</v>
      </c>
      <c r="Q65" s="4">
        <v>3.6680396230362624</v>
      </c>
    </row>
    <row r="66" spans="1:17" s="83" customFormat="1" x14ac:dyDescent="0.2">
      <c r="A66"/>
      <c r="B66" t="s">
        <v>3057</v>
      </c>
      <c r="C66" s="4">
        <v>50</v>
      </c>
      <c r="D66" s="4">
        <v>3.0214281754447705</v>
      </c>
      <c r="E66" s="4">
        <v>0.182</v>
      </c>
      <c r="F66" s="4">
        <v>39.656818181818188</v>
      </c>
      <c r="G66" s="4">
        <v>6.6703451293251312</v>
      </c>
      <c r="H66" s="4">
        <v>31</v>
      </c>
      <c r="I66" s="4">
        <v>2.0341634709677425</v>
      </c>
      <c r="J66" s="4">
        <v>0.28259999999999996</v>
      </c>
      <c r="K66" s="4">
        <v>10.8784896</v>
      </c>
      <c r="L66" s="4">
        <v>2.0288030603418283</v>
      </c>
      <c r="M66" s="4">
        <v>56</v>
      </c>
      <c r="N66" s="4">
        <v>3.0131332004076561</v>
      </c>
      <c r="O66" s="4">
        <v>0.48</v>
      </c>
      <c r="P66" s="4">
        <v>20.856105599999999</v>
      </c>
      <c r="Q66" s="4">
        <v>3.1256263875090329</v>
      </c>
    </row>
    <row r="67" spans="1:17" x14ac:dyDescent="0.2">
      <c r="B67" t="s">
        <v>3058</v>
      </c>
      <c r="C67" s="4">
        <v>12</v>
      </c>
      <c r="D67" s="4">
        <v>2.1477298850574713</v>
      </c>
      <c r="E67" s="4">
        <v>1.6087931034482761</v>
      </c>
      <c r="F67" s="4">
        <v>2.5174137931034481</v>
      </c>
      <c r="G67" s="4">
        <v>0.32953903852547989</v>
      </c>
      <c r="H67" s="4">
        <v>0</v>
      </c>
      <c r="I67" s="4" t="e">
        <v>#DIV/0!</v>
      </c>
      <c r="J67" s="4">
        <v>0</v>
      </c>
      <c r="K67" s="4">
        <v>0</v>
      </c>
      <c r="L67" s="4" t="e">
        <v>#DIV/0!</v>
      </c>
      <c r="M67" s="4">
        <v>1</v>
      </c>
      <c r="N67" s="4">
        <v>3.1034482758620694</v>
      </c>
      <c r="O67" s="4">
        <v>3.1034482758620694</v>
      </c>
      <c r="P67" s="4">
        <v>3.1034482758620694</v>
      </c>
      <c r="Q67" s="4" t="e">
        <v>#DIV/0!</v>
      </c>
    </row>
    <row r="68" spans="1:17" x14ac:dyDescent="0.2">
      <c r="B68" t="s">
        <v>3059</v>
      </c>
      <c r="C68" s="4">
        <v>14</v>
      </c>
      <c r="D68" s="4">
        <v>30.657762954857823</v>
      </c>
      <c r="E68" s="4">
        <v>5.4166666666666669E-2</v>
      </c>
      <c r="F68" s="4">
        <v>105.66666666666667</v>
      </c>
      <c r="G68" s="4">
        <v>28.252177670870516</v>
      </c>
      <c r="H68" s="4">
        <v>6</v>
      </c>
      <c r="I68" s="4">
        <v>14.372844982078853</v>
      </c>
      <c r="J68" s="4">
        <v>4.3874999999999993</v>
      </c>
      <c r="K68" s="4">
        <v>35.229166666666664</v>
      </c>
      <c r="L68" s="4">
        <v>11.368339602424484</v>
      </c>
      <c r="M68" s="4">
        <v>11</v>
      </c>
      <c r="N68" s="4">
        <v>37.282203152937001</v>
      </c>
      <c r="O68" s="4">
        <v>6.403225806451613</v>
      </c>
      <c r="P68" s="4">
        <v>118.62548000000001</v>
      </c>
      <c r="Q68" s="4">
        <v>38.276836990798252</v>
      </c>
    </row>
    <row r="69" spans="1:17" x14ac:dyDescent="0.2">
      <c r="B69" t="s">
        <v>3060</v>
      </c>
      <c r="C69" s="4">
        <v>5</v>
      </c>
      <c r="D69" s="4">
        <v>3.1429</v>
      </c>
      <c r="E69" s="4">
        <v>0.16900000000000001</v>
      </c>
      <c r="F69" s="4">
        <v>6.0023999999999997</v>
      </c>
      <c r="G69" s="4">
        <v>2.6513501239934332</v>
      </c>
      <c r="H69" s="4">
        <v>4</v>
      </c>
      <c r="I69" s="4">
        <v>8.6462258064516124</v>
      </c>
      <c r="J69" s="4">
        <v>1.6129032258064515</v>
      </c>
      <c r="K69" s="4">
        <v>13.622</v>
      </c>
      <c r="L69" s="4">
        <v>5.0463570368870219</v>
      </c>
      <c r="M69" s="4">
        <v>7</v>
      </c>
      <c r="N69" s="4">
        <v>7.169302598404272</v>
      </c>
      <c r="O69" s="4">
        <v>1.9354838709677418</v>
      </c>
      <c r="P69" s="4">
        <v>13.9</v>
      </c>
      <c r="Q69" s="4">
        <v>4.7536731744361633</v>
      </c>
    </row>
    <row r="70" spans="1:17" x14ac:dyDescent="0.2">
      <c r="A70" s="83" t="s">
        <v>2834</v>
      </c>
      <c r="B70" s="83"/>
      <c r="C70" s="84">
        <v>135</v>
      </c>
      <c r="D70" s="84">
        <v>6.8035057172497533</v>
      </c>
      <c r="E70" s="84">
        <v>5.4166666666666669E-2</v>
      </c>
      <c r="F70" s="84">
        <v>105.66666666666667</v>
      </c>
      <c r="G70" s="84">
        <v>13.395165020646397</v>
      </c>
      <c r="H70" s="84">
        <v>53</v>
      </c>
      <c r="I70" s="84">
        <v>4.0787339050618776</v>
      </c>
      <c r="J70" s="84">
        <v>0.28259999999999996</v>
      </c>
      <c r="K70" s="84">
        <v>35.229166666666664</v>
      </c>
      <c r="L70" s="84">
        <v>5.7610250422242544</v>
      </c>
      <c r="M70" s="84">
        <v>94</v>
      </c>
      <c r="N70" s="84">
        <v>7.6227657938279521</v>
      </c>
      <c r="O70" s="84">
        <v>0.48</v>
      </c>
      <c r="P70" s="84">
        <v>118.62548000000001</v>
      </c>
      <c r="Q70" s="84">
        <v>16.919673963560804</v>
      </c>
    </row>
    <row r="71" spans="1:17" x14ac:dyDescent="0.2">
      <c r="A71" t="s">
        <v>236</v>
      </c>
      <c r="B71" t="s">
        <v>1739</v>
      </c>
      <c r="C71" s="4">
        <v>36</v>
      </c>
      <c r="D71" s="4">
        <v>0.20576432077140835</v>
      </c>
      <c r="E71" s="4">
        <v>3.9699999999999999E-2</v>
      </c>
      <c r="F71" s="4">
        <v>1.04</v>
      </c>
      <c r="G71" s="4">
        <v>0.21608589641208981</v>
      </c>
      <c r="H71" s="4">
        <v>2</v>
      </c>
      <c r="I71" s="4">
        <v>7.1445000000000008E-2</v>
      </c>
      <c r="J71" s="4">
        <v>6.787E-2</v>
      </c>
      <c r="K71" s="4">
        <v>7.5020000000000003E-2</v>
      </c>
      <c r="L71" s="4">
        <v>5.055813485483663E-3</v>
      </c>
      <c r="M71" s="4">
        <v>14</v>
      </c>
      <c r="N71" s="4">
        <v>1.3536268999999999</v>
      </c>
      <c r="O71" s="4">
        <v>0.19708329999999999</v>
      </c>
      <c r="P71" s="4">
        <v>13.093</v>
      </c>
      <c r="Q71" s="4">
        <v>3.3875845516414023</v>
      </c>
    </row>
    <row r="72" spans="1:17" x14ac:dyDescent="0.2">
      <c r="B72" t="s">
        <v>1747</v>
      </c>
      <c r="C72" s="4">
        <v>1</v>
      </c>
      <c r="D72" s="4">
        <v>0.43</v>
      </c>
      <c r="E72" s="4">
        <v>0.43</v>
      </c>
      <c r="F72" s="4">
        <v>0.43</v>
      </c>
      <c r="G72" s="4" t="e">
        <v>#DIV/0!</v>
      </c>
      <c r="H72" s="4">
        <v>0</v>
      </c>
      <c r="I72" s="4" t="e">
        <v>#DIV/0!</v>
      </c>
      <c r="J72" s="4">
        <v>0</v>
      </c>
      <c r="K72" s="4">
        <v>0</v>
      </c>
      <c r="L72" s="4" t="e">
        <v>#DIV/0!</v>
      </c>
      <c r="M72" s="4"/>
      <c r="N72" s="4"/>
      <c r="O72" s="4"/>
      <c r="P72" s="4"/>
      <c r="Q72" s="4"/>
    </row>
    <row r="73" spans="1:17" x14ac:dyDescent="0.2">
      <c r="B73" t="s">
        <v>859</v>
      </c>
      <c r="C73" s="4">
        <v>4</v>
      </c>
      <c r="D73" s="4">
        <v>0.40499999999999997</v>
      </c>
      <c r="E73" s="4">
        <v>0.17</v>
      </c>
      <c r="F73" s="4">
        <v>0.53600000000000003</v>
      </c>
      <c r="G73" s="4">
        <v>0.16481504785668108</v>
      </c>
      <c r="H73" s="4">
        <v>0</v>
      </c>
      <c r="I73" s="4" t="e">
        <v>#DIV/0!</v>
      </c>
      <c r="J73" s="4">
        <v>0</v>
      </c>
      <c r="K73" s="4">
        <v>0</v>
      </c>
      <c r="L73" s="4" t="e">
        <v>#DIV/0!</v>
      </c>
      <c r="M73" s="4">
        <v>1</v>
      </c>
      <c r="N73" s="4">
        <v>1.27</v>
      </c>
      <c r="O73" s="4">
        <v>1.27</v>
      </c>
      <c r="P73" s="4">
        <v>1.27</v>
      </c>
      <c r="Q73" s="4" t="e">
        <v>#DIV/0!</v>
      </c>
    </row>
    <row r="74" spans="1:17" x14ac:dyDescent="0.2">
      <c r="B74" t="s">
        <v>1769</v>
      </c>
      <c r="C74" s="4">
        <v>19</v>
      </c>
      <c r="D74" s="4">
        <v>0.23981212347351016</v>
      </c>
      <c r="E74" s="4">
        <v>8.1206746999999996E-2</v>
      </c>
      <c r="F74" s="4">
        <v>0.36499999999999999</v>
      </c>
      <c r="G74" s="4">
        <v>6.7822688355273247E-2</v>
      </c>
      <c r="H74" s="4">
        <v>7</v>
      </c>
      <c r="I74" s="4">
        <v>0.28068571428571432</v>
      </c>
      <c r="J74" s="4">
        <v>0.219</v>
      </c>
      <c r="K74" s="4">
        <v>0.36360000000000009</v>
      </c>
      <c r="L74" s="4">
        <v>5.4116276928216259E-2</v>
      </c>
      <c r="M74" s="4">
        <v>14</v>
      </c>
      <c r="N74" s="4">
        <v>0.86826486752103149</v>
      </c>
      <c r="O74" s="4">
        <v>0.41899999999999998</v>
      </c>
      <c r="P74" s="4">
        <v>1.84</v>
      </c>
      <c r="Q74" s="4">
        <v>0.42378733501449184</v>
      </c>
    </row>
    <row r="75" spans="1:17" x14ac:dyDescent="0.2">
      <c r="B75" t="s">
        <v>1539</v>
      </c>
      <c r="C75" s="4">
        <v>1</v>
      </c>
      <c r="D75" s="4">
        <v>0.17</v>
      </c>
      <c r="E75" s="4">
        <v>0.17</v>
      </c>
      <c r="F75" s="4">
        <v>0.17</v>
      </c>
      <c r="G75" s="4" t="e">
        <v>#DIV/0!</v>
      </c>
      <c r="H75" s="4">
        <v>0</v>
      </c>
      <c r="I75" s="4" t="e">
        <v>#DIV/0!</v>
      </c>
      <c r="J75" s="4">
        <v>0</v>
      </c>
      <c r="K75" s="4">
        <v>0</v>
      </c>
      <c r="L75" s="4" t="e">
        <v>#DIV/0!</v>
      </c>
      <c r="M75" s="4"/>
      <c r="N75" s="4"/>
      <c r="O75" s="4"/>
      <c r="P75" s="4"/>
      <c r="Q75" s="4"/>
    </row>
    <row r="76" spans="1:17" x14ac:dyDescent="0.2">
      <c r="B76" t="s">
        <v>1837</v>
      </c>
      <c r="C76" s="4">
        <v>4</v>
      </c>
      <c r="D76" s="4">
        <v>0.4723684210526316</v>
      </c>
      <c r="E76" s="4">
        <v>0.16800000000000001</v>
      </c>
      <c r="F76" s="4">
        <v>0.82899999999999996</v>
      </c>
      <c r="G76" s="4">
        <v>0.35326459809839617</v>
      </c>
      <c r="H76" s="4">
        <v>0</v>
      </c>
      <c r="I76" s="4" t="e">
        <v>#DIV/0!</v>
      </c>
      <c r="J76" s="4">
        <v>0</v>
      </c>
      <c r="K76" s="4">
        <v>0</v>
      </c>
      <c r="L76" s="4" t="e">
        <v>#DIV/0!</v>
      </c>
      <c r="M76" s="4">
        <v>2</v>
      </c>
      <c r="N76" s="4">
        <v>0.46210526315789502</v>
      </c>
      <c r="O76" s="4">
        <v>0.44</v>
      </c>
      <c r="P76" s="4">
        <v>0.48421052631578998</v>
      </c>
      <c r="Q76" s="4">
        <v>3.1261562957720243E-2</v>
      </c>
    </row>
    <row r="77" spans="1:17" x14ac:dyDescent="0.2">
      <c r="B77" t="s">
        <v>1879</v>
      </c>
      <c r="C77" s="4">
        <v>5</v>
      </c>
      <c r="D77" s="4">
        <v>0.46799999999999997</v>
      </c>
      <c r="E77" s="4">
        <v>0.26</v>
      </c>
      <c r="F77" s="4">
        <v>0.88</v>
      </c>
      <c r="G77" s="4">
        <v>0.24324884377936951</v>
      </c>
      <c r="H77" s="4">
        <v>0</v>
      </c>
      <c r="I77" s="4" t="e">
        <v>#DIV/0!</v>
      </c>
      <c r="J77" s="4">
        <v>0</v>
      </c>
      <c r="K77" s="4">
        <v>0</v>
      </c>
      <c r="L77" s="4" t="e">
        <v>#DIV/0!</v>
      </c>
      <c r="M77" s="4">
        <v>3</v>
      </c>
      <c r="N77" s="4">
        <v>4.4169999999999998</v>
      </c>
      <c r="O77" s="4">
        <v>0.41799999999999998</v>
      </c>
      <c r="P77" s="4">
        <v>12.157</v>
      </c>
      <c r="Q77" s="4">
        <v>6.7042778134561223</v>
      </c>
    </row>
    <row r="78" spans="1:17" x14ac:dyDescent="0.2">
      <c r="B78" t="s">
        <v>1948</v>
      </c>
      <c r="C78" s="4">
        <v>1</v>
      </c>
      <c r="D78" s="4">
        <v>1.39</v>
      </c>
      <c r="E78" s="4">
        <v>1.39</v>
      </c>
      <c r="F78" s="4">
        <v>1.39</v>
      </c>
      <c r="G78" s="4" t="e">
        <v>#DIV/0!</v>
      </c>
      <c r="H78" s="4">
        <v>0</v>
      </c>
      <c r="I78" s="4" t="e">
        <v>#DIV/0!</v>
      </c>
      <c r="J78" s="4">
        <v>0</v>
      </c>
      <c r="K78" s="4">
        <v>0</v>
      </c>
      <c r="L78" s="4" t="e">
        <v>#DIV/0!</v>
      </c>
      <c r="M78" s="4"/>
      <c r="N78" s="4"/>
      <c r="O78" s="4"/>
      <c r="P78" s="4"/>
      <c r="Q78" s="4"/>
    </row>
    <row r="79" spans="1:17" x14ac:dyDescent="0.2">
      <c r="B79" t="s">
        <v>1962</v>
      </c>
      <c r="C79" s="4">
        <v>4</v>
      </c>
      <c r="D79" s="4">
        <v>1.823725</v>
      </c>
      <c r="E79" s="4">
        <v>0.32</v>
      </c>
      <c r="F79" s="4">
        <v>3.5733000000000001</v>
      </c>
      <c r="G79" s="4">
        <v>1.494417160356059</v>
      </c>
      <c r="H79" s="4">
        <v>0</v>
      </c>
      <c r="I79" s="4" t="e">
        <v>#DIV/0!</v>
      </c>
      <c r="J79" s="4">
        <v>0</v>
      </c>
      <c r="K79" s="4">
        <v>0</v>
      </c>
      <c r="L79" s="4" t="e">
        <v>#DIV/0!</v>
      </c>
      <c r="M79" s="4"/>
      <c r="N79" s="4"/>
      <c r="O79" s="4"/>
      <c r="P79" s="4"/>
      <c r="Q79" s="4"/>
    </row>
    <row r="80" spans="1:17" x14ac:dyDescent="0.2">
      <c r="B80" t="s">
        <v>756</v>
      </c>
      <c r="C80" s="4">
        <v>2</v>
      </c>
      <c r="D80" s="4">
        <v>0.52899999999999991</v>
      </c>
      <c r="E80" s="4">
        <v>0.11799999999999999</v>
      </c>
      <c r="F80" s="4">
        <v>0.94</v>
      </c>
      <c r="G80" s="4">
        <v>0.58124177413534228</v>
      </c>
      <c r="H80" s="4">
        <v>0</v>
      </c>
      <c r="I80" s="4" t="e">
        <v>#DIV/0!</v>
      </c>
      <c r="J80" s="4">
        <v>0</v>
      </c>
      <c r="K80" s="4">
        <v>0</v>
      </c>
      <c r="L80" s="4" t="e">
        <v>#DIV/0!</v>
      </c>
      <c r="M80" s="4"/>
      <c r="N80" s="4"/>
      <c r="O80" s="4"/>
      <c r="P80" s="4"/>
      <c r="Q80" s="4"/>
    </row>
    <row r="81" spans="2:17" x14ac:dyDescent="0.2">
      <c r="B81" t="s">
        <v>843</v>
      </c>
      <c r="C81" s="4">
        <v>3</v>
      </c>
      <c r="D81" s="4">
        <v>0.36233333333333334</v>
      </c>
      <c r="E81" s="4">
        <v>0.11</v>
      </c>
      <c r="F81" s="4">
        <v>0.83</v>
      </c>
      <c r="G81" s="4">
        <v>0.40543351283944612</v>
      </c>
      <c r="H81" s="4">
        <v>0</v>
      </c>
      <c r="I81" s="4" t="e">
        <v>#DIV/0!</v>
      </c>
      <c r="J81" s="4">
        <v>0</v>
      </c>
      <c r="K81" s="4">
        <v>0</v>
      </c>
      <c r="L81" s="4" t="e">
        <v>#DIV/0!</v>
      </c>
      <c r="M81" s="4">
        <v>2</v>
      </c>
      <c r="N81" s="4">
        <v>0.41000000000000003</v>
      </c>
      <c r="O81" s="4">
        <v>0.31</v>
      </c>
      <c r="P81" s="4">
        <v>0.51</v>
      </c>
      <c r="Q81" s="4">
        <v>0.14142135623730936</v>
      </c>
    </row>
    <row r="82" spans="2:17" x14ac:dyDescent="0.2">
      <c r="B82" t="s">
        <v>758</v>
      </c>
      <c r="C82" s="4">
        <v>2</v>
      </c>
      <c r="D82" s="4">
        <v>0.20699999999999999</v>
      </c>
      <c r="E82" s="4">
        <v>0.113</v>
      </c>
      <c r="F82" s="4">
        <v>0.30099999999999999</v>
      </c>
      <c r="G82" s="4">
        <v>0.13293607486307091</v>
      </c>
      <c r="H82" s="4">
        <v>0</v>
      </c>
      <c r="I82" s="4" t="e">
        <v>#DIV/0!</v>
      </c>
      <c r="J82" s="4">
        <v>0</v>
      </c>
      <c r="K82" s="4">
        <v>0</v>
      </c>
      <c r="L82" s="4" t="e">
        <v>#DIV/0!</v>
      </c>
      <c r="M82" s="4"/>
      <c r="N82" s="4"/>
      <c r="O82" s="4"/>
      <c r="P82" s="4"/>
      <c r="Q82" s="4"/>
    </row>
    <row r="83" spans="2:17" x14ac:dyDescent="0.2">
      <c r="B83" t="s">
        <v>1549</v>
      </c>
      <c r="C83" s="4">
        <v>1</v>
      </c>
      <c r="D83" s="4">
        <v>0.189</v>
      </c>
      <c r="E83" s="4">
        <v>0.189</v>
      </c>
      <c r="F83" s="4">
        <v>0.189</v>
      </c>
      <c r="G83" s="4" t="e">
        <v>#DIV/0!</v>
      </c>
      <c r="H83" s="4">
        <v>0</v>
      </c>
      <c r="I83" s="4" t="e">
        <v>#DIV/0!</v>
      </c>
      <c r="J83" s="4">
        <v>0</v>
      </c>
      <c r="K83" s="4">
        <v>0</v>
      </c>
      <c r="L83" s="4" t="e">
        <v>#DIV/0!</v>
      </c>
      <c r="M83" s="4"/>
      <c r="N83" s="4"/>
      <c r="O83" s="4"/>
      <c r="P83" s="4"/>
      <c r="Q83" s="4"/>
    </row>
    <row r="84" spans="2:17" x14ac:dyDescent="0.2">
      <c r="B84" t="s">
        <v>2010</v>
      </c>
      <c r="C84" s="4">
        <v>1</v>
      </c>
      <c r="D84" s="4">
        <v>0.84</v>
      </c>
      <c r="E84" s="4">
        <v>0.84</v>
      </c>
      <c r="F84" s="4">
        <v>0.84</v>
      </c>
      <c r="G84" s="4" t="e">
        <v>#DIV/0!</v>
      </c>
      <c r="H84" s="4">
        <v>0</v>
      </c>
      <c r="I84" s="4" t="e">
        <v>#DIV/0!</v>
      </c>
      <c r="J84" s="4">
        <v>0</v>
      </c>
      <c r="K84" s="4">
        <v>0</v>
      </c>
      <c r="L84" s="4" t="e">
        <v>#DIV/0!</v>
      </c>
      <c r="M84" s="4"/>
      <c r="N84" s="4"/>
      <c r="O84" s="4"/>
      <c r="P84" s="4"/>
      <c r="Q84" s="4"/>
    </row>
    <row r="85" spans="2:17" x14ac:dyDescent="0.2">
      <c r="B85" t="s">
        <v>2011</v>
      </c>
      <c r="C85" s="4">
        <v>3</v>
      </c>
      <c r="D85" s="4">
        <v>0.45944000000000002</v>
      </c>
      <c r="E85" s="4">
        <v>0.20832000000000001</v>
      </c>
      <c r="F85" s="4">
        <v>0.75</v>
      </c>
      <c r="G85" s="4">
        <v>0.27298523916138762</v>
      </c>
      <c r="H85" s="4">
        <v>0</v>
      </c>
      <c r="I85" s="4" t="e">
        <v>#DIV/0!</v>
      </c>
      <c r="J85" s="4">
        <v>0</v>
      </c>
      <c r="K85" s="4">
        <v>0</v>
      </c>
      <c r="L85" s="4" t="e">
        <v>#DIV/0!</v>
      </c>
      <c r="M85" s="4">
        <v>1</v>
      </c>
      <c r="N85" s="4">
        <v>0.28999999999999998</v>
      </c>
      <c r="O85" s="4">
        <v>0.28999999999999998</v>
      </c>
      <c r="P85" s="4">
        <v>0.28999999999999998</v>
      </c>
      <c r="Q85" s="4" t="e">
        <v>#DIV/0!</v>
      </c>
    </row>
    <row r="86" spans="2:17" x14ac:dyDescent="0.2">
      <c r="B86" t="s">
        <v>3062</v>
      </c>
      <c r="C86" s="4">
        <v>2</v>
      </c>
      <c r="D86" s="4">
        <v>0.6835</v>
      </c>
      <c r="E86" s="4">
        <v>0.66700000000000004</v>
      </c>
      <c r="F86" s="4">
        <v>0.7</v>
      </c>
      <c r="G86" s="4">
        <v>2.3334523779154948E-2</v>
      </c>
      <c r="H86" s="4">
        <v>0</v>
      </c>
      <c r="I86" s="4" t="e">
        <v>#DIV/0!</v>
      </c>
      <c r="J86" s="4">
        <v>0</v>
      </c>
      <c r="K86" s="4">
        <v>0</v>
      </c>
      <c r="L86" s="4" t="e">
        <v>#DIV/0!</v>
      </c>
      <c r="M86" s="4"/>
      <c r="N86" s="4"/>
      <c r="O86" s="4"/>
      <c r="P86" s="4"/>
      <c r="Q86" s="4"/>
    </row>
    <row r="87" spans="2:17" x14ac:dyDescent="0.2">
      <c r="B87" t="s">
        <v>2022</v>
      </c>
      <c r="C87" s="4">
        <v>2</v>
      </c>
      <c r="D87" s="4">
        <v>0.60499999999999998</v>
      </c>
      <c r="E87" s="4">
        <v>0.51</v>
      </c>
      <c r="F87" s="4">
        <v>0.7</v>
      </c>
      <c r="G87" s="4">
        <v>0.13435028842544408</v>
      </c>
      <c r="H87" s="4">
        <v>0</v>
      </c>
      <c r="I87" s="4" t="e">
        <v>#DIV/0!</v>
      </c>
      <c r="J87" s="4">
        <v>0</v>
      </c>
      <c r="K87" s="4">
        <v>0</v>
      </c>
      <c r="L87" s="4" t="e">
        <v>#DIV/0!</v>
      </c>
      <c r="M87" s="4"/>
      <c r="N87" s="4"/>
      <c r="O87" s="4"/>
      <c r="P87" s="4"/>
      <c r="Q87" s="4"/>
    </row>
    <row r="88" spans="2:17" x14ac:dyDescent="0.2">
      <c r="B88" t="s">
        <v>597</v>
      </c>
      <c r="C88" s="4">
        <v>6</v>
      </c>
      <c r="D88" s="4">
        <v>0.19399999999999998</v>
      </c>
      <c r="E88" s="4">
        <v>0.106</v>
      </c>
      <c r="F88" s="4">
        <v>0.27200000000000002</v>
      </c>
      <c r="G88" s="4">
        <v>5.9949979149287472E-2</v>
      </c>
      <c r="H88" s="4">
        <v>0</v>
      </c>
      <c r="I88" s="4" t="e">
        <v>#DIV/0!</v>
      </c>
      <c r="J88" s="4">
        <v>0</v>
      </c>
      <c r="K88" s="4">
        <v>0</v>
      </c>
      <c r="L88" s="4" t="e">
        <v>#DIV/0!</v>
      </c>
      <c r="M88" s="4">
        <v>5</v>
      </c>
      <c r="N88" s="4">
        <v>0.22833909090909091</v>
      </c>
      <c r="O88" s="4">
        <v>7.6490909090909096E-2</v>
      </c>
      <c r="P88" s="4">
        <v>0.45600000000000002</v>
      </c>
      <c r="Q88" s="4">
        <v>0.15440084462953579</v>
      </c>
    </row>
    <row r="89" spans="2:17" x14ac:dyDescent="0.2">
      <c r="B89" t="s">
        <v>2028</v>
      </c>
      <c r="C89" s="4">
        <v>1</v>
      </c>
      <c r="D89" s="4">
        <v>1.78</v>
      </c>
      <c r="E89" s="4">
        <v>1.78</v>
      </c>
      <c r="F89" s="4">
        <v>1.78</v>
      </c>
      <c r="G89" s="4" t="e">
        <v>#DIV/0!</v>
      </c>
      <c r="H89" s="4">
        <v>0</v>
      </c>
      <c r="I89" s="4" t="e">
        <v>#DIV/0!</v>
      </c>
      <c r="J89" s="4">
        <v>0</v>
      </c>
      <c r="K89" s="4">
        <v>0</v>
      </c>
      <c r="L89" s="4" t="e">
        <v>#DIV/0!</v>
      </c>
      <c r="M89" s="4"/>
      <c r="N89" s="4"/>
      <c r="O89" s="4"/>
      <c r="P89" s="4"/>
      <c r="Q89" s="4"/>
    </row>
    <row r="90" spans="2:17" x14ac:dyDescent="0.2">
      <c r="B90" t="s">
        <v>2034</v>
      </c>
      <c r="C90" s="4">
        <v>1</v>
      </c>
      <c r="D90" s="4">
        <v>0.13100000000000001</v>
      </c>
      <c r="E90" s="4">
        <v>0.13100000000000001</v>
      </c>
      <c r="F90" s="4">
        <v>0.13100000000000001</v>
      </c>
      <c r="G90" s="4" t="e">
        <v>#DIV/0!</v>
      </c>
      <c r="H90" s="4">
        <v>0</v>
      </c>
      <c r="I90" s="4" t="e">
        <v>#DIV/0!</v>
      </c>
      <c r="J90" s="4">
        <v>0</v>
      </c>
      <c r="K90" s="4">
        <v>0</v>
      </c>
      <c r="L90" s="4" t="e">
        <v>#DIV/0!</v>
      </c>
      <c r="M90" s="4">
        <v>1</v>
      </c>
      <c r="N90" s="4">
        <v>0.27</v>
      </c>
      <c r="O90" s="4">
        <v>0.27</v>
      </c>
      <c r="P90" s="4">
        <v>0.27</v>
      </c>
      <c r="Q90" s="4" t="e">
        <v>#DIV/0!</v>
      </c>
    </row>
    <row r="91" spans="2:17" x14ac:dyDescent="0.2">
      <c r="B91" t="s">
        <v>2042</v>
      </c>
      <c r="C91" s="4">
        <v>5</v>
      </c>
      <c r="D91" s="4">
        <v>0.22745399999999999</v>
      </c>
      <c r="E91" s="4">
        <v>0.13500000000000001</v>
      </c>
      <c r="F91" s="4">
        <v>0.43526999999999999</v>
      </c>
      <c r="G91" s="4">
        <v>0.121479794945497</v>
      </c>
      <c r="H91" s="4">
        <v>0</v>
      </c>
      <c r="I91" s="4" t="e">
        <v>#DIV/0!</v>
      </c>
      <c r="J91" s="4">
        <v>0</v>
      </c>
      <c r="K91" s="4">
        <v>0</v>
      </c>
      <c r="L91" s="4" t="e">
        <v>#DIV/0!</v>
      </c>
      <c r="M91" s="4">
        <v>1</v>
      </c>
      <c r="N91" s="4">
        <v>0.6</v>
      </c>
      <c r="O91" s="4">
        <v>0.6</v>
      </c>
      <c r="P91" s="4">
        <v>0.6</v>
      </c>
      <c r="Q91" s="4" t="e">
        <v>#DIV/0!</v>
      </c>
    </row>
    <row r="92" spans="2:17" x14ac:dyDescent="0.2">
      <c r="B92" t="s">
        <v>2049</v>
      </c>
      <c r="C92" s="4">
        <v>3</v>
      </c>
      <c r="D92" s="4">
        <v>0.22333333333333336</v>
      </c>
      <c r="E92" s="4">
        <v>0.04</v>
      </c>
      <c r="F92" s="4">
        <v>0.51</v>
      </c>
      <c r="G92" s="4">
        <v>0.25146238950056393</v>
      </c>
      <c r="H92" s="4">
        <v>0</v>
      </c>
      <c r="I92" s="4" t="e">
        <v>#DIV/0!</v>
      </c>
      <c r="J92" s="4">
        <v>0</v>
      </c>
      <c r="K92" s="4">
        <v>0</v>
      </c>
      <c r="L92" s="4" t="e">
        <v>#DIV/0!</v>
      </c>
      <c r="M92" s="4"/>
      <c r="N92" s="4"/>
      <c r="O92" s="4"/>
      <c r="P92" s="4"/>
      <c r="Q92" s="4"/>
    </row>
    <row r="93" spans="2:17" x14ac:dyDescent="0.2">
      <c r="B93" t="s">
        <v>2059</v>
      </c>
      <c r="C93" s="4">
        <v>1</v>
      </c>
      <c r="D93" s="4">
        <v>0.51</v>
      </c>
      <c r="E93" s="4">
        <v>0.51</v>
      </c>
      <c r="F93" s="4">
        <v>0.51</v>
      </c>
      <c r="G93" s="4" t="e">
        <v>#DIV/0!</v>
      </c>
      <c r="H93" s="4">
        <v>0</v>
      </c>
      <c r="I93" s="4" t="e">
        <v>#DIV/0!</v>
      </c>
      <c r="J93" s="4">
        <v>0</v>
      </c>
      <c r="K93" s="4">
        <v>0</v>
      </c>
      <c r="L93" s="4" t="e">
        <v>#DIV/0!</v>
      </c>
      <c r="M93" s="4"/>
      <c r="N93" s="4"/>
      <c r="O93" s="4"/>
      <c r="P93" s="4"/>
      <c r="Q93" s="4"/>
    </row>
    <row r="94" spans="2:17" x14ac:dyDescent="0.2">
      <c r="B94" t="s">
        <v>1546</v>
      </c>
      <c r="C94" s="4">
        <v>1</v>
      </c>
      <c r="D94" s="4">
        <v>0.38700000000000001</v>
      </c>
      <c r="E94" s="4">
        <v>0.38700000000000001</v>
      </c>
      <c r="F94" s="4">
        <v>0.38700000000000001</v>
      </c>
      <c r="G94" s="4" t="e">
        <v>#DIV/0!</v>
      </c>
      <c r="H94" s="4">
        <v>0</v>
      </c>
      <c r="I94" s="4" t="e">
        <v>#DIV/0!</v>
      </c>
      <c r="J94" s="4">
        <v>0</v>
      </c>
      <c r="K94" s="4">
        <v>0</v>
      </c>
      <c r="L94" s="4" t="e">
        <v>#DIV/0!</v>
      </c>
      <c r="M94" s="4"/>
      <c r="N94" s="4"/>
      <c r="O94" s="4"/>
      <c r="P94" s="4"/>
      <c r="Q94" s="4"/>
    </row>
    <row r="95" spans="2:17" x14ac:dyDescent="0.2">
      <c r="B95" t="s">
        <v>1412</v>
      </c>
      <c r="C95" s="4">
        <v>1</v>
      </c>
      <c r="D95" s="4">
        <v>0.55600000000000005</v>
      </c>
      <c r="E95" s="4">
        <v>0.55600000000000005</v>
      </c>
      <c r="F95" s="4">
        <v>0.55600000000000005</v>
      </c>
      <c r="G95" s="4" t="e">
        <v>#DIV/0!</v>
      </c>
      <c r="H95" s="4">
        <v>0</v>
      </c>
      <c r="I95" s="4" t="e">
        <v>#DIV/0!</v>
      </c>
      <c r="J95" s="4">
        <v>0</v>
      </c>
      <c r="K95" s="4">
        <v>0</v>
      </c>
      <c r="L95" s="4" t="e">
        <v>#DIV/0!</v>
      </c>
      <c r="M95" s="4"/>
      <c r="N95" s="4"/>
      <c r="O95" s="4"/>
      <c r="P95" s="4"/>
      <c r="Q95" s="4"/>
    </row>
    <row r="96" spans="2:17" x14ac:dyDescent="0.2">
      <c r="B96" t="s">
        <v>1551</v>
      </c>
      <c r="C96" s="4">
        <v>1</v>
      </c>
      <c r="D96" s="4">
        <v>0.441</v>
      </c>
      <c r="E96" s="4">
        <v>0.441</v>
      </c>
      <c r="F96" s="4">
        <v>0.441</v>
      </c>
      <c r="G96" s="4" t="e">
        <v>#DIV/0!</v>
      </c>
      <c r="H96" s="4">
        <v>0</v>
      </c>
      <c r="I96" s="4" t="e">
        <v>#DIV/0!</v>
      </c>
      <c r="J96" s="4">
        <v>0</v>
      </c>
      <c r="K96" s="4">
        <v>0</v>
      </c>
      <c r="L96" s="4" t="e">
        <v>#DIV/0!</v>
      </c>
      <c r="M96" s="4"/>
      <c r="N96" s="4"/>
      <c r="O96" s="4"/>
      <c r="P96" s="4"/>
      <c r="Q96" s="4"/>
    </row>
    <row r="97" spans="1:17" s="83" customFormat="1" x14ac:dyDescent="0.2">
      <c r="A97"/>
      <c r="B97" t="s">
        <v>3902</v>
      </c>
      <c r="C97" s="4">
        <v>1</v>
      </c>
      <c r="D97" s="4">
        <v>0.64634482758620693</v>
      </c>
      <c r="E97" s="4">
        <v>0.64634482758620693</v>
      </c>
      <c r="F97" s="4">
        <v>0.64634482758620693</v>
      </c>
      <c r="G97" s="4" t="e">
        <v>#DIV/0!</v>
      </c>
      <c r="H97" s="4">
        <v>0</v>
      </c>
      <c r="I97" s="4" t="e">
        <v>#DIV/0!</v>
      </c>
      <c r="J97" s="4">
        <v>0</v>
      </c>
      <c r="K97" s="4">
        <v>0</v>
      </c>
      <c r="L97" s="4" t="e">
        <v>#DIV/0!</v>
      </c>
      <c r="M97" s="4">
        <v>1</v>
      </c>
      <c r="N97" s="4">
        <v>0.71000000000000008</v>
      </c>
      <c r="O97" s="4">
        <v>0.71000000000000008</v>
      </c>
      <c r="P97" s="4">
        <v>0.71000000000000008</v>
      </c>
      <c r="Q97" s="4" t="e">
        <v>#DIV/0!</v>
      </c>
    </row>
    <row r="98" spans="1:17" x14ac:dyDescent="0.2">
      <c r="B98" t="s">
        <v>3956</v>
      </c>
      <c r="C98" s="4">
        <v>0</v>
      </c>
      <c r="D98" s="4" t="e">
        <v>#DIV/0!</v>
      </c>
      <c r="E98" s="4">
        <v>0</v>
      </c>
      <c r="F98" s="4">
        <v>0</v>
      </c>
      <c r="G98" s="4" t="e">
        <v>#DIV/0!</v>
      </c>
      <c r="H98" s="4">
        <v>0</v>
      </c>
      <c r="I98" s="4" t="e">
        <v>#DIV/0!</v>
      </c>
      <c r="J98" s="4">
        <v>0</v>
      </c>
      <c r="K98" s="4">
        <v>0</v>
      </c>
      <c r="L98" s="4" t="e">
        <v>#DIV/0!</v>
      </c>
      <c r="M98" s="4">
        <v>1</v>
      </c>
      <c r="N98" s="4">
        <v>1.4275</v>
      </c>
      <c r="O98" s="4">
        <v>1.4275</v>
      </c>
      <c r="P98" s="4">
        <v>1.4275</v>
      </c>
      <c r="Q98" s="4" t="e">
        <v>#DIV/0!</v>
      </c>
    </row>
    <row r="99" spans="1:17" x14ac:dyDescent="0.2">
      <c r="B99" t="s">
        <v>2098</v>
      </c>
      <c r="C99" s="4">
        <v>7</v>
      </c>
      <c r="D99" s="4">
        <v>0.4143857142857143</v>
      </c>
      <c r="E99" s="4">
        <v>0.08</v>
      </c>
      <c r="F99" s="4">
        <v>0.70710000000000006</v>
      </c>
      <c r="G99" s="4">
        <v>0.24572273961093788</v>
      </c>
      <c r="H99" s="4">
        <v>0</v>
      </c>
      <c r="I99" s="4" t="e">
        <v>#DIV/0!</v>
      </c>
      <c r="J99" s="4">
        <v>0</v>
      </c>
      <c r="K99" s="4">
        <v>0</v>
      </c>
      <c r="L99" s="4" t="e">
        <v>#DIV/0!</v>
      </c>
      <c r="M99" s="4">
        <v>2</v>
      </c>
      <c r="N99" s="4">
        <v>8.7575000000000003</v>
      </c>
      <c r="O99" s="4">
        <v>8.3840000000000003</v>
      </c>
      <c r="P99" s="4">
        <v>9.1310000000000002</v>
      </c>
      <c r="Q99" s="4">
        <v>0.52820876554636376</v>
      </c>
    </row>
    <row r="100" spans="1:17" x14ac:dyDescent="0.2">
      <c r="B100" t="s">
        <v>2769</v>
      </c>
      <c r="C100" s="4">
        <v>13</v>
      </c>
      <c r="D100" s="4">
        <v>0.21435877559133376</v>
      </c>
      <c r="E100" s="4">
        <v>0.04</v>
      </c>
      <c r="F100" s="4">
        <v>0.33</v>
      </c>
      <c r="G100" s="4">
        <v>8.445428045459806E-2</v>
      </c>
      <c r="H100" s="4">
        <v>0</v>
      </c>
      <c r="I100" s="4" t="e">
        <v>#DIV/0!</v>
      </c>
      <c r="J100" s="4">
        <v>0</v>
      </c>
      <c r="K100" s="4">
        <v>0</v>
      </c>
      <c r="L100" s="4" t="e">
        <v>#DIV/0!</v>
      </c>
      <c r="M100" s="4">
        <v>1</v>
      </c>
      <c r="N100" s="4">
        <v>0.25700000000000001</v>
      </c>
      <c r="O100" s="4">
        <v>0.25700000000000001</v>
      </c>
      <c r="P100" s="4">
        <v>0.25700000000000001</v>
      </c>
      <c r="Q100" s="4" t="e">
        <v>#DIV/0!</v>
      </c>
    </row>
    <row r="101" spans="1:17" x14ac:dyDescent="0.2">
      <c r="B101" t="s">
        <v>2115</v>
      </c>
      <c r="C101" s="4">
        <v>1</v>
      </c>
      <c r="D101" s="4">
        <v>0.14498</v>
      </c>
      <c r="E101" s="4">
        <v>0.14498</v>
      </c>
      <c r="F101" s="4">
        <v>0.14498</v>
      </c>
      <c r="G101" s="4" t="e">
        <v>#DIV/0!</v>
      </c>
      <c r="H101" s="4">
        <v>0</v>
      </c>
      <c r="I101" s="4" t="e">
        <v>#DIV/0!</v>
      </c>
      <c r="J101" s="4">
        <v>0</v>
      </c>
      <c r="K101" s="4">
        <v>0</v>
      </c>
      <c r="L101" s="4" t="e">
        <v>#DIV/0!</v>
      </c>
      <c r="M101" s="4"/>
      <c r="N101" s="4"/>
      <c r="O101" s="4"/>
      <c r="P101" s="4"/>
      <c r="Q101" s="4"/>
    </row>
    <row r="102" spans="1:17" x14ac:dyDescent="0.2">
      <c r="B102" t="s">
        <v>1547</v>
      </c>
      <c r="C102" s="4">
        <v>1</v>
      </c>
      <c r="D102" s="4">
        <v>0.125</v>
      </c>
      <c r="E102" s="4">
        <v>0.125</v>
      </c>
      <c r="F102" s="4">
        <v>0.125</v>
      </c>
      <c r="G102" s="4" t="e">
        <v>#DIV/0!</v>
      </c>
      <c r="H102" s="4">
        <v>0</v>
      </c>
      <c r="I102" s="4" t="e">
        <v>#DIV/0!</v>
      </c>
      <c r="J102" s="4">
        <v>0</v>
      </c>
      <c r="K102" s="4">
        <v>0</v>
      </c>
      <c r="L102" s="4" t="e">
        <v>#DIV/0!</v>
      </c>
      <c r="M102" s="4"/>
      <c r="N102" s="4"/>
      <c r="O102" s="4"/>
      <c r="P102" s="4"/>
      <c r="Q102" s="4"/>
    </row>
    <row r="103" spans="1:17" x14ac:dyDescent="0.2">
      <c r="B103" t="s">
        <v>2136</v>
      </c>
      <c r="C103" s="4">
        <v>7</v>
      </c>
      <c r="D103" s="4">
        <v>0.26299999999999996</v>
      </c>
      <c r="E103" s="4">
        <v>0.125</v>
      </c>
      <c r="F103" s="4">
        <v>0.59099999999999997</v>
      </c>
      <c r="G103" s="4">
        <v>0.17039463997829674</v>
      </c>
      <c r="H103" s="4">
        <v>0</v>
      </c>
      <c r="I103" s="4" t="e">
        <v>#DIV/0!</v>
      </c>
      <c r="J103" s="4">
        <v>0</v>
      </c>
      <c r="K103" s="4">
        <v>0</v>
      </c>
      <c r="L103" s="4" t="e">
        <v>#DIV/0!</v>
      </c>
      <c r="M103" s="4">
        <v>1</v>
      </c>
      <c r="N103" s="4">
        <v>0.23428571428571429</v>
      </c>
      <c r="O103" s="4">
        <v>0.23428571428571429</v>
      </c>
      <c r="P103" s="4">
        <v>0.23428571428571429</v>
      </c>
      <c r="Q103" s="4" t="e">
        <v>#DIV/0!</v>
      </c>
    </row>
    <row r="104" spans="1:17" x14ac:dyDescent="0.2">
      <c r="B104" t="s">
        <v>2145</v>
      </c>
      <c r="C104" s="4">
        <v>7</v>
      </c>
      <c r="D104" s="4">
        <v>0.22414217714285711</v>
      </c>
      <c r="E104" s="4">
        <v>0.06</v>
      </c>
      <c r="F104" s="4">
        <v>0.379</v>
      </c>
      <c r="G104" s="4">
        <v>0.13023470319022629</v>
      </c>
      <c r="H104" s="4">
        <v>4</v>
      </c>
      <c r="I104" s="4">
        <v>0.31087500000000001</v>
      </c>
      <c r="J104" s="4">
        <v>8.2599999999999993E-2</v>
      </c>
      <c r="K104" s="4">
        <v>0.48899999999999999</v>
      </c>
      <c r="L104" s="4">
        <v>0.17082008810441474</v>
      </c>
      <c r="M104" s="4">
        <v>6</v>
      </c>
      <c r="N104" s="4">
        <v>0.28755753999999994</v>
      </c>
      <c r="O104" s="4">
        <v>0.09</v>
      </c>
      <c r="P104" s="4">
        <v>0.49230000000000002</v>
      </c>
      <c r="Q104" s="4">
        <v>0.14291427055794539</v>
      </c>
    </row>
    <row r="105" spans="1:17" x14ac:dyDescent="0.2">
      <c r="B105" t="s">
        <v>480</v>
      </c>
      <c r="C105" s="4">
        <v>2</v>
      </c>
      <c r="D105" s="4">
        <v>0.46613636363636357</v>
      </c>
      <c r="E105" s="4">
        <v>0.32727272727272722</v>
      </c>
      <c r="F105" s="4">
        <v>0.60499999999999998</v>
      </c>
      <c r="G105" s="4">
        <v>0.19638283786590038</v>
      </c>
      <c r="H105" s="4">
        <v>0</v>
      </c>
      <c r="I105" s="4" t="e">
        <v>#DIV/0!</v>
      </c>
      <c r="J105" s="4">
        <v>0</v>
      </c>
      <c r="K105" s="4">
        <v>0</v>
      </c>
      <c r="L105" s="4" t="e">
        <v>#DIV/0!</v>
      </c>
      <c r="M105" s="4">
        <v>2</v>
      </c>
      <c r="N105" s="4">
        <v>0.44272727272727275</v>
      </c>
      <c r="O105" s="4">
        <v>0.34</v>
      </c>
      <c r="P105" s="4">
        <v>0.54545454545454541</v>
      </c>
      <c r="Q105" s="4">
        <v>0.14527830231650865</v>
      </c>
    </row>
    <row r="106" spans="1:17" x14ac:dyDescent="0.2">
      <c r="B106" t="s">
        <v>2174</v>
      </c>
      <c r="C106" s="4">
        <v>1</v>
      </c>
      <c r="D106" s="4">
        <v>1.33</v>
      </c>
      <c r="E106" s="4">
        <v>1.33</v>
      </c>
      <c r="F106" s="4">
        <v>1.33</v>
      </c>
      <c r="G106" s="4" t="e">
        <v>#DIV/0!</v>
      </c>
      <c r="H106" s="4">
        <v>0</v>
      </c>
      <c r="I106" s="4" t="e">
        <v>#DIV/0!</v>
      </c>
      <c r="J106" s="4">
        <v>0</v>
      </c>
      <c r="K106" s="4">
        <v>0</v>
      </c>
      <c r="L106" s="4" t="e">
        <v>#DIV/0!</v>
      </c>
      <c r="M106" s="4"/>
      <c r="N106" s="4"/>
      <c r="O106" s="4"/>
      <c r="P106" s="4"/>
      <c r="Q106" s="4"/>
    </row>
    <row r="107" spans="1:17" x14ac:dyDescent="0.2">
      <c r="B107" t="s">
        <v>2177</v>
      </c>
      <c r="C107" s="4">
        <v>3</v>
      </c>
      <c r="D107" s="4">
        <v>0.54333333333333333</v>
      </c>
      <c r="E107" s="4">
        <v>0.32</v>
      </c>
      <c r="F107" s="4">
        <v>0.88</v>
      </c>
      <c r="G107" s="4">
        <v>0.29670411748631564</v>
      </c>
      <c r="H107" s="4">
        <v>0</v>
      </c>
      <c r="I107" s="4" t="e">
        <v>#DIV/0!</v>
      </c>
      <c r="J107" s="4">
        <v>0</v>
      </c>
      <c r="K107" s="4">
        <v>0</v>
      </c>
      <c r="L107" s="4" t="e">
        <v>#DIV/0!</v>
      </c>
      <c r="M107" s="4"/>
      <c r="N107" s="4"/>
      <c r="O107" s="4"/>
      <c r="P107" s="4"/>
      <c r="Q107" s="4"/>
    </row>
    <row r="108" spans="1:17" x14ac:dyDescent="0.2">
      <c r="B108" t="s">
        <v>2230</v>
      </c>
      <c r="C108" s="4">
        <v>2</v>
      </c>
      <c r="D108" s="4">
        <v>0.22747826086956513</v>
      </c>
      <c r="E108" s="4">
        <v>0.192</v>
      </c>
      <c r="F108" s="4">
        <v>0.26295652173913026</v>
      </c>
      <c r="G108" s="4">
        <v>5.0173837691149539E-2</v>
      </c>
      <c r="H108" s="4">
        <v>0</v>
      </c>
      <c r="I108" s="4" t="e">
        <v>#DIV/0!</v>
      </c>
      <c r="J108" s="4">
        <v>0</v>
      </c>
      <c r="K108" s="4">
        <v>0</v>
      </c>
      <c r="L108" s="4" t="e">
        <v>#DIV/0!</v>
      </c>
      <c r="M108" s="4">
        <v>5</v>
      </c>
      <c r="N108" s="4">
        <v>4.6533565217391297</v>
      </c>
      <c r="O108" s="4">
        <v>0.41599999999999998</v>
      </c>
      <c r="P108" s="4">
        <v>7.7</v>
      </c>
      <c r="Q108" s="4">
        <v>3.855114342280979</v>
      </c>
    </row>
    <row r="109" spans="1:17" x14ac:dyDescent="0.2">
      <c r="B109" t="s">
        <v>2282</v>
      </c>
      <c r="C109" s="4">
        <v>11</v>
      </c>
      <c r="D109" s="4">
        <v>0.57899999999999996</v>
      </c>
      <c r="E109" s="4">
        <v>0.21</v>
      </c>
      <c r="F109" s="4">
        <v>1.39</v>
      </c>
      <c r="G109" s="4">
        <v>0.39096368117767671</v>
      </c>
      <c r="H109" s="4">
        <v>0</v>
      </c>
      <c r="I109" s="4" t="e">
        <v>#DIV/0!</v>
      </c>
      <c r="J109" s="4">
        <v>0</v>
      </c>
      <c r="K109" s="4">
        <v>0</v>
      </c>
      <c r="L109" s="4" t="e">
        <v>#DIV/0!</v>
      </c>
      <c r="M109" s="4">
        <v>8</v>
      </c>
      <c r="N109" s="4">
        <v>1.6042500000000002</v>
      </c>
      <c r="O109" s="4">
        <v>0.28000000000000003</v>
      </c>
      <c r="P109" s="4">
        <v>7.3520000000000003</v>
      </c>
      <c r="Q109" s="4">
        <v>2.3416618488342236</v>
      </c>
    </row>
    <row r="110" spans="1:17" x14ac:dyDescent="0.2">
      <c r="B110" t="s">
        <v>4060</v>
      </c>
      <c r="C110" s="4">
        <v>0</v>
      </c>
      <c r="D110" s="4" t="e">
        <v>#DIV/0!</v>
      </c>
      <c r="E110" s="4">
        <v>0</v>
      </c>
      <c r="F110" s="4">
        <v>0</v>
      </c>
      <c r="G110" s="4" t="e">
        <v>#DIV/0!</v>
      </c>
      <c r="H110" s="4">
        <v>0</v>
      </c>
      <c r="I110" s="4" t="e">
        <v>#DIV/0!</v>
      </c>
      <c r="J110" s="4">
        <v>0</v>
      </c>
      <c r="K110" s="4">
        <v>0</v>
      </c>
      <c r="L110" s="4" t="e">
        <v>#DIV/0!</v>
      </c>
      <c r="M110" s="4">
        <v>1</v>
      </c>
      <c r="N110" s="4">
        <v>0.69499999999999995</v>
      </c>
      <c r="O110" s="4">
        <v>0.69499999999999995</v>
      </c>
      <c r="P110" s="4">
        <v>0.69499999999999995</v>
      </c>
      <c r="Q110" s="4" t="e">
        <v>#DIV/0!</v>
      </c>
    </row>
    <row r="111" spans="1:17" s="83" customFormat="1" x14ac:dyDescent="0.2">
      <c r="A111"/>
      <c r="B111" t="s">
        <v>1548</v>
      </c>
      <c r="C111" s="4">
        <v>1</v>
      </c>
      <c r="D111" s="4">
        <v>0.34499999999999997</v>
      </c>
      <c r="E111" s="4">
        <v>0.34499999999999997</v>
      </c>
      <c r="F111" s="4">
        <v>0.34499999999999997</v>
      </c>
      <c r="G111" s="4" t="e">
        <v>#DIV/0!</v>
      </c>
      <c r="H111" s="4">
        <v>0</v>
      </c>
      <c r="I111" s="4" t="e">
        <v>#DIV/0!</v>
      </c>
      <c r="J111" s="4">
        <v>0</v>
      </c>
      <c r="K111" s="4">
        <v>0</v>
      </c>
      <c r="L111" s="4" t="e">
        <v>#DIV/0!</v>
      </c>
      <c r="M111" s="4"/>
      <c r="N111" s="4"/>
      <c r="O111" s="4"/>
      <c r="P111" s="4"/>
      <c r="Q111" s="4"/>
    </row>
    <row r="112" spans="1:17" x14ac:dyDescent="0.2">
      <c r="B112" t="s">
        <v>2452</v>
      </c>
      <c r="C112" s="4">
        <v>2</v>
      </c>
      <c r="D112" s="4">
        <v>3.28</v>
      </c>
      <c r="E112" s="4">
        <v>2.09</v>
      </c>
      <c r="F112" s="4">
        <v>4.47</v>
      </c>
      <c r="G112" s="4">
        <v>1.6829141392239833</v>
      </c>
      <c r="H112" s="4">
        <v>0</v>
      </c>
      <c r="I112" s="4" t="e">
        <v>#DIV/0!</v>
      </c>
      <c r="J112" s="4">
        <v>0</v>
      </c>
      <c r="K112" s="4">
        <v>0</v>
      </c>
      <c r="L112" s="4" t="e">
        <v>#DIV/0!</v>
      </c>
      <c r="M112" s="4"/>
      <c r="N112" s="4"/>
      <c r="O112" s="4"/>
      <c r="P112" s="4"/>
      <c r="Q112" s="4"/>
    </row>
    <row r="113" spans="1:17" x14ac:dyDescent="0.2">
      <c r="B113" t="s">
        <v>2343</v>
      </c>
      <c r="C113" s="4">
        <v>3</v>
      </c>
      <c r="D113" s="4">
        <v>1.0133333333333334</v>
      </c>
      <c r="E113" s="4">
        <v>0.38</v>
      </c>
      <c r="F113" s="4">
        <v>1.33</v>
      </c>
      <c r="G113" s="4">
        <v>0.5484827557301446</v>
      </c>
      <c r="H113" s="4">
        <v>0</v>
      </c>
      <c r="I113" s="4" t="e">
        <v>#DIV/0!</v>
      </c>
      <c r="J113" s="4">
        <v>0</v>
      </c>
      <c r="K113" s="4">
        <v>0</v>
      </c>
      <c r="L113" s="4" t="e">
        <v>#DIV/0!</v>
      </c>
      <c r="M113" s="4"/>
      <c r="N113" s="4"/>
      <c r="O113" s="4"/>
      <c r="P113" s="4"/>
      <c r="Q113" s="4"/>
    </row>
    <row r="114" spans="1:17" x14ac:dyDescent="0.2">
      <c r="B114" t="s">
        <v>3295</v>
      </c>
      <c r="C114" s="4">
        <v>1</v>
      </c>
      <c r="D114" s="4">
        <v>-0.01</v>
      </c>
      <c r="E114" s="4">
        <v>-0.01</v>
      </c>
      <c r="F114" s="4">
        <v>-0.01</v>
      </c>
      <c r="G114" s="4" t="e">
        <v>#DIV/0!</v>
      </c>
      <c r="H114" s="4">
        <v>0</v>
      </c>
      <c r="I114" s="4" t="e">
        <v>#DIV/0!</v>
      </c>
      <c r="J114" s="4">
        <v>0</v>
      </c>
      <c r="K114" s="4">
        <v>0</v>
      </c>
      <c r="L114" s="4" t="e">
        <v>#DIV/0!</v>
      </c>
      <c r="M114" s="4"/>
      <c r="N114" s="4"/>
      <c r="O114" s="4"/>
      <c r="P114" s="4"/>
      <c r="Q114" s="4"/>
    </row>
    <row r="115" spans="1:17" x14ac:dyDescent="0.2">
      <c r="B115" t="s">
        <v>3294</v>
      </c>
      <c r="C115" s="4">
        <v>1</v>
      </c>
      <c r="D115" s="4">
        <v>2.2252010723860591</v>
      </c>
      <c r="E115" s="4">
        <v>2.2252010723860591</v>
      </c>
      <c r="F115" s="4">
        <v>2.2252010723860591</v>
      </c>
      <c r="G115" s="4" t="e">
        <v>#DIV/0!</v>
      </c>
      <c r="H115" s="4">
        <v>1</v>
      </c>
      <c r="I115" s="4">
        <v>2.4530831099195711</v>
      </c>
      <c r="J115" s="4">
        <v>2.4530831099195711</v>
      </c>
      <c r="K115" s="4">
        <v>2.4530831099195711</v>
      </c>
      <c r="L115" s="4" t="e">
        <v>#DIV/0!</v>
      </c>
      <c r="M115" s="4">
        <v>1</v>
      </c>
      <c r="N115" s="4">
        <v>3.2975871313672922</v>
      </c>
      <c r="O115" s="4">
        <v>3.2975871313672922</v>
      </c>
      <c r="P115" s="4">
        <v>3.2975871313672922</v>
      </c>
      <c r="Q115" s="4" t="e">
        <v>#DIV/0!</v>
      </c>
    </row>
    <row r="116" spans="1:17" x14ac:dyDescent="0.2">
      <c r="A116" s="83" t="s">
        <v>2835</v>
      </c>
      <c r="B116" s="83"/>
      <c r="C116" s="84">
        <v>175</v>
      </c>
      <c r="D116" s="84">
        <v>0.42461728028371049</v>
      </c>
      <c r="E116" s="84">
        <v>-0.01</v>
      </c>
      <c r="F116" s="84">
        <v>4.47</v>
      </c>
      <c r="G116" s="84">
        <v>0.55541947797416169</v>
      </c>
      <c r="H116" s="84">
        <v>14</v>
      </c>
      <c r="I116" s="84">
        <v>0.41459093642282646</v>
      </c>
      <c r="J116" s="84">
        <v>6.787E-2</v>
      </c>
      <c r="K116" s="84">
        <v>2.4530831099195711</v>
      </c>
      <c r="L116" s="84">
        <v>0.59901369880170452</v>
      </c>
      <c r="M116" s="84">
        <v>73</v>
      </c>
      <c r="N116" s="84">
        <v>1.5413883009035469</v>
      </c>
      <c r="O116" s="84">
        <v>7.6490909090909096E-2</v>
      </c>
      <c r="P116" s="84">
        <v>13.093</v>
      </c>
      <c r="Q116" s="84">
        <v>2.7922713685382576</v>
      </c>
    </row>
    <row r="117" spans="1:17" x14ac:dyDescent="0.2">
      <c r="A117" t="s">
        <v>760</v>
      </c>
      <c r="B117" t="s">
        <v>1728</v>
      </c>
      <c r="C117" s="4">
        <v>8</v>
      </c>
      <c r="D117" s="4">
        <v>2.2720312499999999</v>
      </c>
      <c r="E117" s="4">
        <v>0.79625000000000001</v>
      </c>
      <c r="F117" s="4">
        <v>4.16</v>
      </c>
      <c r="G117" s="4">
        <v>1.1714696541821485</v>
      </c>
      <c r="H117" s="4">
        <v>5</v>
      </c>
      <c r="I117" s="4">
        <v>2.2840000000000003</v>
      </c>
      <c r="J117" s="4">
        <v>0.91</v>
      </c>
      <c r="K117" s="4">
        <v>4.3100000000000005</v>
      </c>
      <c r="L117" s="4">
        <v>1.2383981589133597</v>
      </c>
      <c r="M117" s="4">
        <v>5</v>
      </c>
      <c r="N117" s="4">
        <v>2.8560000000000003</v>
      </c>
      <c r="O117" s="4">
        <v>0.91</v>
      </c>
      <c r="P117" s="4">
        <v>4.8</v>
      </c>
      <c r="Q117" s="4">
        <v>1.3850559555483666</v>
      </c>
    </row>
    <row r="118" spans="1:17" x14ac:dyDescent="0.2">
      <c r="B118" t="s">
        <v>1787</v>
      </c>
      <c r="C118" s="4">
        <v>2</v>
      </c>
      <c r="D118" s="4">
        <v>1.1675900000000001</v>
      </c>
      <c r="E118" s="4">
        <v>0.50936000000000003</v>
      </c>
      <c r="F118" s="4">
        <v>1.82582</v>
      </c>
      <c r="G118" s="4">
        <v>0.93087779316084207</v>
      </c>
      <c r="H118" s="4">
        <v>0</v>
      </c>
      <c r="I118" s="4" t="e">
        <v>#DIV/0!</v>
      </c>
      <c r="J118" s="4">
        <v>0</v>
      </c>
      <c r="K118" s="4">
        <v>0</v>
      </c>
      <c r="L118" s="4" t="e">
        <v>#DIV/0!</v>
      </c>
      <c r="M118" s="4"/>
      <c r="N118" s="4"/>
      <c r="O118" s="4"/>
      <c r="P118" s="4"/>
      <c r="Q118" s="4"/>
    </row>
    <row r="119" spans="1:17" x14ac:dyDescent="0.2">
      <c r="B119" t="s">
        <v>1791</v>
      </c>
      <c r="C119" s="4">
        <v>1</v>
      </c>
      <c r="D119" s="4">
        <v>0.61</v>
      </c>
      <c r="E119" s="4">
        <v>0.61</v>
      </c>
      <c r="F119" s="4">
        <v>0.61</v>
      </c>
      <c r="G119" s="4" t="e">
        <v>#DIV/0!</v>
      </c>
      <c r="H119" s="4">
        <v>0</v>
      </c>
      <c r="I119" s="4" t="e">
        <v>#DIV/0!</v>
      </c>
      <c r="J119" s="4">
        <v>0</v>
      </c>
      <c r="K119" s="4">
        <v>0</v>
      </c>
      <c r="L119" s="4" t="e">
        <v>#DIV/0!</v>
      </c>
      <c r="M119" s="4"/>
      <c r="N119" s="4"/>
      <c r="O119" s="4"/>
      <c r="P119" s="4"/>
      <c r="Q119" s="4"/>
    </row>
    <row r="120" spans="1:17" x14ac:dyDescent="0.2">
      <c r="B120" t="s">
        <v>3292</v>
      </c>
      <c r="C120" s="4">
        <v>9</v>
      </c>
      <c r="D120" s="4">
        <v>0.30778666666666665</v>
      </c>
      <c r="E120" s="4">
        <v>8.6599999999999996E-2</v>
      </c>
      <c r="F120" s="4">
        <v>0.68</v>
      </c>
      <c r="G120" s="4">
        <v>0.19451811637994038</v>
      </c>
      <c r="H120" s="4">
        <v>0</v>
      </c>
      <c r="I120" s="4" t="e">
        <v>#DIV/0!</v>
      </c>
      <c r="J120" s="4">
        <v>0</v>
      </c>
      <c r="K120" s="4">
        <v>0</v>
      </c>
      <c r="L120" s="4" t="e">
        <v>#DIV/0!</v>
      </c>
      <c r="M120" s="4"/>
      <c r="N120" s="4"/>
      <c r="O120" s="4"/>
      <c r="P120" s="4"/>
      <c r="Q120" s="4"/>
    </row>
    <row r="121" spans="1:17" x14ac:dyDescent="0.2">
      <c r="B121" t="s">
        <v>1867</v>
      </c>
      <c r="C121" s="4">
        <v>3</v>
      </c>
      <c r="D121" s="4">
        <v>4.9989999999999997</v>
      </c>
      <c r="E121" s="4">
        <v>1.867</v>
      </c>
      <c r="F121" s="4">
        <v>8.94</v>
      </c>
      <c r="G121" s="4">
        <v>3.6052313379310337</v>
      </c>
      <c r="H121" s="4">
        <v>13</v>
      </c>
      <c r="I121" s="4">
        <v>2.2785235897435898</v>
      </c>
      <c r="J121" s="4">
        <v>0.14235</v>
      </c>
      <c r="K121" s="4">
        <v>4.75617</v>
      </c>
      <c r="L121" s="4">
        <v>1.3210663604055997</v>
      </c>
      <c r="M121" s="4">
        <v>13</v>
      </c>
      <c r="N121" s="4">
        <v>2.5828517948717948</v>
      </c>
      <c r="O121" s="4">
        <v>0.38302000000000003</v>
      </c>
      <c r="P121" s="4">
        <v>5.1371000000000002</v>
      </c>
      <c r="Q121" s="4">
        <v>1.3648964762259819</v>
      </c>
    </row>
    <row r="122" spans="1:17" x14ac:dyDescent="0.2">
      <c r="B122" t="s">
        <v>1883</v>
      </c>
      <c r="C122" s="4">
        <v>3</v>
      </c>
      <c r="D122" s="4">
        <v>1.0233333333333334</v>
      </c>
      <c r="E122" s="4">
        <v>0.43</v>
      </c>
      <c r="F122" s="4">
        <v>1.32</v>
      </c>
      <c r="G122" s="4">
        <v>0.51384173957876711</v>
      </c>
      <c r="H122" s="4">
        <v>2</v>
      </c>
      <c r="I122" s="4">
        <v>1.46</v>
      </c>
      <c r="J122" s="4">
        <v>1.37</v>
      </c>
      <c r="K122" s="4">
        <v>1.55</v>
      </c>
      <c r="L122" s="4">
        <v>0.12727922061358377</v>
      </c>
      <c r="M122" s="4">
        <v>2</v>
      </c>
      <c r="N122" s="4">
        <v>1.46</v>
      </c>
      <c r="O122" s="4">
        <v>1.37</v>
      </c>
      <c r="P122" s="4">
        <v>1.55</v>
      </c>
      <c r="Q122" s="4">
        <v>0.12727922061358377</v>
      </c>
    </row>
    <row r="123" spans="1:17" x14ac:dyDescent="0.2">
      <c r="B123" t="s">
        <v>1896</v>
      </c>
      <c r="C123" s="4">
        <v>1</v>
      </c>
      <c r="D123" s="4">
        <v>0.4914</v>
      </c>
      <c r="E123" s="4">
        <v>0.4914</v>
      </c>
      <c r="F123" s="4">
        <v>0.4914</v>
      </c>
      <c r="G123" s="4" t="e">
        <v>#DIV/0!</v>
      </c>
      <c r="H123" s="4">
        <v>0</v>
      </c>
      <c r="I123" s="4" t="e">
        <v>#DIV/0!</v>
      </c>
      <c r="J123" s="4">
        <v>0</v>
      </c>
      <c r="K123" s="4">
        <v>0</v>
      </c>
      <c r="L123" s="4" t="e">
        <v>#DIV/0!</v>
      </c>
      <c r="M123" s="4"/>
      <c r="N123" s="4"/>
      <c r="O123" s="4"/>
      <c r="P123" s="4"/>
      <c r="Q123" s="4"/>
    </row>
    <row r="124" spans="1:17" s="83" customFormat="1" x14ac:dyDescent="0.2">
      <c r="A124"/>
      <c r="B124" t="s">
        <v>1920</v>
      </c>
      <c r="C124" s="4">
        <v>3</v>
      </c>
      <c r="D124" s="4">
        <v>0.79196527777777781</v>
      </c>
      <c r="E124" s="4">
        <v>0.48656250000000001</v>
      </c>
      <c r="F124" s="4">
        <v>1.3134791666666668</v>
      </c>
      <c r="G124" s="4">
        <v>0.45384557138087972</v>
      </c>
      <c r="H124" s="4">
        <v>0</v>
      </c>
      <c r="I124" s="4" t="e">
        <v>#DIV/0!</v>
      </c>
      <c r="J124" s="4">
        <v>0</v>
      </c>
      <c r="K124" s="4">
        <v>0</v>
      </c>
      <c r="L124" s="4" t="e">
        <v>#DIV/0!</v>
      </c>
      <c r="M124" s="4"/>
      <c r="N124" s="4"/>
      <c r="O124" s="4"/>
      <c r="P124" s="4"/>
      <c r="Q124" s="4"/>
    </row>
    <row r="125" spans="1:17" x14ac:dyDescent="0.2">
      <c r="B125" t="s">
        <v>2029</v>
      </c>
      <c r="C125" s="4">
        <v>2</v>
      </c>
      <c r="D125" s="4">
        <v>0.99</v>
      </c>
      <c r="E125" s="4">
        <v>0.52</v>
      </c>
      <c r="F125" s="4">
        <v>1.46</v>
      </c>
      <c r="G125" s="4">
        <v>0.66468037431535454</v>
      </c>
      <c r="H125" s="4">
        <v>1</v>
      </c>
      <c r="I125" s="4">
        <v>0.64</v>
      </c>
      <c r="J125" s="4">
        <v>0.64</v>
      </c>
      <c r="K125" s="4">
        <v>0.64</v>
      </c>
      <c r="L125" s="4" t="e">
        <v>#DIV/0!</v>
      </c>
      <c r="M125" s="4">
        <v>4</v>
      </c>
      <c r="N125" s="4">
        <v>0.8479199999999999</v>
      </c>
      <c r="O125" s="4">
        <v>0.66598999999999997</v>
      </c>
      <c r="P125" s="4">
        <v>1.2</v>
      </c>
      <c r="Q125" s="4">
        <v>0.23933319800367645</v>
      </c>
    </row>
    <row r="126" spans="1:17" x14ac:dyDescent="0.2">
      <c r="B126" t="s">
        <v>1471</v>
      </c>
      <c r="C126" s="4">
        <v>1</v>
      </c>
      <c r="D126" s="4">
        <v>2.41</v>
      </c>
      <c r="E126" s="4">
        <v>2.41</v>
      </c>
      <c r="F126" s="4">
        <v>2.41</v>
      </c>
      <c r="G126" s="4" t="e">
        <v>#DIV/0!</v>
      </c>
      <c r="H126" s="4">
        <v>1</v>
      </c>
      <c r="I126" s="4">
        <v>2.6100000000000003</v>
      </c>
      <c r="J126" s="4">
        <v>2.6100000000000003</v>
      </c>
      <c r="K126" s="4">
        <v>2.6100000000000003</v>
      </c>
      <c r="L126" s="4" t="e">
        <v>#DIV/0!</v>
      </c>
      <c r="M126" s="4">
        <v>1</v>
      </c>
      <c r="N126" s="4">
        <v>3.43</v>
      </c>
      <c r="O126" s="4">
        <v>3.43</v>
      </c>
      <c r="P126" s="4">
        <v>3.43</v>
      </c>
      <c r="Q126" s="4" t="e">
        <v>#DIV/0!</v>
      </c>
    </row>
    <row r="127" spans="1:17" x14ac:dyDescent="0.2">
      <c r="B127" t="s">
        <v>1466</v>
      </c>
      <c r="C127" s="4">
        <v>2</v>
      </c>
      <c r="D127" s="4">
        <v>1.135</v>
      </c>
      <c r="E127" s="4">
        <v>1.1300000000000001</v>
      </c>
      <c r="F127" s="4">
        <v>1.1399999999999999</v>
      </c>
      <c r="G127" s="4">
        <v>7.0710678118886374E-3</v>
      </c>
      <c r="H127" s="4">
        <v>2</v>
      </c>
      <c r="I127" s="4">
        <v>1.7749999999999999</v>
      </c>
      <c r="J127" s="4">
        <v>1.77</v>
      </c>
      <c r="K127" s="4">
        <v>1.7799999999999998</v>
      </c>
      <c r="L127" s="4">
        <v>7.0710678118572354E-3</v>
      </c>
      <c r="M127" s="4">
        <v>2</v>
      </c>
      <c r="N127" s="4">
        <v>2.71</v>
      </c>
      <c r="O127" s="4">
        <v>2.61</v>
      </c>
      <c r="P127" s="4">
        <v>2.81</v>
      </c>
      <c r="Q127" s="4">
        <v>0.141421356237308</v>
      </c>
    </row>
    <row r="128" spans="1:17" x14ac:dyDescent="0.2">
      <c r="B128" t="s">
        <v>2431</v>
      </c>
      <c r="C128" s="4">
        <v>2</v>
      </c>
      <c r="D128" s="4">
        <v>0.52</v>
      </c>
      <c r="E128" s="4">
        <v>0.52</v>
      </c>
      <c r="F128" s="4">
        <v>0.52</v>
      </c>
      <c r="G128" s="4">
        <v>0</v>
      </c>
      <c r="H128" s="4">
        <v>2</v>
      </c>
      <c r="I128" s="4">
        <v>0.75</v>
      </c>
      <c r="J128" s="4">
        <v>0.75</v>
      </c>
      <c r="K128" s="4">
        <v>0.75</v>
      </c>
      <c r="L128" s="4">
        <v>0</v>
      </c>
      <c r="M128" s="4">
        <v>2</v>
      </c>
      <c r="N128" s="4">
        <v>1.6850000000000001</v>
      </c>
      <c r="O128" s="4">
        <v>1.59</v>
      </c>
      <c r="P128" s="4">
        <v>1.78</v>
      </c>
      <c r="Q128" s="4">
        <v>0.13435028842544283</v>
      </c>
    </row>
    <row r="129" spans="1:17" x14ac:dyDescent="0.2">
      <c r="B129" t="s">
        <v>2450</v>
      </c>
      <c r="C129" s="4">
        <v>2</v>
      </c>
      <c r="D129" s="4">
        <v>1.88035</v>
      </c>
      <c r="E129" s="4">
        <v>0.42380000000000001</v>
      </c>
      <c r="F129" s="4">
        <v>3.3369</v>
      </c>
      <c r="G129" s="4">
        <v>2.059872764274532</v>
      </c>
      <c r="H129" s="4">
        <v>0</v>
      </c>
      <c r="I129" s="4" t="e">
        <v>#DIV/0!</v>
      </c>
      <c r="J129" s="4">
        <v>0</v>
      </c>
      <c r="K129" s="4">
        <v>0</v>
      </c>
      <c r="L129" s="4" t="e">
        <v>#DIV/0!</v>
      </c>
      <c r="M129" s="4"/>
      <c r="N129" s="4"/>
      <c r="O129" s="4"/>
      <c r="P129" s="4"/>
      <c r="Q129" s="4"/>
    </row>
    <row r="130" spans="1:17" x14ac:dyDescent="0.2">
      <c r="B130" t="s">
        <v>2126</v>
      </c>
      <c r="C130" s="4">
        <v>9</v>
      </c>
      <c r="D130" s="4">
        <v>0.61730597111111107</v>
      </c>
      <c r="E130" s="4">
        <v>0.26357739000000002</v>
      </c>
      <c r="F130" s="4">
        <v>2.0447562000000001</v>
      </c>
      <c r="G130" s="4">
        <v>0.55525554108424213</v>
      </c>
      <c r="H130" s="4">
        <v>0</v>
      </c>
      <c r="I130" s="4" t="e">
        <v>#DIV/0!</v>
      </c>
      <c r="J130" s="4">
        <v>0</v>
      </c>
      <c r="K130" s="4">
        <v>0</v>
      </c>
      <c r="L130" s="4" t="e">
        <v>#DIV/0!</v>
      </c>
      <c r="M130" s="4"/>
      <c r="N130" s="4"/>
      <c r="O130" s="4"/>
      <c r="P130" s="4"/>
      <c r="Q130" s="4"/>
    </row>
    <row r="131" spans="1:17" x14ac:dyDescent="0.2">
      <c r="B131" t="s">
        <v>2130</v>
      </c>
      <c r="C131" s="4">
        <v>1</v>
      </c>
      <c r="D131" s="4">
        <v>1.0539000000000001</v>
      </c>
      <c r="E131" s="4">
        <v>1.0539000000000001</v>
      </c>
      <c r="F131" s="4">
        <v>1.0539000000000001</v>
      </c>
      <c r="G131" s="4" t="e">
        <v>#DIV/0!</v>
      </c>
      <c r="H131" s="4">
        <v>0</v>
      </c>
      <c r="I131" s="4" t="e">
        <v>#DIV/0!</v>
      </c>
      <c r="J131" s="4">
        <v>0</v>
      </c>
      <c r="K131" s="4">
        <v>0</v>
      </c>
      <c r="L131" s="4" t="e">
        <v>#DIV/0!</v>
      </c>
      <c r="M131" s="4"/>
      <c r="N131" s="4"/>
      <c r="O131" s="4"/>
      <c r="P131" s="4"/>
      <c r="Q131" s="4"/>
    </row>
    <row r="132" spans="1:17" x14ac:dyDescent="0.2">
      <c r="B132" t="s">
        <v>2140</v>
      </c>
      <c r="C132" s="4">
        <v>5</v>
      </c>
      <c r="D132" s="4">
        <v>0.374</v>
      </c>
      <c r="E132" s="4">
        <v>0.30099999999999999</v>
      </c>
      <c r="F132" s="4">
        <v>0.62</v>
      </c>
      <c r="G132" s="4">
        <v>0.13798007102476806</v>
      </c>
      <c r="H132" s="4">
        <v>1</v>
      </c>
      <c r="I132" s="4">
        <v>0.82</v>
      </c>
      <c r="J132" s="4">
        <v>0.82</v>
      </c>
      <c r="K132" s="4">
        <v>0.82</v>
      </c>
      <c r="L132" s="4" t="e">
        <v>#DIV/0!</v>
      </c>
      <c r="M132" s="4">
        <v>1</v>
      </c>
      <c r="N132" s="4">
        <v>1.36</v>
      </c>
      <c r="O132" s="4">
        <v>1.36</v>
      </c>
      <c r="P132" s="4">
        <v>1.36</v>
      </c>
      <c r="Q132" s="4" t="e">
        <v>#DIV/0!</v>
      </c>
    </row>
    <row r="133" spans="1:17" s="83" customFormat="1" x14ac:dyDescent="0.2">
      <c r="A133"/>
      <c r="B133" t="s">
        <v>2142</v>
      </c>
      <c r="C133" s="4">
        <v>3</v>
      </c>
      <c r="D133" s="4">
        <v>0.58366666666666667</v>
      </c>
      <c r="E133" s="4">
        <v>0.51100000000000001</v>
      </c>
      <c r="F133" s="4">
        <v>0.62</v>
      </c>
      <c r="G133" s="4">
        <v>6.2931179341670168E-2</v>
      </c>
      <c r="H133" s="4">
        <v>3</v>
      </c>
      <c r="I133" s="4">
        <v>1.1323333333333332</v>
      </c>
      <c r="J133" s="4">
        <v>0.89999999999999991</v>
      </c>
      <c r="K133" s="4">
        <v>1.597</v>
      </c>
      <c r="L133" s="4">
        <v>0.40241313762516906</v>
      </c>
      <c r="M133" s="4">
        <v>3</v>
      </c>
      <c r="N133" s="4">
        <v>2.1066666666666669</v>
      </c>
      <c r="O133" s="4">
        <v>1.75</v>
      </c>
      <c r="P133" s="4">
        <v>2.64</v>
      </c>
      <c r="Q133" s="4">
        <v>0.47056703383612819</v>
      </c>
    </row>
    <row r="134" spans="1:17" x14ac:dyDescent="0.2">
      <c r="B134" t="s">
        <v>1463</v>
      </c>
      <c r="C134" s="4">
        <v>1</v>
      </c>
      <c r="D134" s="4">
        <v>1.74</v>
      </c>
      <c r="E134" s="4">
        <v>1.74</v>
      </c>
      <c r="F134" s="4">
        <v>1.74</v>
      </c>
      <c r="G134" s="4" t="e">
        <v>#DIV/0!</v>
      </c>
      <c r="H134" s="4">
        <v>1</v>
      </c>
      <c r="I134" s="4">
        <v>1.84</v>
      </c>
      <c r="J134" s="4">
        <v>1.84</v>
      </c>
      <c r="K134" s="4">
        <v>1.84</v>
      </c>
      <c r="L134" s="4" t="e">
        <v>#DIV/0!</v>
      </c>
      <c r="M134" s="4">
        <v>1</v>
      </c>
      <c r="N134" s="4">
        <v>2.33</v>
      </c>
      <c r="O134" s="4">
        <v>2.33</v>
      </c>
      <c r="P134" s="4">
        <v>2.33</v>
      </c>
      <c r="Q134" s="4" t="e">
        <v>#DIV/0!</v>
      </c>
    </row>
    <row r="135" spans="1:17" x14ac:dyDescent="0.2">
      <c r="B135" t="s">
        <v>2253</v>
      </c>
      <c r="C135" s="4">
        <v>1</v>
      </c>
      <c r="D135" s="4">
        <v>1.05</v>
      </c>
      <c r="E135" s="4">
        <v>1.05</v>
      </c>
      <c r="F135" s="4">
        <v>1.05</v>
      </c>
      <c r="G135" s="4" t="e">
        <v>#DIV/0!</v>
      </c>
      <c r="H135" s="4">
        <v>0</v>
      </c>
      <c r="I135" s="4" t="e">
        <v>#DIV/0!</v>
      </c>
      <c r="J135" s="4">
        <v>0</v>
      </c>
      <c r="K135" s="4">
        <v>0</v>
      </c>
      <c r="L135" s="4" t="e">
        <v>#DIV/0!</v>
      </c>
      <c r="M135" s="4"/>
      <c r="N135" s="4"/>
      <c r="O135" s="4"/>
      <c r="P135" s="4"/>
      <c r="Q135" s="4"/>
    </row>
    <row r="136" spans="1:17" x14ac:dyDescent="0.2">
      <c r="B136" t="s">
        <v>2970</v>
      </c>
      <c r="C136" s="4">
        <v>0</v>
      </c>
      <c r="D136" s="4" t="e">
        <v>#DIV/0!</v>
      </c>
      <c r="E136" s="4">
        <v>0</v>
      </c>
      <c r="F136" s="4">
        <v>0</v>
      </c>
      <c r="G136" s="4" t="e">
        <v>#DIV/0!</v>
      </c>
      <c r="H136" s="4">
        <v>1</v>
      </c>
      <c r="I136" s="4">
        <v>0.40566000000000002</v>
      </c>
      <c r="J136" s="4">
        <v>0.40566000000000002</v>
      </c>
      <c r="K136" s="4">
        <v>0.40566000000000002</v>
      </c>
      <c r="L136" s="4" t="e">
        <v>#DIV/0!</v>
      </c>
      <c r="M136" s="4">
        <v>1</v>
      </c>
      <c r="N136" s="4">
        <v>0.40566000000000002</v>
      </c>
      <c r="O136" s="4">
        <v>0.40566000000000002</v>
      </c>
      <c r="P136" s="4">
        <v>0.40566000000000002</v>
      </c>
      <c r="Q136" s="4" t="e">
        <v>#DIV/0!</v>
      </c>
    </row>
    <row r="137" spans="1:17" x14ac:dyDescent="0.2">
      <c r="B137" t="s">
        <v>2270</v>
      </c>
      <c r="C137" s="4">
        <v>4</v>
      </c>
      <c r="D137" s="4">
        <v>1.15428</v>
      </c>
      <c r="E137" s="4">
        <v>0.19</v>
      </c>
      <c r="F137" s="4">
        <v>3.8</v>
      </c>
      <c r="G137" s="4">
        <v>1.7655963975193576</v>
      </c>
      <c r="H137" s="4">
        <v>0</v>
      </c>
      <c r="I137" s="4" t="e">
        <v>#DIV/0!</v>
      </c>
      <c r="J137" s="4">
        <v>0</v>
      </c>
      <c r="K137" s="4">
        <v>0</v>
      </c>
      <c r="L137" s="4" t="e">
        <v>#DIV/0!</v>
      </c>
      <c r="M137" s="4"/>
      <c r="N137" s="4"/>
      <c r="O137" s="4"/>
      <c r="P137" s="4"/>
      <c r="Q137" s="4"/>
    </row>
    <row r="138" spans="1:17" x14ac:dyDescent="0.2">
      <c r="B138" t="s">
        <v>2290</v>
      </c>
      <c r="C138" s="4">
        <v>11</v>
      </c>
      <c r="D138" s="4">
        <v>0.84844163909090919</v>
      </c>
      <c r="E138" s="4">
        <v>0.47313101000000002</v>
      </c>
      <c r="F138" s="4">
        <v>1.2574736</v>
      </c>
      <c r="G138" s="4">
        <v>0.21658594508979795</v>
      </c>
      <c r="H138" s="4">
        <v>0</v>
      </c>
      <c r="I138" s="4" t="e">
        <v>#DIV/0!</v>
      </c>
      <c r="J138" s="4">
        <v>0</v>
      </c>
      <c r="K138" s="4">
        <v>0</v>
      </c>
      <c r="L138" s="4" t="e">
        <v>#DIV/0!</v>
      </c>
      <c r="M138" s="4"/>
      <c r="N138" s="4"/>
      <c r="O138" s="4"/>
      <c r="P138" s="4"/>
      <c r="Q138" s="4"/>
    </row>
    <row r="139" spans="1:17" x14ac:dyDescent="0.2">
      <c r="B139" t="s">
        <v>761</v>
      </c>
      <c r="C139" s="4">
        <v>2</v>
      </c>
      <c r="D139" s="4">
        <v>0.96350000000000002</v>
      </c>
      <c r="E139" s="4">
        <v>0.95499999999999996</v>
      </c>
      <c r="F139" s="4">
        <v>0.97199999999999998</v>
      </c>
      <c r="G139" s="4">
        <v>1.2020815280161733E-2</v>
      </c>
      <c r="H139" s="4">
        <v>0</v>
      </c>
      <c r="I139" s="4" t="e">
        <v>#DIV/0!</v>
      </c>
      <c r="J139" s="4">
        <v>0</v>
      </c>
      <c r="K139" s="4">
        <v>0</v>
      </c>
      <c r="L139" s="4" t="e">
        <v>#DIV/0!</v>
      </c>
      <c r="M139" s="4"/>
      <c r="N139" s="4"/>
      <c r="O139" s="4"/>
      <c r="P139" s="4"/>
      <c r="Q139" s="4"/>
    </row>
    <row r="140" spans="1:17" x14ac:dyDescent="0.2">
      <c r="B140" t="s">
        <v>2335</v>
      </c>
      <c r="C140" s="4">
        <v>3</v>
      </c>
      <c r="D140" s="4">
        <v>1.657</v>
      </c>
      <c r="E140" s="4">
        <v>0.499</v>
      </c>
      <c r="F140" s="4">
        <v>2.9420000000000002</v>
      </c>
      <c r="G140" s="4">
        <v>1.2264416007295249</v>
      </c>
      <c r="H140" s="4">
        <v>1</v>
      </c>
      <c r="I140" s="4">
        <v>1.903</v>
      </c>
      <c r="J140" s="4">
        <v>1.903</v>
      </c>
      <c r="K140" s="4">
        <v>1.903</v>
      </c>
      <c r="L140" s="4" t="e">
        <v>#DIV/0!</v>
      </c>
      <c r="M140" s="4">
        <v>1</v>
      </c>
      <c r="N140" s="4">
        <v>2.129</v>
      </c>
      <c r="O140" s="4">
        <v>2.129</v>
      </c>
      <c r="P140" s="4">
        <v>2.129</v>
      </c>
      <c r="Q140" s="4" t="e">
        <v>#DIV/0!</v>
      </c>
    </row>
    <row r="141" spans="1:17" x14ac:dyDescent="0.2">
      <c r="A141" s="83" t="s">
        <v>2836</v>
      </c>
      <c r="B141" s="83"/>
      <c r="C141" s="84">
        <v>79</v>
      </c>
      <c r="D141" s="84">
        <v>1.1412042734599155</v>
      </c>
      <c r="E141" s="84">
        <v>8.6599999999999996E-2</v>
      </c>
      <c r="F141" s="84">
        <v>8.94</v>
      </c>
      <c r="G141" s="84">
        <v>1.3012016186842774</v>
      </c>
      <c r="H141" s="84">
        <v>33</v>
      </c>
      <c r="I141" s="84">
        <v>1.8371656565656562</v>
      </c>
      <c r="J141" s="84">
        <v>0.14235</v>
      </c>
      <c r="K141" s="84">
        <v>4.75617</v>
      </c>
      <c r="L141" s="84">
        <v>1.1210070566941039</v>
      </c>
      <c r="M141" s="84">
        <v>36</v>
      </c>
      <c r="N141" s="84">
        <v>2.1925948148148144</v>
      </c>
      <c r="O141" s="84">
        <v>0.38302000000000003</v>
      </c>
      <c r="P141" s="84">
        <v>5.1371000000000002</v>
      </c>
      <c r="Q141" s="84">
        <v>1.1916079832995166</v>
      </c>
    </row>
    <row r="142" spans="1:17" s="83" customFormat="1" x14ac:dyDescent="0.2">
      <c r="A142" t="s">
        <v>24</v>
      </c>
      <c r="B142" t="s">
        <v>53</v>
      </c>
      <c r="C142" s="4">
        <v>95</v>
      </c>
      <c r="D142" s="4">
        <v>33.105179355719855</v>
      </c>
      <c r="E142" s="4">
        <v>15.56</v>
      </c>
      <c r="F142" s="4">
        <v>118.54537847355391</v>
      </c>
      <c r="G142" s="4">
        <v>12.613499974064888</v>
      </c>
      <c r="H142" s="4">
        <v>12</v>
      </c>
      <c r="I142" s="4">
        <v>34.404098987893754</v>
      </c>
      <c r="J142" s="4">
        <v>16.77</v>
      </c>
      <c r="K142" s="4">
        <v>58.44</v>
      </c>
      <c r="L142" s="4">
        <v>11.151241689097434</v>
      </c>
      <c r="M142" s="4">
        <v>30</v>
      </c>
      <c r="N142" s="4">
        <v>33.118322819431754</v>
      </c>
      <c r="O142" s="4">
        <v>9</v>
      </c>
      <c r="P142" s="4">
        <v>87.1</v>
      </c>
      <c r="Q142" s="4">
        <v>16.489076329180474</v>
      </c>
    </row>
    <row r="143" spans="1:17" x14ac:dyDescent="0.2">
      <c r="B143" t="s">
        <v>4056</v>
      </c>
      <c r="C143" s="4">
        <v>10</v>
      </c>
      <c r="D143" s="4">
        <v>19.020808695652171</v>
      </c>
      <c r="E143" s="4">
        <v>6.92</v>
      </c>
      <c r="F143" s="4">
        <v>27.586206896551719</v>
      </c>
      <c r="G143" s="4">
        <v>8.7149773865107107</v>
      </c>
      <c r="H143" s="4">
        <v>1</v>
      </c>
      <c r="I143" s="4">
        <v>8.5809999999999995</v>
      </c>
      <c r="J143" s="4">
        <v>8.5809999999999995</v>
      </c>
      <c r="K143" s="4">
        <v>8.5809999999999995</v>
      </c>
      <c r="L143" s="4" t="e">
        <v>#DIV/0!</v>
      </c>
      <c r="M143" s="4">
        <v>1</v>
      </c>
      <c r="N143" s="4">
        <v>8.9059999999999988</v>
      </c>
      <c r="O143" s="4">
        <v>8.9059999999999988</v>
      </c>
      <c r="P143" s="4">
        <v>8.9059999999999988</v>
      </c>
      <c r="Q143" s="4" t="e">
        <v>#DIV/0!</v>
      </c>
    </row>
    <row r="144" spans="1:17" x14ac:dyDescent="0.2">
      <c r="B144" t="s">
        <v>283</v>
      </c>
      <c r="C144" s="4">
        <v>32</v>
      </c>
      <c r="D144" s="4">
        <v>4.1878483887317701</v>
      </c>
      <c r="E144" s="4">
        <v>1.7857142857142856</v>
      </c>
      <c r="F144" s="4">
        <v>10.657</v>
      </c>
      <c r="G144" s="4">
        <v>2.3000746274481916</v>
      </c>
      <c r="H144" s="4">
        <v>14</v>
      </c>
      <c r="I144" s="4">
        <v>3.2411372541743972</v>
      </c>
      <c r="J144" s="4">
        <v>2.3775000000000004</v>
      </c>
      <c r="K144" s="4">
        <v>5.2207792207792201</v>
      </c>
      <c r="L144" s="4">
        <v>0.91227621493033295</v>
      </c>
      <c r="M144" s="4">
        <v>19</v>
      </c>
      <c r="N144" s="4">
        <v>4.2534033037138306</v>
      </c>
      <c r="O144" s="4">
        <v>2.416666666666667</v>
      </c>
      <c r="P144" s="4">
        <v>6.4</v>
      </c>
      <c r="Q144" s="4">
        <v>1.4605402159025118</v>
      </c>
    </row>
    <row r="145" spans="1:17" x14ac:dyDescent="0.2">
      <c r="B145" t="s">
        <v>348</v>
      </c>
      <c r="C145" s="4">
        <v>0</v>
      </c>
      <c r="D145" s="4" t="e">
        <v>#DIV/0!</v>
      </c>
      <c r="E145" s="4">
        <v>0</v>
      </c>
      <c r="F145" s="4">
        <v>0</v>
      </c>
      <c r="G145" s="4" t="e">
        <v>#DIV/0!</v>
      </c>
      <c r="H145" s="4">
        <v>0</v>
      </c>
      <c r="I145" s="4" t="e">
        <v>#DIV/0!</v>
      </c>
      <c r="J145" s="4">
        <v>0</v>
      </c>
      <c r="K145" s="4">
        <v>0</v>
      </c>
      <c r="L145" s="4" t="e">
        <v>#DIV/0!</v>
      </c>
      <c r="M145" s="4">
        <v>1</v>
      </c>
      <c r="N145" s="4">
        <v>35.714285714285715</v>
      </c>
      <c r="O145" s="4">
        <v>35.714285714285715</v>
      </c>
      <c r="P145" s="4">
        <v>35.714285714285715</v>
      </c>
      <c r="Q145" s="4" t="e">
        <v>#DIV/0!</v>
      </c>
    </row>
    <row r="146" spans="1:17" x14ac:dyDescent="0.2">
      <c r="B146" t="s">
        <v>2073</v>
      </c>
      <c r="C146" s="4">
        <v>0</v>
      </c>
      <c r="D146" s="4" t="e">
        <v>#DIV/0!</v>
      </c>
      <c r="E146" s="4">
        <v>0</v>
      </c>
      <c r="F146" s="4">
        <v>0</v>
      </c>
      <c r="G146" s="4" t="e">
        <v>#DIV/0!</v>
      </c>
      <c r="H146" s="4">
        <v>1</v>
      </c>
      <c r="I146" s="4">
        <v>0.84</v>
      </c>
      <c r="J146" s="4">
        <v>0.84</v>
      </c>
      <c r="K146" s="4">
        <v>0.84</v>
      </c>
      <c r="L146" s="4" t="e">
        <v>#DIV/0!</v>
      </c>
      <c r="M146" s="4"/>
      <c r="N146" s="4"/>
      <c r="O146" s="4"/>
      <c r="P146" s="4"/>
      <c r="Q146" s="4"/>
    </row>
    <row r="147" spans="1:17" x14ac:dyDescent="0.2">
      <c r="B147" t="s">
        <v>269</v>
      </c>
      <c r="C147" s="4">
        <v>50</v>
      </c>
      <c r="D147" s="4">
        <v>5.5600439454132689</v>
      </c>
      <c r="E147" s="4">
        <v>3.0178326474622774</v>
      </c>
      <c r="F147" s="4">
        <v>8.8065843621399171</v>
      </c>
      <c r="G147" s="4">
        <v>1.5896088267882067</v>
      </c>
      <c r="H147" s="4">
        <v>22</v>
      </c>
      <c r="I147" s="4">
        <v>4.8839803218975346</v>
      </c>
      <c r="J147" s="4">
        <v>3.3956</v>
      </c>
      <c r="K147" s="4">
        <v>7.544581618655692</v>
      </c>
      <c r="L147" s="4">
        <v>1.2022203128852633</v>
      </c>
      <c r="M147" s="4">
        <v>36</v>
      </c>
      <c r="N147" s="4">
        <v>6.0960087259425739</v>
      </c>
      <c r="O147" s="4">
        <v>3.0178326474622774</v>
      </c>
      <c r="P147" s="4">
        <v>10.26</v>
      </c>
      <c r="Q147" s="4">
        <v>2.2597877173085248</v>
      </c>
    </row>
    <row r="148" spans="1:17" x14ac:dyDescent="0.2">
      <c r="B148" t="s">
        <v>4010</v>
      </c>
      <c r="C148" s="4">
        <v>5</v>
      </c>
      <c r="D148" s="4">
        <v>2.8307692307692305</v>
      </c>
      <c r="E148" s="4">
        <v>1.6</v>
      </c>
      <c r="F148" s="4">
        <v>4.3538461538461535</v>
      </c>
      <c r="G148" s="4">
        <v>1.1258001756541696</v>
      </c>
      <c r="H148" s="4">
        <v>2</v>
      </c>
      <c r="I148" s="4">
        <v>4.5841025641025634</v>
      </c>
      <c r="J148" s="4">
        <v>4.3066666666666666</v>
      </c>
      <c r="K148" s="4">
        <v>4.8615384615384611</v>
      </c>
      <c r="L148" s="4">
        <v>0.39235360884301373</v>
      </c>
      <c r="M148" s="4">
        <v>5</v>
      </c>
      <c r="N148" s="4">
        <v>4.1943076923076923</v>
      </c>
      <c r="O148" s="4">
        <v>2.6</v>
      </c>
      <c r="P148" s="4">
        <v>6.11</v>
      </c>
      <c r="Q148" s="4">
        <v>1.4803353610128629</v>
      </c>
    </row>
    <row r="149" spans="1:17" x14ac:dyDescent="0.2">
      <c r="B149" t="s">
        <v>2224</v>
      </c>
      <c r="C149" s="4">
        <v>1</v>
      </c>
      <c r="D149" s="4">
        <v>4.5408805031446535</v>
      </c>
      <c r="E149" s="4">
        <v>4.5408805031446535</v>
      </c>
      <c r="F149" s="4">
        <v>4.5408805031446535</v>
      </c>
      <c r="G149" s="4" t="e">
        <v>#DIV/0!</v>
      </c>
      <c r="H149" s="4">
        <v>1</v>
      </c>
      <c r="I149" s="4">
        <v>5.3723270440251572</v>
      </c>
      <c r="J149" s="4">
        <v>5.3723270440251572</v>
      </c>
      <c r="K149" s="4">
        <v>5.3723270440251572</v>
      </c>
      <c r="L149" s="4" t="e">
        <v>#DIV/0!</v>
      </c>
      <c r="M149" s="4">
        <v>4</v>
      </c>
      <c r="N149" s="4">
        <v>10.431100628930817</v>
      </c>
      <c r="O149" s="4">
        <v>5.5044025157232701</v>
      </c>
      <c r="P149" s="4">
        <v>20.14</v>
      </c>
      <c r="Q149" s="4">
        <v>6.5847198303237624</v>
      </c>
    </row>
    <row r="150" spans="1:17" x14ac:dyDescent="0.2">
      <c r="B150" t="s">
        <v>346</v>
      </c>
      <c r="C150" s="4">
        <v>25</v>
      </c>
      <c r="D150" s="4">
        <v>34.745269501950553</v>
      </c>
      <c r="E150" s="4">
        <v>9.6999999999999993</v>
      </c>
      <c r="F150" s="4">
        <v>166.71732522796353</v>
      </c>
      <c r="G150" s="4">
        <v>30.511572332540641</v>
      </c>
      <c r="H150" s="4">
        <v>4</v>
      </c>
      <c r="I150" s="4">
        <v>19.838776594232524</v>
      </c>
      <c r="J150" s="4">
        <v>15.770000000000001</v>
      </c>
      <c r="K150" s="4">
        <v>24.316109422492403</v>
      </c>
      <c r="L150" s="4">
        <v>4.5863591111316708</v>
      </c>
      <c r="M150" s="4">
        <v>9</v>
      </c>
      <c r="N150" s="4">
        <v>19.768307328605196</v>
      </c>
      <c r="O150" s="4">
        <v>11.6</v>
      </c>
      <c r="P150" s="4">
        <v>36.474164133738597</v>
      </c>
      <c r="Q150" s="4">
        <v>7.6216582352964464</v>
      </c>
    </row>
    <row r="151" spans="1:17" x14ac:dyDescent="0.2">
      <c r="B151" t="s">
        <v>2432</v>
      </c>
      <c r="C151" s="4">
        <v>1</v>
      </c>
      <c r="D151" s="4">
        <v>0.7</v>
      </c>
      <c r="E151" s="4">
        <v>0.7</v>
      </c>
      <c r="F151" s="4">
        <v>0.7</v>
      </c>
      <c r="G151" s="4" t="e">
        <v>#DIV/0!</v>
      </c>
      <c r="H151" s="4">
        <v>0</v>
      </c>
      <c r="I151" s="4" t="e">
        <v>#DIV/0!</v>
      </c>
      <c r="J151" s="4">
        <v>0</v>
      </c>
      <c r="K151" s="4">
        <v>0</v>
      </c>
      <c r="L151" s="4" t="e">
        <v>#DIV/0!</v>
      </c>
      <c r="M151" s="4"/>
      <c r="N151" s="4"/>
      <c r="O151" s="4"/>
      <c r="P151" s="4"/>
      <c r="Q151" s="4"/>
    </row>
    <row r="152" spans="1:17" x14ac:dyDescent="0.2">
      <c r="B152" t="s">
        <v>173</v>
      </c>
      <c r="C152" s="4">
        <v>1</v>
      </c>
      <c r="D152" s="4">
        <v>2.5714285714285712</v>
      </c>
      <c r="E152" s="4">
        <v>2.5714285714285712</v>
      </c>
      <c r="F152" s="4">
        <v>2.5714285714285712</v>
      </c>
      <c r="G152" s="4" t="e">
        <v>#DIV/0!</v>
      </c>
      <c r="H152" s="4">
        <v>0</v>
      </c>
      <c r="I152" s="4" t="e">
        <v>#DIV/0!</v>
      </c>
      <c r="J152" s="4">
        <v>0</v>
      </c>
      <c r="K152" s="4">
        <v>0</v>
      </c>
      <c r="L152" s="4" t="e">
        <v>#DIV/0!</v>
      </c>
      <c r="M152" s="4">
        <v>2</v>
      </c>
      <c r="N152" s="4">
        <v>9.0949999999999989</v>
      </c>
      <c r="O152" s="4">
        <v>8.85</v>
      </c>
      <c r="P152" s="4">
        <v>9.34</v>
      </c>
      <c r="Q152" s="4">
        <v>0.34648232278143776</v>
      </c>
    </row>
    <row r="153" spans="1:17" x14ac:dyDescent="0.2">
      <c r="B153" t="s">
        <v>394</v>
      </c>
      <c r="C153" s="4">
        <v>1</v>
      </c>
      <c r="D153" s="4">
        <v>5.7670000000000003</v>
      </c>
      <c r="E153" s="4">
        <v>5.7670000000000003</v>
      </c>
      <c r="F153" s="4">
        <v>5.7670000000000003</v>
      </c>
      <c r="G153" s="4" t="e">
        <v>#DIV/0!</v>
      </c>
      <c r="H153" s="4">
        <v>1</v>
      </c>
      <c r="I153" s="4">
        <v>5.9300000000000006</v>
      </c>
      <c r="J153" s="4">
        <v>5.9300000000000006</v>
      </c>
      <c r="K153" s="4">
        <v>5.9300000000000006</v>
      </c>
      <c r="L153" s="4" t="e">
        <v>#DIV/0!</v>
      </c>
      <c r="M153" s="4">
        <v>4</v>
      </c>
      <c r="N153" s="4">
        <v>18.937750000000001</v>
      </c>
      <c r="O153" s="4">
        <v>6.2510000000000003</v>
      </c>
      <c r="P153" s="4">
        <v>27.4</v>
      </c>
      <c r="Q153" s="4">
        <v>9.9433646342674127</v>
      </c>
    </row>
    <row r="154" spans="1:17" x14ac:dyDescent="0.2">
      <c r="A154" s="83" t="s">
        <v>2837</v>
      </c>
      <c r="B154" s="83"/>
      <c r="C154" s="84">
        <v>221</v>
      </c>
      <c r="D154" s="84">
        <v>21.011666806503026</v>
      </c>
      <c r="E154" s="84">
        <v>0.7</v>
      </c>
      <c r="F154" s="84">
        <v>166.71732522796353</v>
      </c>
      <c r="G154" s="84">
        <v>19.167651911490012</v>
      </c>
      <c r="H154" s="84">
        <v>58</v>
      </c>
      <c r="I154" s="84">
        <v>11.636539914552978</v>
      </c>
      <c r="J154" s="84">
        <v>0.84</v>
      </c>
      <c r="K154" s="84">
        <v>58.44</v>
      </c>
      <c r="L154" s="84">
        <v>13.409085485806207</v>
      </c>
      <c r="M154" s="84">
        <v>111</v>
      </c>
      <c r="N154" s="84">
        <v>15.072005893121101</v>
      </c>
      <c r="O154" s="84">
        <v>2.416666666666667</v>
      </c>
      <c r="P154" s="84">
        <v>87.1</v>
      </c>
      <c r="Q154" s="84">
        <v>15.186175873741274</v>
      </c>
    </row>
    <row r="155" spans="1:17" s="83" customFormat="1" x14ac:dyDescent="0.2">
      <c r="A155" t="s">
        <v>398</v>
      </c>
      <c r="B155" t="s">
        <v>399</v>
      </c>
      <c r="C155" s="4">
        <v>0</v>
      </c>
      <c r="D155" s="4" t="e">
        <v>#DIV/0!</v>
      </c>
      <c r="E155" s="4">
        <v>0</v>
      </c>
      <c r="F155" s="4">
        <v>0</v>
      </c>
      <c r="G155" s="4" t="e">
        <v>#DIV/0!</v>
      </c>
      <c r="H155" s="4">
        <v>0</v>
      </c>
      <c r="I155" s="4" t="e">
        <v>#DIV/0!</v>
      </c>
      <c r="J155" s="4">
        <v>0</v>
      </c>
      <c r="K155" s="4">
        <v>0</v>
      </c>
      <c r="L155" s="4" t="e">
        <v>#DIV/0!</v>
      </c>
      <c r="M155" s="4">
        <v>1</v>
      </c>
      <c r="N155" s="4">
        <v>2.5099999999999998</v>
      </c>
      <c r="O155" s="4">
        <v>2.5099999999999998</v>
      </c>
      <c r="P155" s="4">
        <v>2.5099999999999998</v>
      </c>
      <c r="Q155" s="4" t="e">
        <v>#DIV/0!</v>
      </c>
    </row>
    <row r="156" spans="1:17" x14ac:dyDescent="0.2">
      <c r="B156" t="s">
        <v>402</v>
      </c>
      <c r="C156" s="4">
        <v>0</v>
      </c>
      <c r="D156" s="4" t="e">
        <v>#DIV/0!</v>
      </c>
      <c r="E156" s="4">
        <v>0</v>
      </c>
      <c r="F156" s="4">
        <v>0</v>
      </c>
      <c r="G156" s="4" t="e">
        <v>#DIV/0!</v>
      </c>
      <c r="H156" s="4">
        <v>0</v>
      </c>
      <c r="I156" s="4" t="e">
        <v>#DIV/0!</v>
      </c>
      <c r="J156" s="4">
        <v>0</v>
      </c>
      <c r="K156" s="4">
        <v>0</v>
      </c>
      <c r="L156" s="4" t="e">
        <v>#DIV/0!</v>
      </c>
      <c r="M156" s="4">
        <v>1</v>
      </c>
      <c r="N156" s="4">
        <v>2.29</v>
      </c>
      <c r="O156" s="4">
        <v>2.29</v>
      </c>
      <c r="P156" s="4">
        <v>2.29</v>
      </c>
      <c r="Q156" s="4" t="e">
        <v>#DIV/0!</v>
      </c>
    </row>
    <row r="157" spans="1:17" x14ac:dyDescent="0.2">
      <c r="B157" t="s">
        <v>404</v>
      </c>
      <c r="C157" s="4">
        <v>0</v>
      </c>
      <c r="D157" s="4" t="e">
        <v>#DIV/0!</v>
      </c>
      <c r="E157" s="4">
        <v>0</v>
      </c>
      <c r="F157" s="4">
        <v>0</v>
      </c>
      <c r="G157" s="4" t="e">
        <v>#DIV/0!</v>
      </c>
      <c r="H157" s="4">
        <v>0</v>
      </c>
      <c r="I157" s="4" t="e">
        <v>#DIV/0!</v>
      </c>
      <c r="J157" s="4">
        <v>0</v>
      </c>
      <c r="K157" s="4">
        <v>0</v>
      </c>
      <c r="L157" s="4" t="e">
        <v>#DIV/0!</v>
      </c>
      <c r="M157" s="4">
        <v>1</v>
      </c>
      <c r="N157" s="4">
        <v>2.4</v>
      </c>
      <c r="O157" s="4">
        <v>2.4</v>
      </c>
      <c r="P157" s="4">
        <v>2.4</v>
      </c>
      <c r="Q157" s="4" t="e">
        <v>#DIV/0!</v>
      </c>
    </row>
    <row r="158" spans="1:17" s="83" customFormat="1" x14ac:dyDescent="0.2">
      <c r="A158"/>
      <c r="B158" t="s">
        <v>1211</v>
      </c>
      <c r="C158" s="4">
        <v>0</v>
      </c>
      <c r="D158" s="4" t="e">
        <v>#DIV/0!</v>
      </c>
      <c r="E158" s="4">
        <v>0</v>
      </c>
      <c r="F158" s="4">
        <v>0</v>
      </c>
      <c r="G158" s="4" t="e">
        <v>#DIV/0!</v>
      </c>
      <c r="H158" s="4">
        <v>0</v>
      </c>
      <c r="I158" s="4" t="e">
        <v>#DIV/0!</v>
      </c>
      <c r="J158" s="4">
        <v>0</v>
      </c>
      <c r="K158" s="4">
        <v>0</v>
      </c>
      <c r="L158" s="4" t="e">
        <v>#DIV/0!</v>
      </c>
      <c r="M158" s="4"/>
      <c r="N158" s="4"/>
      <c r="O158" s="4"/>
      <c r="P158" s="4"/>
      <c r="Q158" s="4"/>
    </row>
    <row r="159" spans="1:17" x14ac:dyDescent="0.2">
      <c r="B159" t="s">
        <v>3382</v>
      </c>
      <c r="C159" s="4">
        <v>1</v>
      </c>
      <c r="D159" s="4">
        <v>0.45300000000000001</v>
      </c>
      <c r="E159" s="4">
        <v>0.45300000000000001</v>
      </c>
      <c r="F159" s="4">
        <v>0.45300000000000001</v>
      </c>
      <c r="G159" s="4" t="e">
        <v>#DIV/0!</v>
      </c>
      <c r="H159" s="4">
        <v>1</v>
      </c>
      <c r="I159" s="4">
        <v>0.77300000000000002</v>
      </c>
      <c r="J159" s="4">
        <v>0.77300000000000002</v>
      </c>
      <c r="K159" s="4">
        <v>0.77300000000000002</v>
      </c>
      <c r="L159" s="4" t="e">
        <v>#DIV/0!</v>
      </c>
      <c r="M159" s="4">
        <v>1</v>
      </c>
      <c r="N159" s="4">
        <v>1.093</v>
      </c>
      <c r="O159" s="4">
        <v>1.093</v>
      </c>
      <c r="P159" s="4">
        <v>1.093</v>
      </c>
      <c r="Q159" s="4" t="e">
        <v>#DIV/0!</v>
      </c>
    </row>
    <row r="160" spans="1:17" x14ac:dyDescent="0.2">
      <c r="B160" t="s">
        <v>406</v>
      </c>
      <c r="C160" s="4">
        <v>1</v>
      </c>
      <c r="D160" s="4">
        <v>0.61</v>
      </c>
      <c r="E160" s="4">
        <v>0.61</v>
      </c>
      <c r="F160" s="4">
        <v>0.61</v>
      </c>
      <c r="G160" s="4" t="e">
        <v>#DIV/0!</v>
      </c>
      <c r="H160" s="4">
        <v>1</v>
      </c>
      <c r="I160" s="4">
        <v>1.6639999999999999</v>
      </c>
      <c r="J160" s="4">
        <v>1.6639999999999999</v>
      </c>
      <c r="K160" s="4">
        <v>1.6639999999999999</v>
      </c>
      <c r="L160" s="4" t="e">
        <v>#DIV/0!</v>
      </c>
      <c r="M160" s="4">
        <v>6</v>
      </c>
      <c r="N160" s="4">
        <v>2.6972533333333328</v>
      </c>
      <c r="O160" s="4">
        <v>1.6995199999999999</v>
      </c>
      <c r="P160" s="4">
        <v>3.72</v>
      </c>
      <c r="Q160" s="4">
        <v>0.76956753639084052</v>
      </c>
    </row>
    <row r="161" spans="1:17" x14ac:dyDescent="0.2">
      <c r="B161" t="s">
        <v>411</v>
      </c>
      <c r="C161" s="4">
        <v>1</v>
      </c>
      <c r="D161" s="4">
        <v>3.573</v>
      </c>
      <c r="E161" s="4">
        <v>3.573</v>
      </c>
      <c r="F161" s="4">
        <v>3.573</v>
      </c>
      <c r="G161" s="4" t="e">
        <v>#DIV/0!</v>
      </c>
      <c r="H161" s="4">
        <v>1</v>
      </c>
      <c r="I161" s="4">
        <v>5.9063333333333325</v>
      </c>
      <c r="J161" s="4">
        <v>5.9063333333333325</v>
      </c>
      <c r="K161" s="4">
        <v>5.9063333333333325</v>
      </c>
      <c r="L161" s="4" t="e">
        <v>#DIV/0!</v>
      </c>
      <c r="M161" s="4">
        <v>2</v>
      </c>
      <c r="N161" s="4">
        <v>5.008166666666666</v>
      </c>
      <c r="O161" s="4">
        <v>3.79</v>
      </c>
      <c r="P161" s="4">
        <v>6.2263333333333328</v>
      </c>
      <c r="Q161" s="4">
        <v>1.7227478212308271</v>
      </c>
    </row>
    <row r="162" spans="1:17" x14ac:dyDescent="0.2">
      <c r="B162" t="s">
        <v>400</v>
      </c>
      <c r="C162" s="4">
        <v>0</v>
      </c>
      <c r="D162" s="4" t="e">
        <v>#DIV/0!</v>
      </c>
      <c r="E162" s="4">
        <v>0</v>
      </c>
      <c r="F162" s="4">
        <v>0</v>
      </c>
      <c r="G162" s="4" t="e">
        <v>#DIV/0!</v>
      </c>
      <c r="H162" s="4">
        <v>0</v>
      </c>
      <c r="I162" s="4" t="e">
        <v>#DIV/0!</v>
      </c>
      <c r="J162" s="4">
        <v>0</v>
      </c>
      <c r="K162" s="4">
        <v>0</v>
      </c>
      <c r="L162" s="4" t="e">
        <v>#DIV/0!</v>
      </c>
      <c r="M162" s="4">
        <v>1</v>
      </c>
      <c r="N162" s="4">
        <v>2.95</v>
      </c>
      <c r="O162" s="4">
        <v>2.95</v>
      </c>
      <c r="P162" s="4">
        <v>2.95</v>
      </c>
      <c r="Q162" s="4" t="e">
        <v>#DIV/0!</v>
      </c>
    </row>
    <row r="163" spans="1:17" x14ac:dyDescent="0.2">
      <c r="A163" s="83" t="s">
        <v>2838</v>
      </c>
      <c r="B163" s="83"/>
      <c r="C163" s="84">
        <v>3</v>
      </c>
      <c r="D163" s="84">
        <v>1.5453333333333334</v>
      </c>
      <c r="E163" s="84">
        <v>0.45300000000000001</v>
      </c>
      <c r="F163" s="84">
        <v>3.573</v>
      </c>
      <c r="G163" s="84">
        <v>1.7577645841617506</v>
      </c>
      <c r="H163" s="84">
        <v>3</v>
      </c>
      <c r="I163" s="84">
        <v>2.7811111111111106</v>
      </c>
      <c r="J163" s="84">
        <v>0.77300000000000002</v>
      </c>
      <c r="K163" s="84">
        <v>5.9063333333333325</v>
      </c>
      <c r="L163" s="84">
        <v>2.7429419796458876</v>
      </c>
      <c r="M163" s="84">
        <v>13</v>
      </c>
      <c r="N163" s="84">
        <v>2.8802194871794873</v>
      </c>
      <c r="O163" s="84">
        <v>1.093</v>
      </c>
      <c r="P163" s="84">
        <v>6.2263333333333328</v>
      </c>
      <c r="Q163" s="84">
        <v>1.26165447534536</v>
      </c>
    </row>
    <row r="164" spans="1:17" x14ac:dyDescent="0.2">
      <c r="A164" t="s">
        <v>542</v>
      </c>
      <c r="B164" t="s">
        <v>1925</v>
      </c>
      <c r="C164" s="4">
        <v>0</v>
      </c>
      <c r="D164" s="4" t="e">
        <v>#DIV/0!</v>
      </c>
      <c r="E164" s="4">
        <v>0</v>
      </c>
      <c r="F164" s="4">
        <v>0</v>
      </c>
      <c r="G164" s="4" t="e">
        <v>#DIV/0!</v>
      </c>
      <c r="H164" s="4">
        <v>3</v>
      </c>
      <c r="I164" s="4">
        <v>2.7294392999999997</v>
      </c>
      <c r="J164" s="4">
        <v>2.0942848999999999</v>
      </c>
      <c r="K164" s="4">
        <v>3.8596341000000001</v>
      </c>
      <c r="L164" s="4">
        <v>0.98128140597347435</v>
      </c>
      <c r="M164" s="4">
        <v>3</v>
      </c>
      <c r="N164" s="4">
        <v>2.7294392999999997</v>
      </c>
      <c r="O164" s="4">
        <v>2.0942848999999999</v>
      </c>
      <c r="P164" s="4">
        <v>3.8596341000000001</v>
      </c>
      <c r="Q164" s="4">
        <v>0.98128140597347435</v>
      </c>
    </row>
    <row r="165" spans="1:17" x14ac:dyDescent="0.2">
      <c r="B165" t="s">
        <v>1939</v>
      </c>
      <c r="C165" s="4">
        <v>0</v>
      </c>
      <c r="D165" s="4" t="e">
        <v>#DIV/0!</v>
      </c>
      <c r="E165" s="4">
        <v>0</v>
      </c>
      <c r="F165" s="4">
        <v>0</v>
      </c>
      <c r="G165" s="4" t="e">
        <v>#DIV/0!</v>
      </c>
      <c r="H165" s="4">
        <v>2</v>
      </c>
      <c r="I165" s="4">
        <v>1.1993259000000001</v>
      </c>
      <c r="J165" s="4">
        <v>1.1531735000000001</v>
      </c>
      <c r="K165" s="4">
        <v>1.2454783</v>
      </c>
      <c r="L165" s="4">
        <v>6.5269350016069774E-2</v>
      </c>
      <c r="M165" s="4">
        <v>2</v>
      </c>
      <c r="N165" s="4">
        <v>1.1993259000000001</v>
      </c>
      <c r="O165" s="4">
        <v>1.1531735000000001</v>
      </c>
      <c r="P165" s="4">
        <v>1.2454783</v>
      </c>
      <c r="Q165" s="4">
        <v>6.5269350016069774E-2</v>
      </c>
    </row>
    <row r="166" spans="1:17" x14ac:dyDescent="0.2">
      <c r="B166" t="s">
        <v>1947</v>
      </c>
      <c r="C166" s="4">
        <v>0</v>
      </c>
      <c r="D166" s="4" t="e">
        <v>#DIV/0!</v>
      </c>
      <c r="E166" s="4">
        <v>0</v>
      </c>
      <c r="F166" s="4">
        <v>0</v>
      </c>
      <c r="G166" s="4" t="e">
        <v>#DIV/0!</v>
      </c>
      <c r="H166" s="4">
        <v>1</v>
      </c>
      <c r="I166" s="4">
        <v>2.14</v>
      </c>
      <c r="J166" s="4">
        <v>2.14</v>
      </c>
      <c r="K166" s="4">
        <v>2.14</v>
      </c>
      <c r="L166" s="4" t="e">
        <v>#DIV/0!</v>
      </c>
      <c r="M166" s="4">
        <v>1</v>
      </c>
      <c r="N166" s="4">
        <v>2.14</v>
      </c>
      <c r="O166" s="4">
        <v>2.14</v>
      </c>
      <c r="P166" s="4">
        <v>2.14</v>
      </c>
      <c r="Q166" s="4" t="e">
        <v>#DIV/0!</v>
      </c>
    </row>
    <row r="167" spans="1:17" x14ac:dyDescent="0.2">
      <c r="B167" t="s">
        <v>2100</v>
      </c>
      <c r="C167" s="4">
        <v>3</v>
      </c>
      <c r="D167" s="4">
        <v>2.9654012204424105</v>
      </c>
      <c r="E167" s="4">
        <v>2.3910434782608694</v>
      </c>
      <c r="F167" s="4">
        <v>3.9130434782608696</v>
      </c>
      <c r="G167" s="4">
        <v>0.82681739048638336</v>
      </c>
      <c r="H167" s="4">
        <v>3</v>
      </c>
      <c r="I167" s="4">
        <v>3.206006864988558</v>
      </c>
      <c r="J167" s="4">
        <v>2.695652173913043</v>
      </c>
      <c r="K167" s="4">
        <v>4.1706521739130435</v>
      </c>
      <c r="L167" s="4">
        <v>0.83587751740264049</v>
      </c>
      <c r="M167" s="4">
        <v>5</v>
      </c>
      <c r="N167" s="4">
        <v>0.70186498855835222</v>
      </c>
      <c r="O167" s="4">
        <v>-3.4347826086956519</v>
      </c>
      <c r="P167" s="4">
        <v>4.1706521739130435</v>
      </c>
      <c r="Q167" s="4">
        <v>3.4898887061595856</v>
      </c>
    </row>
    <row r="168" spans="1:17" x14ac:dyDescent="0.2">
      <c r="B168" t="s">
        <v>2114</v>
      </c>
      <c r="C168" s="4">
        <v>1</v>
      </c>
      <c r="D168" s="4">
        <v>3.2585000000000002</v>
      </c>
      <c r="E168" s="4">
        <v>3.2585000000000002</v>
      </c>
      <c r="F168" s="4">
        <v>3.2585000000000002</v>
      </c>
      <c r="G168" s="4" t="e">
        <v>#DIV/0!</v>
      </c>
      <c r="H168" s="4">
        <v>4</v>
      </c>
      <c r="I168" s="4">
        <v>7.2205906750000004</v>
      </c>
      <c r="J168" s="4">
        <v>4.2419000000000002</v>
      </c>
      <c r="K168" s="4">
        <v>11.189705</v>
      </c>
      <c r="L168" s="4">
        <v>3.0679869566568918</v>
      </c>
      <c r="M168" s="4">
        <v>5</v>
      </c>
      <c r="N168" s="4">
        <v>6.1164725400000002</v>
      </c>
      <c r="O168" s="4">
        <v>1.7</v>
      </c>
      <c r="P168" s="4">
        <v>11.189705</v>
      </c>
      <c r="Q168" s="4">
        <v>3.6269535777070541</v>
      </c>
    </row>
    <row r="169" spans="1:17" x14ac:dyDescent="0.2">
      <c r="B169" t="s">
        <v>3067</v>
      </c>
      <c r="C169" s="4">
        <v>1</v>
      </c>
      <c r="D169" s="4">
        <v>2.714</v>
      </c>
      <c r="E169" s="4">
        <v>2.714</v>
      </c>
      <c r="F169" s="4">
        <v>2.714</v>
      </c>
      <c r="G169" s="4" t="e">
        <v>#DIV/0!</v>
      </c>
      <c r="H169" s="4">
        <v>2</v>
      </c>
      <c r="I169" s="4">
        <v>4.6559032</v>
      </c>
      <c r="J169" s="4">
        <v>4.3630063999999997</v>
      </c>
      <c r="K169" s="4">
        <v>4.9488000000000003</v>
      </c>
      <c r="L169" s="4">
        <v>0.41421862693567491</v>
      </c>
      <c r="M169" s="4">
        <v>3</v>
      </c>
      <c r="N169" s="4">
        <v>3.6372687999999997</v>
      </c>
      <c r="O169" s="4">
        <v>1.6</v>
      </c>
      <c r="P169" s="4">
        <v>4.9487999999999994</v>
      </c>
      <c r="Q169" s="4">
        <v>1.7884732757411597</v>
      </c>
    </row>
    <row r="170" spans="1:17" x14ac:dyDescent="0.2">
      <c r="B170" t="s">
        <v>2228</v>
      </c>
      <c r="C170" s="4">
        <v>1</v>
      </c>
      <c r="D170" s="4">
        <v>2.2469999999999999</v>
      </c>
      <c r="E170" s="4">
        <v>2.2469999999999999</v>
      </c>
      <c r="F170" s="4">
        <v>2.2469999999999999</v>
      </c>
      <c r="G170" s="4" t="e">
        <v>#DIV/0!</v>
      </c>
      <c r="H170" s="4">
        <v>2</v>
      </c>
      <c r="I170" s="4">
        <v>2.2749999999999999</v>
      </c>
      <c r="J170" s="4">
        <v>1.92</v>
      </c>
      <c r="K170" s="4">
        <v>2.63</v>
      </c>
      <c r="L170" s="4">
        <v>0.50204581464244924</v>
      </c>
      <c r="M170" s="4">
        <v>2</v>
      </c>
      <c r="N170" s="4">
        <v>2.3239999999999998</v>
      </c>
      <c r="O170" s="4">
        <v>1.92</v>
      </c>
      <c r="P170" s="4">
        <v>2.7280000000000002</v>
      </c>
      <c r="Q170" s="4">
        <v>0.57134227919873237</v>
      </c>
    </row>
    <row r="171" spans="1:17" x14ac:dyDescent="0.2">
      <c r="B171" t="s">
        <v>2969</v>
      </c>
      <c r="C171" s="4">
        <v>0</v>
      </c>
      <c r="D171" s="4" t="e">
        <v>#DIV/0!</v>
      </c>
      <c r="E171" s="4">
        <v>0</v>
      </c>
      <c r="F171" s="4">
        <v>0</v>
      </c>
      <c r="G171" s="4" t="e">
        <v>#DIV/0!</v>
      </c>
      <c r="H171" s="4">
        <v>1</v>
      </c>
      <c r="I171" s="4">
        <v>0.80688000000000004</v>
      </c>
      <c r="J171" s="4">
        <v>0.80688000000000004</v>
      </c>
      <c r="K171" s="4">
        <v>0.80688000000000004</v>
      </c>
      <c r="L171" s="4" t="e">
        <v>#DIV/0!</v>
      </c>
      <c r="M171" s="4">
        <v>6</v>
      </c>
      <c r="N171" s="4">
        <v>1.3656466666666667</v>
      </c>
      <c r="O171" s="4">
        <v>0.80688000000000004</v>
      </c>
      <c r="P171" s="4">
        <v>2.024</v>
      </c>
      <c r="Q171" s="4">
        <v>0.4367826519754035</v>
      </c>
    </row>
    <row r="172" spans="1:17" x14ac:dyDescent="0.2">
      <c r="B172" t="s">
        <v>2289</v>
      </c>
      <c r="C172" s="4">
        <v>1</v>
      </c>
      <c r="D172" s="4">
        <v>1.968</v>
      </c>
      <c r="E172" s="4">
        <v>1.968</v>
      </c>
      <c r="F172" s="4">
        <v>1.968</v>
      </c>
      <c r="G172" s="4" t="e">
        <v>#DIV/0!</v>
      </c>
      <c r="H172" s="4">
        <v>1</v>
      </c>
      <c r="I172" s="4">
        <v>2.6459999999999999</v>
      </c>
      <c r="J172" s="4">
        <v>2.6459999999999999</v>
      </c>
      <c r="K172" s="4">
        <v>2.6459999999999999</v>
      </c>
      <c r="L172" s="4" t="e">
        <v>#DIV/0!</v>
      </c>
      <c r="M172" s="4">
        <v>2</v>
      </c>
      <c r="N172" s="4">
        <v>3.2679999999999998</v>
      </c>
      <c r="O172" s="4">
        <v>2.6360000000000001</v>
      </c>
      <c r="P172" s="4">
        <v>3.9</v>
      </c>
      <c r="Q172" s="4">
        <v>0.89378297141979779</v>
      </c>
    </row>
    <row r="173" spans="1:17" x14ac:dyDescent="0.2">
      <c r="B173" t="s">
        <v>3296</v>
      </c>
      <c r="C173" s="4">
        <v>0</v>
      </c>
      <c r="D173" s="4" t="e">
        <v>#DIV/0!</v>
      </c>
      <c r="E173" s="4">
        <v>0</v>
      </c>
      <c r="F173" s="4">
        <v>0</v>
      </c>
      <c r="G173" s="4" t="e">
        <v>#DIV/0!</v>
      </c>
      <c r="H173" s="4">
        <v>0</v>
      </c>
      <c r="I173" s="4" t="e">
        <v>#DIV/0!</v>
      </c>
      <c r="J173" s="4">
        <v>0</v>
      </c>
      <c r="K173" s="4">
        <v>0</v>
      </c>
      <c r="L173" s="4" t="e">
        <v>#DIV/0!</v>
      </c>
      <c r="M173" s="4">
        <v>1</v>
      </c>
      <c r="N173" s="4">
        <v>-0.05</v>
      </c>
      <c r="O173" s="4">
        <v>-0.05</v>
      </c>
      <c r="P173" s="4">
        <v>-0.05</v>
      </c>
      <c r="Q173" s="4" t="e">
        <v>#DIV/0!</v>
      </c>
    </row>
    <row r="174" spans="1:17" x14ac:dyDescent="0.2">
      <c r="A174" s="83" t="s">
        <v>2839</v>
      </c>
      <c r="B174" s="83"/>
      <c r="C174" s="84">
        <v>7</v>
      </c>
      <c r="D174" s="84">
        <v>2.7262433801896044</v>
      </c>
      <c r="E174" s="84">
        <v>1.968</v>
      </c>
      <c r="F174" s="84">
        <v>3.9130434782608696</v>
      </c>
      <c r="G174" s="84">
        <v>0.66167686761640754</v>
      </c>
      <c r="H174" s="84">
        <v>19</v>
      </c>
      <c r="I174" s="84">
        <v>3.6074757576297722</v>
      </c>
      <c r="J174" s="84">
        <v>0.80688000000000004</v>
      </c>
      <c r="K174" s="84">
        <v>11.189705</v>
      </c>
      <c r="L174" s="84">
        <v>2.5306182127862722</v>
      </c>
      <c r="M174" s="84">
        <v>30</v>
      </c>
      <c r="N174" s="84">
        <v>2.5686114580930588</v>
      </c>
      <c r="O174" s="84">
        <v>-3.4347826086956519</v>
      </c>
      <c r="P174" s="84">
        <v>11.189705</v>
      </c>
      <c r="Q174" s="84">
        <v>2.730279801560429</v>
      </c>
    </row>
    <row r="175" spans="1:17" x14ac:dyDescent="0.2">
      <c r="A175" t="s">
        <v>1110</v>
      </c>
      <c r="B175" t="s">
        <v>1194</v>
      </c>
      <c r="C175" s="4">
        <v>0</v>
      </c>
      <c r="D175" s="4" t="e">
        <v>#DIV/0!</v>
      </c>
      <c r="E175" s="4">
        <v>0</v>
      </c>
      <c r="F175" s="4">
        <v>0</v>
      </c>
      <c r="G175" s="4" t="e">
        <v>#DIV/0!</v>
      </c>
      <c r="H175" s="4">
        <v>0</v>
      </c>
      <c r="I175" s="4" t="e">
        <v>#DIV/0!</v>
      </c>
      <c r="J175" s="4">
        <v>0</v>
      </c>
      <c r="K175" s="4">
        <v>0</v>
      </c>
      <c r="L175" s="4" t="e">
        <v>#DIV/0!</v>
      </c>
      <c r="M175" s="4">
        <v>2</v>
      </c>
      <c r="N175" s="4">
        <v>2.6550000000000002</v>
      </c>
      <c r="O175" s="4">
        <v>2.4900000000000002</v>
      </c>
      <c r="P175" s="4">
        <v>2.82</v>
      </c>
      <c r="Q175" s="4">
        <v>0.23334523779155522</v>
      </c>
    </row>
    <row r="176" spans="1:17" x14ac:dyDescent="0.2">
      <c r="B176" t="s">
        <v>1117</v>
      </c>
      <c r="C176" s="4">
        <v>0</v>
      </c>
      <c r="D176" s="4" t="e">
        <v>#DIV/0!</v>
      </c>
      <c r="E176" s="4">
        <v>0</v>
      </c>
      <c r="F176" s="4">
        <v>0</v>
      </c>
      <c r="G176" s="4" t="e">
        <v>#DIV/0!</v>
      </c>
      <c r="H176" s="4">
        <v>0</v>
      </c>
      <c r="I176" s="4" t="e">
        <v>#DIV/0!</v>
      </c>
      <c r="J176" s="4">
        <v>0</v>
      </c>
      <c r="K176" s="4">
        <v>0</v>
      </c>
      <c r="L176" s="4" t="e">
        <v>#DIV/0!</v>
      </c>
      <c r="M176" s="4">
        <v>2</v>
      </c>
      <c r="N176" s="4">
        <v>3.12</v>
      </c>
      <c r="O176" s="4">
        <v>2.4</v>
      </c>
      <c r="P176" s="4">
        <v>3.84</v>
      </c>
      <c r="Q176" s="4">
        <v>1.0182337649086282</v>
      </c>
    </row>
    <row r="177" spans="2:17" x14ac:dyDescent="0.2">
      <c r="B177" t="s">
        <v>1434</v>
      </c>
      <c r="C177" s="4">
        <v>1</v>
      </c>
      <c r="D177" s="4">
        <v>0.30199999999999999</v>
      </c>
      <c r="E177" s="4">
        <v>0.30199999999999999</v>
      </c>
      <c r="F177" s="4">
        <v>0.30199999999999999</v>
      </c>
      <c r="G177" s="4" t="e">
        <v>#DIV/0!</v>
      </c>
      <c r="H177" s="4">
        <v>1</v>
      </c>
      <c r="I177" s="4">
        <v>0.59399999999999997</v>
      </c>
      <c r="J177" s="4">
        <v>0.59399999999999997</v>
      </c>
      <c r="K177" s="4">
        <v>0.59399999999999997</v>
      </c>
      <c r="L177" s="4" t="e">
        <v>#DIV/0!</v>
      </c>
      <c r="M177" s="4">
        <v>1</v>
      </c>
      <c r="N177" s="4">
        <v>0.59399999999999997</v>
      </c>
      <c r="O177" s="4">
        <v>0.59399999999999997</v>
      </c>
      <c r="P177" s="4">
        <v>0.59399999999999997</v>
      </c>
      <c r="Q177" s="4" t="e">
        <v>#DIV/0!</v>
      </c>
    </row>
    <row r="178" spans="2:17" x14ac:dyDescent="0.2">
      <c r="B178" t="s">
        <v>1908</v>
      </c>
      <c r="C178" s="4">
        <v>1</v>
      </c>
      <c r="D178" s="4">
        <v>0.87</v>
      </c>
      <c r="E178" s="4">
        <v>0.87</v>
      </c>
      <c r="F178" s="4">
        <v>0.87</v>
      </c>
      <c r="G178" s="4" t="e">
        <v>#DIV/0!</v>
      </c>
      <c r="H178" s="4">
        <v>0</v>
      </c>
      <c r="I178" s="4" t="e">
        <v>#DIV/0!</v>
      </c>
      <c r="J178" s="4">
        <v>0</v>
      </c>
      <c r="K178" s="4">
        <v>0</v>
      </c>
      <c r="L178" s="4" t="e">
        <v>#DIV/0!</v>
      </c>
      <c r="M178" s="4"/>
      <c r="N178" s="4"/>
      <c r="O178" s="4"/>
      <c r="P178" s="4"/>
      <c r="Q178" s="4"/>
    </row>
    <row r="179" spans="2:17" x14ac:dyDescent="0.2">
      <c r="B179" t="s">
        <v>3051</v>
      </c>
      <c r="C179" s="4">
        <v>7</v>
      </c>
      <c r="D179" s="4">
        <v>11.250181571428572</v>
      </c>
      <c r="E179" s="4">
        <v>3.6700000000000003E-2</v>
      </c>
      <c r="F179" s="4">
        <v>39.491154999999999</v>
      </c>
      <c r="G179" s="4">
        <v>14.144379387981161</v>
      </c>
      <c r="H179" s="4">
        <v>0</v>
      </c>
      <c r="I179" s="4" t="e">
        <v>#DIV/0!</v>
      </c>
      <c r="J179" s="4">
        <v>0</v>
      </c>
      <c r="K179" s="4">
        <v>0</v>
      </c>
      <c r="L179" s="4" t="e">
        <v>#DIV/0!</v>
      </c>
      <c r="M179" s="4">
        <v>4</v>
      </c>
      <c r="N179" s="4">
        <v>3.0750000000000002</v>
      </c>
      <c r="O179" s="4">
        <v>2.1</v>
      </c>
      <c r="P179" s="4">
        <v>4.0999999999999996</v>
      </c>
      <c r="Q179" s="4">
        <v>0.93229108472979882</v>
      </c>
    </row>
    <row r="180" spans="2:17" x14ac:dyDescent="0.2">
      <c r="B180" t="s">
        <v>3050</v>
      </c>
      <c r="C180" s="4">
        <v>0</v>
      </c>
      <c r="D180" s="4" t="e">
        <v>#DIV/0!</v>
      </c>
      <c r="E180" s="4">
        <v>0</v>
      </c>
      <c r="F180" s="4">
        <v>0</v>
      </c>
      <c r="G180" s="4" t="e">
        <v>#DIV/0!</v>
      </c>
      <c r="H180" s="4">
        <v>3</v>
      </c>
      <c r="I180" s="4">
        <v>33.647091000000003</v>
      </c>
      <c r="J180" s="4">
        <v>25.23237</v>
      </c>
      <c r="K180" s="4">
        <v>50.440724000000003</v>
      </c>
      <c r="L180" s="4">
        <v>14.543723820780452</v>
      </c>
      <c r="M180" s="4">
        <v>4</v>
      </c>
      <c r="N180" s="4">
        <v>26.311518250000002</v>
      </c>
      <c r="O180" s="4">
        <v>4.3048000000000002</v>
      </c>
      <c r="P180" s="4">
        <v>50.440724000000003</v>
      </c>
      <c r="Q180" s="4">
        <v>18.874739168147322</v>
      </c>
    </row>
    <row r="181" spans="2:17" x14ac:dyDescent="0.2">
      <c r="B181" t="s">
        <v>3293</v>
      </c>
      <c r="C181" s="4">
        <v>0</v>
      </c>
      <c r="D181" s="4" t="e">
        <v>#DIV/0!</v>
      </c>
      <c r="E181" s="4">
        <v>0</v>
      </c>
      <c r="F181" s="4">
        <v>0</v>
      </c>
      <c r="G181" s="4" t="e">
        <v>#DIV/0!</v>
      </c>
      <c r="H181" s="4">
        <v>0</v>
      </c>
      <c r="I181" s="4" t="e">
        <v>#DIV/0!</v>
      </c>
      <c r="J181" s="4">
        <v>0</v>
      </c>
      <c r="K181" s="4">
        <v>0</v>
      </c>
      <c r="L181" s="4" t="e">
        <v>#DIV/0!</v>
      </c>
      <c r="M181" s="4">
        <v>1</v>
      </c>
      <c r="N181" s="4">
        <v>1.3961513513513513</v>
      </c>
      <c r="O181" s="4">
        <v>1.3961513513513513</v>
      </c>
      <c r="P181" s="4">
        <v>1.3961513513513513</v>
      </c>
      <c r="Q181" s="4" t="e">
        <v>#DIV/0!</v>
      </c>
    </row>
    <row r="182" spans="2:17" x14ac:dyDescent="0.2">
      <c r="B182" t="s">
        <v>1356</v>
      </c>
      <c r="C182" s="4">
        <v>0</v>
      </c>
      <c r="D182" s="4" t="e">
        <v>#DIV/0!</v>
      </c>
      <c r="E182" s="4">
        <v>0</v>
      </c>
      <c r="F182" s="4">
        <v>0</v>
      </c>
      <c r="G182" s="4" t="e">
        <v>#DIV/0!</v>
      </c>
      <c r="H182" s="4">
        <v>0</v>
      </c>
      <c r="I182" s="4" t="e">
        <v>#DIV/0!</v>
      </c>
      <c r="J182" s="4">
        <v>0</v>
      </c>
      <c r="K182" s="4">
        <v>0</v>
      </c>
      <c r="L182" s="4" t="e">
        <v>#DIV/0!</v>
      </c>
      <c r="M182" s="4">
        <v>1</v>
      </c>
      <c r="N182" s="4">
        <v>1.2013395348837208</v>
      </c>
      <c r="O182" s="4">
        <v>1.2013395348837208</v>
      </c>
      <c r="P182" s="4">
        <v>1.2013395348837208</v>
      </c>
      <c r="Q182" s="4" t="e">
        <v>#DIV/0!</v>
      </c>
    </row>
    <row r="183" spans="2:17" x14ac:dyDescent="0.2">
      <c r="B183" t="s">
        <v>1347</v>
      </c>
      <c r="C183" s="4">
        <v>0</v>
      </c>
      <c r="D183" s="4" t="e">
        <v>#DIV/0!</v>
      </c>
      <c r="E183" s="4">
        <v>0</v>
      </c>
      <c r="F183" s="4">
        <v>0</v>
      </c>
      <c r="G183" s="4" t="e">
        <v>#DIV/0!</v>
      </c>
      <c r="H183" s="4">
        <v>0</v>
      </c>
      <c r="I183" s="4" t="e">
        <v>#DIV/0!</v>
      </c>
      <c r="J183" s="4">
        <v>0</v>
      </c>
      <c r="K183" s="4">
        <v>0</v>
      </c>
      <c r="L183" s="4" t="e">
        <v>#DIV/0!</v>
      </c>
      <c r="M183" s="4">
        <v>1</v>
      </c>
      <c r="N183" s="4">
        <v>1.0105796919994992</v>
      </c>
      <c r="O183" s="4">
        <v>1.0105796919994992</v>
      </c>
      <c r="P183" s="4">
        <v>1.0105796919994992</v>
      </c>
      <c r="Q183" s="4" t="e">
        <v>#DIV/0!</v>
      </c>
    </row>
    <row r="184" spans="2:17" x14ac:dyDescent="0.2">
      <c r="B184" t="s">
        <v>1188</v>
      </c>
      <c r="C184" s="4">
        <v>0</v>
      </c>
      <c r="D184" s="4" t="e">
        <v>#DIV/0!</v>
      </c>
      <c r="E184" s="4">
        <v>0</v>
      </c>
      <c r="F184" s="4">
        <v>0</v>
      </c>
      <c r="G184" s="4" t="e">
        <v>#DIV/0!</v>
      </c>
      <c r="H184" s="4">
        <v>0</v>
      </c>
      <c r="I184" s="4" t="e">
        <v>#DIV/0!</v>
      </c>
      <c r="J184" s="4">
        <v>0</v>
      </c>
      <c r="K184" s="4">
        <v>0</v>
      </c>
      <c r="L184" s="4" t="e">
        <v>#DIV/0!</v>
      </c>
      <c r="M184" s="4">
        <v>1</v>
      </c>
      <c r="N184" s="4">
        <v>1.325</v>
      </c>
      <c r="O184" s="4">
        <v>1.325</v>
      </c>
      <c r="P184" s="4">
        <v>1.325</v>
      </c>
      <c r="Q184" s="4" t="e">
        <v>#DIV/0!</v>
      </c>
    </row>
    <row r="185" spans="2:17" x14ac:dyDescent="0.2">
      <c r="B185" t="s">
        <v>1491</v>
      </c>
      <c r="C185" s="4">
        <v>0</v>
      </c>
      <c r="D185" s="4" t="e">
        <v>#DIV/0!</v>
      </c>
      <c r="E185" s="4">
        <v>0</v>
      </c>
      <c r="F185" s="4">
        <v>0</v>
      </c>
      <c r="G185" s="4" t="e">
        <v>#DIV/0!</v>
      </c>
      <c r="H185" s="4">
        <v>0</v>
      </c>
      <c r="I185" s="4" t="e">
        <v>#DIV/0!</v>
      </c>
      <c r="J185" s="4">
        <v>0</v>
      </c>
      <c r="K185" s="4">
        <v>0</v>
      </c>
      <c r="L185" s="4" t="e">
        <v>#DIV/0!</v>
      </c>
      <c r="M185" s="4">
        <v>1</v>
      </c>
      <c r="N185" s="4">
        <v>43</v>
      </c>
      <c r="O185" s="4">
        <v>43</v>
      </c>
      <c r="P185" s="4">
        <v>43</v>
      </c>
      <c r="Q185" s="4" t="e">
        <v>#DIV/0!</v>
      </c>
    </row>
    <row r="186" spans="2:17" x14ac:dyDescent="0.2">
      <c r="B186" t="s">
        <v>1487</v>
      </c>
      <c r="C186" s="4">
        <v>0</v>
      </c>
      <c r="D186" s="4" t="e">
        <v>#DIV/0!</v>
      </c>
      <c r="E186" s="4">
        <v>0</v>
      </c>
      <c r="F186" s="4">
        <v>0</v>
      </c>
      <c r="G186" s="4" t="e">
        <v>#DIV/0!</v>
      </c>
      <c r="H186" s="4">
        <v>0</v>
      </c>
      <c r="I186" s="4" t="e">
        <v>#DIV/0!</v>
      </c>
      <c r="J186" s="4">
        <v>0</v>
      </c>
      <c r="K186" s="4">
        <v>0</v>
      </c>
      <c r="L186" s="4" t="e">
        <v>#DIV/0!</v>
      </c>
      <c r="M186" s="4">
        <v>1</v>
      </c>
      <c r="N186" s="4">
        <v>72.5</v>
      </c>
      <c r="O186" s="4">
        <v>72.5</v>
      </c>
      <c r="P186" s="4">
        <v>72.5</v>
      </c>
      <c r="Q186" s="4" t="e">
        <v>#DIV/0!</v>
      </c>
    </row>
    <row r="187" spans="2:17" x14ac:dyDescent="0.2">
      <c r="B187" t="s">
        <v>1998</v>
      </c>
      <c r="C187" s="4">
        <v>1</v>
      </c>
      <c r="D187" s="4">
        <v>0.88</v>
      </c>
      <c r="E187" s="4">
        <v>0.88</v>
      </c>
      <c r="F187" s="4">
        <v>0.88</v>
      </c>
      <c r="G187" s="4" t="e">
        <v>#DIV/0!</v>
      </c>
      <c r="H187" s="4">
        <v>0</v>
      </c>
      <c r="I187" s="4" t="e">
        <v>#DIV/0!</v>
      </c>
      <c r="J187" s="4">
        <v>0</v>
      </c>
      <c r="K187" s="4">
        <v>0</v>
      </c>
      <c r="L187" s="4" t="e">
        <v>#DIV/0!</v>
      </c>
      <c r="M187" s="4"/>
      <c r="N187" s="4"/>
      <c r="O187" s="4"/>
      <c r="P187" s="4"/>
      <c r="Q187" s="4"/>
    </row>
    <row r="188" spans="2:17" x14ac:dyDescent="0.2">
      <c r="B188" t="s">
        <v>3063</v>
      </c>
      <c r="C188" s="4">
        <v>1</v>
      </c>
      <c r="D188" s="4">
        <v>1.4</v>
      </c>
      <c r="E188" s="4">
        <v>1.4</v>
      </c>
      <c r="F188" s="4">
        <v>1.4</v>
      </c>
      <c r="G188" s="4" t="e">
        <v>#DIV/0!</v>
      </c>
      <c r="H188" s="4">
        <v>0</v>
      </c>
      <c r="I188" s="4" t="e">
        <v>#DIV/0!</v>
      </c>
      <c r="J188" s="4">
        <v>0</v>
      </c>
      <c r="K188" s="4">
        <v>0</v>
      </c>
      <c r="L188" s="4" t="e">
        <v>#DIV/0!</v>
      </c>
      <c r="M188" s="4"/>
      <c r="N188" s="4"/>
      <c r="O188" s="4"/>
      <c r="P188" s="4"/>
      <c r="Q188" s="4"/>
    </row>
    <row r="189" spans="2:17" x14ac:dyDescent="0.2">
      <c r="B189" t="s">
        <v>3419</v>
      </c>
      <c r="C189" s="4">
        <v>1</v>
      </c>
      <c r="D189" s="4">
        <v>0.375</v>
      </c>
      <c r="E189" s="4">
        <v>0.375</v>
      </c>
      <c r="F189" s="4">
        <v>0.375</v>
      </c>
      <c r="G189" s="4" t="e">
        <v>#DIV/0!</v>
      </c>
      <c r="H189" s="4">
        <v>0</v>
      </c>
      <c r="I189" s="4" t="e">
        <v>#DIV/0!</v>
      </c>
      <c r="J189" s="4">
        <v>0</v>
      </c>
      <c r="K189" s="4">
        <v>0</v>
      </c>
      <c r="L189" s="4" t="e">
        <v>#DIV/0!</v>
      </c>
      <c r="M189" s="4">
        <v>1</v>
      </c>
      <c r="N189" s="4">
        <v>0.66500000000000004</v>
      </c>
      <c r="O189" s="4">
        <v>0.66500000000000004</v>
      </c>
      <c r="P189" s="4">
        <v>0.66500000000000004</v>
      </c>
      <c r="Q189" s="4" t="e">
        <v>#DIV/0!</v>
      </c>
    </row>
    <row r="190" spans="2:17" x14ac:dyDescent="0.2">
      <c r="B190" t="s">
        <v>2954</v>
      </c>
      <c r="C190" s="4">
        <v>1</v>
      </c>
      <c r="D190" s="4">
        <v>2.35</v>
      </c>
      <c r="E190" s="4">
        <v>2.35</v>
      </c>
      <c r="F190" s="4">
        <v>2.35</v>
      </c>
      <c r="G190" s="4" t="e">
        <v>#DIV/0!</v>
      </c>
      <c r="H190" s="4">
        <v>0</v>
      </c>
      <c r="I190" s="4" t="e">
        <v>#DIV/0!</v>
      </c>
      <c r="J190" s="4">
        <v>0</v>
      </c>
      <c r="K190" s="4">
        <v>0</v>
      </c>
      <c r="L190" s="4" t="e">
        <v>#DIV/0!</v>
      </c>
      <c r="M190" s="4"/>
      <c r="N190" s="4"/>
      <c r="O190" s="4"/>
      <c r="P190" s="4"/>
      <c r="Q190" s="4"/>
    </row>
    <row r="191" spans="2:17" x14ac:dyDescent="0.2">
      <c r="B191" t="s">
        <v>2157</v>
      </c>
      <c r="C191" s="4">
        <v>1</v>
      </c>
      <c r="D191" s="4">
        <v>0.87</v>
      </c>
      <c r="E191" s="4">
        <v>0.87</v>
      </c>
      <c r="F191" s="4">
        <v>0.87</v>
      </c>
      <c r="G191" s="4" t="e">
        <v>#DIV/0!</v>
      </c>
      <c r="H191" s="4">
        <v>0</v>
      </c>
      <c r="I191" s="4" t="e">
        <v>#DIV/0!</v>
      </c>
      <c r="J191" s="4">
        <v>0</v>
      </c>
      <c r="K191" s="4">
        <v>0</v>
      </c>
      <c r="L191" s="4" t="e">
        <v>#DIV/0!</v>
      </c>
      <c r="M191" s="4"/>
      <c r="N191" s="4"/>
      <c r="O191" s="4"/>
      <c r="P191" s="4"/>
      <c r="Q191" s="4"/>
    </row>
    <row r="192" spans="2:17" x14ac:dyDescent="0.2">
      <c r="B192" t="s">
        <v>2198</v>
      </c>
      <c r="C192" s="4">
        <v>3</v>
      </c>
      <c r="D192" s="4">
        <v>0.56333333333333335</v>
      </c>
      <c r="E192" s="4">
        <v>0.25</v>
      </c>
      <c r="F192" s="4">
        <v>1</v>
      </c>
      <c r="G192" s="4">
        <v>0.38991452054691861</v>
      </c>
      <c r="H192" s="4">
        <v>3</v>
      </c>
      <c r="I192" s="4">
        <v>1.5449999999999999</v>
      </c>
      <c r="J192" s="4">
        <v>0.92999999999999994</v>
      </c>
      <c r="K192" s="4">
        <v>1.9849999999999999</v>
      </c>
      <c r="L192" s="4">
        <v>0.54883968515405301</v>
      </c>
      <c r="M192" s="4">
        <v>3</v>
      </c>
      <c r="N192" s="4">
        <v>2.1619999999999995</v>
      </c>
      <c r="O192" s="4">
        <v>2.06</v>
      </c>
      <c r="P192" s="4">
        <v>2.2709999999999999</v>
      </c>
      <c r="Q192" s="4">
        <v>0.10567402708329639</v>
      </c>
    </row>
    <row r="193" spans="1:17" x14ac:dyDescent="0.2">
      <c r="A193" s="83" t="s">
        <v>2840</v>
      </c>
      <c r="B193" s="83"/>
      <c r="C193" s="84">
        <v>17</v>
      </c>
      <c r="D193" s="84">
        <v>5.1463688823529417</v>
      </c>
      <c r="E193" s="84">
        <v>3.6700000000000003E-2</v>
      </c>
      <c r="F193" s="84">
        <v>39.491154999999999</v>
      </c>
      <c r="G193" s="84">
        <v>10.146916467923868</v>
      </c>
      <c r="H193" s="84">
        <v>7</v>
      </c>
      <c r="I193" s="84">
        <v>15.167181857142859</v>
      </c>
      <c r="J193" s="84">
        <v>0.59399999999999997</v>
      </c>
      <c r="K193" s="84">
        <v>50.440724000000003</v>
      </c>
      <c r="L193" s="84">
        <v>19.223390812686215</v>
      </c>
      <c r="M193" s="84">
        <v>23</v>
      </c>
      <c r="N193" s="84">
        <v>11.185832329488459</v>
      </c>
      <c r="O193" s="84">
        <v>0.59399999999999997</v>
      </c>
      <c r="P193" s="84">
        <v>72.5</v>
      </c>
      <c r="Q193" s="84">
        <v>19.260738978891847</v>
      </c>
    </row>
    <row r="194" spans="1:17" s="83" customFormat="1" x14ac:dyDescent="0.2">
      <c r="A194" t="s">
        <v>587</v>
      </c>
      <c r="B194" t="s">
        <v>2955</v>
      </c>
      <c r="C194" s="4">
        <v>0</v>
      </c>
      <c r="D194" s="4" t="e">
        <v>#DIV/0!</v>
      </c>
      <c r="E194" s="4">
        <v>0</v>
      </c>
      <c r="F194" s="4">
        <v>0</v>
      </c>
      <c r="G194" s="4" t="e">
        <v>#DIV/0!</v>
      </c>
      <c r="H194" s="4">
        <v>4</v>
      </c>
      <c r="I194" s="4">
        <v>0.39078305999999996</v>
      </c>
      <c r="J194" s="4">
        <v>0.29486158999999995</v>
      </c>
      <c r="K194" s="4">
        <v>0.47034267000000002</v>
      </c>
      <c r="L194" s="4">
        <v>7.6284474512375716E-2</v>
      </c>
      <c r="M194" s="4">
        <v>4</v>
      </c>
      <c r="N194" s="4">
        <v>0.39078305999999996</v>
      </c>
      <c r="O194" s="4">
        <v>0.29486158999999995</v>
      </c>
      <c r="P194" s="4">
        <v>0.47034267000000002</v>
      </c>
      <c r="Q194" s="4">
        <v>7.6284474512375716E-2</v>
      </c>
    </row>
    <row r="195" spans="1:17" s="85" customFormat="1" x14ac:dyDescent="0.2">
      <c r="A195"/>
      <c r="B195" t="s">
        <v>2981</v>
      </c>
      <c r="C195" s="4">
        <v>0</v>
      </c>
      <c r="D195" s="4" t="e">
        <v>#DIV/0!</v>
      </c>
      <c r="E195" s="4">
        <v>0</v>
      </c>
      <c r="F195" s="4">
        <v>0</v>
      </c>
      <c r="G195" s="4" t="e">
        <v>#DIV/0!</v>
      </c>
      <c r="H195" s="4">
        <v>4</v>
      </c>
      <c r="I195" s="4">
        <v>0.28759249999999997</v>
      </c>
      <c r="J195" s="4">
        <v>0.23335</v>
      </c>
      <c r="K195" s="4">
        <v>0.34007999999999999</v>
      </c>
      <c r="L195" s="4">
        <v>4.7032511716187927E-2</v>
      </c>
      <c r="M195" s="4">
        <v>4</v>
      </c>
      <c r="N195" s="4">
        <v>0.28759249999999997</v>
      </c>
      <c r="O195" s="4">
        <v>0.23335</v>
      </c>
      <c r="P195" s="4">
        <v>0.34007999999999999</v>
      </c>
      <c r="Q195" s="4">
        <v>4.7032511716187927E-2</v>
      </c>
    </row>
    <row r="196" spans="1:17" s="85" customFormat="1" x14ac:dyDescent="0.2">
      <c r="A196"/>
      <c r="B196" t="s">
        <v>588</v>
      </c>
      <c r="C196" s="4">
        <v>1</v>
      </c>
      <c r="D196" s="4">
        <v>0.21</v>
      </c>
      <c r="E196" s="4">
        <v>0.21</v>
      </c>
      <c r="F196" s="4">
        <v>0.21</v>
      </c>
      <c r="G196" s="4" t="e">
        <v>#DIV/0!</v>
      </c>
      <c r="H196" s="4">
        <v>1</v>
      </c>
      <c r="I196" s="4">
        <v>2.44</v>
      </c>
      <c r="J196" s="4">
        <v>2.44</v>
      </c>
      <c r="K196" s="4">
        <v>2.44</v>
      </c>
      <c r="L196" s="4" t="e">
        <v>#DIV/0!</v>
      </c>
      <c r="M196" s="4">
        <v>2</v>
      </c>
      <c r="N196" s="4">
        <v>1.655</v>
      </c>
      <c r="O196" s="4">
        <v>0.81</v>
      </c>
      <c r="P196" s="4">
        <v>2.5</v>
      </c>
      <c r="Q196" s="4">
        <v>1.1950104602052651</v>
      </c>
    </row>
    <row r="197" spans="1:17" x14ac:dyDescent="0.2">
      <c r="B197" t="s">
        <v>2068</v>
      </c>
      <c r="C197" s="4">
        <v>0</v>
      </c>
      <c r="D197" s="4" t="e">
        <v>#DIV/0!</v>
      </c>
      <c r="E197" s="4">
        <v>0</v>
      </c>
      <c r="F197" s="4">
        <v>0</v>
      </c>
      <c r="G197" s="4" t="e">
        <v>#DIV/0!</v>
      </c>
      <c r="H197" s="4">
        <v>1</v>
      </c>
      <c r="I197" s="4">
        <v>6.7544572691172551</v>
      </c>
      <c r="J197" s="4">
        <v>6.7544572691172551</v>
      </c>
      <c r="K197" s="4">
        <v>6.7544572691172551</v>
      </c>
      <c r="L197" s="4" t="e">
        <v>#DIV/0!</v>
      </c>
      <c r="M197" s="4"/>
      <c r="N197" s="4"/>
      <c r="O197" s="4"/>
      <c r="P197" s="4"/>
      <c r="Q197" s="4"/>
    </row>
    <row r="198" spans="1:17" x14ac:dyDescent="0.2">
      <c r="B198" t="s">
        <v>2285</v>
      </c>
      <c r="C198" s="4">
        <v>0</v>
      </c>
      <c r="D198" s="4" t="e">
        <v>#DIV/0!</v>
      </c>
      <c r="E198" s="4">
        <v>0</v>
      </c>
      <c r="F198" s="4">
        <v>0</v>
      </c>
      <c r="G198" s="4" t="e">
        <v>#DIV/0!</v>
      </c>
      <c r="H198" s="4">
        <v>1</v>
      </c>
      <c r="I198" s="4">
        <v>0.48759999999999998</v>
      </c>
      <c r="J198" s="4">
        <v>0.48759999999999998</v>
      </c>
      <c r="K198" s="4">
        <v>0.48759999999999998</v>
      </c>
      <c r="L198" s="4" t="e">
        <v>#DIV/0!</v>
      </c>
      <c r="M198" s="4">
        <v>1</v>
      </c>
      <c r="N198" s="4">
        <v>0.48759999999999998</v>
      </c>
      <c r="O198" s="4">
        <v>0.48759999999999998</v>
      </c>
      <c r="P198" s="4">
        <v>0.48759999999999998</v>
      </c>
      <c r="Q198" s="4" t="e">
        <v>#DIV/0!</v>
      </c>
    </row>
    <row r="199" spans="1:17" x14ac:dyDescent="0.2">
      <c r="B199" t="s">
        <v>2287</v>
      </c>
      <c r="C199" s="4">
        <v>1</v>
      </c>
      <c r="D199" s="4">
        <v>0.68779999999999997</v>
      </c>
      <c r="E199" s="4">
        <v>0.68779999999999997</v>
      </c>
      <c r="F199" s="4">
        <v>0.68779999999999997</v>
      </c>
      <c r="G199" s="4" t="e">
        <v>#DIV/0!</v>
      </c>
      <c r="H199" s="4">
        <v>2</v>
      </c>
      <c r="I199" s="4">
        <v>0.69992868499999994</v>
      </c>
      <c r="J199" s="4">
        <v>0.66705736999999998</v>
      </c>
      <c r="K199" s="4">
        <v>0.73280000000000001</v>
      </c>
      <c r="L199" s="4">
        <v>4.6487059486040455E-2</v>
      </c>
      <c r="M199" s="4">
        <v>2</v>
      </c>
      <c r="N199" s="4">
        <v>0.70892868499999995</v>
      </c>
      <c r="O199" s="4">
        <v>0.66705736999999998</v>
      </c>
      <c r="P199" s="4">
        <v>0.75079999999999991</v>
      </c>
      <c r="Q199" s="4">
        <v>5.9214981547397003E-2</v>
      </c>
    </row>
    <row r="200" spans="1:17" x14ac:dyDescent="0.2">
      <c r="A200" s="83" t="s">
        <v>2841</v>
      </c>
      <c r="B200" s="83"/>
      <c r="C200" s="84">
        <v>2</v>
      </c>
      <c r="D200" s="84">
        <v>0.44889999999999997</v>
      </c>
      <c r="E200" s="84">
        <v>0.21</v>
      </c>
      <c r="F200" s="84">
        <v>0.68779999999999997</v>
      </c>
      <c r="G200" s="84">
        <v>0.33785562005093245</v>
      </c>
      <c r="H200" s="84">
        <v>13</v>
      </c>
      <c r="I200" s="84">
        <v>1.0611859137782504</v>
      </c>
      <c r="J200" s="84">
        <v>0.23335</v>
      </c>
      <c r="K200" s="84">
        <v>6.7544572691172551</v>
      </c>
      <c r="L200" s="84">
        <v>1.8055997061726943</v>
      </c>
      <c r="M200" s="84">
        <v>13</v>
      </c>
      <c r="N200" s="84">
        <v>0.60991996999999998</v>
      </c>
      <c r="O200" s="84">
        <v>0.23335</v>
      </c>
      <c r="P200" s="84">
        <v>2.5</v>
      </c>
      <c r="Q200" s="84">
        <v>0.59737388112440726</v>
      </c>
    </row>
    <row r="201" spans="1:17" x14ac:dyDescent="0.2">
      <c r="A201" t="s">
        <v>162</v>
      </c>
      <c r="B201" t="s">
        <v>1755</v>
      </c>
      <c r="C201" s="4">
        <v>2</v>
      </c>
      <c r="D201" s="4">
        <v>0.33839999999999998</v>
      </c>
      <c r="E201" s="4">
        <v>0.1968</v>
      </c>
      <c r="F201" s="4">
        <v>0.48</v>
      </c>
      <c r="G201" s="4">
        <v>0.20025264043203023</v>
      </c>
      <c r="H201" s="4">
        <v>0</v>
      </c>
      <c r="I201" s="4" t="e">
        <v>#DIV/0!</v>
      </c>
      <c r="J201" s="4">
        <v>0</v>
      </c>
      <c r="K201" s="4">
        <v>0</v>
      </c>
      <c r="L201" s="4" t="e">
        <v>#DIV/0!</v>
      </c>
      <c r="M201" s="4"/>
      <c r="N201" s="4"/>
      <c r="O201" s="4"/>
      <c r="P201" s="4"/>
      <c r="Q201" s="4"/>
    </row>
    <row r="202" spans="1:17" x14ac:dyDescent="0.2">
      <c r="B202" t="s">
        <v>827</v>
      </c>
      <c r="C202" s="4">
        <v>7</v>
      </c>
      <c r="D202" s="4">
        <v>1.1489100000000003</v>
      </c>
      <c r="E202" s="4">
        <v>0.315</v>
      </c>
      <c r="F202" s="4">
        <v>2.54</v>
      </c>
      <c r="G202" s="4">
        <v>0.79065739811880531</v>
      </c>
      <c r="H202" s="4">
        <v>1</v>
      </c>
      <c r="I202" s="4">
        <v>0.40100000000000002</v>
      </c>
      <c r="J202" s="4">
        <v>0.40100000000000002</v>
      </c>
      <c r="K202" s="4">
        <v>0.40100000000000002</v>
      </c>
      <c r="L202" s="4" t="e">
        <v>#DIV/0!</v>
      </c>
      <c r="M202" s="4">
        <v>1</v>
      </c>
      <c r="N202" s="4">
        <v>0.80099999999999993</v>
      </c>
      <c r="O202" s="4">
        <v>0.80099999999999993</v>
      </c>
      <c r="P202" s="4">
        <v>0.80099999999999993</v>
      </c>
      <c r="Q202" s="4" t="e">
        <v>#DIV/0!</v>
      </c>
    </row>
    <row r="203" spans="1:17" x14ac:dyDescent="0.2">
      <c r="B203" t="s">
        <v>4061</v>
      </c>
      <c r="C203" s="4">
        <v>0</v>
      </c>
      <c r="D203" s="4" t="e">
        <v>#DIV/0!</v>
      </c>
      <c r="E203" s="4">
        <v>0</v>
      </c>
      <c r="F203" s="4">
        <v>0</v>
      </c>
      <c r="G203" s="4" t="e">
        <v>#DIV/0!</v>
      </c>
      <c r="H203" s="4">
        <v>0</v>
      </c>
      <c r="I203" s="4" t="e">
        <v>#DIV/0!</v>
      </c>
      <c r="J203" s="4">
        <v>0</v>
      </c>
      <c r="K203" s="4">
        <v>0</v>
      </c>
      <c r="L203" s="4" t="e">
        <v>#DIV/0!</v>
      </c>
      <c r="M203" s="4">
        <v>1</v>
      </c>
      <c r="N203" s="4">
        <v>8.8699999999999992</v>
      </c>
      <c r="O203" s="4">
        <v>8.8699999999999992</v>
      </c>
      <c r="P203" s="4">
        <v>8.8699999999999992</v>
      </c>
      <c r="Q203" s="4" t="e">
        <v>#DIV/0!</v>
      </c>
    </row>
    <row r="204" spans="1:17" x14ac:dyDescent="0.2">
      <c r="B204" t="s">
        <v>1805</v>
      </c>
      <c r="C204" s="4">
        <v>9</v>
      </c>
      <c r="D204" s="4">
        <v>0.66155555555555567</v>
      </c>
      <c r="E204" s="4">
        <v>0.10100000000000001</v>
      </c>
      <c r="F204" s="4">
        <v>2.89</v>
      </c>
      <c r="G204" s="4">
        <v>0.92540506146107593</v>
      </c>
      <c r="H204" s="4">
        <v>2</v>
      </c>
      <c r="I204" s="4">
        <v>0.5</v>
      </c>
      <c r="J204" s="4">
        <v>0.45999999999999996</v>
      </c>
      <c r="K204" s="4">
        <v>0.54</v>
      </c>
      <c r="L204" s="4">
        <v>5.6568542494923629E-2</v>
      </c>
      <c r="M204" s="4">
        <v>2</v>
      </c>
      <c r="N204" s="4">
        <v>1.7349999999999999</v>
      </c>
      <c r="O204" s="4">
        <v>1.63</v>
      </c>
      <c r="P204" s="4">
        <v>1.8399999999999999</v>
      </c>
      <c r="Q204" s="4">
        <v>0.1484924240491724</v>
      </c>
    </row>
    <row r="205" spans="1:17" x14ac:dyDescent="0.2">
      <c r="B205" t="s">
        <v>4058</v>
      </c>
      <c r="C205" s="4">
        <v>2</v>
      </c>
      <c r="D205" s="4">
        <v>0.09</v>
      </c>
      <c r="E205" s="4">
        <v>0.06</v>
      </c>
      <c r="F205" s="4">
        <v>0.12</v>
      </c>
      <c r="G205" s="4">
        <v>4.2426406871192847E-2</v>
      </c>
      <c r="H205" s="4">
        <v>0</v>
      </c>
      <c r="I205" s="4" t="e">
        <v>#DIV/0!</v>
      </c>
      <c r="J205" s="4">
        <v>0</v>
      </c>
      <c r="K205" s="4">
        <v>0</v>
      </c>
      <c r="L205" s="4" t="e">
        <v>#DIV/0!</v>
      </c>
      <c r="M205" s="4">
        <v>2</v>
      </c>
      <c r="N205" s="4">
        <v>10.814999999999998</v>
      </c>
      <c r="O205" s="4">
        <v>10.729999999999999</v>
      </c>
      <c r="P205" s="4">
        <v>10.899999999999999</v>
      </c>
      <c r="Q205" s="4">
        <v>0.12020815280187594</v>
      </c>
    </row>
    <row r="206" spans="1:17" x14ac:dyDescent="0.2">
      <c r="B206" t="s">
        <v>1822</v>
      </c>
      <c r="C206" s="4">
        <v>2</v>
      </c>
      <c r="D206" s="4">
        <v>0.17499999999999999</v>
      </c>
      <c r="E206" s="4">
        <v>0.11</v>
      </c>
      <c r="F206" s="4">
        <v>0.24</v>
      </c>
      <c r="G206" s="4">
        <v>9.1923881554251213E-2</v>
      </c>
      <c r="H206" s="4">
        <v>0</v>
      </c>
      <c r="I206" s="4" t="e">
        <v>#DIV/0!</v>
      </c>
      <c r="J206" s="4">
        <v>0</v>
      </c>
      <c r="K206" s="4">
        <v>0</v>
      </c>
      <c r="L206" s="4" t="e">
        <v>#DIV/0!</v>
      </c>
      <c r="M206" s="4"/>
      <c r="N206" s="4"/>
      <c r="O206" s="4"/>
      <c r="P206" s="4"/>
      <c r="Q206" s="4"/>
    </row>
    <row r="207" spans="1:17" x14ac:dyDescent="0.2">
      <c r="B207" t="s">
        <v>771</v>
      </c>
      <c r="C207" s="4">
        <v>17</v>
      </c>
      <c r="D207" s="4">
        <v>0.48613236187165776</v>
      </c>
      <c r="E207" s="4">
        <v>0.2</v>
      </c>
      <c r="F207" s="4">
        <v>1.73</v>
      </c>
      <c r="G207" s="4">
        <v>0.35138775912544246</v>
      </c>
      <c r="H207" s="4">
        <v>11</v>
      </c>
      <c r="I207" s="4">
        <v>0.52407768595041326</v>
      </c>
      <c r="J207" s="4">
        <v>0.35</v>
      </c>
      <c r="K207" s="4">
        <v>0.7827272727272726</v>
      </c>
      <c r="L207" s="4">
        <v>0.15014109701968623</v>
      </c>
      <c r="M207" s="4">
        <v>12</v>
      </c>
      <c r="N207" s="4">
        <v>1.2440924242424243</v>
      </c>
      <c r="O207" s="4">
        <v>0.43</v>
      </c>
      <c r="P207" s="4">
        <v>2.6000000000000005</v>
      </c>
      <c r="Q207" s="4">
        <v>0.69035682704862289</v>
      </c>
    </row>
    <row r="208" spans="1:17" x14ac:dyDescent="0.2">
      <c r="B208" t="s">
        <v>1853</v>
      </c>
      <c r="C208" s="4">
        <v>2</v>
      </c>
      <c r="D208" s="4">
        <v>0.17499999999999999</v>
      </c>
      <c r="E208" s="4">
        <v>0.12</v>
      </c>
      <c r="F208" s="4">
        <v>0.23</v>
      </c>
      <c r="G208" s="4">
        <v>7.7781745930520271E-2</v>
      </c>
      <c r="H208" s="4">
        <v>0</v>
      </c>
      <c r="I208" s="4" t="e">
        <v>#DIV/0!</v>
      </c>
      <c r="J208" s="4">
        <v>0</v>
      </c>
      <c r="K208" s="4">
        <v>0</v>
      </c>
      <c r="L208" s="4" t="e">
        <v>#DIV/0!</v>
      </c>
      <c r="M208" s="4"/>
      <c r="N208" s="4"/>
      <c r="O208" s="4"/>
      <c r="P208" s="4"/>
      <c r="Q208" s="4"/>
    </row>
    <row r="209" spans="2:17" x14ac:dyDescent="0.2">
      <c r="B209" t="s">
        <v>3819</v>
      </c>
      <c r="C209" s="4">
        <v>1</v>
      </c>
      <c r="D209" s="4">
        <v>0.25</v>
      </c>
      <c r="E209" s="4">
        <v>0.25</v>
      </c>
      <c r="F209" s="4">
        <v>0.25</v>
      </c>
      <c r="G209" s="4" t="e">
        <v>#DIV/0!</v>
      </c>
      <c r="H209" s="4">
        <v>0</v>
      </c>
      <c r="I209" s="4" t="e">
        <v>#DIV/0!</v>
      </c>
      <c r="J209" s="4">
        <v>0</v>
      </c>
      <c r="K209" s="4">
        <v>0</v>
      </c>
      <c r="L209" s="4" t="e">
        <v>#DIV/0!</v>
      </c>
      <c r="M209" s="4"/>
      <c r="N209" s="4"/>
      <c r="O209" s="4"/>
      <c r="P209" s="4"/>
      <c r="Q209" s="4"/>
    </row>
    <row r="210" spans="2:17" x14ac:dyDescent="0.2">
      <c r="B210" t="s">
        <v>1864</v>
      </c>
      <c r="C210" s="4">
        <v>5</v>
      </c>
      <c r="D210" s="4">
        <v>8.1799999999999998E-2</v>
      </c>
      <c r="E210" s="4">
        <v>1.7999999999999999E-2</v>
      </c>
      <c r="F210" s="4">
        <v>0.14000000000000001</v>
      </c>
      <c r="G210" s="4">
        <v>5.1982689426385009E-2</v>
      </c>
      <c r="H210" s="4">
        <v>0</v>
      </c>
      <c r="I210" s="4" t="e">
        <v>#DIV/0!</v>
      </c>
      <c r="J210" s="4">
        <v>0</v>
      </c>
      <c r="K210" s="4">
        <v>0</v>
      </c>
      <c r="L210" s="4" t="e">
        <v>#DIV/0!</v>
      </c>
      <c r="M210" s="4">
        <v>6</v>
      </c>
      <c r="N210" s="4">
        <v>0.18000000000000002</v>
      </c>
      <c r="O210" s="4">
        <v>4.0000000000000001E-3</v>
      </c>
      <c r="P210" s="4">
        <v>0.43</v>
      </c>
      <c r="Q210" s="4">
        <v>0.15353566360946894</v>
      </c>
    </row>
    <row r="211" spans="2:17" x14ac:dyDescent="0.2">
      <c r="B211" t="s">
        <v>3511</v>
      </c>
      <c r="C211" s="4">
        <v>2</v>
      </c>
      <c r="D211" s="4">
        <v>0.1115</v>
      </c>
      <c r="E211" s="4">
        <v>2.3E-2</v>
      </c>
      <c r="F211" s="4">
        <v>0.2</v>
      </c>
      <c r="G211" s="4">
        <v>0.12515790027001894</v>
      </c>
      <c r="H211" s="4">
        <v>1</v>
      </c>
      <c r="I211" s="4">
        <v>0.218</v>
      </c>
      <c r="J211" s="4">
        <v>0.218</v>
      </c>
      <c r="K211" s="4">
        <v>0.218</v>
      </c>
      <c r="L211" s="4" t="e">
        <v>#DIV/0!</v>
      </c>
      <c r="M211" s="4">
        <v>1</v>
      </c>
      <c r="N211" s="4">
        <v>0.26700000000000002</v>
      </c>
      <c r="O211" s="4">
        <v>0.26700000000000002</v>
      </c>
      <c r="P211" s="4">
        <v>0.26700000000000002</v>
      </c>
      <c r="Q211" s="4" t="e">
        <v>#DIV/0!</v>
      </c>
    </row>
    <row r="212" spans="2:17" x14ac:dyDescent="0.2">
      <c r="B212" t="s">
        <v>1868</v>
      </c>
      <c r="C212" s="4">
        <v>1</v>
      </c>
      <c r="D212" s="4">
        <v>7.8799999999999995E-2</v>
      </c>
      <c r="E212" s="4">
        <v>7.8799999999999995E-2</v>
      </c>
      <c r="F212" s="4">
        <v>7.8799999999999995E-2</v>
      </c>
      <c r="G212" s="4" t="e">
        <v>#DIV/0!</v>
      </c>
      <c r="H212" s="4">
        <v>0</v>
      </c>
      <c r="I212" s="4" t="e">
        <v>#DIV/0!</v>
      </c>
      <c r="J212" s="4">
        <v>0</v>
      </c>
      <c r="K212" s="4">
        <v>0</v>
      </c>
      <c r="L212" s="4" t="e">
        <v>#DIV/0!</v>
      </c>
      <c r="M212" s="4"/>
      <c r="N212" s="4"/>
      <c r="O212" s="4"/>
      <c r="P212" s="4"/>
      <c r="Q212" s="4"/>
    </row>
    <row r="213" spans="2:17" x14ac:dyDescent="0.2">
      <c r="B213" t="s">
        <v>875</v>
      </c>
      <c r="C213" s="4">
        <v>3</v>
      </c>
      <c r="D213" s="4">
        <v>0.36483185999999995</v>
      </c>
      <c r="E213" s="4">
        <v>0.27288365999999997</v>
      </c>
      <c r="F213" s="4">
        <v>0.44161191999999999</v>
      </c>
      <c r="G213" s="4">
        <v>8.5380681561765842E-2</v>
      </c>
      <c r="H213" s="4">
        <v>0</v>
      </c>
      <c r="I213" s="4" t="e">
        <v>#DIV/0!</v>
      </c>
      <c r="J213" s="4">
        <v>0</v>
      </c>
      <c r="K213" s="4">
        <v>0</v>
      </c>
      <c r="L213" s="4" t="e">
        <v>#DIV/0!</v>
      </c>
      <c r="M213" s="4">
        <v>1</v>
      </c>
      <c r="N213" s="4">
        <v>0.39</v>
      </c>
      <c r="O213" s="4">
        <v>0.39</v>
      </c>
      <c r="P213" s="4">
        <v>0.39</v>
      </c>
      <c r="Q213" s="4" t="e">
        <v>#DIV/0!</v>
      </c>
    </row>
    <row r="214" spans="2:17" x14ac:dyDescent="0.2">
      <c r="B214" t="s">
        <v>1872</v>
      </c>
      <c r="C214" s="4">
        <v>2</v>
      </c>
      <c r="D214" s="4">
        <v>0.29557500000000003</v>
      </c>
      <c r="E214" s="4">
        <v>0.18</v>
      </c>
      <c r="F214" s="4">
        <v>0.41115000000000002</v>
      </c>
      <c r="G214" s="4">
        <v>0.16344773247127031</v>
      </c>
      <c r="H214" s="4">
        <v>0</v>
      </c>
      <c r="I214" s="4" t="e">
        <v>#DIV/0!</v>
      </c>
      <c r="J214" s="4">
        <v>0</v>
      </c>
      <c r="K214" s="4">
        <v>0</v>
      </c>
      <c r="L214" s="4" t="e">
        <v>#DIV/0!</v>
      </c>
      <c r="M214" s="4"/>
      <c r="N214" s="4"/>
      <c r="O214" s="4"/>
      <c r="P214" s="4"/>
      <c r="Q214" s="4"/>
    </row>
    <row r="215" spans="2:17" x14ac:dyDescent="0.2">
      <c r="B215" t="s">
        <v>2991</v>
      </c>
      <c r="C215" s="4">
        <v>2</v>
      </c>
      <c r="D215" s="4">
        <v>5.0446000000000005E-2</v>
      </c>
      <c r="E215" s="4">
        <v>4.4065E-2</v>
      </c>
      <c r="F215" s="4">
        <v>5.6827000000000003E-2</v>
      </c>
      <c r="G215" s="4">
        <v>9.0240967415026966E-3</v>
      </c>
      <c r="H215" s="4">
        <v>0</v>
      </c>
      <c r="I215" s="4" t="e">
        <v>#DIV/0!</v>
      </c>
      <c r="J215" s="4">
        <v>0</v>
      </c>
      <c r="K215" s="4">
        <v>0</v>
      </c>
      <c r="L215" s="4" t="e">
        <v>#DIV/0!</v>
      </c>
      <c r="M215" s="4"/>
      <c r="N215" s="4"/>
      <c r="O215" s="4"/>
      <c r="P215" s="4"/>
      <c r="Q215" s="4"/>
    </row>
    <row r="216" spans="2:17" x14ac:dyDescent="0.2">
      <c r="B216" t="s">
        <v>2904</v>
      </c>
      <c r="C216" s="4">
        <v>1</v>
      </c>
      <c r="D216" s="4">
        <v>6.25</v>
      </c>
      <c r="E216" s="4">
        <v>6.25</v>
      </c>
      <c r="F216" s="4">
        <v>6.25</v>
      </c>
      <c r="G216" s="4" t="e">
        <v>#DIV/0!</v>
      </c>
      <c r="H216" s="4">
        <v>0</v>
      </c>
      <c r="I216" s="4" t="e">
        <v>#DIV/0!</v>
      </c>
      <c r="J216" s="4">
        <v>0</v>
      </c>
      <c r="K216" s="4">
        <v>0</v>
      </c>
      <c r="L216" s="4" t="e">
        <v>#DIV/0!</v>
      </c>
      <c r="M216" s="4"/>
      <c r="N216" s="4"/>
      <c r="O216" s="4"/>
      <c r="P216" s="4"/>
      <c r="Q216" s="4"/>
    </row>
    <row r="217" spans="2:17" x14ac:dyDescent="0.2">
      <c r="B217" t="s">
        <v>1946</v>
      </c>
      <c r="C217" s="4">
        <v>4</v>
      </c>
      <c r="D217" s="4">
        <v>0.272331875</v>
      </c>
      <c r="E217" s="4">
        <v>0.18450696</v>
      </c>
      <c r="F217" s="4">
        <v>0.37178664</v>
      </c>
      <c r="G217" s="4">
        <v>7.8881189566321147E-2</v>
      </c>
      <c r="H217" s="4">
        <v>0</v>
      </c>
      <c r="I217" s="4" t="e">
        <v>#DIV/0!</v>
      </c>
      <c r="J217" s="4">
        <v>0</v>
      </c>
      <c r="K217" s="4">
        <v>0</v>
      </c>
      <c r="L217" s="4" t="e">
        <v>#DIV/0!</v>
      </c>
      <c r="M217" s="4"/>
      <c r="N217" s="4"/>
      <c r="O217" s="4"/>
      <c r="P217" s="4"/>
      <c r="Q217" s="4"/>
    </row>
    <row r="218" spans="2:17" x14ac:dyDescent="0.2">
      <c r="B218" t="s">
        <v>845</v>
      </c>
      <c r="C218" s="4">
        <v>4</v>
      </c>
      <c r="D218" s="4">
        <v>0.39734749999999996</v>
      </c>
      <c r="E218" s="4">
        <v>0.08</v>
      </c>
      <c r="F218" s="4">
        <v>1.25</v>
      </c>
      <c r="G218" s="4">
        <v>0.56891757723915215</v>
      </c>
      <c r="H218" s="4">
        <v>0</v>
      </c>
      <c r="I218" s="4" t="e">
        <v>#DIV/0!</v>
      </c>
      <c r="J218" s="4">
        <v>0</v>
      </c>
      <c r="K218" s="4">
        <v>0</v>
      </c>
      <c r="L218" s="4" t="e">
        <v>#DIV/0!</v>
      </c>
      <c r="M218" s="4"/>
      <c r="N218" s="4"/>
      <c r="O218" s="4"/>
      <c r="P218" s="4"/>
      <c r="Q218" s="4"/>
    </row>
    <row r="219" spans="2:17" x14ac:dyDescent="0.2">
      <c r="B219" t="s">
        <v>4059</v>
      </c>
      <c r="C219" s="4">
        <v>1</v>
      </c>
      <c r="D219" s="4">
        <v>3.8605999999999998</v>
      </c>
      <c r="E219" s="4">
        <v>3.8605999999999998</v>
      </c>
      <c r="F219" s="4">
        <v>3.8605999999999998</v>
      </c>
      <c r="G219" s="4" t="e">
        <v>#DIV/0!</v>
      </c>
      <c r="H219" s="4">
        <v>0</v>
      </c>
      <c r="I219" s="4" t="e">
        <v>#DIV/0!</v>
      </c>
      <c r="J219" s="4">
        <v>0</v>
      </c>
      <c r="K219" s="4">
        <v>0</v>
      </c>
      <c r="L219" s="4" t="e">
        <v>#DIV/0!</v>
      </c>
      <c r="M219" s="4">
        <v>1</v>
      </c>
      <c r="N219" s="4">
        <v>3.98</v>
      </c>
      <c r="O219" s="4">
        <v>3.98</v>
      </c>
      <c r="P219" s="4">
        <v>3.98</v>
      </c>
      <c r="Q219" s="4" t="e">
        <v>#DIV/0!</v>
      </c>
    </row>
    <row r="220" spans="2:17" x14ac:dyDescent="0.2">
      <c r="B220" t="s">
        <v>884</v>
      </c>
      <c r="C220" s="4">
        <v>0</v>
      </c>
      <c r="D220" s="4" t="e">
        <v>#DIV/0!</v>
      </c>
      <c r="E220" s="4">
        <v>0</v>
      </c>
      <c r="F220" s="4">
        <v>0</v>
      </c>
      <c r="G220" s="4" t="e">
        <v>#DIV/0!</v>
      </c>
      <c r="H220" s="4">
        <v>0</v>
      </c>
      <c r="I220" s="4" t="e">
        <v>#DIV/0!</v>
      </c>
      <c r="J220" s="4">
        <v>0</v>
      </c>
      <c r="K220" s="4">
        <v>0</v>
      </c>
      <c r="L220" s="4" t="e">
        <v>#DIV/0!</v>
      </c>
      <c r="M220" s="4">
        <v>1</v>
      </c>
      <c r="N220" s="4">
        <v>1.3</v>
      </c>
      <c r="O220" s="4">
        <v>1.3</v>
      </c>
      <c r="P220" s="4">
        <v>1.3</v>
      </c>
      <c r="Q220" s="4" t="e">
        <v>#DIV/0!</v>
      </c>
    </row>
    <row r="221" spans="2:17" x14ac:dyDescent="0.2">
      <c r="B221" t="s">
        <v>659</v>
      </c>
      <c r="C221" s="4">
        <v>3</v>
      </c>
      <c r="D221" s="4">
        <v>5.5666666666666663E-2</v>
      </c>
      <c r="E221" s="4">
        <v>5.1400000000000001E-2</v>
      </c>
      <c r="F221" s="4">
        <v>5.8299999999999998E-2</v>
      </c>
      <c r="G221" s="4">
        <v>3.7287173844814292E-3</v>
      </c>
      <c r="H221" s="4">
        <v>0</v>
      </c>
      <c r="I221" s="4" t="e">
        <v>#DIV/0!</v>
      </c>
      <c r="J221" s="4">
        <v>0</v>
      </c>
      <c r="K221" s="4">
        <v>0</v>
      </c>
      <c r="L221" s="4" t="e">
        <v>#DIV/0!</v>
      </c>
      <c r="M221" s="4"/>
      <c r="N221" s="4"/>
      <c r="O221" s="4"/>
      <c r="P221" s="4"/>
      <c r="Q221" s="4"/>
    </row>
    <row r="222" spans="2:17" x14ac:dyDescent="0.2">
      <c r="B222" t="s">
        <v>4057</v>
      </c>
      <c r="C222" s="4">
        <v>1</v>
      </c>
      <c r="D222" s="4">
        <v>0.30299999999999999</v>
      </c>
      <c r="E222" s="4">
        <v>0.30299999999999999</v>
      </c>
      <c r="F222" s="4">
        <v>0.30299999999999999</v>
      </c>
      <c r="G222" s="4" t="e">
        <v>#DIV/0!</v>
      </c>
      <c r="H222" s="4">
        <v>0</v>
      </c>
      <c r="I222" s="4" t="e">
        <v>#DIV/0!</v>
      </c>
      <c r="J222" s="4">
        <v>0</v>
      </c>
      <c r="K222" s="4">
        <v>0</v>
      </c>
      <c r="L222" s="4" t="e">
        <v>#DIV/0!</v>
      </c>
      <c r="M222" s="4"/>
      <c r="N222" s="4"/>
      <c r="O222" s="4"/>
      <c r="P222" s="4"/>
      <c r="Q222" s="4"/>
    </row>
    <row r="223" spans="2:17" x14ac:dyDescent="0.2">
      <c r="B223" t="s">
        <v>887</v>
      </c>
      <c r="C223" s="4">
        <v>0</v>
      </c>
      <c r="D223" s="4" t="e">
        <v>#DIV/0!</v>
      </c>
      <c r="E223" s="4">
        <v>0</v>
      </c>
      <c r="F223" s="4">
        <v>0</v>
      </c>
      <c r="G223" s="4" t="e">
        <v>#DIV/0!</v>
      </c>
      <c r="H223" s="4">
        <v>0</v>
      </c>
      <c r="I223" s="4" t="e">
        <v>#DIV/0!</v>
      </c>
      <c r="J223" s="4">
        <v>0</v>
      </c>
      <c r="K223" s="4">
        <v>0</v>
      </c>
      <c r="L223" s="4" t="e">
        <v>#DIV/0!</v>
      </c>
      <c r="M223" s="4">
        <v>1</v>
      </c>
      <c r="N223" s="4">
        <v>0.48</v>
      </c>
      <c r="O223" s="4">
        <v>0.48</v>
      </c>
      <c r="P223" s="4">
        <v>0.48</v>
      </c>
      <c r="Q223" s="4" t="e">
        <v>#DIV/0!</v>
      </c>
    </row>
    <row r="224" spans="2:17" x14ac:dyDescent="0.2">
      <c r="B224" t="s">
        <v>1976</v>
      </c>
      <c r="C224" s="4">
        <v>0</v>
      </c>
      <c r="D224" s="4" t="e">
        <v>#DIV/0!</v>
      </c>
      <c r="E224" s="4">
        <v>0</v>
      </c>
      <c r="F224" s="4">
        <v>0</v>
      </c>
      <c r="G224" s="4" t="e">
        <v>#DIV/0!</v>
      </c>
      <c r="H224" s="4">
        <v>0</v>
      </c>
      <c r="I224" s="4" t="e">
        <v>#DIV/0!</v>
      </c>
      <c r="J224" s="4">
        <v>0</v>
      </c>
      <c r="K224" s="4">
        <v>0</v>
      </c>
      <c r="L224" s="4" t="e">
        <v>#DIV/0!</v>
      </c>
      <c r="M224" s="4">
        <v>1</v>
      </c>
      <c r="N224" s="4">
        <v>0.43</v>
      </c>
      <c r="O224" s="4">
        <v>0.43</v>
      </c>
      <c r="P224" s="4">
        <v>0.43</v>
      </c>
      <c r="Q224" s="4" t="e">
        <v>#DIV/0!</v>
      </c>
    </row>
    <row r="225" spans="2:17" x14ac:dyDescent="0.2">
      <c r="B225" t="s">
        <v>1995</v>
      </c>
      <c r="C225" s="4">
        <v>3</v>
      </c>
      <c r="D225" s="4">
        <v>0.64566666666666672</v>
      </c>
      <c r="E225" s="4">
        <v>0.56999999999999995</v>
      </c>
      <c r="F225" s="4">
        <v>0.68700000000000006</v>
      </c>
      <c r="G225" s="4">
        <v>6.562265868839369E-2</v>
      </c>
      <c r="H225" s="4">
        <v>0</v>
      </c>
      <c r="I225" s="4" t="e">
        <v>#DIV/0!</v>
      </c>
      <c r="J225" s="4">
        <v>0</v>
      </c>
      <c r="K225" s="4">
        <v>0</v>
      </c>
      <c r="L225" s="4" t="e">
        <v>#DIV/0!</v>
      </c>
      <c r="M225" s="4">
        <v>3</v>
      </c>
      <c r="N225" s="4">
        <v>4.3209999999999997</v>
      </c>
      <c r="O225" s="4">
        <v>0.66800000000000004</v>
      </c>
      <c r="P225" s="4">
        <v>11.420999999999999</v>
      </c>
      <c r="Q225" s="4">
        <v>6.149642997768245</v>
      </c>
    </row>
    <row r="226" spans="2:17" x14ac:dyDescent="0.2">
      <c r="B226" t="s">
        <v>2460</v>
      </c>
      <c r="C226" s="4">
        <v>2</v>
      </c>
      <c r="D226" s="4">
        <v>0.11785933500000001</v>
      </c>
      <c r="E226" s="4">
        <v>0.11627535</v>
      </c>
      <c r="F226" s="4">
        <v>0.11944332000000001</v>
      </c>
      <c r="G226" s="4">
        <v>2.2400930695946389E-3</v>
      </c>
      <c r="H226" s="4">
        <v>0</v>
      </c>
      <c r="I226" s="4" t="e">
        <v>#DIV/0!</v>
      </c>
      <c r="J226" s="4">
        <v>0</v>
      </c>
      <c r="K226" s="4">
        <v>0</v>
      </c>
      <c r="L226" s="4" t="e">
        <v>#DIV/0!</v>
      </c>
      <c r="M226" s="4"/>
      <c r="N226" s="4"/>
      <c r="O226" s="4"/>
      <c r="P226" s="4"/>
      <c r="Q226" s="4"/>
    </row>
    <row r="227" spans="2:17" x14ac:dyDescent="0.2">
      <c r="B227" t="s">
        <v>868</v>
      </c>
      <c r="C227" s="4">
        <v>2</v>
      </c>
      <c r="D227" s="4">
        <v>6.9000000000000006E-2</v>
      </c>
      <c r="E227" s="4">
        <v>4.3999999999999997E-2</v>
      </c>
      <c r="F227" s="4">
        <v>9.4E-2</v>
      </c>
      <c r="G227" s="4">
        <v>3.5355339059327369E-2</v>
      </c>
      <c r="H227" s="4">
        <v>0</v>
      </c>
      <c r="I227" s="4" t="e">
        <v>#DIV/0!</v>
      </c>
      <c r="J227" s="4">
        <v>0</v>
      </c>
      <c r="K227" s="4">
        <v>0</v>
      </c>
      <c r="L227" s="4" t="e">
        <v>#DIV/0!</v>
      </c>
      <c r="M227" s="4">
        <v>1</v>
      </c>
      <c r="N227" s="4">
        <v>0.43</v>
      </c>
      <c r="O227" s="4">
        <v>0.43</v>
      </c>
      <c r="P227" s="4">
        <v>0.43</v>
      </c>
      <c r="Q227" s="4" t="e">
        <v>#DIV/0!</v>
      </c>
    </row>
    <row r="228" spans="2:17" x14ac:dyDescent="0.2">
      <c r="B228" t="s">
        <v>3754</v>
      </c>
      <c r="C228" s="4">
        <v>5</v>
      </c>
      <c r="D228" s="4">
        <v>1.2138120000000001</v>
      </c>
      <c r="E228" s="4">
        <v>0.20499999999999999</v>
      </c>
      <c r="F228" s="4">
        <v>2.9725000000000001</v>
      </c>
      <c r="G228" s="4">
        <v>1.3824788015445302</v>
      </c>
      <c r="H228" s="4">
        <v>2</v>
      </c>
      <c r="I228" s="4">
        <v>2.77338</v>
      </c>
      <c r="J228" s="4">
        <v>2.5492599999999999</v>
      </c>
      <c r="K228" s="4">
        <v>2.9975000000000001</v>
      </c>
      <c r="L228" s="4">
        <v>0.3169535435990552</v>
      </c>
      <c r="M228" s="4">
        <v>2</v>
      </c>
      <c r="N228" s="4">
        <v>3.0407500000000001</v>
      </c>
      <c r="O228" s="4">
        <v>2.62</v>
      </c>
      <c r="P228" s="4">
        <v>3.4615</v>
      </c>
      <c r="Q228" s="4">
        <v>0.59503035636848078</v>
      </c>
    </row>
    <row r="229" spans="2:17" x14ac:dyDescent="0.2">
      <c r="B229" t="s">
        <v>2949</v>
      </c>
      <c r="C229" s="4">
        <v>1</v>
      </c>
      <c r="D229" s="4">
        <v>0.15075</v>
      </c>
      <c r="E229" s="4">
        <v>0.15075</v>
      </c>
      <c r="F229" s="4">
        <v>0.15075</v>
      </c>
      <c r="G229" s="4" t="e">
        <v>#DIV/0!</v>
      </c>
      <c r="H229" s="4">
        <v>0</v>
      </c>
      <c r="I229" s="4" t="e">
        <v>#DIV/0!</v>
      </c>
      <c r="J229" s="4">
        <v>0</v>
      </c>
      <c r="K229" s="4">
        <v>0</v>
      </c>
      <c r="L229" s="4" t="e">
        <v>#DIV/0!</v>
      </c>
      <c r="M229" s="4"/>
      <c r="N229" s="4"/>
      <c r="O229" s="4"/>
      <c r="P229" s="4"/>
      <c r="Q229" s="4"/>
    </row>
    <row r="230" spans="2:17" x14ac:dyDescent="0.2">
      <c r="B230" t="s">
        <v>2057</v>
      </c>
      <c r="C230" s="4">
        <v>18</v>
      </c>
      <c r="D230" s="4">
        <v>0.18167166666666665</v>
      </c>
      <c r="E230" s="4">
        <v>2.5000000000000001E-2</v>
      </c>
      <c r="F230" s="4">
        <v>0.32700000000000001</v>
      </c>
      <c r="G230" s="4">
        <v>0.10341343206930592</v>
      </c>
      <c r="H230" s="4">
        <v>5</v>
      </c>
      <c r="I230" s="4">
        <v>0.25296600000000002</v>
      </c>
      <c r="J230" s="4">
        <v>0.18359999999999999</v>
      </c>
      <c r="K230" s="4">
        <v>0.34499999999999997</v>
      </c>
      <c r="L230" s="4">
        <v>6.1072839953615884E-2</v>
      </c>
      <c r="M230" s="4">
        <v>8</v>
      </c>
      <c r="N230" s="4">
        <v>0.85615000000000008</v>
      </c>
      <c r="O230" s="4">
        <v>0.19800000000000001</v>
      </c>
      <c r="P230" s="4">
        <v>3.24</v>
      </c>
      <c r="Q230" s="4">
        <v>1.0012153157894803</v>
      </c>
    </row>
    <row r="231" spans="2:17" x14ac:dyDescent="0.2">
      <c r="B231" t="s">
        <v>4062</v>
      </c>
      <c r="C231" s="4">
        <v>1</v>
      </c>
      <c r="D231" s="4">
        <v>0.05</v>
      </c>
      <c r="E231" s="4">
        <v>0.05</v>
      </c>
      <c r="F231" s="4">
        <v>0.05</v>
      </c>
      <c r="G231" s="4" t="e">
        <v>#DIV/0!</v>
      </c>
      <c r="H231" s="4">
        <v>0</v>
      </c>
      <c r="I231" s="4" t="e">
        <v>#DIV/0!</v>
      </c>
      <c r="J231" s="4">
        <v>0</v>
      </c>
      <c r="K231" s="4">
        <v>0</v>
      </c>
      <c r="L231" s="4" t="e">
        <v>#DIV/0!</v>
      </c>
      <c r="M231" s="4">
        <v>1</v>
      </c>
      <c r="N231" s="4">
        <v>10.109000000000002</v>
      </c>
      <c r="O231" s="4">
        <v>10.109000000000002</v>
      </c>
      <c r="P231" s="4">
        <v>10.109000000000002</v>
      </c>
      <c r="Q231" s="4" t="e">
        <v>#DIV/0!</v>
      </c>
    </row>
    <row r="232" spans="2:17" x14ac:dyDescent="0.2">
      <c r="B232" t="s">
        <v>736</v>
      </c>
      <c r="C232" s="4">
        <v>6</v>
      </c>
      <c r="D232" s="4">
        <v>3.0025563318042816</v>
      </c>
      <c r="E232" s="4">
        <v>0.06</v>
      </c>
      <c r="F232" s="4">
        <v>5.0029450000000004</v>
      </c>
      <c r="G232" s="4">
        <v>1.7628178625103332</v>
      </c>
      <c r="H232" s="4">
        <v>1</v>
      </c>
      <c r="I232" s="4">
        <v>2.2935779816513762</v>
      </c>
      <c r="J232" s="4">
        <v>2.2935779816513762</v>
      </c>
      <c r="K232" s="4">
        <v>2.2935779816513762</v>
      </c>
      <c r="L232" s="4" t="e">
        <v>#DIV/0!</v>
      </c>
      <c r="M232" s="4">
        <v>1</v>
      </c>
      <c r="N232" s="4">
        <v>2.7614678899082565</v>
      </c>
      <c r="O232" s="4">
        <v>2.7614678899082565</v>
      </c>
      <c r="P232" s="4">
        <v>2.7614678899082565</v>
      </c>
      <c r="Q232" s="4" t="e">
        <v>#DIV/0!</v>
      </c>
    </row>
    <row r="233" spans="2:17" x14ac:dyDescent="0.2">
      <c r="B233" t="s">
        <v>872</v>
      </c>
      <c r="C233" s="4">
        <v>3</v>
      </c>
      <c r="D233" s="4">
        <v>9.8333333333333328E-2</v>
      </c>
      <c r="E233" s="4">
        <v>3.9E-2</v>
      </c>
      <c r="F233" s="4">
        <v>0.21</v>
      </c>
      <c r="G233" s="4">
        <v>9.6769485548561907E-2</v>
      </c>
      <c r="H233" s="4">
        <v>0</v>
      </c>
      <c r="I233" s="4" t="e">
        <v>#DIV/0!</v>
      </c>
      <c r="J233" s="4">
        <v>0</v>
      </c>
      <c r="K233" s="4">
        <v>0</v>
      </c>
      <c r="L233" s="4" t="e">
        <v>#DIV/0!</v>
      </c>
      <c r="M233" s="4">
        <v>2</v>
      </c>
      <c r="N233" s="4">
        <v>0.107</v>
      </c>
      <c r="O233" s="4">
        <v>6.9000000000000006E-2</v>
      </c>
      <c r="P233" s="4">
        <v>0.14499999999999999</v>
      </c>
      <c r="Q233" s="4">
        <v>5.374011537017763E-2</v>
      </c>
    </row>
    <row r="234" spans="2:17" x14ac:dyDescent="0.2">
      <c r="B234" t="s">
        <v>2447</v>
      </c>
      <c r="C234" s="4">
        <v>7</v>
      </c>
      <c r="D234" s="4">
        <v>0.24193688857142856</v>
      </c>
      <c r="E234" s="4">
        <v>9.8400000000000001E-2</v>
      </c>
      <c r="F234" s="4">
        <v>0.54483833000000004</v>
      </c>
      <c r="G234" s="4">
        <v>0.15546099980427586</v>
      </c>
      <c r="H234" s="4">
        <v>0</v>
      </c>
      <c r="I234" s="4" t="e">
        <v>#DIV/0!</v>
      </c>
      <c r="J234" s="4">
        <v>0</v>
      </c>
      <c r="K234" s="4">
        <v>0</v>
      </c>
      <c r="L234" s="4" t="e">
        <v>#DIV/0!</v>
      </c>
      <c r="M234" s="4">
        <v>1</v>
      </c>
      <c r="N234" s="4">
        <v>0.43</v>
      </c>
      <c r="O234" s="4">
        <v>0.43</v>
      </c>
      <c r="P234" s="4">
        <v>0.43</v>
      </c>
      <c r="Q234" s="4" t="e">
        <v>#DIV/0!</v>
      </c>
    </row>
    <row r="235" spans="2:17" x14ac:dyDescent="0.2">
      <c r="B235" t="s">
        <v>2134</v>
      </c>
      <c r="C235" s="4">
        <v>6</v>
      </c>
      <c r="D235" s="4">
        <v>1.3299999999999998</v>
      </c>
      <c r="E235" s="4">
        <v>0.28999999999999998</v>
      </c>
      <c r="F235" s="4">
        <v>3.94</v>
      </c>
      <c r="G235" s="4">
        <v>1.5235484895466898</v>
      </c>
      <c r="H235" s="4">
        <v>0</v>
      </c>
      <c r="I235" s="4" t="e">
        <v>#DIV/0!</v>
      </c>
      <c r="J235" s="4">
        <v>0</v>
      </c>
      <c r="K235" s="4">
        <v>0</v>
      </c>
      <c r="L235" s="4" t="e">
        <v>#DIV/0!</v>
      </c>
      <c r="M235" s="4">
        <v>3</v>
      </c>
      <c r="N235" s="4">
        <v>3.8733333333333331</v>
      </c>
      <c r="O235" s="4">
        <v>0.38800000000000001</v>
      </c>
      <c r="P235" s="4">
        <v>10.635</v>
      </c>
      <c r="Q235" s="4">
        <v>5.8567074652344839</v>
      </c>
    </row>
    <row r="236" spans="2:17" x14ac:dyDescent="0.2">
      <c r="B236" t="s">
        <v>2152</v>
      </c>
      <c r="C236" s="4">
        <v>2</v>
      </c>
      <c r="D236" s="4">
        <v>0.43</v>
      </c>
      <c r="E236" s="4">
        <v>0.27</v>
      </c>
      <c r="F236" s="4">
        <v>0.59</v>
      </c>
      <c r="G236" s="4">
        <v>0.22627416997969527</v>
      </c>
      <c r="H236" s="4">
        <v>0</v>
      </c>
      <c r="I236" s="4" t="e">
        <v>#DIV/0!</v>
      </c>
      <c r="J236" s="4">
        <v>0</v>
      </c>
      <c r="K236" s="4">
        <v>0</v>
      </c>
      <c r="L236" s="4" t="e">
        <v>#DIV/0!</v>
      </c>
      <c r="M236" s="4">
        <v>1</v>
      </c>
      <c r="N236" s="4">
        <v>0.88</v>
      </c>
      <c r="O236" s="4">
        <v>0.88</v>
      </c>
      <c r="P236" s="4">
        <v>0.88</v>
      </c>
      <c r="Q236" s="4" t="e">
        <v>#DIV/0!</v>
      </c>
    </row>
    <row r="237" spans="2:17" x14ac:dyDescent="0.2">
      <c r="B237" t="s">
        <v>3963</v>
      </c>
      <c r="C237" s="4">
        <v>0</v>
      </c>
      <c r="D237" s="4" t="e">
        <v>#DIV/0!</v>
      </c>
      <c r="E237" s="4">
        <v>0</v>
      </c>
      <c r="F237" s="4">
        <v>0</v>
      </c>
      <c r="G237" s="4" t="e">
        <v>#DIV/0!</v>
      </c>
      <c r="H237" s="4">
        <v>0</v>
      </c>
      <c r="I237" s="4" t="e">
        <v>#DIV/0!</v>
      </c>
      <c r="J237" s="4">
        <v>0</v>
      </c>
      <c r="K237" s="4">
        <v>0</v>
      </c>
      <c r="L237" s="4" t="e">
        <v>#DIV/0!</v>
      </c>
      <c r="M237" s="4">
        <v>1</v>
      </c>
      <c r="N237" s="4">
        <v>0.91549999999999998</v>
      </c>
      <c r="O237" s="4">
        <v>0.91549999999999998</v>
      </c>
      <c r="P237" s="4">
        <v>0.91549999999999998</v>
      </c>
      <c r="Q237" s="4" t="e">
        <v>#DIV/0!</v>
      </c>
    </row>
    <row r="238" spans="2:17" x14ac:dyDescent="0.2">
      <c r="B238" t="s">
        <v>3815</v>
      </c>
      <c r="C238" s="4">
        <v>1</v>
      </c>
      <c r="D238" s="4">
        <v>0.66</v>
      </c>
      <c r="E238" s="4">
        <v>0.66</v>
      </c>
      <c r="F238" s="4">
        <v>0.66</v>
      </c>
      <c r="G238" s="4" t="e">
        <v>#DIV/0!</v>
      </c>
      <c r="H238" s="4">
        <v>0</v>
      </c>
      <c r="I238" s="4" t="e">
        <v>#DIV/0!</v>
      </c>
      <c r="J238" s="4">
        <v>0</v>
      </c>
      <c r="K238" s="4">
        <v>0</v>
      </c>
      <c r="L238" s="4" t="e">
        <v>#DIV/0!</v>
      </c>
      <c r="M238" s="4"/>
      <c r="N238" s="4"/>
      <c r="O238" s="4"/>
      <c r="P238" s="4"/>
      <c r="Q238" s="4"/>
    </row>
    <row r="239" spans="2:17" x14ac:dyDescent="0.2">
      <c r="B239" t="s">
        <v>3061</v>
      </c>
      <c r="C239" s="4">
        <v>1</v>
      </c>
      <c r="D239" s="4">
        <v>0.38279999999999997</v>
      </c>
      <c r="E239" s="4">
        <v>0.38279999999999997</v>
      </c>
      <c r="F239" s="4">
        <v>0.38279999999999997</v>
      </c>
      <c r="G239" s="4" t="e">
        <v>#DIV/0!</v>
      </c>
      <c r="H239" s="4">
        <v>2</v>
      </c>
      <c r="I239" s="4">
        <v>0.95251464499999994</v>
      </c>
      <c r="J239" s="4">
        <v>0.93291893999999997</v>
      </c>
      <c r="K239" s="4">
        <v>0.97211035000000001</v>
      </c>
      <c r="L239" s="4">
        <v>2.771251177526626E-2</v>
      </c>
      <c r="M239" s="4">
        <v>3</v>
      </c>
      <c r="N239" s="4">
        <v>0.85500976333333334</v>
      </c>
      <c r="O239" s="4">
        <v>0.66</v>
      </c>
      <c r="P239" s="4">
        <v>0.97211035000000001</v>
      </c>
      <c r="Q239" s="4">
        <v>0.17001646244096161</v>
      </c>
    </row>
    <row r="240" spans="2:17" x14ac:dyDescent="0.2">
      <c r="B240" t="s">
        <v>2204</v>
      </c>
      <c r="C240" s="4">
        <v>2</v>
      </c>
      <c r="D240" s="4">
        <v>0.16249999999999998</v>
      </c>
      <c r="E240" s="4">
        <v>0.151</v>
      </c>
      <c r="F240" s="4">
        <v>0.17399999999999999</v>
      </c>
      <c r="G240" s="4">
        <v>1.6263455967291045E-2</v>
      </c>
      <c r="H240" s="4">
        <v>2</v>
      </c>
      <c r="I240" s="4">
        <v>0.1895</v>
      </c>
      <c r="J240" s="4">
        <v>0.17799999999999999</v>
      </c>
      <c r="K240" s="4">
        <v>0.20099999999999998</v>
      </c>
      <c r="L240" s="4">
        <v>1.6263455967290192E-2</v>
      </c>
      <c r="M240" s="4">
        <v>2</v>
      </c>
      <c r="N240" s="4">
        <v>0.2545</v>
      </c>
      <c r="O240" s="4">
        <v>0.247</v>
      </c>
      <c r="P240" s="4">
        <v>0.26200000000000001</v>
      </c>
      <c r="Q240" s="4">
        <v>1.0606601717798937E-2</v>
      </c>
    </row>
    <row r="241" spans="2:17" x14ac:dyDescent="0.2">
      <c r="B241" t="s">
        <v>2206</v>
      </c>
      <c r="C241" s="4">
        <v>17</v>
      </c>
      <c r="D241" s="4">
        <v>0.21741176470588239</v>
      </c>
      <c r="E241" s="4">
        <v>0.09</v>
      </c>
      <c r="F241" s="4">
        <v>0.51800000000000002</v>
      </c>
      <c r="G241" s="4">
        <v>0.11818473824035466</v>
      </c>
      <c r="H241" s="4">
        <v>2</v>
      </c>
      <c r="I241" s="4">
        <v>0.998</v>
      </c>
      <c r="J241" s="4">
        <v>0.21000000000000002</v>
      </c>
      <c r="K241" s="4">
        <v>1.786</v>
      </c>
      <c r="L241" s="4">
        <v>1.1144002871499989</v>
      </c>
      <c r="M241" s="4">
        <v>9</v>
      </c>
      <c r="N241" s="4">
        <v>0.49477777777777782</v>
      </c>
      <c r="O241" s="4">
        <v>0.12</v>
      </c>
      <c r="P241" s="4">
        <v>2.0720000000000001</v>
      </c>
      <c r="Q241" s="4">
        <v>0.60960474444056334</v>
      </c>
    </row>
    <row r="242" spans="2:17" x14ac:dyDescent="0.2">
      <c r="B242" t="s">
        <v>2845</v>
      </c>
      <c r="C242" s="4">
        <v>2</v>
      </c>
      <c r="D242" s="4">
        <v>0.8919999999999999</v>
      </c>
      <c r="E242" s="4">
        <v>0.82899999999999996</v>
      </c>
      <c r="F242" s="4">
        <v>0.95499999999999996</v>
      </c>
      <c r="G242" s="4">
        <v>8.9095454429506241E-2</v>
      </c>
      <c r="H242" s="4">
        <v>2</v>
      </c>
      <c r="I242" s="4">
        <v>2.839</v>
      </c>
      <c r="J242" s="4">
        <v>2.7759999999999998</v>
      </c>
      <c r="K242" s="4">
        <v>2.9020000000000001</v>
      </c>
      <c r="L242" s="4">
        <v>8.9095454429521187E-2</v>
      </c>
      <c r="M242" s="4">
        <v>2</v>
      </c>
      <c r="N242" s="4">
        <v>3.1965000000000003</v>
      </c>
      <c r="O242" s="4">
        <v>3.1920000000000002</v>
      </c>
      <c r="P242" s="4">
        <v>3.2010000000000001</v>
      </c>
      <c r="Q242" s="4">
        <v>6.3639610304607706E-3</v>
      </c>
    </row>
    <row r="243" spans="2:17" x14ac:dyDescent="0.2">
      <c r="B243" t="s">
        <v>2746</v>
      </c>
      <c r="C243" s="4">
        <v>6</v>
      </c>
      <c r="D243" s="4">
        <v>0.1525</v>
      </c>
      <c r="E243" s="4">
        <v>1.46E-2</v>
      </c>
      <c r="F243" s="4">
        <v>0.63</v>
      </c>
      <c r="G243" s="4">
        <v>0.23890277520363803</v>
      </c>
      <c r="H243" s="4">
        <v>0</v>
      </c>
      <c r="I243" s="4" t="e">
        <v>#DIV/0!</v>
      </c>
      <c r="J243" s="4">
        <v>0</v>
      </c>
      <c r="K243" s="4">
        <v>0</v>
      </c>
      <c r="L243" s="4" t="e">
        <v>#DIV/0!</v>
      </c>
      <c r="M243" s="4">
        <v>4</v>
      </c>
      <c r="N243" s="4">
        <v>0.41900000000000004</v>
      </c>
      <c r="O243" s="4">
        <v>0.104</v>
      </c>
      <c r="P243" s="4">
        <v>0.68600000000000005</v>
      </c>
      <c r="Q243" s="4">
        <v>0.30819582519344202</v>
      </c>
    </row>
    <row r="244" spans="2:17" x14ac:dyDescent="0.2">
      <c r="B244" t="s">
        <v>892</v>
      </c>
      <c r="C244" s="4">
        <v>3</v>
      </c>
      <c r="D244" s="4">
        <v>0.22093143666666668</v>
      </c>
      <c r="E244" s="4">
        <v>0.13511646999999999</v>
      </c>
      <c r="F244" s="4">
        <v>0.30199999999999999</v>
      </c>
      <c r="G244" s="4">
        <v>8.3542949461742316E-2</v>
      </c>
      <c r="H244" s="4">
        <v>0</v>
      </c>
      <c r="I244" s="4" t="e">
        <v>#DIV/0!</v>
      </c>
      <c r="J244" s="4">
        <v>0</v>
      </c>
      <c r="K244" s="4">
        <v>0</v>
      </c>
      <c r="L244" s="4" t="e">
        <v>#DIV/0!</v>
      </c>
      <c r="M244" s="4">
        <v>1</v>
      </c>
      <c r="N244" s="4">
        <v>0.13</v>
      </c>
      <c r="O244" s="4">
        <v>0.13</v>
      </c>
      <c r="P244" s="4">
        <v>0.13</v>
      </c>
      <c r="Q244" s="4" t="e">
        <v>#DIV/0!</v>
      </c>
    </row>
    <row r="245" spans="2:17" x14ac:dyDescent="0.2">
      <c r="B245" t="s">
        <v>2359</v>
      </c>
      <c r="C245" s="4">
        <v>1</v>
      </c>
      <c r="D245" s="4">
        <v>1.17</v>
      </c>
      <c r="E245" s="4">
        <v>1.17</v>
      </c>
      <c r="F245" s="4">
        <v>1.17</v>
      </c>
      <c r="G245" s="4" t="e">
        <v>#DIV/0!</v>
      </c>
      <c r="H245" s="4">
        <v>0</v>
      </c>
      <c r="I245" s="4" t="e">
        <v>#DIV/0!</v>
      </c>
      <c r="J245" s="4">
        <v>0</v>
      </c>
      <c r="K245" s="4">
        <v>0</v>
      </c>
      <c r="L245" s="4" t="e">
        <v>#DIV/0!</v>
      </c>
      <c r="M245" s="4">
        <v>1</v>
      </c>
      <c r="N245" s="4">
        <v>0.3</v>
      </c>
      <c r="O245" s="4">
        <v>0.3</v>
      </c>
      <c r="P245" s="4">
        <v>0.3</v>
      </c>
      <c r="Q245" s="4" t="e">
        <v>#DIV/0!</v>
      </c>
    </row>
    <row r="246" spans="2:17" x14ac:dyDescent="0.2">
      <c r="B246" t="s">
        <v>2935</v>
      </c>
      <c r="C246" s="4">
        <v>5</v>
      </c>
      <c r="D246" s="4">
        <v>4.4600000000000001E-2</v>
      </c>
      <c r="E246" s="4">
        <v>1.46E-2</v>
      </c>
      <c r="F246" s="4">
        <v>0.09</v>
      </c>
      <c r="G246" s="4">
        <v>2.7660350684689455E-2</v>
      </c>
      <c r="H246" s="4">
        <v>0</v>
      </c>
      <c r="I246" s="4" t="e">
        <v>#DIV/0!</v>
      </c>
      <c r="J246" s="4">
        <v>0</v>
      </c>
      <c r="K246" s="4">
        <v>0</v>
      </c>
      <c r="L246" s="4" t="e">
        <v>#DIV/0!</v>
      </c>
      <c r="M246" s="4">
        <v>4</v>
      </c>
      <c r="N246" s="4">
        <v>0.45188907500000008</v>
      </c>
      <c r="O246" s="4">
        <v>0.13905000000000001</v>
      </c>
      <c r="P246" s="4">
        <v>0.71560029999999997</v>
      </c>
      <c r="Q246" s="4">
        <v>0.30425465073337676</v>
      </c>
    </row>
    <row r="247" spans="2:17" x14ac:dyDescent="0.2">
      <c r="B247" t="s">
        <v>3822</v>
      </c>
      <c r="C247" s="4">
        <v>1</v>
      </c>
      <c r="D247" s="4">
        <v>1.38</v>
      </c>
      <c r="E247" s="4">
        <v>1.38</v>
      </c>
      <c r="F247" s="4">
        <v>1.38</v>
      </c>
      <c r="G247" s="4" t="e">
        <v>#DIV/0!</v>
      </c>
      <c r="H247" s="4">
        <v>0</v>
      </c>
      <c r="I247" s="4" t="e">
        <v>#DIV/0!</v>
      </c>
      <c r="J247" s="4">
        <v>0</v>
      </c>
      <c r="K247" s="4">
        <v>0</v>
      </c>
      <c r="L247" s="4" t="e">
        <v>#DIV/0!</v>
      </c>
      <c r="M247" s="4"/>
      <c r="N247" s="4"/>
      <c r="O247" s="4"/>
      <c r="P247" s="4"/>
      <c r="Q247" s="4"/>
    </row>
    <row r="248" spans="2:17" x14ac:dyDescent="0.2">
      <c r="B248" t="s">
        <v>2311</v>
      </c>
      <c r="C248" s="4">
        <v>25</v>
      </c>
      <c r="D248" s="4">
        <v>0.4276125714285714</v>
      </c>
      <c r="E248" s="4">
        <v>2.1000000000000001E-2</v>
      </c>
      <c r="F248" s="4">
        <v>5.59</v>
      </c>
      <c r="G248" s="4">
        <v>1.0810218335279169</v>
      </c>
      <c r="H248" s="4">
        <v>5</v>
      </c>
      <c r="I248" s="4">
        <v>0.25967700000000005</v>
      </c>
      <c r="J248" s="4">
        <v>9.0400000000000008E-2</v>
      </c>
      <c r="K248" s="4">
        <v>0.68500000000000005</v>
      </c>
      <c r="L248" s="4">
        <v>0.24413747284061085</v>
      </c>
      <c r="M248" s="4">
        <v>14</v>
      </c>
      <c r="N248" s="4">
        <v>0.87918605714285702</v>
      </c>
      <c r="O248" s="4">
        <v>0.109</v>
      </c>
      <c r="P248" s="4">
        <v>6.1549999999999994</v>
      </c>
      <c r="Q248" s="4">
        <v>1.5403300715116151</v>
      </c>
    </row>
    <row r="249" spans="2:17" x14ac:dyDescent="0.2">
      <c r="B249" t="s">
        <v>3073</v>
      </c>
      <c r="C249" s="4">
        <v>4</v>
      </c>
      <c r="D249" s="4">
        <v>0.38727499999999998</v>
      </c>
      <c r="E249" s="4">
        <v>8.9300000000000004E-2</v>
      </c>
      <c r="F249" s="4">
        <v>0.55049999999999999</v>
      </c>
      <c r="G249" s="4">
        <v>0.20372423149934818</v>
      </c>
      <c r="H249" s="4">
        <v>4</v>
      </c>
      <c r="I249" s="4">
        <v>0.57712500000000011</v>
      </c>
      <c r="J249" s="4">
        <v>9.2700000000000005E-2</v>
      </c>
      <c r="K249" s="4">
        <v>0.86030000000000006</v>
      </c>
      <c r="L249" s="4">
        <v>0.33421891403689286</v>
      </c>
      <c r="M249" s="4">
        <v>6</v>
      </c>
      <c r="N249" s="4">
        <v>1.0832333333333335</v>
      </c>
      <c r="O249" s="4">
        <v>0.40920000000000001</v>
      </c>
      <c r="P249" s="4">
        <v>1.6077999999999999</v>
      </c>
      <c r="Q249" s="4">
        <v>0.51421123156409798</v>
      </c>
    </row>
    <row r="250" spans="2:17" x14ac:dyDescent="0.2">
      <c r="B250" t="s">
        <v>4055</v>
      </c>
      <c r="C250" s="4">
        <v>26</v>
      </c>
      <c r="D250" s="4">
        <v>3.400575307692308</v>
      </c>
      <c r="E250" s="4">
        <v>0.24493000000000001</v>
      </c>
      <c r="F250" s="4">
        <v>17.5</v>
      </c>
      <c r="G250" s="4">
        <v>4.0487232003173226</v>
      </c>
      <c r="H250" s="4">
        <v>3</v>
      </c>
      <c r="I250" s="4">
        <v>0.97499499999999995</v>
      </c>
      <c r="J250" s="4">
        <v>0.81556000000000006</v>
      </c>
      <c r="K250" s="4">
        <v>1.2919999999999998</v>
      </c>
      <c r="L250" s="4">
        <v>0.27453596681491466</v>
      </c>
      <c r="M250" s="4">
        <v>15</v>
      </c>
      <c r="N250" s="4">
        <v>2.0510069866666663</v>
      </c>
      <c r="O250" s="4">
        <v>0.74</v>
      </c>
      <c r="P250" s="4">
        <v>4.1399999999999997</v>
      </c>
      <c r="Q250" s="4">
        <v>1.1395462693279086</v>
      </c>
    </row>
    <row r="251" spans="2:17" x14ac:dyDescent="0.2">
      <c r="B251" t="s">
        <v>2315</v>
      </c>
      <c r="C251" s="4">
        <v>1</v>
      </c>
      <c r="D251" s="4">
        <v>8.9300000000000004E-2</v>
      </c>
      <c r="E251" s="4">
        <v>8.9300000000000004E-2</v>
      </c>
      <c r="F251" s="4">
        <v>8.9300000000000004E-2</v>
      </c>
      <c r="G251" s="4" t="e">
        <v>#DIV/0!</v>
      </c>
      <c r="H251" s="4">
        <v>1</v>
      </c>
      <c r="I251" s="4">
        <v>0.1002</v>
      </c>
      <c r="J251" s="4">
        <v>0.1002</v>
      </c>
      <c r="K251" s="4">
        <v>0.1002</v>
      </c>
      <c r="L251" s="4" t="e">
        <v>#DIV/0!</v>
      </c>
      <c r="M251" s="4">
        <v>1</v>
      </c>
      <c r="N251" s="4">
        <v>0.57269999999999999</v>
      </c>
      <c r="O251" s="4">
        <v>0.57269999999999999</v>
      </c>
      <c r="P251" s="4">
        <v>0.57269999999999999</v>
      </c>
      <c r="Q251" s="4" t="e">
        <v>#DIV/0!</v>
      </c>
    </row>
    <row r="252" spans="2:17" x14ac:dyDescent="0.2">
      <c r="B252" t="s">
        <v>2316</v>
      </c>
      <c r="C252" s="4">
        <v>1</v>
      </c>
      <c r="D252" s="4">
        <v>8.9300000000000004E-2</v>
      </c>
      <c r="E252" s="4">
        <v>8.9300000000000004E-2</v>
      </c>
      <c r="F252" s="4">
        <v>8.9300000000000004E-2</v>
      </c>
      <c r="G252" s="4" t="e">
        <v>#DIV/0!</v>
      </c>
      <c r="H252" s="4">
        <v>1</v>
      </c>
      <c r="I252" s="4">
        <v>0.11840000000000001</v>
      </c>
      <c r="J252" s="4">
        <v>0.11840000000000001</v>
      </c>
      <c r="K252" s="4">
        <v>0.11840000000000001</v>
      </c>
      <c r="L252" s="4" t="e">
        <v>#DIV/0!</v>
      </c>
      <c r="M252" s="4">
        <v>3</v>
      </c>
      <c r="N252" s="4">
        <v>1.0375333333333332</v>
      </c>
      <c r="O252" s="4">
        <v>0.18260000000000001</v>
      </c>
      <c r="P252" s="4">
        <v>1.5</v>
      </c>
      <c r="Q252" s="4">
        <v>0.74122078582115714</v>
      </c>
    </row>
    <row r="253" spans="2:17" x14ac:dyDescent="0.2">
      <c r="B253" t="s">
        <v>3074</v>
      </c>
      <c r="C253" s="4">
        <v>5</v>
      </c>
      <c r="D253" s="4">
        <v>0.28467999999999993</v>
      </c>
      <c r="E253" s="4">
        <v>8.500000000000002E-2</v>
      </c>
      <c r="F253" s="4">
        <v>0.43869999999999998</v>
      </c>
      <c r="G253" s="4">
        <v>0.18084368111714619</v>
      </c>
      <c r="H253" s="4">
        <v>5</v>
      </c>
      <c r="I253" s="4">
        <v>0.45885999999999993</v>
      </c>
      <c r="J253" s="4">
        <v>9.2700000000000005E-2</v>
      </c>
      <c r="K253" s="4">
        <v>0.66649999999999998</v>
      </c>
      <c r="L253" s="4">
        <v>0.27141798577102455</v>
      </c>
      <c r="M253" s="4">
        <v>5</v>
      </c>
      <c r="N253" s="4">
        <v>1.0349200000000001</v>
      </c>
      <c r="O253" s="4">
        <v>0.40920000000000001</v>
      </c>
      <c r="P253" s="4">
        <v>1.3321000000000001</v>
      </c>
      <c r="Q253" s="4">
        <v>0.39838821142197461</v>
      </c>
    </row>
    <row r="254" spans="2:17" x14ac:dyDescent="0.2">
      <c r="B254" t="s">
        <v>2318</v>
      </c>
      <c r="C254" s="4">
        <v>10</v>
      </c>
      <c r="D254" s="4">
        <v>0.41390714285714286</v>
      </c>
      <c r="E254" s="4">
        <v>5.0999999999999997E-2</v>
      </c>
      <c r="F254" s="4">
        <v>0.59240000000000004</v>
      </c>
      <c r="G254" s="4">
        <v>0.21042197408272451</v>
      </c>
      <c r="H254" s="4">
        <v>10</v>
      </c>
      <c r="I254" s="4">
        <v>1.1474857142857142</v>
      </c>
      <c r="J254" s="4">
        <v>0.41285714285714287</v>
      </c>
      <c r="K254" s="4">
        <v>2.7309999999999999</v>
      </c>
      <c r="L254" s="4">
        <v>0.7643459059519967</v>
      </c>
      <c r="M254" s="4">
        <v>10</v>
      </c>
      <c r="N254" s="4">
        <v>1.518595714285714</v>
      </c>
      <c r="O254" s="4">
        <v>0.96285714285714297</v>
      </c>
      <c r="P254" s="4">
        <v>3.06</v>
      </c>
      <c r="Q254" s="4">
        <v>0.75376853012650424</v>
      </c>
    </row>
    <row r="255" spans="2:17" x14ac:dyDescent="0.2">
      <c r="B255" t="s">
        <v>2332</v>
      </c>
      <c r="C255" s="4">
        <v>2</v>
      </c>
      <c r="D255" s="4">
        <v>0.40500000000000003</v>
      </c>
      <c r="E255" s="4">
        <v>0.35</v>
      </c>
      <c r="F255" s="4">
        <v>0.46</v>
      </c>
      <c r="G255" s="4">
        <v>7.7781745930519869E-2</v>
      </c>
      <c r="H255" s="4">
        <v>0</v>
      </c>
      <c r="I255" s="4" t="e">
        <v>#DIV/0!</v>
      </c>
      <c r="J255" s="4">
        <v>0</v>
      </c>
      <c r="K255" s="4">
        <v>0</v>
      </c>
      <c r="L255" s="4" t="e">
        <v>#DIV/0!</v>
      </c>
      <c r="M255" s="4"/>
      <c r="N255" s="4"/>
      <c r="O255" s="4"/>
      <c r="P255" s="4"/>
      <c r="Q255" s="4"/>
    </row>
    <row r="256" spans="2:17" x14ac:dyDescent="0.2">
      <c r="B256" t="s">
        <v>3297</v>
      </c>
      <c r="C256" s="4">
        <v>1</v>
      </c>
      <c r="D256" s="4">
        <v>2.2971014492753623</v>
      </c>
      <c r="E256" s="4">
        <v>2.2971014492753623</v>
      </c>
      <c r="F256" s="4">
        <v>2.2971014492753623</v>
      </c>
      <c r="G256" s="4" t="e">
        <v>#DIV/0!</v>
      </c>
      <c r="H256" s="4">
        <v>1</v>
      </c>
      <c r="I256" s="4">
        <v>2.4130434782608692</v>
      </c>
      <c r="J256" s="4">
        <v>2.4130434782608692</v>
      </c>
      <c r="K256" s="4">
        <v>2.4130434782608692</v>
      </c>
      <c r="L256" s="4" t="e">
        <v>#DIV/0!</v>
      </c>
      <c r="M256" s="4">
        <v>1</v>
      </c>
      <c r="N256" s="4">
        <v>3.760869565217392</v>
      </c>
      <c r="O256" s="4">
        <v>3.760869565217392</v>
      </c>
      <c r="P256" s="4">
        <v>3.760869565217392</v>
      </c>
      <c r="Q256" s="4" t="e">
        <v>#DIV/0!</v>
      </c>
    </row>
    <row r="257" spans="1:17" x14ac:dyDescent="0.2">
      <c r="B257" t="s">
        <v>2356</v>
      </c>
      <c r="C257" s="4">
        <v>1</v>
      </c>
      <c r="D257" s="4">
        <v>0.88</v>
      </c>
      <c r="E257" s="4">
        <v>0.88</v>
      </c>
      <c r="F257" s="4">
        <v>0.88</v>
      </c>
      <c r="G257" s="4" t="e">
        <v>#DIV/0!</v>
      </c>
      <c r="H257" s="4">
        <v>0</v>
      </c>
      <c r="I257" s="4" t="e">
        <v>#DIV/0!</v>
      </c>
      <c r="J257" s="4">
        <v>0</v>
      </c>
      <c r="K257" s="4">
        <v>0</v>
      </c>
      <c r="L257" s="4" t="e">
        <v>#DIV/0!</v>
      </c>
      <c r="M257" s="4"/>
      <c r="N257" s="4"/>
      <c r="O257" s="4"/>
      <c r="P257" s="4"/>
      <c r="Q257" s="4"/>
    </row>
    <row r="258" spans="1:17" x14ac:dyDescent="0.2">
      <c r="B258" t="s">
        <v>890</v>
      </c>
      <c r="C258" s="4">
        <v>1</v>
      </c>
      <c r="D258" s="4">
        <v>2.2156125099999997</v>
      </c>
      <c r="E258" s="4">
        <v>2.2156125099999997</v>
      </c>
      <c r="F258" s="4">
        <v>2.2156125099999997</v>
      </c>
      <c r="G258" s="4" t="e">
        <v>#DIV/0!</v>
      </c>
      <c r="H258" s="4">
        <v>0</v>
      </c>
      <c r="I258" s="4" t="e">
        <v>#DIV/0!</v>
      </c>
      <c r="J258" s="4">
        <v>0</v>
      </c>
      <c r="K258" s="4">
        <v>0</v>
      </c>
      <c r="L258" s="4" t="e">
        <v>#DIV/0!</v>
      </c>
      <c r="M258" s="4"/>
      <c r="N258" s="4"/>
      <c r="O258" s="4"/>
      <c r="P258" s="4"/>
      <c r="Q258" s="4"/>
    </row>
    <row r="259" spans="1:17" x14ac:dyDescent="0.2">
      <c r="B259" t="s">
        <v>3964</v>
      </c>
      <c r="C259" s="4">
        <v>0</v>
      </c>
      <c r="D259" s="4" t="e">
        <v>#DIV/0!</v>
      </c>
      <c r="E259" s="4">
        <v>0</v>
      </c>
      <c r="F259" s="4">
        <v>0</v>
      </c>
      <c r="G259" s="4" t="e">
        <v>#DIV/0!</v>
      </c>
      <c r="H259" s="4">
        <v>0</v>
      </c>
      <c r="I259" s="4" t="e">
        <v>#DIV/0!</v>
      </c>
      <c r="J259" s="4">
        <v>0</v>
      </c>
      <c r="K259" s="4">
        <v>0</v>
      </c>
      <c r="L259" s="4" t="e">
        <v>#DIV/0!</v>
      </c>
      <c r="M259" s="4">
        <v>1</v>
      </c>
      <c r="N259" s="4">
        <v>1.571</v>
      </c>
      <c r="O259" s="4">
        <v>1.571</v>
      </c>
      <c r="P259" s="4">
        <v>1.571</v>
      </c>
      <c r="Q259" s="4" t="e">
        <v>#DIV/0!</v>
      </c>
    </row>
    <row r="260" spans="1:17" x14ac:dyDescent="0.2">
      <c r="A260" s="83" t="s">
        <v>2842</v>
      </c>
      <c r="B260" s="83"/>
      <c r="C260" s="84">
        <v>243</v>
      </c>
      <c r="D260" s="84">
        <v>0.84080387693911562</v>
      </c>
      <c r="E260" s="84">
        <v>1.46E-2</v>
      </c>
      <c r="F260" s="84">
        <v>17.5</v>
      </c>
      <c r="G260" s="84">
        <v>1.8068404172084134</v>
      </c>
      <c r="H260" s="84">
        <v>61</v>
      </c>
      <c r="I260" s="84">
        <v>0.80950364652826134</v>
      </c>
      <c r="J260" s="84">
        <v>9.0400000000000008E-2</v>
      </c>
      <c r="K260" s="84">
        <v>2.9975000000000001</v>
      </c>
      <c r="L260" s="84">
        <v>0.7871722552731486</v>
      </c>
      <c r="M260" s="84">
        <v>136</v>
      </c>
      <c r="N260" s="84">
        <v>1.5269499917565579</v>
      </c>
      <c r="O260" s="84">
        <v>4.0000000000000001E-3</v>
      </c>
      <c r="P260" s="84">
        <v>11.420999999999999</v>
      </c>
      <c r="Q260" s="84">
        <v>2.1946747014602281</v>
      </c>
    </row>
    <row r="261" spans="1:17" x14ac:dyDescent="0.2">
      <c r="A261" t="s">
        <v>2863</v>
      </c>
      <c r="B261" t="s">
        <v>2863</v>
      </c>
      <c r="C261" s="4"/>
      <c r="D261" s="4"/>
      <c r="E261" s="4"/>
      <c r="F261" s="4"/>
      <c r="G261" s="4"/>
      <c r="H261" s="4"/>
      <c r="I261" s="4"/>
      <c r="J261" s="4"/>
      <c r="K261" s="4"/>
      <c r="L261" s="4"/>
      <c r="M261" s="4"/>
      <c r="N261" s="4"/>
      <c r="O261" s="4"/>
      <c r="P261" s="4"/>
      <c r="Q261" s="4"/>
    </row>
    <row r="262" spans="1:17" x14ac:dyDescent="0.2">
      <c r="A262" t="s">
        <v>2864</v>
      </c>
      <c r="B262"/>
      <c r="C262" s="4"/>
      <c r="D262" s="4"/>
      <c r="E262" s="4"/>
      <c r="F262" s="4"/>
      <c r="G262" s="4"/>
      <c r="H262" s="4"/>
      <c r="I262" s="4"/>
      <c r="J262" s="4"/>
      <c r="K262" s="4"/>
      <c r="L262" s="4"/>
      <c r="M262" s="4"/>
      <c r="N262" s="4"/>
      <c r="O262" s="4"/>
      <c r="P262" s="4"/>
      <c r="Q262" s="4"/>
    </row>
    <row r="263" spans="1:17" x14ac:dyDescent="0.2">
      <c r="A263" t="s">
        <v>1711</v>
      </c>
      <c r="B263"/>
      <c r="C263" s="4">
        <v>1256</v>
      </c>
      <c r="D263" s="4">
        <v>5.2217984932799162</v>
      </c>
      <c r="E263" s="4">
        <v>-0.01</v>
      </c>
      <c r="F263" s="4">
        <v>166.71732522796353</v>
      </c>
      <c r="G263" s="4">
        <v>11.986569277413135</v>
      </c>
      <c r="H263" s="4">
        <v>446</v>
      </c>
      <c r="I263" s="4">
        <v>3.2902219255294423</v>
      </c>
      <c r="J263" s="4">
        <v>2.7919572459079257E-4</v>
      </c>
      <c r="K263" s="4">
        <v>58.44</v>
      </c>
      <c r="L263" s="4">
        <v>7.100441932086059</v>
      </c>
      <c r="M263" s="4">
        <v>841</v>
      </c>
      <c r="N263" s="4">
        <v>4.816687142864164</v>
      </c>
      <c r="O263" s="4">
        <v>-3.4347826086956519</v>
      </c>
      <c r="P263" s="4">
        <v>118.62548000000001</v>
      </c>
      <c r="Q263" s="4">
        <v>10.068324419940023</v>
      </c>
    </row>
    <row r="264" spans="1:17" x14ac:dyDescent="0.2">
      <c r="B264"/>
      <c r="C264"/>
      <c r="D264"/>
      <c r="E264"/>
      <c r="F264"/>
      <c r="G264"/>
      <c r="H264"/>
      <c r="I264"/>
      <c r="J264"/>
      <c r="K264"/>
    </row>
    <row r="265" spans="1:17" x14ac:dyDescent="0.2">
      <c r="B265"/>
      <c r="C265"/>
      <c r="D265"/>
      <c r="E265"/>
      <c r="F265"/>
      <c r="G265"/>
      <c r="H265"/>
      <c r="I265"/>
      <c r="J265"/>
      <c r="K265"/>
    </row>
    <row r="266" spans="1:17" x14ac:dyDescent="0.2">
      <c r="B266"/>
      <c r="C266"/>
      <c r="D266"/>
      <c r="E266"/>
      <c r="F266"/>
      <c r="G266"/>
      <c r="H266"/>
      <c r="I266"/>
      <c r="J266"/>
      <c r="K266"/>
    </row>
    <row r="267" spans="1:17" x14ac:dyDescent="0.2">
      <c r="B267"/>
      <c r="C267"/>
      <c r="D267"/>
      <c r="E267"/>
      <c r="F267"/>
      <c r="G267"/>
      <c r="H267"/>
      <c r="I267"/>
      <c r="J267"/>
      <c r="K267"/>
    </row>
    <row r="268" spans="1:17" x14ac:dyDescent="0.2">
      <c r="B268"/>
      <c r="C268"/>
      <c r="D268"/>
      <c r="E268"/>
      <c r="F268"/>
      <c r="G268"/>
      <c r="H268"/>
      <c r="I268"/>
      <c r="J268"/>
      <c r="K268"/>
    </row>
    <row r="269" spans="1:17" x14ac:dyDescent="0.2">
      <c r="B269"/>
      <c r="C269"/>
      <c r="D269"/>
      <c r="E269"/>
      <c r="F269"/>
      <c r="G269"/>
      <c r="H269"/>
      <c r="I269"/>
      <c r="J269"/>
      <c r="K269"/>
    </row>
    <row r="270" spans="1:17" x14ac:dyDescent="0.2">
      <c r="B270"/>
      <c r="C270"/>
      <c r="D270"/>
      <c r="E270"/>
      <c r="F270"/>
      <c r="G270"/>
      <c r="H270"/>
      <c r="I270"/>
      <c r="J270"/>
      <c r="K270"/>
    </row>
    <row r="271" spans="1:17" x14ac:dyDescent="0.2">
      <c r="B271"/>
      <c r="C271"/>
      <c r="D271"/>
      <c r="E271"/>
      <c r="F271"/>
      <c r="G271"/>
      <c r="H271"/>
      <c r="I271"/>
      <c r="J271"/>
      <c r="K271"/>
    </row>
    <row r="272" spans="1:17" x14ac:dyDescent="0.2">
      <c r="B272"/>
      <c r="C272"/>
      <c r="D272"/>
      <c r="E272"/>
      <c r="F272"/>
      <c r="G272"/>
      <c r="H272"/>
      <c r="I272"/>
      <c r="J272"/>
      <c r="K272"/>
    </row>
    <row r="273" spans="2:11" x14ac:dyDescent="0.2">
      <c r="B273"/>
      <c r="C273"/>
      <c r="D273"/>
      <c r="E273"/>
      <c r="F273"/>
      <c r="G273"/>
      <c r="H273"/>
      <c r="I273"/>
      <c r="J273"/>
      <c r="K273"/>
    </row>
    <row r="274" spans="2:11" x14ac:dyDescent="0.2">
      <c r="B274"/>
      <c r="C274"/>
      <c r="D274"/>
      <c r="E274"/>
      <c r="F274"/>
      <c r="G274"/>
      <c r="H274"/>
      <c r="I274"/>
      <c r="J274"/>
      <c r="K274"/>
    </row>
    <row r="275" spans="2:11" x14ac:dyDescent="0.2">
      <c r="B275"/>
      <c r="C275"/>
      <c r="D275"/>
      <c r="E275"/>
      <c r="F275"/>
      <c r="G275"/>
      <c r="H275"/>
      <c r="I275"/>
      <c r="J275"/>
      <c r="K275"/>
    </row>
    <row r="276" spans="2:11" x14ac:dyDescent="0.2">
      <c r="B276"/>
      <c r="C276"/>
      <c r="D276"/>
      <c r="E276"/>
      <c r="F276"/>
      <c r="G276"/>
      <c r="H276"/>
      <c r="I276"/>
      <c r="J276"/>
      <c r="K276"/>
    </row>
    <row r="277" spans="2:11" x14ac:dyDescent="0.2">
      <c r="B277"/>
      <c r="C277"/>
      <c r="D277"/>
      <c r="E277"/>
      <c r="F277"/>
      <c r="G277"/>
      <c r="H277"/>
      <c r="I277"/>
      <c r="J277"/>
      <c r="K277"/>
    </row>
    <row r="278" spans="2:11" x14ac:dyDescent="0.2">
      <c r="B278"/>
      <c r="C278"/>
      <c r="D278"/>
      <c r="E278"/>
      <c r="F278"/>
      <c r="G278"/>
      <c r="H278"/>
      <c r="I278"/>
      <c r="J278"/>
      <c r="K278"/>
    </row>
    <row r="279" spans="2:11" x14ac:dyDescent="0.2">
      <c r="B279"/>
      <c r="C279"/>
      <c r="D279"/>
      <c r="E279"/>
      <c r="F279"/>
      <c r="G279"/>
      <c r="H279"/>
      <c r="I279"/>
      <c r="J279"/>
      <c r="K279"/>
    </row>
    <row r="280" spans="2:11" x14ac:dyDescent="0.2">
      <c r="B280"/>
      <c r="C280"/>
      <c r="D280"/>
      <c r="E280"/>
      <c r="F280"/>
      <c r="G280"/>
      <c r="H280"/>
      <c r="I280"/>
      <c r="J280"/>
      <c r="K280"/>
    </row>
    <row r="281" spans="2:11" x14ac:dyDescent="0.2">
      <c r="B281"/>
      <c r="C281"/>
      <c r="D281"/>
      <c r="E281"/>
      <c r="F281"/>
      <c r="G281"/>
      <c r="H281"/>
      <c r="I281"/>
      <c r="J281"/>
      <c r="K281"/>
    </row>
    <row r="282" spans="2:11" x14ac:dyDescent="0.2">
      <c r="B282"/>
      <c r="C282"/>
      <c r="D282"/>
      <c r="E282"/>
      <c r="F282"/>
      <c r="G282"/>
      <c r="H282"/>
      <c r="I282"/>
      <c r="J282"/>
      <c r="K282"/>
    </row>
    <row r="283" spans="2:11" x14ac:dyDescent="0.2">
      <c r="B283"/>
      <c r="C283"/>
      <c r="D283"/>
      <c r="E283"/>
      <c r="F283"/>
      <c r="G283"/>
      <c r="H283"/>
      <c r="I283"/>
      <c r="J283"/>
      <c r="K283"/>
    </row>
    <row r="284" spans="2:11" x14ac:dyDescent="0.2">
      <c r="B284"/>
      <c r="C284"/>
      <c r="D284"/>
      <c r="E284"/>
      <c r="F284"/>
      <c r="G284"/>
      <c r="H284"/>
      <c r="I284"/>
      <c r="J284"/>
      <c r="K284"/>
    </row>
    <row r="285" spans="2:11" x14ac:dyDescent="0.2">
      <c r="B285"/>
      <c r="C285"/>
      <c r="D285"/>
      <c r="E285"/>
      <c r="F285"/>
      <c r="G285"/>
      <c r="H285"/>
      <c r="I285"/>
      <c r="J285"/>
      <c r="K285"/>
    </row>
    <row r="286" spans="2:11" x14ac:dyDescent="0.2">
      <c r="B286"/>
      <c r="C286"/>
      <c r="D286"/>
      <c r="E286"/>
      <c r="F286"/>
      <c r="G286"/>
      <c r="H286"/>
      <c r="I286"/>
      <c r="J286"/>
      <c r="K286"/>
    </row>
    <row r="287" spans="2:11" x14ac:dyDescent="0.2">
      <c r="B287"/>
      <c r="C287"/>
      <c r="D287"/>
      <c r="E287"/>
      <c r="F287"/>
      <c r="G287"/>
      <c r="H287"/>
      <c r="I287"/>
      <c r="J287"/>
      <c r="K287"/>
    </row>
    <row r="288" spans="2:11" x14ac:dyDescent="0.2">
      <c r="B288"/>
      <c r="C288"/>
      <c r="D288"/>
      <c r="E288"/>
      <c r="F288"/>
      <c r="G288"/>
      <c r="H288"/>
      <c r="I288"/>
      <c r="J288"/>
      <c r="K288"/>
    </row>
    <row r="289" spans="2:11" x14ac:dyDescent="0.2">
      <c r="B289"/>
      <c r="C289"/>
      <c r="D289"/>
      <c r="E289"/>
      <c r="F289"/>
      <c r="G289"/>
      <c r="H289"/>
      <c r="I289"/>
      <c r="J289"/>
      <c r="K289"/>
    </row>
    <row r="290" spans="2:11" x14ac:dyDescent="0.2">
      <c r="B290"/>
      <c r="C290"/>
      <c r="D290"/>
      <c r="E290"/>
      <c r="F290"/>
      <c r="G290"/>
      <c r="H290"/>
      <c r="I290"/>
      <c r="J290"/>
      <c r="K290"/>
    </row>
    <row r="291" spans="2:11" x14ac:dyDescent="0.2">
      <c r="B291"/>
      <c r="C291"/>
      <c r="D291"/>
      <c r="E291"/>
      <c r="F291"/>
      <c r="G291"/>
      <c r="H291"/>
      <c r="I291"/>
      <c r="J291"/>
      <c r="K291"/>
    </row>
    <row r="292" spans="2:11" x14ac:dyDescent="0.2">
      <c r="B292"/>
      <c r="C292"/>
      <c r="D292"/>
      <c r="E292"/>
      <c r="F292"/>
      <c r="G292"/>
      <c r="H292"/>
      <c r="I292"/>
      <c r="J292"/>
      <c r="K292"/>
    </row>
    <row r="293" spans="2:11" x14ac:dyDescent="0.2">
      <c r="B293"/>
      <c r="C293"/>
      <c r="D293"/>
      <c r="E293"/>
      <c r="F293"/>
      <c r="G293"/>
      <c r="H293"/>
      <c r="I293"/>
      <c r="J293"/>
      <c r="K293"/>
    </row>
    <row r="294" spans="2:11" x14ac:dyDescent="0.2">
      <c r="B294"/>
      <c r="C294"/>
      <c r="D294"/>
      <c r="E294"/>
      <c r="F294"/>
      <c r="G294"/>
      <c r="H294"/>
      <c r="I294"/>
      <c r="J294"/>
      <c r="K294"/>
    </row>
    <row r="295" spans="2:11" x14ac:dyDescent="0.2">
      <c r="B295"/>
      <c r="C295"/>
      <c r="D295"/>
      <c r="E295"/>
      <c r="F295"/>
      <c r="G295"/>
      <c r="H295"/>
      <c r="I295"/>
      <c r="J295"/>
      <c r="K295"/>
    </row>
    <row r="296" spans="2:11" x14ac:dyDescent="0.2">
      <c r="B296"/>
      <c r="C296"/>
      <c r="D296"/>
      <c r="E296"/>
      <c r="F296"/>
      <c r="G296"/>
      <c r="H296"/>
      <c r="I296"/>
      <c r="J296"/>
      <c r="K296"/>
    </row>
    <row r="297" spans="2:11" x14ac:dyDescent="0.2">
      <c r="B297"/>
      <c r="C297"/>
      <c r="D297"/>
      <c r="E297"/>
      <c r="F297"/>
      <c r="G297"/>
      <c r="H297"/>
      <c r="I297"/>
      <c r="J297"/>
      <c r="K297"/>
    </row>
    <row r="298" spans="2:11" x14ac:dyDescent="0.2">
      <c r="B298"/>
      <c r="C298"/>
      <c r="D298"/>
      <c r="E298"/>
      <c r="F298"/>
      <c r="G298"/>
      <c r="H298"/>
      <c r="I298"/>
      <c r="J298"/>
      <c r="K298"/>
    </row>
    <row r="299" spans="2:11" x14ac:dyDescent="0.2">
      <c r="B299"/>
      <c r="C299"/>
      <c r="D299"/>
      <c r="E299"/>
      <c r="F299"/>
      <c r="G299"/>
      <c r="H299"/>
      <c r="I299"/>
      <c r="J299"/>
      <c r="K299"/>
    </row>
    <row r="300" spans="2:11" x14ac:dyDescent="0.2">
      <c r="B300"/>
      <c r="C300"/>
      <c r="D300"/>
      <c r="E300"/>
      <c r="F300"/>
      <c r="G300"/>
      <c r="H300"/>
      <c r="I300"/>
      <c r="J300"/>
      <c r="K300"/>
    </row>
    <row r="301" spans="2:11" x14ac:dyDescent="0.2">
      <c r="B301"/>
      <c r="C301"/>
      <c r="D301"/>
      <c r="E301"/>
      <c r="F301"/>
      <c r="G301"/>
      <c r="H301"/>
      <c r="I301"/>
      <c r="J301"/>
      <c r="K301"/>
    </row>
    <row r="302" spans="2:11" x14ac:dyDescent="0.2">
      <c r="B302"/>
      <c r="C302"/>
      <c r="D302"/>
      <c r="E302"/>
      <c r="F302"/>
      <c r="G302"/>
      <c r="H302"/>
      <c r="I302"/>
      <c r="J302"/>
      <c r="K302"/>
    </row>
    <row r="303" spans="2:11" x14ac:dyDescent="0.2">
      <c r="B303"/>
      <c r="C303"/>
      <c r="D303"/>
      <c r="E303"/>
      <c r="F303"/>
      <c r="G303"/>
      <c r="H303"/>
      <c r="I303"/>
      <c r="J303"/>
      <c r="K303"/>
    </row>
    <row r="304" spans="2:11" x14ac:dyDescent="0.2">
      <c r="B304"/>
      <c r="C304"/>
      <c r="D304"/>
      <c r="E304"/>
      <c r="F304"/>
      <c r="G304"/>
      <c r="H304"/>
      <c r="I304"/>
      <c r="J304"/>
      <c r="K304"/>
    </row>
    <row r="305" spans="2:11" x14ac:dyDescent="0.2">
      <c r="B305"/>
      <c r="C305"/>
      <c r="D305"/>
      <c r="E305"/>
      <c r="F305"/>
      <c r="G305"/>
      <c r="H305"/>
      <c r="I305"/>
      <c r="J305"/>
      <c r="K305"/>
    </row>
    <row r="306" spans="2:11" x14ac:dyDescent="0.2">
      <c r="B306"/>
      <c r="C306"/>
      <c r="D306"/>
      <c r="E306"/>
      <c r="F306"/>
      <c r="G306"/>
      <c r="H306"/>
      <c r="I306"/>
      <c r="J306"/>
      <c r="K306"/>
    </row>
    <row r="307" spans="2:11" x14ac:dyDescent="0.2">
      <c r="B307"/>
      <c r="C307"/>
      <c r="D307"/>
      <c r="E307"/>
      <c r="F307"/>
      <c r="G307"/>
      <c r="H307"/>
      <c r="I307"/>
      <c r="J307"/>
      <c r="K307"/>
    </row>
    <row r="308" spans="2:11" x14ac:dyDescent="0.2">
      <c r="B308"/>
      <c r="C308"/>
      <c r="D308"/>
      <c r="E308"/>
      <c r="F308"/>
      <c r="G308"/>
      <c r="H308"/>
      <c r="I308"/>
      <c r="J308"/>
      <c r="K308"/>
    </row>
    <row r="309" spans="2:11" x14ac:dyDescent="0.2">
      <c r="B309"/>
      <c r="C309"/>
      <c r="D309"/>
      <c r="E309"/>
      <c r="F309"/>
      <c r="G309"/>
      <c r="H309"/>
      <c r="I309"/>
      <c r="J309"/>
      <c r="K309"/>
    </row>
    <row r="310" spans="2:11" x14ac:dyDescent="0.2">
      <c r="B310"/>
      <c r="C310"/>
      <c r="D310"/>
      <c r="E310"/>
      <c r="F310"/>
      <c r="G310"/>
      <c r="H310"/>
      <c r="I310"/>
      <c r="J310"/>
      <c r="K310"/>
    </row>
    <row r="311" spans="2:11" x14ac:dyDescent="0.2">
      <c r="B311"/>
      <c r="C311"/>
      <c r="D311"/>
      <c r="E311"/>
      <c r="F311"/>
      <c r="G311"/>
      <c r="H311"/>
      <c r="I311"/>
      <c r="J311"/>
      <c r="K311"/>
    </row>
    <row r="312" spans="2:11" x14ac:dyDescent="0.2">
      <c r="B312"/>
      <c r="C312"/>
      <c r="D312"/>
      <c r="E312"/>
      <c r="F312"/>
      <c r="G312"/>
      <c r="H312"/>
      <c r="I312"/>
      <c r="J312"/>
      <c r="K312"/>
    </row>
    <row r="313" spans="2:11" x14ac:dyDescent="0.2">
      <c r="B313"/>
      <c r="C313"/>
      <c r="D313"/>
      <c r="E313"/>
      <c r="F313"/>
      <c r="G313"/>
      <c r="H313"/>
      <c r="I313"/>
      <c r="J313"/>
      <c r="K313"/>
    </row>
    <row r="314" spans="2:11" x14ac:dyDescent="0.2">
      <c r="B314"/>
      <c r="C314"/>
      <c r="D314"/>
      <c r="E314"/>
      <c r="F314"/>
      <c r="G314"/>
      <c r="H314"/>
      <c r="I314"/>
      <c r="J314"/>
      <c r="K314"/>
    </row>
    <row r="315" spans="2:11" x14ac:dyDescent="0.2">
      <c r="B315"/>
      <c r="C315"/>
      <c r="D315"/>
      <c r="E315"/>
      <c r="F315"/>
      <c r="G315"/>
      <c r="H315"/>
      <c r="I315"/>
      <c r="J315"/>
      <c r="K315"/>
    </row>
    <row r="316" spans="2:11" x14ac:dyDescent="0.2">
      <c r="B316"/>
      <c r="C316"/>
      <c r="D316"/>
      <c r="E316"/>
      <c r="F316"/>
      <c r="G316"/>
      <c r="H316"/>
      <c r="I316"/>
      <c r="J316"/>
      <c r="K316"/>
    </row>
    <row r="317" spans="2:11" x14ac:dyDescent="0.2">
      <c r="B317"/>
      <c r="C317"/>
      <c r="D317"/>
      <c r="E317"/>
      <c r="F317"/>
      <c r="G317"/>
      <c r="H317"/>
      <c r="I317"/>
      <c r="J317"/>
      <c r="K317"/>
    </row>
    <row r="318" spans="2:11" x14ac:dyDescent="0.2">
      <c r="B318"/>
      <c r="C318"/>
      <c r="D318"/>
      <c r="E318"/>
      <c r="F318"/>
      <c r="G318"/>
      <c r="H318"/>
      <c r="I318"/>
      <c r="J318"/>
      <c r="K318"/>
    </row>
    <row r="319" spans="2:11" x14ac:dyDescent="0.2">
      <c r="B319"/>
      <c r="C319"/>
      <c r="D319"/>
      <c r="E319"/>
      <c r="F319"/>
      <c r="G319"/>
      <c r="H319"/>
      <c r="I319"/>
      <c r="J319"/>
      <c r="K319"/>
    </row>
    <row r="320" spans="2:11" x14ac:dyDescent="0.2">
      <c r="B320"/>
      <c r="C320"/>
      <c r="D320"/>
      <c r="E320"/>
      <c r="F320"/>
      <c r="G320"/>
      <c r="H320"/>
      <c r="I320"/>
      <c r="J320"/>
      <c r="K320"/>
    </row>
    <row r="321" spans="2:11" x14ac:dyDescent="0.2">
      <c r="B321"/>
      <c r="C321"/>
      <c r="D321"/>
      <c r="E321"/>
      <c r="F321"/>
      <c r="G321"/>
      <c r="H321"/>
      <c r="I321"/>
      <c r="J321"/>
      <c r="K321"/>
    </row>
    <row r="322" spans="2:11" x14ac:dyDescent="0.2">
      <c r="B322"/>
      <c r="C322"/>
      <c r="D322"/>
      <c r="E322"/>
      <c r="F322"/>
      <c r="G322"/>
      <c r="H322"/>
      <c r="I322"/>
      <c r="J322"/>
      <c r="K322"/>
    </row>
    <row r="323" spans="2:11" x14ac:dyDescent="0.2">
      <c r="B323"/>
      <c r="C323"/>
      <c r="D323"/>
      <c r="E323"/>
      <c r="F323"/>
      <c r="G323"/>
      <c r="H323"/>
      <c r="I323"/>
      <c r="J323"/>
      <c r="K323"/>
    </row>
    <row r="324" spans="2:11" x14ac:dyDescent="0.2">
      <c r="B324"/>
      <c r="C324"/>
      <c r="D324"/>
      <c r="E324"/>
      <c r="F324"/>
      <c r="G324"/>
      <c r="H324"/>
      <c r="I324"/>
      <c r="J324"/>
      <c r="K324"/>
    </row>
    <row r="325" spans="2:11" x14ac:dyDescent="0.2">
      <c r="B325"/>
      <c r="C325"/>
      <c r="D325"/>
      <c r="E325"/>
      <c r="F325"/>
      <c r="G325"/>
      <c r="H325"/>
      <c r="I325"/>
      <c r="J325"/>
      <c r="K325"/>
    </row>
    <row r="326" spans="2:11" x14ac:dyDescent="0.2">
      <c r="B326"/>
      <c r="C326"/>
      <c r="D326"/>
      <c r="E326"/>
      <c r="F326"/>
      <c r="G326"/>
      <c r="H326"/>
      <c r="I326"/>
      <c r="J326"/>
      <c r="K326"/>
    </row>
    <row r="327" spans="2:11" x14ac:dyDescent="0.2">
      <c r="B327"/>
      <c r="C327"/>
      <c r="D327"/>
      <c r="E327"/>
      <c r="F327"/>
      <c r="G327"/>
      <c r="H327"/>
      <c r="I327"/>
      <c r="J327"/>
      <c r="K327"/>
    </row>
    <row r="328" spans="2:11" x14ac:dyDescent="0.2">
      <c r="B328"/>
      <c r="C328"/>
      <c r="D328"/>
      <c r="E328"/>
      <c r="F328"/>
      <c r="G328"/>
      <c r="H328"/>
      <c r="I328"/>
      <c r="J328"/>
      <c r="K328"/>
    </row>
    <row r="329" spans="2:11" x14ac:dyDescent="0.2">
      <c r="B329"/>
      <c r="C329"/>
      <c r="D329"/>
      <c r="E329"/>
      <c r="F329"/>
      <c r="G329"/>
      <c r="H329"/>
      <c r="I329"/>
      <c r="J329"/>
      <c r="K329"/>
    </row>
    <row r="330" spans="2:11" x14ac:dyDescent="0.2">
      <c r="B330"/>
      <c r="C330"/>
      <c r="D330"/>
      <c r="E330"/>
      <c r="F330"/>
      <c r="G330"/>
      <c r="H330"/>
      <c r="I330"/>
      <c r="J330"/>
      <c r="K330"/>
    </row>
    <row r="331" spans="2:11" x14ac:dyDescent="0.2">
      <c r="B331"/>
      <c r="C331"/>
      <c r="D331"/>
      <c r="E331"/>
      <c r="F331"/>
      <c r="G331"/>
      <c r="H331"/>
      <c r="I331"/>
      <c r="J331"/>
      <c r="K331"/>
    </row>
    <row r="332" spans="2:11" x14ac:dyDescent="0.2">
      <c r="B332"/>
      <c r="C332"/>
      <c r="D332"/>
      <c r="E332"/>
      <c r="F332"/>
      <c r="G332"/>
      <c r="H332"/>
      <c r="I332"/>
      <c r="J332"/>
      <c r="K332"/>
    </row>
    <row r="333" spans="2:11" x14ac:dyDescent="0.2">
      <c r="B333"/>
      <c r="C333"/>
      <c r="D333"/>
      <c r="E333"/>
      <c r="F333"/>
      <c r="G333"/>
      <c r="H333"/>
      <c r="I333"/>
      <c r="J333"/>
      <c r="K333"/>
    </row>
    <row r="334" spans="2:11" x14ac:dyDescent="0.2">
      <c r="B334"/>
      <c r="C334"/>
      <c r="D334"/>
      <c r="E334"/>
      <c r="F334"/>
      <c r="G334"/>
      <c r="H334"/>
      <c r="I334"/>
      <c r="J334"/>
      <c r="K334"/>
    </row>
    <row r="335" spans="2:11" x14ac:dyDescent="0.2">
      <c r="B335"/>
      <c r="C335"/>
      <c r="D335"/>
      <c r="E335"/>
      <c r="F335"/>
      <c r="G335"/>
      <c r="H335"/>
      <c r="I335"/>
      <c r="J335"/>
      <c r="K335"/>
    </row>
  </sheetData>
  <mergeCells count="3">
    <mergeCell ref="C2:G2"/>
    <mergeCell ref="H2:L2"/>
    <mergeCell ref="M2:Q2"/>
  </mergeCells>
  <conditionalFormatting sqref="N1:O1 N276:O1048576 N3:O4">
    <cfRule type="iconSet" priority="1">
      <iconSet reverse="1">
        <cfvo type="percent" val="0"/>
        <cfvo type="num" val="0.5"/>
        <cfvo type="num" val="1"/>
      </iconSet>
    </cfRule>
  </conditionalFormatting>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R274"/>
  <sheetViews>
    <sheetView workbookViewId="0">
      <pane xSplit="1" ySplit="4" topLeftCell="B161" activePane="bottomRight" state="frozen"/>
      <selection pane="topRight" activeCell="B1" sqref="B1"/>
      <selection pane="bottomLeft" activeCell="A5" sqref="A5"/>
      <selection pane="bottomRight" activeCell="E178" sqref="E178"/>
    </sheetView>
  </sheetViews>
  <sheetFormatPr baseColWidth="10" defaultColWidth="8.83203125" defaultRowHeight="16" x14ac:dyDescent="0.2"/>
  <cols>
    <col min="1" max="1" width="32.6640625" customWidth="1"/>
    <col min="2" max="2" width="30.83203125" style="3" customWidth="1"/>
    <col min="3" max="4" width="12.6640625" style="3" customWidth="1"/>
    <col min="5" max="6" width="15" style="3" customWidth="1"/>
    <col min="7" max="7" width="12.6640625" style="3" customWidth="1"/>
    <col min="8" max="8" width="13" style="3" customWidth="1"/>
    <col min="9" max="9" width="13.33203125" style="3" customWidth="1"/>
    <col min="10" max="11" width="11.1640625" customWidth="1"/>
    <col min="12" max="12" width="13" customWidth="1"/>
    <col min="13" max="13" width="11" customWidth="1"/>
    <col min="14" max="17" width="11.1640625" customWidth="1"/>
    <col min="18" max="18" width="28.6640625" customWidth="1"/>
    <col min="19" max="19" width="6.1640625" customWidth="1"/>
    <col min="20" max="20" width="20.5" customWidth="1"/>
    <col min="21" max="21" width="25.33203125" customWidth="1"/>
    <col min="22" max="22" width="14.1640625" customWidth="1"/>
    <col min="23" max="23" width="26.33203125" customWidth="1"/>
    <col min="24" max="24" width="6.83203125" customWidth="1"/>
    <col min="25" max="25" width="16.1640625" customWidth="1"/>
    <col min="26" max="26" width="11.83203125" customWidth="1"/>
    <col min="27" max="27" width="10.1640625" customWidth="1"/>
    <col min="28" max="28" width="27" customWidth="1"/>
    <col min="29" max="29" width="18.1640625" customWidth="1"/>
    <col min="30" max="30" width="16.6640625" customWidth="1"/>
    <col min="31" max="31" width="9.33203125" customWidth="1"/>
    <col min="32" max="32" width="14" customWidth="1"/>
    <col min="33" max="33" width="13.1640625" customWidth="1"/>
    <col min="34" max="34" width="13.6640625" customWidth="1"/>
    <col min="35" max="35" width="12.1640625" customWidth="1"/>
    <col min="36" max="36" width="23" customWidth="1"/>
    <col min="37" max="37" width="27.1640625" customWidth="1"/>
    <col min="38" max="38" width="8.1640625" customWidth="1"/>
    <col min="39" max="39" width="14.33203125" customWidth="1"/>
    <col min="40" max="40" width="6.1640625" customWidth="1"/>
    <col min="41" max="41" width="20.5" customWidth="1"/>
    <col min="42" max="42" width="25.33203125" customWidth="1"/>
    <col min="43" max="43" width="14.1640625" customWidth="1"/>
    <col min="44" max="44" width="26.33203125" customWidth="1"/>
    <col min="45" max="45" width="11.83203125" customWidth="1"/>
    <col min="46" max="46" width="16.1640625" customWidth="1"/>
    <col min="47" max="47" width="9.6640625" customWidth="1"/>
    <col min="48" max="48" width="10.1640625" customWidth="1"/>
    <col min="49" max="49" width="27" customWidth="1"/>
    <col min="50" max="50" width="18.1640625" customWidth="1"/>
    <col min="51" max="51" width="16.6640625" customWidth="1"/>
    <col min="52" max="52" width="9.33203125" customWidth="1"/>
    <col min="53" max="53" width="14" customWidth="1"/>
    <col min="54" max="54" width="13.1640625" customWidth="1"/>
    <col min="55" max="55" width="13.6640625" customWidth="1"/>
    <col min="56" max="56" width="12.1640625" customWidth="1"/>
    <col min="57" max="57" width="23" customWidth="1"/>
    <col min="58" max="58" width="27.1640625" customWidth="1"/>
    <col min="59" max="59" width="8.1640625" customWidth="1"/>
    <col min="60" max="60" width="14.33203125" customWidth="1"/>
    <col min="61" max="61" width="6.1640625" customWidth="1"/>
    <col min="62" max="62" width="20.5" customWidth="1"/>
    <col min="63" max="63" width="25.33203125" customWidth="1"/>
    <col min="64" max="64" width="14.1640625" customWidth="1"/>
    <col min="65" max="65" width="26.33203125" customWidth="1"/>
    <col min="66" max="66" width="11.83203125" customWidth="1"/>
    <col min="67" max="67" width="16.1640625" customWidth="1"/>
    <col min="68" max="68" width="9.6640625" customWidth="1"/>
    <col min="69" max="69" width="10.1640625" customWidth="1"/>
    <col min="70" max="70" width="27" customWidth="1"/>
    <col min="71" max="71" width="18.1640625" customWidth="1"/>
    <col min="72" max="72" width="16.6640625" customWidth="1"/>
    <col min="73" max="73" width="9.33203125" customWidth="1"/>
    <col min="74" max="74" width="14" customWidth="1"/>
    <col min="75" max="75" width="13.1640625" customWidth="1"/>
    <col min="76" max="76" width="13.6640625" customWidth="1"/>
    <col min="77" max="77" width="12.1640625" customWidth="1"/>
    <col min="78" max="78" width="23" customWidth="1"/>
    <col min="79" max="79" width="27.1640625" customWidth="1"/>
    <col min="80" max="80" width="8.1640625" customWidth="1"/>
    <col min="81" max="81" width="14.33203125" customWidth="1"/>
    <col min="82" max="82" width="6.1640625" customWidth="1"/>
    <col min="83" max="83" width="20.5" customWidth="1"/>
    <col min="84" max="84" width="25.33203125" customWidth="1"/>
    <col min="85" max="85" width="14.1640625" customWidth="1"/>
    <col min="86" max="86" width="26.33203125" customWidth="1"/>
    <col min="87" max="87" width="11.83203125" customWidth="1"/>
    <col min="88" max="88" width="35.6640625" customWidth="1"/>
    <col min="89" max="89" width="37.5" customWidth="1"/>
    <col min="90" max="90" width="33.83203125" customWidth="1"/>
    <col min="91" max="91" width="34.1640625" customWidth="1"/>
    <col min="92" max="92" width="12.1640625" customWidth="1"/>
    <col min="93" max="93" width="4.5" customWidth="1"/>
    <col min="94" max="94" width="5.5" customWidth="1"/>
    <col min="95" max="95" width="4.6640625" customWidth="1"/>
    <col min="96" max="96" width="7.1640625" customWidth="1"/>
    <col min="97" max="97" width="16.5" customWidth="1"/>
    <col min="98" max="98" width="31.1640625" customWidth="1"/>
    <col min="99" max="99" width="20" customWidth="1"/>
    <col min="100" max="100" width="4.5" customWidth="1"/>
    <col min="101" max="101" width="8.6640625" customWidth="1"/>
    <col min="102" max="102" width="14.6640625" customWidth="1"/>
    <col min="103" max="103" width="10" customWidth="1"/>
    <col min="104" max="104" width="6.83203125" customWidth="1"/>
    <col min="105" max="105" width="9.6640625" customWidth="1"/>
    <col min="106" max="106" width="8.33203125" customWidth="1"/>
    <col min="107" max="107" width="6.33203125" customWidth="1"/>
    <col min="108" max="108" width="4.6640625" customWidth="1"/>
    <col min="109" max="109" width="11" customWidth="1"/>
    <col min="110" max="110" width="7.5" customWidth="1"/>
    <col min="111" max="111" width="8.1640625" customWidth="1"/>
    <col min="112" max="112" width="8" customWidth="1"/>
    <col min="113" max="113" width="8.5" customWidth="1"/>
    <col min="114" max="114" width="10.33203125" customWidth="1"/>
    <col min="115" max="115" width="12.33203125" bestFit="1" customWidth="1"/>
    <col min="116" max="116" width="11.6640625" customWidth="1"/>
    <col min="117" max="117" width="13.1640625" bestFit="1" customWidth="1"/>
    <col min="118" max="118" width="8.1640625" customWidth="1"/>
    <col min="119" max="119" width="6" customWidth="1"/>
    <col min="120" max="120" width="6.83203125" customWidth="1"/>
    <col min="121" max="121" width="7.83203125" customWidth="1"/>
    <col min="122" max="122" width="8.83203125" customWidth="1"/>
    <col min="123" max="123" width="11.6640625" customWidth="1"/>
    <col min="124" max="124" width="7.6640625" customWidth="1"/>
    <col min="125" max="125" width="13.1640625" bestFit="1" customWidth="1"/>
    <col min="126" max="126" width="7.6640625" customWidth="1"/>
    <col min="127" max="127" width="5.5" customWidth="1"/>
    <col min="128" max="128" width="4.6640625" customWidth="1"/>
    <col min="129" max="129" width="9.33203125" customWidth="1"/>
    <col min="130" max="130" width="8.6640625" customWidth="1"/>
    <col min="131" max="131" width="14.83203125" customWidth="1"/>
    <col min="132" max="132" width="4.83203125" customWidth="1"/>
    <col min="133" max="133" width="8.5" customWidth="1"/>
    <col min="134" max="134" width="6.33203125" customWidth="1"/>
    <col min="135" max="135" width="6.5" customWidth="1"/>
    <col min="136" max="136" width="9" customWidth="1"/>
    <col min="137" max="137" width="10.6640625" customWidth="1"/>
    <col min="138" max="138" width="4.33203125" customWidth="1"/>
    <col min="139" max="139" width="16.6640625" customWidth="1"/>
    <col min="140" max="140" width="6.1640625" customWidth="1"/>
    <col min="141" max="141" width="7.1640625" customWidth="1"/>
    <col min="142" max="142" width="15" customWidth="1"/>
    <col min="143" max="143" width="22.6640625" bestFit="1" customWidth="1"/>
    <col min="144" max="144" width="14.6640625" bestFit="1" customWidth="1"/>
    <col min="145" max="145" width="15.6640625" bestFit="1" customWidth="1"/>
    <col min="146" max="146" width="13.6640625" customWidth="1"/>
    <col min="147" max="147" width="14.83203125" bestFit="1" customWidth="1"/>
    <col min="148" max="148" width="15.5" bestFit="1" customWidth="1"/>
    <col min="149" max="149" width="6.1640625" customWidth="1"/>
    <col min="150" max="150" width="14.5" customWidth="1"/>
    <col min="151" max="151" width="5.6640625" customWidth="1"/>
    <col min="152" max="152" width="10.1640625" customWidth="1"/>
    <col min="153" max="153" width="10.6640625" customWidth="1"/>
    <col min="154" max="154" width="10.1640625" customWidth="1"/>
    <col min="155" max="155" width="17.6640625" customWidth="1"/>
    <col min="156" max="156" width="9" customWidth="1"/>
    <col min="157" max="157" width="12.1640625" customWidth="1"/>
    <col min="158" max="158" width="7.6640625" customWidth="1"/>
    <col min="159" max="159" width="11.6640625" customWidth="1"/>
    <col min="160" max="160" width="5.6640625" customWidth="1"/>
    <col min="161" max="161" width="3.83203125" customWidth="1"/>
    <col min="162" max="162" width="6.5" customWidth="1"/>
    <col min="163" max="163" width="4.6640625" customWidth="1"/>
    <col min="164" max="164" width="9.1640625" customWidth="1"/>
    <col min="165" max="165" width="8.33203125" customWidth="1"/>
    <col min="166" max="166" width="13.1640625" customWidth="1"/>
    <col min="167" max="167" width="21.83203125" bestFit="1" customWidth="1"/>
    <col min="168" max="168" width="5.1640625" customWidth="1"/>
    <col min="169" max="169" width="14.1640625" bestFit="1" customWidth="1"/>
    <col min="170" max="170" width="6.6640625" customWidth="1"/>
    <col min="171" max="171" width="6" customWidth="1"/>
    <col min="172" max="172" width="4.5" customWidth="1"/>
    <col min="173" max="173" width="14.6640625" customWidth="1"/>
    <col min="174" max="174" width="8" customWidth="1"/>
    <col min="175" max="175" width="6.6640625" customWidth="1"/>
    <col min="176" max="176" width="11.1640625" customWidth="1"/>
    <col min="177" max="177" width="8" customWidth="1"/>
    <col min="178" max="178" width="11" customWidth="1"/>
    <col min="179" max="180" width="6.83203125" customWidth="1"/>
    <col min="181" max="181" width="11.83203125" bestFit="1" customWidth="1"/>
    <col min="182" max="182" width="4.83203125" customWidth="1"/>
    <col min="183" max="183" width="11.83203125" bestFit="1" customWidth="1"/>
    <col min="184" max="184" width="9.83203125" bestFit="1" customWidth="1"/>
    <col min="185" max="186" width="7.83203125" customWidth="1"/>
    <col min="187" max="187" width="5.83203125" customWidth="1"/>
    <col min="188" max="189" width="3.83203125" customWidth="1"/>
    <col min="190" max="190" width="7.83203125" customWidth="1"/>
    <col min="191" max="191" width="3.83203125" customWidth="1"/>
    <col min="192" max="192" width="11.83203125" bestFit="1" customWidth="1"/>
    <col min="193" max="193" width="6.1640625" customWidth="1"/>
    <col min="194" max="194" width="6.83203125" customWidth="1"/>
    <col min="195" max="195" width="11" bestFit="1" customWidth="1"/>
  </cols>
  <sheetData>
    <row r="2" spans="1:18" ht="26" x14ac:dyDescent="0.3">
      <c r="C2" s="586" t="s">
        <v>3251</v>
      </c>
      <c r="D2" s="586"/>
      <c r="E2" s="586"/>
      <c r="F2" s="586"/>
      <c r="G2" s="586"/>
      <c r="H2" s="587" t="s">
        <v>3252</v>
      </c>
      <c r="I2" s="587"/>
      <c r="J2" s="587"/>
      <c r="K2" s="587"/>
      <c r="L2" s="587"/>
      <c r="M2" s="588" t="s">
        <v>3253</v>
      </c>
      <c r="N2" s="588"/>
      <c r="O2" s="588"/>
      <c r="P2" s="588"/>
      <c r="Q2" s="588"/>
    </row>
    <row r="3" spans="1:18" ht="25" x14ac:dyDescent="0.3">
      <c r="B3"/>
      <c r="C3" s="562" t="s">
        <v>1705</v>
      </c>
      <c r="D3" s="206"/>
      <c r="E3" s="206"/>
      <c r="F3" s="206"/>
      <c r="G3" s="206"/>
      <c r="H3" s="207"/>
      <c r="I3" s="207"/>
      <c r="J3" s="207"/>
      <c r="K3" s="207"/>
      <c r="L3" s="207"/>
      <c r="M3" s="208"/>
      <c r="N3" s="208"/>
      <c r="O3" s="208"/>
      <c r="P3" s="208"/>
      <c r="Q3" s="208"/>
    </row>
    <row r="4" spans="1:18" s="3" customFormat="1" ht="68" x14ac:dyDescent="0.2">
      <c r="A4" s="2" t="s">
        <v>0</v>
      </c>
      <c r="B4" s="2" t="s">
        <v>1</v>
      </c>
      <c r="C4" s="206" t="s">
        <v>3245</v>
      </c>
      <c r="D4" s="206" t="s">
        <v>3248</v>
      </c>
      <c r="E4" s="206" t="s">
        <v>3249</v>
      </c>
      <c r="F4" s="206" t="s">
        <v>3250</v>
      </c>
      <c r="G4" s="206" t="s">
        <v>3254</v>
      </c>
      <c r="H4" s="207" t="s">
        <v>3246</v>
      </c>
      <c r="I4" s="207" t="s">
        <v>3255</v>
      </c>
      <c r="J4" s="207" t="s">
        <v>3256</v>
      </c>
      <c r="K4" s="207" t="s">
        <v>3257</v>
      </c>
      <c r="L4" s="207" t="s">
        <v>3247</v>
      </c>
      <c r="M4" s="208" t="s">
        <v>1710</v>
      </c>
      <c r="N4" s="208" t="s">
        <v>1709</v>
      </c>
      <c r="O4" s="208" t="s">
        <v>1708</v>
      </c>
      <c r="P4" s="208" t="s">
        <v>1707</v>
      </c>
      <c r="Q4" s="208" t="s">
        <v>1706</v>
      </c>
      <c r="R4"/>
    </row>
    <row r="5" spans="1:18" x14ac:dyDescent="0.2">
      <c r="A5" t="s">
        <v>596</v>
      </c>
      <c r="B5" t="s">
        <v>1418</v>
      </c>
      <c r="C5" s="4">
        <v>3</v>
      </c>
      <c r="D5" s="4">
        <v>6.1819496855345903</v>
      </c>
      <c r="E5" s="4">
        <v>5.7364150943396197</v>
      </c>
      <c r="F5" s="4">
        <v>6.4132075471698116</v>
      </c>
      <c r="G5" s="4">
        <v>0.38593768107699156</v>
      </c>
      <c r="H5" s="4">
        <v>3</v>
      </c>
      <c r="I5" s="4">
        <v>7.6742138364779864</v>
      </c>
      <c r="J5" s="4">
        <v>7.0594339622641495</v>
      </c>
      <c r="K5" s="4">
        <v>7.9952830188679238</v>
      </c>
      <c r="L5" s="4">
        <v>0.53259068904300577</v>
      </c>
      <c r="M5" s="4">
        <v>3</v>
      </c>
      <c r="N5" s="4">
        <v>11.72955974842767</v>
      </c>
      <c r="O5" s="4">
        <v>9.7169811320754711</v>
      </c>
      <c r="P5" s="4">
        <v>14.811320754716981</v>
      </c>
      <c r="Q5" s="4">
        <v>2.7102467203038088</v>
      </c>
    </row>
    <row r="6" spans="1:18" x14ac:dyDescent="0.2">
      <c r="B6" t="s">
        <v>1043</v>
      </c>
      <c r="C6" s="4">
        <v>4</v>
      </c>
      <c r="D6" s="4">
        <v>1.5399712092130515</v>
      </c>
      <c r="E6" s="4">
        <v>1.1568138195777349</v>
      </c>
      <c r="F6" s="4">
        <v>2.0596928982725524</v>
      </c>
      <c r="G6" s="4">
        <v>0.37693962677068554</v>
      </c>
      <c r="H6" s="4">
        <v>4</v>
      </c>
      <c r="I6" s="4">
        <v>2.7599520153550854</v>
      </c>
      <c r="J6" s="4">
        <v>1.5294337811900189</v>
      </c>
      <c r="K6" s="4">
        <v>4.2380038387715917</v>
      </c>
      <c r="L6" s="4">
        <v>1.1172242979755409</v>
      </c>
      <c r="M6" s="4">
        <v>7</v>
      </c>
      <c r="N6" s="4">
        <v>5.4548778157223454</v>
      </c>
      <c r="O6" s="4">
        <v>1.7158145756994125</v>
      </c>
      <c r="P6" s="4">
        <v>9.6928982725527817</v>
      </c>
      <c r="Q6" s="4">
        <v>2.6212940776470317</v>
      </c>
    </row>
    <row r="7" spans="1:18" x14ac:dyDescent="0.2">
      <c r="B7" t="s">
        <v>2760</v>
      </c>
      <c r="C7" s="4">
        <v>1</v>
      </c>
      <c r="D7" s="4">
        <v>2.8319000000000001</v>
      </c>
      <c r="E7" s="4">
        <v>2.8319000000000001</v>
      </c>
      <c r="F7" s="4">
        <v>2.8319000000000001</v>
      </c>
      <c r="G7" s="4"/>
      <c r="H7" s="4">
        <v>0</v>
      </c>
      <c r="I7" s="4"/>
      <c r="J7" s="4">
        <v>0</v>
      </c>
      <c r="K7" s="4">
        <v>0</v>
      </c>
      <c r="L7" s="4"/>
      <c r="M7" s="4">
        <v>4</v>
      </c>
      <c r="N7" s="4">
        <v>12.333480565371026</v>
      </c>
      <c r="O7" s="4">
        <v>2.831927232150405</v>
      </c>
      <c r="P7" s="4">
        <v>21.400000000000002</v>
      </c>
      <c r="Q7" s="4">
        <v>9.2799925422887082</v>
      </c>
    </row>
    <row r="8" spans="1:18" x14ac:dyDescent="0.2">
      <c r="B8" t="s">
        <v>3052</v>
      </c>
      <c r="C8" s="4">
        <v>1</v>
      </c>
      <c r="D8" s="4">
        <v>115</v>
      </c>
      <c r="E8" s="4">
        <v>115</v>
      </c>
      <c r="F8" s="4">
        <v>115</v>
      </c>
      <c r="G8" s="4"/>
      <c r="H8" s="4">
        <v>2</v>
      </c>
      <c r="I8" s="4">
        <v>181.25</v>
      </c>
      <c r="J8" s="4">
        <v>175</v>
      </c>
      <c r="K8" s="4">
        <v>187.5</v>
      </c>
      <c r="L8" s="4">
        <v>8.8388347648318444</v>
      </c>
      <c r="M8" s="4">
        <v>2</v>
      </c>
      <c r="N8" s="4">
        <v>522.5</v>
      </c>
      <c r="O8" s="4">
        <v>417.5</v>
      </c>
      <c r="P8" s="4">
        <v>627.5</v>
      </c>
      <c r="Q8" s="4">
        <v>148.49242404917499</v>
      </c>
    </row>
    <row r="9" spans="1:18" x14ac:dyDescent="0.2">
      <c r="B9" t="s">
        <v>1928</v>
      </c>
      <c r="C9" s="4">
        <v>2</v>
      </c>
      <c r="D9" s="4">
        <v>59.145299145299148</v>
      </c>
      <c r="E9" s="4">
        <v>44.444444444444443</v>
      </c>
      <c r="F9" s="4">
        <v>73.846153846153854</v>
      </c>
      <c r="G9" s="4">
        <v>20.790148096425007</v>
      </c>
      <c r="H9" s="4">
        <v>3</v>
      </c>
      <c r="I9" s="4">
        <v>64.580789580789585</v>
      </c>
      <c r="J9" s="4">
        <v>53.571428571428569</v>
      </c>
      <c r="K9" s="4">
        <v>84.615384615384627</v>
      </c>
      <c r="L9" s="4">
        <v>17.37880716914858</v>
      </c>
      <c r="M9" s="4">
        <v>3</v>
      </c>
      <c r="N9" s="4">
        <v>205.51421788088456</v>
      </c>
      <c r="O9" s="4">
        <v>91.471428571428561</v>
      </c>
      <c r="P9" s="4">
        <v>296.92307692307696</v>
      </c>
      <c r="Q9" s="4">
        <v>104.57923336929693</v>
      </c>
    </row>
    <row r="10" spans="1:18" x14ac:dyDescent="0.2">
      <c r="B10" t="s">
        <v>2020</v>
      </c>
      <c r="C10" s="4">
        <v>0</v>
      </c>
      <c r="D10" s="4"/>
      <c r="E10" s="4">
        <v>0</v>
      </c>
      <c r="F10" s="4">
        <v>0</v>
      </c>
      <c r="G10" s="4"/>
      <c r="H10" s="4">
        <v>0</v>
      </c>
      <c r="I10" s="4"/>
      <c r="J10" s="4">
        <v>0</v>
      </c>
      <c r="K10" s="4">
        <v>0</v>
      </c>
      <c r="L10" s="4"/>
      <c r="M10" s="4"/>
      <c r="N10" s="4"/>
      <c r="O10" s="4"/>
      <c r="P10" s="4"/>
      <c r="Q10" s="4"/>
    </row>
    <row r="11" spans="1:18" x14ac:dyDescent="0.2">
      <c r="B11" t="s">
        <v>2050</v>
      </c>
      <c r="C11" s="4">
        <v>1</v>
      </c>
      <c r="D11" s="4">
        <v>4</v>
      </c>
      <c r="E11" s="4">
        <v>4</v>
      </c>
      <c r="F11" s="4">
        <v>4</v>
      </c>
      <c r="G11" s="4"/>
      <c r="H11" s="4">
        <v>1</v>
      </c>
      <c r="I11" s="4">
        <v>6</v>
      </c>
      <c r="J11" s="4">
        <v>6</v>
      </c>
      <c r="K11" s="4">
        <v>6</v>
      </c>
      <c r="L11" s="4"/>
      <c r="M11" s="4">
        <v>1</v>
      </c>
      <c r="N11" s="4">
        <v>9.8000000000000007</v>
      </c>
      <c r="O11" s="4">
        <v>9.8000000000000007</v>
      </c>
      <c r="P11" s="4">
        <v>9.8000000000000007</v>
      </c>
      <c r="Q11" s="4"/>
    </row>
    <row r="12" spans="1:18" x14ac:dyDescent="0.2">
      <c r="B12" t="s">
        <v>3065</v>
      </c>
      <c r="C12" s="4">
        <v>0</v>
      </c>
      <c r="D12" s="4"/>
      <c r="E12" s="4">
        <v>0</v>
      </c>
      <c r="F12" s="4">
        <v>0</v>
      </c>
      <c r="G12" s="4"/>
      <c r="H12" s="4">
        <v>0</v>
      </c>
      <c r="I12" s="4"/>
      <c r="J12" s="4">
        <v>0</v>
      </c>
      <c r="K12" s="4">
        <v>0</v>
      </c>
      <c r="L12" s="4"/>
      <c r="M12" s="4">
        <v>1</v>
      </c>
      <c r="N12" s="4">
        <v>76</v>
      </c>
      <c r="O12" s="4">
        <v>76</v>
      </c>
      <c r="P12" s="4">
        <v>76</v>
      </c>
      <c r="Q12" s="4"/>
    </row>
    <row r="13" spans="1:18" x14ac:dyDescent="0.2">
      <c r="B13" t="s">
        <v>2808</v>
      </c>
      <c r="C13" s="4">
        <v>0</v>
      </c>
      <c r="D13" s="4"/>
      <c r="E13" s="4">
        <v>0</v>
      </c>
      <c r="F13" s="4">
        <v>0</v>
      </c>
      <c r="G13" s="4"/>
      <c r="H13" s="4">
        <v>0</v>
      </c>
      <c r="I13" s="4"/>
      <c r="J13" s="4">
        <v>0</v>
      </c>
      <c r="K13" s="4">
        <v>0</v>
      </c>
      <c r="L13" s="4"/>
      <c r="M13" s="4"/>
      <c r="N13" s="4"/>
      <c r="O13" s="4"/>
      <c r="P13" s="4"/>
      <c r="Q13" s="4"/>
    </row>
    <row r="14" spans="1:18" x14ac:dyDescent="0.2">
      <c r="B14" t="s">
        <v>3064</v>
      </c>
      <c r="C14" s="4">
        <v>4</v>
      </c>
      <c r="D14" s="4">
        <v>2.1775324427480913</v>
      </c>
      <c r="E14" s="4">
        <v>0.89312977099236635</v>
      </c>
      <c r="F14" s="4">
        <v>5.6</v>
      </c>
      <c r="G14" s="4">
        <v>2.2874745631336899</v>
      </c>
      <c r="H14" s="4">
        <v>2</v>
      </c>
      <c r="I14" s="4">
        <v>5.5726145038167934</v>
      </c>
      <c r="J14" s="4">
        <v>2.7452290076335877</v>
      </c>
      <c r="K14" s="4">
        <v>8.3999999999999986</v>
      </c>
      <c r="L14" s="4">
        <v>3.998526914759271</v>
      </c>
      <c r="M14" s="4">
        <v>2</v>
      </c>
      <c r="N14" s="4">
        <v>10.196087786259541</v>
      </c>
      <c r="O14" s="4">
        <v>6.3921755725190836</v>
      </c>
      <c r="P14" s="4">
        <v>14</v>
      </c>
      <c r="Q14" s="4">
        <v>5.3795442427484197</v>
      </c>
    </row>
    <row r="15" spans="1:18" x14ac:dyDescent="0.2">
      <c r="B15" t="s">
        <v>3066</v>
      </c>
      <c r="C15" s="4">
        <v>0</v>
      </c>
      <c r="D15" s="4"/>
      <c r="E15" s="4">
        <v>0</v>
      </c>
      <c r="F15" s="4">
        <v>0</v>
      </c>
      <c r="G15" s="4"/>
      <c r="H15" s="4">
        <v>0</v>
      </c>
      <c r="I15" s="4"/>
      <c r="J15" s="4">
        <v>0</v>
      </c>
      <c r="K15" s="4">
        <v>0</v>
      </c>
      <c r="L15" s="4"/>
      <c r="M15" s="4">
        <v>1</v>
      </c>
      <c r="N15" s="4">
        <v>108</v>
      </c>
      <c r="O15" s="4">
        <v>108</v>
      </c>
      <c r="P15" s="4">
        <v>108</v>
      </c>
      <c r="Q15" s="4"/>
    </row>
    <row r="16" spans="1:18" x14ac:dyDescent="0.2">
      <c r="B16" t="s">
        <v>2272</v>
      </c>
      <c r="C16" s="4">
        <v>0</v>
      </c>
      <c r="D16" s="4"/>
      <c r="E16" s="4">
        <v>0</v>
      </c>
      <c r="F16" s="4">
        <v>0</v>
      </c>
      <c r="G16" s="4"/>
      <c r="H16" s="4">
        <v>2</v>
      </c>
      <c r="I16" s="4">
        <v>1.682897205</v>
      </c>
      <c r="J16" s="4">
        <v>1.6030119999999999</v>
      </c>
      <c r="K16" s="4">
        <v>1.76278241</v>
      </c>
      <c r="L16" s="4">
        <v>0.11297474034395312</v>
      </c>
      <c r="M16" s="4">
        <v>2</v>
      </c>
      <c r="N16" s="4">
        <v>1.682897205</v>
      </c>
      <c r="O16" s="4">
        <v>1.6030119999999999</v>
      </c>
      <c r="P16" s="4">
        <v>1.76278241</v>
      </c>
      <c r="Q16" s="4">
        <v>0.11297474034395312</v>
      </c>
    </row>
    <row r="17" spans="1:17" x14ac:dyDescent="0.2">
      <c r="B17" t="s">
        <v>1028</v>
      </c>
      <c r="C17" s="4">
        <v>0</v>
      </c>
      <c r="D17" s="4"/>
      <c r="E17" s="4">
        <v>0</v>
      </c>
      <c r="F17" s="4">
        <v>0</v>
      </c>
      <c r="G17" s="4"/>
      <c r="H17" s="4">
        <v>0</v>
      </c>
      <c r="I17" s="4"/>
      <c r="J17" s="4">
        <v>0</v>
      </c>
      <c r="K17" s="4">
        <v>0</v>
      </c>
      <c r="L17" s="4"/>
      <c r="M17" s="4">
        <v>4</v>
      </c>
      <c r="N17" s="4">
        <v>3.2672496406324871</v>
      </c>
      <c r="O17" s="4">
        <v>3.0346590001597189</v>
      </c>
      <c r="P17" s="4">
        <v>3.4539210988659961</v>
      </c>
      <c r="Q17" s="4">
        <v>0.20563807698449826</v>
      </c>
    </row>
    <row r="18" spans="1:17" x14ac:dyDescent="0.2">
      <c r="B18" t="s">
        <v>2305</v>
      </c>
      <c r="C18" s="4">
        <v>2</v>
      </c>
      <c r="D18" s="4">
        <v>54.285714285714285</v>
      </c>
      <c r="E18" s="4">
        <v>51.428571428571423</v>
      </c>
      <c r="F18" s="4">
        <v>57.142857142857146</v>
      </c>
      <c r="G18" s="4">
        <v>4.0406101782088335</v>
      </c>
      <c r="H18" s="4">
        <v>3</v>
      </c>
      <c r="I18" s="4">
        <v>53.431428571428569</v>
      </c>
      <c r="J18" s="4">
        <v>50.580000000000005</v>
      </c>
      <c r="K18" s="4">
        <v>57.714285714285715</v>
      </c>
      <c r="L18" s="4">
        <v>3.7764068874516132</v>
      </c>
      <c r="M18" s="4">
        <v>3</v>
      </c>
      <c r="N18" s="4">
        <v>307.90761904761911</v>
      </c>
      <c r="O18" s="4">
        <v>50.580000000000005</v>
      </c>
      <c r="P18" s="4">
        <v>442.28571428571433</v>
      </c>
      <c r="Q18" s="4">
        <v>222.92550483235854</v>
      </c>
    </row>
    <row r="19" spans="1:17" x14ac:dyDescent="0.2">
      <c r="B19" t="s">
        <v>2338</v>
      </c>
      <c r="C19" s="4">
        <v>0</v>
      </c>
      <c r="D19" s="4"/>
      <c r="E19" s="4">
        <v>0</v>
      </c>
      <c r="F19" s="4">
        <v>0</v>
      </c>
      <c r="G19" s="4"/>
      <c r="H19" s="4">
        <v>24</v>
      </c>
      <c r="I19" s="4">
        <v>0.1330633338122082</v>
      </c>
      <c r="J19" s="4">
        <v>6.2488517667000911E-3</v>
      </c>
      <c r="K19" s="4">
        <v>0.16778808044395427</v>
      </c>
      <c r="L19" s="4">
        <v>6.1505960514037068E-2</v>
      </c>
      <c r="M19" s="4">
        <v>24</v>
      </c>
      <c r="N19" s="4">
        <v>4.2306243846397855</v>
      </c>
      <c r="O19" s="4">
        <v>1.0447093493117277</v>
      </c>
      <c r="P19" s="4">
        <v>20.267817916308267</v>
      </c>
      <c r="Q19" s="4">
        <v>3.9991560647242537</v>
      </c>
    </row>
    <row r="20" spans="1:17" x14ac:dyDescent="0.2">
      <c r="B20" t="s">
        <v>2339</v>
      </c>
      <c r="C20" s="4">
        <v>0</v>
      </c>
      <c r="D20" s="4"/>
      <c r="E20" s="4">
        <v>0</v>
      </c>
      <c r="F20" s="4">
        <v>0</v>
      </c>
      <c r="G20" s="4"/>
      <c r="H20" s="4">
        <v>12</v>
      </c>
      <c r="I20" s="4">
        <v>7.2234348031658029E-3</v>
      </c>
      <c r="J20" s="4">
        <v>4.1807661240187933E-3</v>
      </c>
      <c r="K20" s="4">
        <v>1.1148709664050117E-2</v>
      </c>
      <c r="L20" s="4">
        <v>2.0428260692884307E-3</v>
      </c>
      <c r="M20" s="4">
        <v>12</v>
      </c>
      <c r="N20" s="4">
        <v>0.49312620704877702</v>
      </c>
      <c r="O20" s="4">
        <v>2.0322202436920473E-2</v>
      </c>
      <c r="P20" s="4">
        <v>1.1492312895896142</v>
      </c>
      <c r="Q20" s="4">
        <v>0.28493780060632629</v>
      </c>
    </row>
    <row r="21" spans="1:17" x14ac:dyDescent="0.2">
      <c r="A21" t="s">
        <v>2830</v>
      </c>
      <c r="B21"/>
      <c r="C21" s="4">
        <v>18</v>
      </c>
      <c r="D21" s="4">
        <v>21.228321695915291</v>
      </c>
      <c r="E21" s="4">
        <v>0.89312977099236635</v>
      </c>
      <c r="F21" s="4">
        <v>115</v>
      </c>
      <c r="G21" s="4">
        <v>33.109232024866074</v>
      </c>
      <c r="H21" s="4">
        <v>56</v>
      </c>
      <c r="I21" s="4">
        <v>13.828398726326316</v>
      </c>
      <c r="J21" s="4">
        <v>4.1807661240187933E-3</v>
      </c>
      <c r="K21" s="4">
        <v>187.5</v>
      </c>
      <c r="L21" s="4">
        <v>37.444207176680102</v>
      </c>
      <c r="M21" s="4">
        <v>69</v>
      </c>
      <c r="N21" s="4">
        <v>44.145677177729326</v>
      </c>
      <c r="O21" s="4">
        <v>2.0322202436920473E-2</v>
      </c>
      <c r="P21" s="4">
        <v>627.5</v>
      </c>
      <c r="Q21" s="4">
        <v>120.42532768758643</v>
      </c>
    </row>
    <row r="22" spans="1:17" x14ac:dyDescent="0.2">
      <c r="A22" t="s">
        <v>259</v>
      </c>
      <c r="B22" t="s">
        <v>641</v>
      </c>
      <c r="C22" s="4">
        <v>0</v>
      </c>
      <c r="D22" s="4"/>
      <c r="E22" s="4">
        <v>0</v>
      </c>
      <c r="F22" s="4">
        <v>0</v>
      </c>
      <c r="G22" s="4"/>
      <c r="H22" s="4">
        <v>0</v>
      </c>
      <c r="I22" s="4"/>
      <c r="J22" s="4">
        <v>0</v>
      </c>
      <c r="K22" s="4">
        <v>0</v>
      </c>
      <c r="L22" s="4"/>
      <c r="M22" s="4"/>
      <c r="N22" s="4"/>
      <c r="O22" s="4"/>
      <c r="P22" s="4"/>
      <c r="Q22" s="4"/>
    </row>
    <row r="23" spans="1:17" x14ac:dyDescent="0.2">
      <c r="B23" t="s">
        <v>260</v>
      </c>
      <c r="C23" s="4">
        <v>2</v>
      </c>
      <c r="D23" s="4">
        <v>2.625</v>
      </c>
      <c r="E23" s="4">
        <v>1.61</v>
      </c>
      <c r="F23" s="4">
        <v>3.64</v>
      </c>
      <c r="G23" s="4">
        <v>1.4354267658086919</v>
      </c>
      <c r="H23" s="4">
        <v>2</v>
      </c>
      <c r="I23" s="4">
        <v>13.195</v>
      </c>
      <c r="J23" s="4">
        <v>12.18</v>
      </c>
      <c r="K23" s="4">
        <v>14.21</v>
      </c>
      <c r="L23" s="4">
        <v>1.4354267658087123</v>
      </c>
      <c r="M23" s="4">
        <v>4</v>
      </c>
      <c r="N23" s="4">
        <v>3120.25</v>
      </c>
      <c r="O23" s="4">
        <v>13.3</v>
      </c>
      <c r="P23" s="4">
        <v>7200</v>
      </c>
      <c r="Q23" s="4">
        <v>3673.521312038356</v>
      </c>
    </row>
    <row r="24" spans="1:17" x14ac:dyDescent="0.2">
      <c r="B24" t="s">
        <v>1271</v>
      </c>
      <c r="C24" s="4">
        <v>2</v>
      </c>
      <c r="D24" s="4">
        <v>3.7</v>
      </c>
      <c r="E24" s="4">
        <v>2.2000000000000002</v>
      </c>
      <c r="F24" s="4">
        <v>5.2</v>
      </c>
      <c r="G24" s="4">
        <v>2.1213203435596424</v>
      </c>
      <c r="H24" s="4">
        <v>0</v>
      </c>
      <c r="I24" s="4"/>
      <c r="J24" s="4">
        <v>0</v>
      </c>
      <c r="K24" s="4">
        <v>0</v>
      </c>
      <c r="L24" s="4"/>
      <c r="M24" s="4"/>
      <c r="N24" s="4"/>
      <c r="O24" s="4"/>
      <c r="P24" s="4"/>
      <c r="Q24" s="4"/>
    </row>
    <row r="25" spans="1:17" x14ac:dyDescent="0.2">
      <c r="B25" t="s">
        <v>1200</v>
      </c>
      <c r="C25" s="4">
        <v>0</v>
      </c>
      <c r="D25" s="4"/>
      <c r="E25" s="4">
        <v>0</v>
      </c>
      <c r="F25" s="4">
        <v>0</v>
      </c>
      <c r="G25" s="4"/>
      <c r="H25" s="4">
        <v>0</v>
      </c>
      <c r="I25" s="4"/>
      <c r="J25" s="4">
        <v>0</v>
      </c>
      <c r="K25" s="4">
        <v>0</v>
      </c>
      <c r="L25" s="4"/>
      <c r="M25" s="4">
        <v>2</v>
      </c>
      <c r="N25" s="4">
        <v>54.94</v>
      </c>
      <c r="O25" s="4">
        <v>32.39</v>
      </c>
      <c r="P25" s="4">
        <v>77.489999999999995</v>
      </c>
      <c r="Q25" s="4">
        <v>31.890515831513294</v>
      </c>
    </row>
    <row r="26" spans="1:17" x14ac:dyDescent="0.2">
      <c r="B26" t="s">
        <v>2430</v>
      </c>
      <c r="C26" s="4">
        <v>2</v>
      </c>
      <c r="D26" s="4">
        <v>1.85</v>
      </c>
      <c r="E26" s="4">
        <v>1.3</v>
      </c>
      <c r="F26" s="4">
        <v>2.4</v>
      </c>
      <c r="G26" s="4">
        <v>0.77781745930520196</v>
      </c>
      <c r="H26" s="4">
        <v>0</v>
      </c>
      <c r="I26" s="4"/>
      <c r="J26" s="4">
        <v>0</v>
      </c>
      <c r="K26" s="4">
        <v>0</v>
      </c>
      <c r="L26" s="4"/>
      <c r="M26" s="4"/>
      <c r="N26" s="4"/>
      <c r="O26" s="4"/>
      <c r="P26" s="4"/>
      <c r="Q26" s="4"/>
    </row>
    <row r="27" spans="1:17" x14ac:dyDescent="0.2">
      <c r="B27" t="s">
        <v>1934</v>
      </c>
      <c r="C27" s="4">
        <v>0</v>
      </c>
      <c r="D27" s="4"/>
      <c r="E27" s="4">
        <v>0</v>
      </c>
      <c r="F27" s="4">
        <v>0</v>
      </c>
      <c r="G27" s="4"/>
      <c r="H27" s="4">
        <v>1</v>
      </c>
      <c r="I27" s="4">
        <v>5.8</v>
      </c>
      <c r="J27" s="4">
        <v>5.8</v>
      </c>
      <c r="K27" s="4">
        <v>5.8</v>
      </c>
      <c r="L27" s="4"/>
      <c r="M27" s="4">
        <v>1</v>
      </c>
      <c r="N27" s="4">
        <v>5.8</v>
      </c>
      <c r="O27" s="4">
        <v>5.8</v>
      </c>
      <c r="P27" s="4">
        <v>5.8</v>
      </c>
      <c r="Q27" s="4"/>
    </row>
    <row r="28" spans="1:17" x14ac:dyDescent="0.2">
      <c r="B28" t="s">
        <v>1936</v>
      </c>
      <c r="C28" s="4">
        <v>0</v>
      </c>
      <c r="D28" s="4"/>
      <c r="E28" s="4">
        <v>0</v>
      </c>
      <c r="F28" s="4">
        <v>0</v>
      </c>
      <c r="G28" s="4"/>
      <c r="H28" s="4">
        <v>0</v>
      </c>
      <c r="I28" s="4"/>
      <c r="J28" s="4">
        <v>0</v>
      </c>
      <c r="K28" s="4">
        <v>0</v>
      </c>
      <c r="L28" s="4"/>
      <c r="M28" s="4">
        <v>1</v>
      </c>
      <c r="N28" s="4">
        <v>4.2</v>
      </c>
      <c r="O28" s="4">
        <v>4.2</v>
      </c>
      <c r="P28" s="4">
        <v>4.2</v>
      </c>
      <c r="Q28" s="4"/>
    </row>
    <row r="29" spans="1:17" x14ac:dyDescent="0.2">
      <c r="B29" t="s">
        <v>3053</v>
      </c>
      <c r="C29" s="4">
        <v>0</v>
      </c>
      <c r="D29" s="4"/>
      <c r="E29" s="4">
        <v>0</v>
      </c>
      <c r="F29" s="4">
        <v>0</v>
      </c>
      <c r="G29" s="4"/>
      <c r="H29" s="4">
        <v>1</v>
      </c>
      <c r="I29" s="4">
        <v>8.8000000000000007</v>
      </c>
      <c r="J29" s="4">
        <v>8.8000000000000007</v>
      </c>
      <c r="K29" s="4">
        <v>8.8000000000000007</v>
      </c>
      <c r="L29" s="4"/>
      <c r="M29" s="4">
        <v>1</v>
      </c>
      <c r="N29" s="4">
        <v>8.8000000000000007</v>
      </c>
      <c r="O29" s="4">
        <v>8.8000000000000007</v>
      </c>
      <c r="P29" s="4">
        <v>8.8000000000000007</v>
      </c>
      <c r="Q29" s="4"/>
    </row>
    <row r="30" spans="1:17" x14ac:dyDescent="0.2">
      <c r="B30" t="s">
        <v>2083</v>
      </c>
      <c r="C30" s="4">
        <v>0</v>
      </c>
      <c r="D30" s="4"/>
      <c r="E30" s="4">
        <v>0</v>
      </c>
      <c r="F30" s="4">
        <v>0</v>
      </c>
      <c r="G30" s="4"/>
      <c r="H30" s="4">
        <v>0</v>
      </c>
      <c r="I30" s="4"/>
      <c r="J30" s="4">
        <v>0</v>
      </c>
      <c r="K30" s="4">
        <v>0</v>
      </c>
      <c r="L30" s="4"/>
      <c r="M30" s="4"/>
      <c r="N30" s="4"/>
      <c r="O30" s="4"/>
      <c r="P30" s="4"/>
      <c r="Q30" s="4"/>
    </row>
    <row r="31" spans="1:17" x14ac:dyDescent="0.2">
      <c r="B31" t="s">
        <v>2093</v>
      </c>
      <c r="C31" s="4">
        <v>0</v>
      </c>
      <c r="D31" s="4"/>
      <c r="E31" s="4">
        <v>0</v>
      </c>
      <c r="F31" s="4">
        <v>0</v>
      </c>
      <c r="G31" s="4"/>
      <c r="H31" s="4">
        <v>2</v>
      </c>
      <c r="I31" s="4">
        <v>4.6857999999999995</v>
      </c>
      <c r="J31" s="4">
        <v>4.5222999999999995</v>
      </c>
      <c r="K31" s="4">
        <v>4.8492999999999995</v>
      </c>
      <c r="L31" s="4">
        <v>0.23122391744800974</v>
      </c>
      <c r="M31" s="4">
        <v>2</v>
      </c>
      <c r="N31" s="4">
        <v>4.6857999999999995</v>
      </c>
      <c r="O31" s="4">
        <v>4.5222999999999995</v>
      </c>
      <c r="P31" s="4">
        <v>4.8492999999999995</v>
      </c>
      <c r="Q31" s="4">
        <v>0.23122391744800974</v>
      </c>
    </row>
    <row r="32" spans="1:17" x14ac:dyDescent="0.2">
      <c r="B32" t="s">
        <v>2094</v>
      </c>
      <c r="C32" s="4">
        <v>3</v>
      </c>
      <c r="D32" s="4">
        <v>2.7705333333333328</v>
      </c>
      <c r="E32" s="4">
        <v>2.5423</v>
      </c>
      <c r="F32" s="4">
        <v>2.9</v>
      </c>
      <c r="G32" s="4">
        <v>0.19825101092638764</v>
      </c>
      <c r="H32" s="4">
        <v>0</v>
      </c>
      <c r="I32" s="4"/>
      <c r="J32" s="4">
        <v>0</v>
      </c>
      <c r="K32" s="4">
        <v>0</v>
      </c>
      <c r="L32" s="4"/>
      <c r="M32" s="4"/>
      <c r="N32" s="4"/>
      <c r="O32" s="4"/>
      <c r="P32" s="4"/>
      <c r="Q32" s="4"/>
    </row>
    <row r="33" spans="1:17" x14ac:dyDescent="0.2">
      <c r="B33" t="s">
        <v>3579</v>
      </c>
      <c r="C33" s="4">
        <v>0</v>
      </c>
      <c r="D33" s="4"/>
      <c r="E33" s="4">
        <v>0</v>
      </c>
      <c r="F33" s="4">
        <v>0</v>
      </c>
      <c r="G33" s="4"/>
      <c r="H33" s="4">
        <v>0</v>
      </c>
      <c r="I33" s="4"/>
      <c r="J33" s="4">
        <v>0</v>
      </c>
      <c r="K33" s="4">
        <v>0</v>
      </c>
      <c r="L33" s="4"/>
      <c r="M33" s="4"/>
      <c r="N33" s="4"/>
      <c r="O33" s="4"/>
      <c r="P33" s="4"/>
      <c r="Q33" s="4"/>
    </row>
    <row r="34" spans="1:17" x14ac:dyDescent="0.2">
      <c r="B34" t="s">
        <v>513</v>
      </c>
      <c r="C34" s="4">
        <v>1</v>
      </c>
      <c r="D34" s="4">
        <v>4.9000000000000004</v>
      </c>
      <c r="E34" s="4">
        <v>4.9000000000000004</v>
      </c>
      <c r="F34" s="4">
        <v>4.9000000000000004</v>
      </c>
      <c r="G34" s="4"/>
      <c r="H34" s="4">
        <v>0</v>
      </c>
      <c r="I34" s="4"/>
      <c r="J34" s="4">
        <v>0</v>
      </c>
      <c r="K34" s="4">
        <v>0</v>
      </c>
      <c r="L34" s="4"/>
      <c r="M34" s="4"/>
      <c r="N34" s="4"/>
      <c r="O34" s="4"/>
      <c r="P34" s="4"/>
      <c r="Q34" s="4"/>
    </row>
    <row r="35" spans="1:17" x14ac:dyDescent="0.2">
      <c r="B35" t="s">
        <v>2235</v>
      </c>
      <c r="C35" s="4">
        <v>0</v>
      </c>
      <c r="D35" s="4"/>
      <c r="E35" s="4">
        <v>0</v>
      </c>
      <c r="F35" s="4">
        <v>0</v>
      </c>
      <c r="G35" s="4"/>
      <c r="H35" s="4">
        <v>1</v>
      </c>
      <c r="I35" s="4">
        <v>5.3975</v>
      </c>
      <c r="J35" s="4">
        <v>5.3975</v>
      </c>
      <c r="K35" s="4">
        <v>5.3975</v>
      </c>
      <c r="L35" s="4"/>
      <c r="M35" s="4">
        <v>1</v>
      </c>
      <c r="N35" s="4">
        <v>5.3975</v>
      </c>
      <c r="O35" s="4">
        <v>5.3975</v>
      </c>
      <c r="P35" s="4">
        <v>5.3975</v>
      </c>
      <c r="Q35" s="4"/>
    </row>
    <row r="36" spans="1:17" x14ac:dyDescent="0.2">
      <c r="B36" t="s">
        <v>2236</v>
      </c>
      <c r="C36" s="4">
        <v>6</v>
      </c>
      <c r="D36" s="4">
        <v>6.6866666666666665</v>
      </c>
      <c r="E36" s="4">
        <v>4.5999999999999996</v>
      </c>
      <c r="F36" s="4">
        <v>9.5299999999999994</v>
      </c>
      <c r="G36" s="4">
        <v>1.7820175831530605</v>
      </c>
      <c r="H36" s="4">
        <v>1</v>
      </c>
      <c r="I36" s="4">
        <v>0.13930000000000001</v>
      </c>
      <c r="J36" s="4">
        <v>0.13930000000000001</v>
      </c>
      <c r="K36" s="4">
        <v>0.13930000000000001</v>
      </c>
      <c r="L36" s="4"/>
      <c r="M36" s="4"/>
      <c r="N36" s="4"/>
      <c r="O36" s="4"/>
      <c r="P36" s="4"/>
      <c r="Q36" s="4"/>
    </row>
    <row r="37" spans="1:17" x14ac:dyDescent="0.2">
      <c r="B37" t="s">
        <v>2239</v>
      </c>
      <c r="C37" s="4">
        <v>4</v>
      </c>
      <c r="D37" s="4">
        <v>5.5272600000000001</v>
      </c>
      <c r="E37" s="4">
        <v>1.456</v>
      </c>
      <c r="F37" s="4">
        <v>7.4</v>
      </c>
      <c r="G37" s="4">
        <v>2.738641074888541</v>
      </c>
      <c r="H37" s="4">
        <v>3</v>
      </c>
      <c r="I37" s="4">
        <v>5.8391599999999997</v>
      </c>
      <c r="J37" s="4">
        <v>1.8596999999999999</v>
      </c>
      <c r="K37" s="4">
        <v>7.9077800000000007</v>
      </c>
      <c r="L37" s="4">
        <v>3.4472162756055815</v>
      </c>
      <c r="M37" s="4">
        <v>3</v>
      </c>
      <c r="N37" s="4">
        <v>8.0665666666666667</v>
      </c>
      <c r="O37" s="4">
        <v>1.8596999999999999</v>
      </c>
      <c r="P37" s="4">
        <v>14.59</v>
      </c>
      <c r="Q37" s="4">
        <v>6.3710513546300467</v>
      </c>
    </row>
    <row r="38" spans="1:17" x14ac:dyDescent="0.2">
      <c r="B38" t="s">
        <v>2242</v>
      </c>
      <c r="C38" s="4">
        <v>0</v>
      </c>
      <c r="D38" s="4"/>
      <c r="E38" s="4">
        <v>0</v>
      </c>
      <c r="F38" s="4">
        <v>0</v>
      </c>
      <c r="G38" s="4"/>
      <c r="H38" s="4">
        <v>3</v>
      </c>
      <c r="I38" s="4">
        <v>3.9486279999999998</v>
      </c>
      <c r="J38" s="4">
        <v>3.5523142999999999</v>
      </c>
      <c r="K38" s="4">
        <v>4.3230949000000001</v>
      </c>
      <c r="L38" s="4">
        <v>0.38585443542451386</v>
      </c>
      <c r="M38" s="4">
        <v>3</v>
      </c>
      <c r="N38" s="4">
        <v>3.9486279999999998</v>
      </c>
      <c r="O38" s="4">
        <v>3.5523142999999999</v>
      </c>
      <c r="P38" s="4">
        <v>4.3230949000000001</v>
      </c>
      <c r="Q38" s="4">
        <v>0.38585443542451386</v>
      </c>
    </row>
    <row r="39" spans="1:17" x14ac:dyDescent="0.2">
      <c r="B39" t="s">
        <v>2243</v>
      </c>
      <c r="C39" s="4">
        <v>20</v>
      </c>
      <c r="D39" s="4">
        <v>2.6956580300000001</v>
      </c>
      <c r="E39" s="4">
        <v>1.3583780000000001</v>
      </c>
      <c r="F39" s="4">
        <v>7.5897613000000002</v>
      </c>
      <c r="G39" s="4">
        <v>1.3247895032637358</v>
      </c>
      <c r="H39" s="4">
        <v>0</v>
      </c>
      <c r="I39" s="4"/>
      <c r="J39" s="4">
        <v>0</v>
      </c>
      <c r="K39" s="4">
        <v>0</v>
      </c>
      <c r="L39" s="4"/>
      <c r="M39" s="4"/>
      <c r="N39" s="4"/>
      <c r="O39" s="4"/>
      <c r="P39" s="4"/>
      <c r="Q39" s="4"/>
    </row>
    <row r="40" spans="1:17" x14ac:dyDescent="0.2">
      <c r="B40" t="s">
        <v>2348</v>
      </c>
      <c r="C40" s="4">
        <v>0</v>
      </c>
      <c r="D40" s="4"/>
      <c r="E40" s="4">
        <v>0</v>
      </c>
      <c r="F40" s="4">
        <v>0</v>
      </c>
      <c r="G40" s="4"/>
      <c r="H40" s="4">
        <v>3</v>
      </c>
      <c r="I40" s="4">
        <v>2.3743276000000004</v>
      </c>
      <c r="J40" s="4">
        <v>2.2685884999999999</v>
      </c>
      <c r="K40" s="4">
        <v>2.5439123000000001</v>
      </c>
      <c r="L40" s="4">
        <v>0.14835091570707604</v>
      </c>
      <c r="M40" s="4">
        <v>5</v>
      </c>
      <c r="N40" s="4">
        <v>1.4263876047761195</v>
      </c>
      <c r="O40" s="4">
        <v>4.0298507462686569E-3</v>
      </c>
      <c r="P40" s="4">
        <v>2.5439123000000001</v>
      </c>
      <c r="Q40" s="4">
        <v>1.302252197968035</v>
      </c>
    </row>
    <row r="41" spans="1:17" x14ac:dyDescent="0.2">
      <c r="B41" t="s">
        <v>2351</v>
      </c>
      <c r="C41" s="4">
        <v>8</v>
      </c>
      <c r="D41" s="4">
        <v>2.2353750000000003</v>
      </c>
      <c r="E41" s="4">
        <v>0.8</v>
      </c>
      <c r="F41" s="4">
        <v>3.8849999999999998</v>
      </c>
      <c r="G41" s="4">
        <v>1.0285647333611454</v>
      </c>
      <c r="H41" s="4">
        <v>0</v>
      </c>
      <c r="I41" s="4"/>
      <c r="J41" s="4">
        <v>0</v>
      </c>
      <c r="K41" s="4">
        <v>0</v>
      </c>
      <c r="L41" s="4"/>
      <c r="M41" s="4"/>
      <c r="N41" s="4"/>
      <c r="O41" s="4"/>
      <c r="P41" s="4"/>
      <c r="Q41" s="4"/>
    </row>
    <row r="42" spans="1:17" x14ac:dyDescent="0.2">
      <c r="A42" t="s">
        <v>2831</v>
      </c>
      <c r="B42"/>
      <c r="C42" s="4">
        <v>48</v>
      </c>
      <c r="D42" s="4">
        <v>3.4080583458333336</v>
      </c>
      <c r="E42" s="4">
        <v>0.8</v>
      </c>
      <c r="F42" s="4">
        <v>9.5299999999999994</v>
      </c>
      <c r="G42" s="4">
        <v>2.0612067246085664</v>
      </c>
      <c r="H42" s="4">
        <v>17</v>
      </c>
      <c r="I42" s="4">
        <v>5.4343968705882357</v>
      </c>
      <c r="J42" s="4">
        <v>0.13930000000000001</v>
      </c>
      <c r="K42" s="4">
        <v>14.21</v>
      </c>
      <c r="L42" s="4">
        <v>3.7291375965242168</v>
      </c>
      <c r="M42" s="4">
        <v>23</v>
      </c>
      <c r="N42" s="4">
        <v>550.7663748706035</v>
      </c>
      <c r="O42" s="4">
        <v>4.0298507462686569E-3</v>
      </c>
      <c r="P42" s="4">
        <v>7200</v>
      </c>
      <c r="Q42" s="4">
        <v>1814.8229314764287</v>
      </c>
    </row>
    <row r="43" spans="1:17" x14ac:dyDescent="0.2">
      <c r="A43" t="s">
        <v>11</v>
      </c>
      <c r="B43" t="s">
        <v>143</v>
      </c>
      <c r="C43" s="4">
        <v>0</v>
      </c>
      <c r="D43" s="4"/>
      <c r="E43" s="4">
        <v>0</v>
      </c>
      <c r="F43" s="4">
        <v>0</v>
      </c>
      <c r="G43" s="4"/>
      <c r="H43" s="4">
        <v>0</v>
      </c>
      <c r="I43" s="4"/>
      <c r="J43" s="4">
        <v>0</v>
      </c>
      <c r="K43" s="4">
        <v>0</v>
      </c>
      <c r="L43" s="4"/>
      <c r="M43" s="4">
        <v>3</v>
      </c>
      <c r="N43" s="4">
        <v>34.666666666666664</v>
      </c>
      <c r="O43" s="4">
        <v>30</v>
      </c>
      <c r="P43" s="4">
        <v>42</v>
      </c>
      <c r="Q43" s="4">
        <v>6.4291005073286307</v>
      </c>
    </row>
    <row r="44" spans="1:17" x14ac:dyDescent="0.2">
      <c r="B44" t="s">
        <v>443</v>
      </c>
      <c r="C44" s="4">
        <v>0</v>
      </c>
      <c r="D44" s="4"/>
      <c r="E44" s="4">
        <v>0</v>
      </c>
      <c r="F44" s="4">
        <v>0</v>
      </c>
      <c r="G44" s="4"/>
      <c r="H44" s="4">
        <v>0</v>
      </c>
      <c r="I44" s="4"/>
      <c r="J44" s="4">
        <v>0</v>
      </c>
      <c r="K44" s="4">
        <v>0</v>
      </c>
      <c r="L44" s="4"/>
      <c r="M44" s="4"/>
      <c r="N44" s="4"/>
      <c r="O44" s="4"/>
      <c r="P44" s="4"/>
      <c r="Q44" s="4"/>
    </row>
    <row r="45" spans="1:17" x14ac:dyDescent="0.2">
      <c r="B45" t="s">
        <v>426</v>
      </c>
      <c r="C45" s="4">
        <v>4</v>
      </c>
      <c r="D45" s="4">
        <v>29.651750000000003</v>
      </c>
      <c r="E45" s="4">
        <v>17.55</v>
      </c>
      <c r="F45" s="4">
        <v>45.29</v>
      </c>
      <c r="G45" s="4">
        <v>12.03501802726803</v>
      </c>
      <c r="H45" s="4">
        <v>4</v>
      </c>
      <c r="I45" s="4">
        <v>43.141750000000002</v>
      </c>
      <c r="J45" s="4">
        <v>29.19</v>
      </c>
      <c r="K45" s="4">
        <v>67.600999999999999</v>
      </c>
      <c r="L45" s="4">
        <v>17.261180577140905</v>
      </c>
      <c r="M45" s="4">
        <v>6</v>
      </c>
      <c r="N45" s="4">
        <v>50.35</v>
      </c>
      <c r="O45" s="4">
        <v>40</v>
      </c>
      <c r="P45" s="4">
        <v>71.98</v>
      </c>
      <c r="Q45" s="4">
        <v>11.089219990603482</v>
      </c>
    </row>
    <row r="46" spans="1:17" x14ac:dyDescent="0.2">
      <c r="B46" t="s">
        <v>436</v>
      </c>
      <c r="C46" s="4">
        <v>0</v>
      </c>
      <c r="D46" s="4"/>
      <c r="E46" s="4">
        <v>0</v>
      </c>
      <c r="F46" s="4">
        <v>0</v>
      </c>
      <c r="G46" s="4"/>
      <c r="H46" s="4">
        <v>0</v>
      </c>
      <c r="I46" s="4"/>
      <c r="J46" s="4">
        <v>0</v>
      </c>
      <c r="K46" s="4">
        <v>0</v>
      </c>
      <c r="L46" s="4"/>
      <c r="M46" s="4"/>
      <c r="N46" s="4"/>
      <c r="O46" s="4"/>
      <c r="P46" s="4"/>
      <c r="Q46" s="4"/>
    </row>
    <row r="47" spans="1:17" x14ac:dyDescent="0.2">
      <c r="B47" t="s">
        <v>187</v>
      </c>
      <c r="C47" s="4">
        <v>0</v>
      </c>
      <c r="D47" s="4"/>
      <c r="E47" s="4">
        <v>0</v>
      </c>
      <c r="F47" s="4">
        <v>0</v>
      </c>
      <c r="G47" s="4"/>
      <c r="H47" s="4">
        <v>0</v>
      </c>
      <c r="I47" s="4"/>
      <c r="J47" s="4">
        <v>0</v>
      </c>
      <c r="K47" s="4">
        <v>0</v>
      </c>
      <c r="L47" s="4"/>
      <c r="M47" s="4"/>
      <c r="N47" s="4"/>
      <c r="O47" s="4"/>
      <c r="P47" s="4"/>
      <c r="Q47" s="4"/>
    </row>
    <row r="48" spans="1:17" x14ac:dyDescent="0.2">
      <c r="B48" t="s">
        <v>194</v>
      </c>
      <c r="C48" s="4">
        <v>0</v>
      </c>
      <c r="D48" s="4"/>
      <c r="E48" s="4">
        <v>0</v>
      </c>
      <c r="F48" s="4">
        <v>0</v>
      </c>
      <c r="G48" s="4"/>
      <c r="H48" s="4">
        <v>0</v>
      </c>
      <c r="I48" s="4"/>
      <c r="J48" s="4">
        <v>0</v>
      </c>
      <c r="K48" s="4">
        <v>0</v>
      </c>
      <c r="L48" s="4"/>
      <c r="M48" s="4"/>
      <c r="N48" s="4"/>
      <c r="O48" s="4"/>
      <c r="P48" s="4"/>
      <c r="Q48" s="4"/>
    </row>
    <row r="49" spans="1:17" x14ac:dyDescent="0.2">
      <c r="B49" t="s">
        <v>193</v>
      </c>
      <c r="C49" s="4">
        <v>0</v>
      </c>
      <c r="D49" s="4"/>
      <c r="E49" s="4">
        <v>0</v>
      </c>
      <c r="F49" s="4">
        <v>0</v>
      </c>
      <c r="G49" s="4"/>
      <c r="H49" s="4">
        <v>0</v>
      </c>
      <c r="I49" s="4"/>
      <c r="J49" s="4">
        <v>0</v>
      </c>
      <c r="K49" s="4">
        <v>0</v>
      </c>
      <c r="L49" s="4"/>
      <c r="M49" s="4"/>
      <c r="N49" s="4"/>
      <c r="O49" s="4"/>
      <c r="P49" s="4"/>
      <c r="Q49" s="4"/>
    </row>
    <row r="50" spans="1:17" x14ac:dyDescent="0.2">
      <c r="B50" t="s">
        <v>344</v>
      </c>
      <c r="C50" s="4">
        <v>0</v>
      </c>
      <c r="D50" s="4"/>
      <c r="E50" s="4">
        <v>0</v>
      </c>
      <c r="F50" s="4">
        <v>0</v>
      </c>
      <c r="G50" s="4"/>
      <c r="H50" s="4">
        <v>0</v>
      </c>
      <c r="I50" s="4"/>
      <c r="J50" s="4">
        <v>0</v>
      </c>
      <c r="K50" s="4">
        <v>0</v>
      </c>
      <c r="L50" s="4"/>
      <c r="M50" s="4"/>
      <c r="N50" s="4"/>
      <c r="O50" s="4"/>
      <c r="P50" s="4"/>
      <c r="Q50" s="4"/>
    </row>
    <row r="51" spans="1:17" x14ac:dyDescent="0.2">
      <c r="B51" t="s">
        <v>191</v>
      </c>
      <c r="C51" s="4">
        <v>0</v>
      </c>
      <c r="D51" s="4"/>
      <c r="E51" s="4">
        <v>0</v>
      </c>
      <c r="F51" s="4">
        <v>0</v>
      </c>
      <c r="G51" s="4"/>
      <c r="H51" s="4">
        <v>0</v>
      </c>
      <c r="I51" s="4"/>
      <c r="J51" s="4">
        <v>0</v>
      </c>
      <c r="K51" s="4">
        <v>0</v>
      </c>
      <c r="L51" s="4"/>
      <c r="M51" s="4"/>
      <c r="N51" s="4"/>
      <c r="O51" s="4"/>
      <c r="P51" s="4"/>
      <c r="Q51" s="4"/>
    </row>
    <row r="52" spans="1:17" x14ac:dyDescent="0.2">
      <c r="B52" t="s">
        <v>195</v>
      </c>
      <c r="C52" s="4">
        <v>0</v>
      </c>
      <c r="D52" s="4"/>
      <c r="E52" s="4">
        <v>0</v>
      </c>
      <c r="F52" s="4">
        <v>0</v>
      </c>
      <c r="G52" s="4"/>
      <c r="H52" s="4">
        <v>0</v>
      </c>
      <c r="I52" s="4"/>
      <c r="J52" s="4">
        <v>0</v>
      </c>
      <c r="K52" s="4">
        <v>0</v>
      </c>
      <c r="L52" s="4"/>
      <c r="M52" s="4"/>
      <c r="N52" s="4"/>
      <c r="O52" s="4"/>
      <c r="P52" s="4"/>
      <c r="Q52" s="4"/>
    </row>
    <row r="53" spans="1:17" x14ac:dyDescent="0.2">
      <c r="B53" t="s">
        <v>12</v>
      </c>
      <c r="C53" s="4">
        <v>41</v>
      </c>
      <c r="D53" s="4">
        <v>3.5895304878048782</v>
      </c>
      <c r="E53" s="4">
        <v>0.55000000000000004</v>
      </c>
      <c r="F53" s="4">
        <v>6.91</v>
      </c>
      <c r="G53" s="4">
        <v>1.4165480069908509</v>
      </c>
      <c r="H53" s="4">
        <v>4</v>
      </c>
      <c r="I53" s="4">
        <v>7.1286207824999996</v>
      </c>
      <c r="J53" s="4">
        <v>3.2395500000000004</v>
      </c>
      <c r="K53" s="4">
        <v>10.56295793</v>
      </c>
      <c r="L53" s="4">
        <v>3.4350520731026917</v>
      </c>
      <c r="M53" s="4">
        <v>6</v>
      </c>
      <c r="N53" s="4">
        <v>8.9931855333333335</v>
      </c>
      <c r="O53" s="4">
        <v>4.5640000000000001</v>
      </c>
      <c r="P53" s="4">
        <v>18.921113199999997</v>
      </c>
      <c r="Q53" s="4">
        <v>5.5209220336005158</v>
      </c>
    </row>
    <row r="54" spans="1:17" x14ac:dyDescent="0.2">
      <c r="B54" t="s">
        <v>142</v>
      </c>
      <c r="C54" s="4">
        <v>0</v>
      </c>
      <c r="D54" s="4"/>
      <c r="E54" s="4">
        <v>0</v>
      </c>
      <c r="F54" s="4">
        <v>0</v>
      </c>
      <c r="G54" s="4"/>
      <c r="H54" s="4">
        <v>0</v>
      </c>
      <c r="I54" s="4"/>
      <c r="J54" s="4">
        <v>0</v>
      </c>
      <c r="K54" s="4">
        <v>0</v>
      </c>
      <c r="L54" s="4"/>
      <c r="M54" s="4"/>
      <c r="N54" s="4"/>
      <c r="O54" s="4"/>
      <c r="P54" s="4"/>
      <c r="Q54" s="4"/>
    </row>
    <row r="55" spans="1:17" x14ac:dyDescent="0.2">
      <c r="B55" t="s">
        <v>425</v>
      </c>
      <c r="C55" s="4">
        <v>1</v>
      </c>
      <c r="D55" s="4">
        <v>9.56</v>
      </c>
      <c r="E55" s="4">
        <v>9.56</v>
      </c>
      <c r="F55" s="4">
        <v>9.56</v>
      </c>
      <c r="G55" s="4"/>
      <c r="H55" s="4">
        <v>0</v>
      </c>
      <c r="I55" s="4"/>
      <c r="J55" s="4">
        <v>0</v>
      </c>
      <c r="K55" s="4">
        <v>0</v>
      </c>
      <c r="L55" s="4"/>
      <c r="M55" s="4"/>
      <c r="N55" s="4"/>
      <c r="O55" s="4"/>
      <c r="P55" s="4"/>
      <c r="Q55" s="4"/>
    </row>
    <row r="56" spans="1:17" x14ac:dyDescent="0.2">
      <c r="B56" t="s">
        <v>347</v>
      </c>
      <c r="C56" s="4">
        <v>1</v>
      </c>
      <c r="D56" s="4">
        <v>6.55</v>
      </c>
      <c r="E56" s="4">
        <v>6.55</v>
      </c>
      <c r="F56" s="4">
        <v>6.55</v>
      </c>
      <c r="G56" s="4"/>
      <c r="H56" s="4">
        <v>0</v>
      </c>
      <c r="I56" s="4"/>
      <c r="J56" s="4">
        <v>0</v>
      </c>
      <c r="K56" s="4">
        <v>0</v>
      </c>
      <c r="L56" s="4"/>
      <c r="M56" s="4"/>
      <c r="N56" s="4"/>
      <c r="O56" s="4"/>
      <c r="P56" s="4"/>
      <c r="Q56" s="4"/>
    </row>
    <row r="57" spans="1:17" x14ac:dyDescent="0.2">
      <c r="B57" t="s">
        <v>254</v>
      </c>
      <c r="C57" s="4">
        <v>0</v>
      </c>
      <c r="D57" s="4"/>
      <c r="E57" s="4">
        <v>0</v>
      </c>
      <c r="F57" s="4">
        <v>0</v>
      </c>
      <c r="G57" s="4"/>
      <c r="H57" s="4">
        <v>0</v>
      </c>
      <c r="I57" s="4"/>
      <c r="J57" s="4">
        <v>0</v>
      </c>
      <c r="K57" s="4">
        <v>0</v>
      </c>
      <c r="L57" s="4"/>
      <c r="M57" s="4">
        <v>3</v>
      </c>
      <c r="N57" s="4">
        <v>22.066666666666666</v>
      </c>
      <c r="O57" s="4">
        <v>18.2</v>
      </c>
      <c r="P57" s="4">
        <v>26</v>
      </c>
      <c r="Q57" s="4">
        <v>3.9004273270160095</v>
      </c>
    </row>
    <row r="58" spans="1:17" x14ac:dyDescent="0.2">
      <c r="B58" t="s">
        <v>188</v>
      </c>
      <c r="C58" s="4">
        <v>0</v>
      </c>
      <c r="D58" s="4"/>
      <c r="E58" s="4">
        <v>0</v>
      </c>
      <c r="F58" s="4">
        <v>0</v>
      </c>
      <c r="G58" s="4"/>
      <c r="H58" s="4">
        <v>0</v>
      </c>
      <c r="I58" s="4"/>
      <c r="J58" s="4">
        <v>0</v>
      </c>
      <c r="K58" s="4">
        <v>0</v>
      </c>
      <c r="L58" s="4"/>
      <c r="M58" s="4"/>
      <c r="N58" s="4"/>
      <c r="O58" s="4"/>
      <c r="P58" s="4"/>
      <c r="Q58" s="4"/>
    </row>
    <row r="59" spans="1:17" x14ac:dyDescent="0.2">
      <c r="B59" t="s">
        <v>140</v>
      </c>
      <c r="C59" s="4">
        <v>1</v>
      </c>
      <c r="D59" s="4">
        <v>3.1236359999999999</v>
      </c>
      <c r="E59" s="4">
        <v>3.1236359999999999</v>
      </c>
      <c r="F59" s="4">
        <v>3.1236359999999999</v>
      </c>
      <c r="G59" s="4"/>
      <c r="H59" s="4">
        <v>1</v>
      </c>
      <c r="I59" s="4">
        <v>9.6909869999999998</v>
      </c>
      <c r="J59" s="4">
        <v>9.6909869999999998</v>
      </c>
      <c r="K59" s="4">
        <v>9.6909869999999998</v>
      </c>
      <c r="L59" s="4"/>
      <c r="M59" s="4">
        <v>2</v>
      </c>
      <c r="N59" s="4">
        <v>13.040002000000001</v>
      </c>
      <c r="O59" s="4">
        <v>8.9</v>
      </c>
      <c r="P59" s="4">
        <v>17.180004</v>
      </c>
      <c r="Q59" s="4">
        <v>5.8548469766517357</v>
      </c>
    </row>
    <row r="60" spans="1:17" x14ac:dyDescent="0.2">
      <c r="A60" t="s">
        <v>2832</v>
      </c>
      <c r="B60"/>
      <c r="C60" s="4">
        <v>48</v>
      </c>
      <c r="D60" s="4">
        <v>5.937737208333334</v>
      </c>
      <c r="E60" s="4">
        <v>0.55000000000000004</v>
      </c>
      <c r="F60" s="4">
        <v>45.29</v>
      </c>
      <c r="G60" s="4">
        <v>8.0049171108073747</v>
      </c>
      <c r="H60" s="4">
        <v>9</v>
      </c>
      <c r="I60" s="4">
        <v>23.419163347777783</v>
      </c>
      <c r="J60" s="4">
        <v>3.2395500000000004</v>
      </c>
      <c r="K60" s="4">
        <v>67.600999999999999</v>
      </c>
      <c r="L60" s="4">
        <v>21.607740060342472</v>
      </c>
      <c r="M60" s="4">
        <v>20</v>
      </c>
      <c r="N60" s="4">
        <v>27.616955860000001</v>
      </c>
      <c r="O60" s="4">
        <v>4.5640000000000001</v>
      </c>
      <c r="P60" s="4">
        <v>71.98</v>
      </c>
      <c r="Q60" s="4">
        <v>18.866475048982164</v>
      </c>
    </row>
    <row r="61" spans="1:17" x14ac:dyDescent="0.2">
      <c r="A61" t="s">
        <v>39</v>
      </c>
      <c r="B61" t="s">
        <v>40</v>
      </c>
      <c r="C61" s="4">
        <v>10</v>
      </c>
      <c r="D61" s="4">
        <v>20.177</v>
      </c>
      <c r="E61" s="4">
        <v>12</v>
      </c>
      <c r="F61" s="4">
        <v>26.41</v>
      </c>
      <c r="G61" s="4">
        <v>4.1586270437355752</v>
      </c>
      <c r="H61" s="4">
        <v>0</v>
      </c>
      <c r="I61" s="4"/>
      <c r="J61" s="4">
        <v>0</v>
      </c>
      <c r="K61" s="4">
        <v>0</v>
      </c>
      <c r="L61" s="4"/>
      <c r="M61" s="4"/>
      <c r="N61" s="4"/>
      <c r="O61" s="4"/>
      <c r="P61" s="4"/>
      <c r="Q61" s="4"/>
    </row>
    <row r="62" spans="1:17" x14ac:dyDescent="0.2">
      <c r="A62" t="s">
        <v>2833</v>
      </c>
      <c r="B62"/>
      <c r="C62" s="4">
        <v>10</v>
      </c>
      <c r="D62" s="4">
        <v>20.177</v>
      </c>
      <c r="E62" s="4">
        <v>12</v>
      </c>
      <c r="F62" s="4">
        <v>26.41</v>
      </c>
      <c r="G62" s="4">
        <v>4.1586270437355752</v>
      </c>
      <c r="H62" s="4">
        <v>0</v>
      </c>
      <c r="I62" s="4"/>
      <c r="J62" s="4">
        <v>0</v>
      </c>
      <c r="K62" s="4">
        <v>0</v>
      </c>
      <c r="L62" s="4"/>
      <c r="M62" s="4"/>
      <c r="N62" s="4"/>
      <c r="O62" s="4"/>
      <c r="P62" s="4"/>
      <c r="Q62" s="4"/>
    </row>
    <row r="63" spans="1:17" x14ac:dyDescent="0.2">
      <c r="A63" t="s">
        <v>975</v>
      </c>
      <c r="B63" t="s">
        <v>3625</v>
      </c>
      <c r="C63" s="4">
        <v>0</v>
      </c>
      <c r="D63" s="4"/>
      <c r="E63" s="4">
        <v>0</v>
      </c>
      <c r="F63" s="4">
        <v>0</v>
      </c>
      <c r="G63" s="4"/>
      <c r="H63" s="4">
        <v>0</v>
      </c>
      <c r="I63" s="4"/>
      <c r="J63" s="4">
        <v>0</v>
      </c>
      <c r="K63" s="4">
        <v>0</v>
      </c>
      <c r="L63" s="4"/>
      <c r="M63" s="4"/>
      <c r="N63" s="4"/>
      <c r="O63" s="4"/>
      <c r="P63" s="4"/>
      <c r="Q63" s="4"/>
    </row>
    <row r="64" spans="1:17" x14ac:dyDescent="0.2">
      <c r="B64" t="s">
        <v>3055</v>
      </c>
      <c r="C64" s="4">
        <v>2</v>
      </c>
      <c r="D64" s="4">
        <v>22.35</v>
      </c>
      <c r="E64" s="4">
        <v>22.35</v>
      </c>
      <c r="F64" s="4">
        <v>22.35</v>
      </c>
      <c r="G64" s="4">
        <v>0</v>
      </c>
      <c r="H64" s="4">
        <v>2</v>
      </c>
      <c r="I64" s="4">
        <v>25.2895</v>
      </c>
      <c r="J64" s="4">
        <v>23.878999999999998</v>
      </c>
      <c r="K64" s="4">
        <v>26.700000000000003</v>
      </c>
      <c r="L64" s="4">
        <v>1.9947482297272909</v>
      </c>
      <c r="M64" s="4">
        <v>2</v>
      </c>
      <c r="N64" s="4">
        <v>29.8</v>
      </c>
      <c r="O64" s="4">
        <v>29.3</v>
      </c>
      <c r="P64" s="4">
        <v>30.3</v>
      </c>
      <c r="Q64" s="4">
        <v>0.7071067811863867</v>
      </c>
    </row>
    <row r="65" spans="1:17" x14ac:dyDescent="0.2">
      <c r="B65" t="s">
        <v>3056</v>
      </c>
      <c r="C65" s="4">
        <v>29</v>
      </c>
      <c r="D65" s="4">
        <v>157.43202321950599</v>
      </c>
      <c r="E65" s="4">
        <v>20.307692307692307</v>
      </c>
      <c r="F65" s="4">
        <v>644.05405405405406</v>
      </c>
      <c r="G65" s="4">
        <v>186.79273651503158</v>
      </c>
      <c r="H65" s="4">
        <v>0</v>
      </c>
      <c r="I65" s="4"/>
      <c r="J65" s="4">
        <v>0</v>
      </c>
      <c r="K65" s="4">
        <v>0</v>
      </c>
      <c r="L65" s="4"/>
      <c r="M65" s="4">
        <v>7</v>
      </c>
      <c r="N65" s="4">
        <v>74.385714285714272</v>
      </c>
      <c r="O65" s="4">
        <v>40.700000000000003</v>
      </c>
      <c r="P65" s="4">
        <v>210.2</v>
      </c>
      <c r="Q65" s="4">
        <v>60.535235705370482</v>
      </c>
    </row>
    <row r="66" spans="1:17" x14ac:dyDescent="0.2">
      <c r="B66" t="s">
        <v>3057</v>
      </c>
      <c r="C66" s="4">
        <v>14</v>
      </c>
      <c r="D66" s="4">
        <v>130.89395530303031</v>
      </c>
      <c r="E66" s="4">
        <v>1.19529</v>
      </c>
      <c r="F66" s="4">
        <v>636.36363636363637</v>
      </c>
      <c r="G66" s="4">
        <v>233.19558932677532</v>
      </c>
      <c r="H66" s="4">
        <v>8</v>
      </c>
      <c r="I66" s="4">
        <v>8.8643575000000006</v>
      </c>
      <c r="J66" s="4">
        <v>1.42272</v>
      </c>
      <c r="K66" s="4">
        <v>22.540000000000003</v>
      </c>
      <c r="L66" s="4">
        <v>6.4401273332082285</v>
      </c>
      <c r="M66" s="4">
        <v>28</v>
      </c>
      <c r="N66" s="4">
        <v>27.229285714285716</v>
      </c>
      <c r="O66" s="4">
        <v>1.71</v>
      </c>
      <c r="P66" s="4">
        <v>68</v>
      </c>
      <c r="Q66" s="4">
        <v>15.606947866034595</v>
      </c>
    </row>
    <row r="67" spans="1:17" x14ac:dyDescent="0.2">
      <c r="B67" t="s">
        <v>3058</v>
      </c>
      <c r="C67" s="4">
        <v>12</v>
      </c>
      <c r="D67" s="4">
        <v>32.179921839080464</v>
      </c>
      <c r="E67" s="4">
        <v>24.104910344827587</v>
      </c>
      <c r="F67" s="4">
        <v>37.718979310344828</v>
      </c>
      <c r="G67" s="4">
        <v>4.9375578262682183</v>
      </c>
      <c r="H67" s="4">
        <v>0</v>
      </c>
      <c r="I67" s="4"/>
      <c r="J67" s="4">
        <v>0</v>
      </c>
      <c r="K67" s="4">
        <v>0</v>
      </c>
      <c r="L67" s="4"/>
      <c r="M67" s="4"/>
      <c r="N67" s="4"/>
      <c r="O67" s="4"/>
      <c r="P67" s="4"/>
      <c r="Q67" s="4"/>
    </row>
    <row r="68" spans="1:17" x14ac:dyDescent="0.2">
      <c r="B68" t="s">
        <v>3059</v>
      </c>
      <c r="C68" s="4">
        <v>9</v>
      </c>
      <c r="D68" s="4">
        <v>321.07141042570584</v>
      </c>
      <c r="E68" s="4">
        <v>60.000000000000007</v>
      </c>
      <c r="F68" s="4">
        <v>1066.6666666666667</v>
      </c>
      <c r="G68" s="4">
        <v>321.89075964329794</v>
      </c>
      <c r="H68" s="4">
        <v>3</v>
      </c>
      <c r="I68" s="4">
        <v>215.94638125122188</v>
      </c>
      <c r="J68" s="4">
        <v>182.6181818181818</v>
      </c>
      <c r="K68" s="4">
        <v>246.05</v>
      </c>
      <c r="L68" s="4">
        <v>31.838613818833434</v>
      </c>
      <c r="M68" s="4">
        <v>7</v>
      </c>
      <c r="N68" s="4">
        <v>610.76849602010896</v>
      </c>
      <c r="O68" s="4">
        <v>189.81818181818178</v>
      </c>
      <c r="P68" s="4">
        <v>1564.516129032258</v>
      </c>
      <c r="Q68" s="4">
        <v>539.01842487226099</v>
      </c>
    </row>
    <row r="69" spans="1:17" x14ac:dyDescent="0.2">
      <c r="B69" t="s">
        <v>3060</v>
      </c>
      <c r="C69" s="4">
        <v>0</v>
      </c>
      <c r="D69" s="4"/>
      <c r="E69" s="4">
        <v>0</v>
      </c>
      <c r="F69" s="4">
        <v>0</v>
      </c>
      <c r="G69" s="4"/>
      <c r="H69" s="4">
        <v>0</v>
      </c>
      <c r="I69" s="4"/>
      <c r="J69" s="4">
        <v>0</v>
      </c>
      <c r="K69" s="4">
        <v>0</v>
      </c>
      <c r="L69" s="4"/>
      <c r="M69" s="4">
        <v>1</v>
      </c>
      <c r="N69" s="4">
        <v>45.1</v>
      </c>
      <c r="O69" s="4">
        <v>45.1</v>
      </c>
      <c r="P69" s="4">
        <v>45.1</v>
      </c>
      <c r="Q69" s="4"/>
    </row>
    <row r="70" spans="1:17" x14ac:dyDescent="0.2">
      <c r="A70" t="s">
        <v>2834</v>
      </c>
      <c r="B70"/>
      <c r="C70" s="4">
        <v>66</v>
      </c>
      <c r="D70" s="4">
        <v>147.25069399255176</v>
      </c>
      <c r="E70" s="4">
        <v>1.19529</v>
      </c>
      <c r="F70" s="4">
        <v>1066.6666666666667</v>
      </c>
      <c r="G70" s="4">
        <v>214.18370392223781</v>
      </c>
      <c r="H70" s="4">
        <v>13</v>
      </c>
      <c r="I70" s="4">
        <v>59.179461827205053</v>
      </c>
      <c r="J70" s="4">
        <v>1.42272</v>
      </c>
      <c r="K70" s="4">
        <v>246.05</v>
      </c>
      <c r="L70" s="4">
        <v>90.645480789553972</v>
      </c>
      <c r="M70" s="4">
        <v>45</v>
      </c>
      <c r="N70" s="4">
        <v>125.84887715868362</v>
      </c>
      <c r="O70" s="4">
        <v>1.71</v>
      </c>
      <c r="P70" s="4">
        <v>1564.516129032258</v>
      </c>
      <c r="Q70" s="4">
        <v>291.30084479056791</v>
      </c>
    </row>
    <row r="71" spans="1:17" x14ac:dyDescent="0.2">
      <c r="A71" t="s">
        <v>236</v>
      </c>
      <c r="B71" t="s">
        <v>1739</v>
      </c>
      <c r="C71" s="4">
        <v>18</v>
      </c>
      <c r="D71" s="4">
        <v>1.4371666666666671</v>
      </c>
      <c r="E71" s="4">
        <v>0.41699999999999998</v>
      </c>
      <c r="F71" s="4">
        <v>6.1</v>
      </c>
      <c r="G71" s="4">
        <v>1.3479662458681962</v>
      </c>
      <c r="H71" s="4">
        <v>6</v>
      </c>
      <c r="I71" s="4">
        <v>2.9143500000000002</v>
      </c>
      <c r="J71" s="4">
        <v>1.1576000000000002</v>
      </c>
      <c r="K71" s="4">
        <v>4.6150000000000002</v>
      </c>
      <c r="L71" s="4">
        <v>1.3822443325982561</v>
      </c>
      <c r="M71" s="4">
        <v>8</v>
      </c>
      <c r="N71" s="4">
        <v>5.4212500000000006</v>
      </c>
      <c r="O71" s="4">
        <v>3.3499999999999996</v>
      </c>
      <c r="P71" s="4">
        <v>11.2</v>
      </c>
      <c r="Q71" s="4">
        <v>2.4205677462706361</v>
      </c>
    </row>
    <row r="72" spans="1:17" x14ac:dyDescent="0.2">
      <c r="B72" t="s">
        <v>1747</v>
      </c>
      <c r="C72" s="4">
        <v>0</v>
      </c>
      <c r="D72" s="4"/>
      <c r="E72" s="4">
        <v>0</v>
      </c>
      <c r="F72" s="4">
        <v>0</v>
      </c>
      <c r="G72" s="4"/>
      <c r="H72" s="4">
        <v>0</v>
      </c>
      <c r="I72" s="4"/>
      <c r="J72" s="4">
        <v>0</v>
      </c>
      <c r="K72" s="4">
        <v>0</v>
      </c>
      <c r="L72" s="4"/>
      <c r="M72" s="4"/>
      <c r="N72" s="4"/>
      <c r="O72" s="4"/>
      <c r="P72" s="4"/>
      <c r="Q72" s="4"/>
    </row>
    <row r="73" spans="1:17" x14ac:dyDescent="0.2">
      <c r="B73" t="s">
        <v>859</v>
      </c>
      <c r="C73" s="4">
        <v>2</v>
      </c>
      <c r="D73" s="4">
        <v>6.8049999999999997</v>
      </c>
      <c r="E73" s="4">
        <v>5.61</v>
      </c>
      <c r="F73" s="4">
        <v>8</v>
      </c>
      <c r="G73" s="4">
        <v>1.6899852070358559</v>
      </c>
      <c r="H73" s="4">
        <v>0</v>
      </c>
      <c r="I73" s="4"/>
      <c r="J73" s="4">
        <v>0</v>
      </c>
      <c r="K73" s="4">
        <v>0</v>
      </c>
      <c r="L73" s="4"/>
      <c r="M73" s="4"/>
      <c r="N73" s="4"/>
      <c r="O73" s="4"/>
      <c r="P73" s="4"/>
      <c r="Q73" s="4"/>
    </row>
    <row r="74" spans="1:17" x14ac:dyDescent="0.2">
      <c r="B74" t="s">
        <v>1769</v>
      </c>
      <c r="C74" s="4">
        <v>5</v>
      </c>
      <c r="D74" s="4">
        <v>2.5506476338599997</v>
      </c>
      <c r="E74" s="4">
        <v>0.97439113229999996</v>
      </c>
      <c r="F74" s="4">
        <v>3.3026936950999999</v>
      </c>
      <c r="G74" s="4">
        <v>0.92727365263139316</v>
      </c>
      <c r="H74" s="4">
        <v>0</v>
      </c>
      <c r="I74" s="4"/>
      <c r="J74" s="4">
        <v>0</v>
      </c>
      <c r="K74" s="4">
        <v>0</v>
      </c>
      <c r="L74" s="4"/>
      <c r="M74" s="4"/>
      <c r="N74" s="4"/>
      <c r="O74" s="4"/>
      <c r="P74" s="4"/>
      <c r="Q74" s="4"/>
    </row>
    <row r="75" spans="1:17" x14ac:dyDescent="0.2">
      <c r="B75" t="s">
        <v>1539</v>
      </c>
      <c r="C75" s="4">
        <v>0</v>
      </c>
      <c r="D75" s="4"/>
      <c r="E75" s="4">
        <v>0</v>
      </c>
      <c r="F75" s="4">
        <v>0</v>
      </c>
      <c r="G75" s="4"/>
      <c r="H75" s="4">
        <v>0</v>
      </c>
      <c r="I75" s="4"/>
      <c r="J75" s="4">
        <v>0</v>
      </c>
      <c r="K75" s="4">
        <v>0</v>
      </c>
      <c r="L75" s="4"/>
      <c r="M75" s="4"/>
      <c r="N75" s="4"/>
      <c r="O75" s="4"/>
      <c r="P75" s="4"/>
      <c r="Q75" s="4"/>
    </row>
    <row r="76" spans="1:17" x14ac:dyDescent="0.2">
      <c r="B76" t="s">
        <v>1837</v>
      </c>
      <c r="C76" s="4">
        <v>2</v>
      </c>
      <c r="D76" s="4">
        <v>3.3426666666666671</v>
      </c>
      <c r="E76" s="4">
        <v>3.2320000000000002</v>
      </c>
      <c r="F76" s="4">
        <v>3.4533333333333345</v>
      </c>
      <c r="G76" s="4">
        <v>0.15650630090263803</v>
      </c>
      <c r="H76" s="4">
        <v>0</v>
      </c>
      <c r="I76" s="4"/>
      <c r="J76" s="4">
        <v>0</v>
      </c>
      <c r="K76" s="4">
        <v>0</v>
      </c>
      <c r="L76" s="4"/>
      <c r="M76" s="4">
        <v>2</v>
      </c>
      <c r="N76" s="4">
        <v>9.4253333333333345</v>
      </c>
      <c r="O76" s="4">
        <v>8.984</v>
      </c>
      <c r="P76" s="4">
        <v>9.8666666666666671</v>
      </c>
      <c r="Q76" s="4">
        <v>0.62413958552730642</v>
      </c>
    </row>
    <row r="77" spans="1:17" x14ac:dyDescent="0.2">
      <c r="B77" t="s">
        <v>1879</v>
      </c>
      <c r="C77" s="4">
        <v>2</v>
      </c>
      <c r="D77" s="4">
        <v>4</v>
      </c>
      <c r="E77" s="4">
        <v>3</v>
      </c>
      <c r="F77" s="4">
        <v>5</v>
      </c>
      <c r="G77" s="4">
        <v>1.4142135623730951</v>
      </c>
      <c r="H77" s="4">
        <v>0</v>
      </c>
      <c r="I77" s="4"/>
      <c r="J77" s="4">
        <v>0</v>
      </c>
      <c r="K77" s="4">
        <v>0</v>
      </c>
      <c r="L77" s="4"/>
      <c r="M77" s="4"/>
      <c r="N77" s="4"/>
      <c r="O77" s="4"/>
      <c r="P77" s="4"/>
      <c r="Q77" s="4"/>
    </row>
    <row r="78" spans="1:17" x14ac:dyDescent="0.2">
      <c r="B78" t="s">
        <v>1948</v>
      </c>
      <c r="C78" s="4">
        <v>0</v>
      </c>
      <c r="D78" s="4"/>
      <c r="E78" s="4">
        <v>0</v>
      </c>
      <c r="F78" s="4">
        <v>0</v>
      </c>
      <c r="G78" s="4"/>
      <c r="H78" s="4">
        <v>0</v>
      </c>
      <c r="I78" s="4"/>
      <c r="J78" s="4">
        <v>0</v>
      </c>
      <c r="K78" s="4">
        <v>0</v>
      </c>
      <c r="L78" s="4"/>
      <c r="M78" s="4"/>
      <c r="N78" s="4"/>
      <c r="O78" s="4"/>
      <c r="P78" s="4"/>
      <c r="Q78" s="4"/>
    </row>
    <row r="79" spans="1:17" x14ac:dyDescent="0.2">
      <c r="B79" t="s">
        <v>1962</v>
      </c>
      <c r="C79" s="4">
        <v>2</v>
      </c>
      <c r="D79" s="4">
        <v>18.986058499999999</v>
      </c>
      <c r="E79" s="4">
        <v>18.157867</v>
      </c>
      <c r="F79" s="4">
        <v>19.814250000000001</v>
      </c>
      <c r="G79" s="4">
        <v>1.1712396515422097</v>
      </c>
      <c r="H79" s="4">
        <v>0</v>
      </c>
      <c r="I79" s="4"/>
      <c r="J79" s="4">
        <v>0</v>
      </c>
      <c r="K79" s="4">
        <v>0</v>
      </c>
      <c r="L79" s="4"/>
      <c r="M79" s="4"/>
      <c r="N79" s="4"/>
      <c r="O79" s="4"/>
      <c r="P79" s="4"/>
      <c r="Q79" s="4"/>
    </row>
    <row r="80" spans="1:17" x14ac:dyDescent="0.2">
      <c r="B80" t="s">
        <v>756</v>
      </c>
      <c r="C80" s="4">
        <v>0</v>
      </c>
      <c r="D80" s="4"/>
      <c r="E80" s="4">
        <v>0</v>
      </c>
      <c r="F80" s="4">
        <v>0</v>
      </c>
      <c r="G80" s="4"/>
      <c r="H80" s="4">
        <v>0</v>
      </c>
      <c r="I80" s="4"/>
      <c r="J80" s="4">
        <v>0</v>
      </c>
      <c r="K80" s="4">
        <v>0</v>
      </c>
      <c r="L80" s="4"/>
      <c r="M80" s="4"/>
      <c r="N80" s="4"/>
      <c r="O80" s="4"/>
      <c r="P80" s="4"/>
      <c r="Q80" s="4"/>
    </row>
    <row r="81" spans="2:17" x14ac:dyDescent="0.2">
      <c r="B81" t="s">
        <v>843</v>
      </c>
      <c r="C81" s="4">
        <v>0</v>
      </c>
      <c r="D81" s="4"/>
      <c r="E81" s="4">
        <v>0</v>
      </c>
      <c r="F81" s="4">
        <v>0</v>
      </c>
      <c r="G81" s="4"/>
      <c r="H81" s="4">
        <v>0</v>
      </c>
      <c r="I81" s="4"/>
      <c r="J81" s="4">
        <v>0</v>
      </c>
      <c r="K81" s="4">
        <v>0</v>
      </c>
      <c r="L81" s="4"/>
      <c r="M81" s="4"/>
      <c r="N81" s="4"/>
      <c r="O81" s="4"/>
      <c r="P81" s="4"/>
      <c r="Q81" s="4"/>
    </row>
    <row r="82" spans="2:17" x14ac:dyDescent="0.2">
      <c r="B82" t="s">
        <v>758</v>
      </c>
      <c r="C82" s="4">
        <v>0</v>
      </c>
      <c r="D82" s="4"/>
      <c r="E82" s="4">
        <v>0</v>
      </c>
      <c r="F82" s="4">
        <v>0</v>
      </c>
      <c r="G82" s="4"/>
      <c r="H82" s="4">
        <v>0</v>
      </c>
      <c r="I82" s="4"/>
      <c r="J82" s="4">
        <v>0</v>
      </c>
      <c r="K82" s="4">
        <v>0</v>
      </c>
      <c r="L82" s="4"/>
      <c r="M82" s="4"/>
      <c r="N82" s="4"/>
      <c r="O82" s="4"/>
      <c r="P82" s="4"/>
      <c r="Q82" s="4"/>
    </row>
    <row r="83" spans="2:17" x14ac:dyDescent="0.2">
      <c r="B83" t="s">
        <v>1549</v>
      </c>
      <c r="C83" s="4">
        <v>0</v>
      </c>
      <c r="D83" s="4"/>
      <c r="E83" s="4">
        <v>0</v>
      </c>
      <c r="F83" s="4">
        <v>0</v>
      </c>
      <c r="G83" s="4"/>
      <c r="H83" s="4">
        <v>0</v>
      </c>
      <c r="I83" s="4"/>
      <c r="J83" s="4">
        <v>0</v>
      </c>
      <c r="K83" s="4">
        <v>0</v>
      </c>
      <c r="L83" s="4"/>
      <c r="M83" s="4"/>
      <c r="N83" s="4"/>
      <c r="O83" s="4"/>
      <c r="P83" s="4"/>
      <c r="Q83" s="4"/>
    </row>
    <row r="84" spans="2:17" x14ac:dyDescent="0.2">
      <c r="B84" t="s">
        <v>2010</v>
      </c>
      <c r="C84" s="4">
        <v>0</v>
      </c>
      <c r="D84" s="4"/>
      <c r="E84" s="4">
        <v>0</v>
      </c>
      <c r="F84" s="4">
        <v>0</v>
      </c>
      <c r="G84" s="4"/>
      <c r="H84" s="4">
        <v>0</v>
      </c>
      <c r="I84" s="4"/>
      <c r="J84" s="4">
        <v>0</v>
      </c>
      <c r="K84" s="4">
        <v>0</v>
      </c>
      <c r="L84" s="4"/>
      <c r="M84" s="4"/>
      <c r="N84" s="4"/>
      <c r="O84" s="4"/>
      <c r="P84" s="4"/>
      <c r="Q84" s="4"/>
    </row>
    <row r="85" spans="2:17" x14ac:dyDescent="0.2">
      <c r="B85" t="s">
        <v>2011</v>
      </c>
      <c r="C85" s="4">
        <v>1</v>
      </c>
      <c r="D85" s="4">
        <v>2.7020649299999997</v>
      </c>
      <c r="E85" s="4">
        <v>2.7020649299999997</v>
      </c>
      <c r="F85" s="4">
        <v>2.7020649299999997</v>
      </c>
      <c r="G85" s="4"/>
      <c r="H85" s="4">
        <v>0</v>
      </c>
      <c r="I85" s="4"/>
      <c r="J85" s="4">
        <v>0</v>
      </c>
      <c r="K85" s="4">
        <v>0</v>
      </c>
      <c r="L85" s="4"/>
      <c r="M85" s="4"/>
      <c r="N85" s="4"/>
      <c r="O85" s="4"/>
      <c r="P85" s="4"/>
      <c r="Q85" s="4"/>
    </row>
    <row r="86" spans="2:17" x14ac:dyDescent="0.2">
      <c r="B86" t="s">
        <v>3062</v>
      </c>
      <c r="C86" s="4">
        <v>1</v>
      </c>
      <c r="D86" s="4">
        <v>28.264295951765718</v>
      </c>
      <c r="E86" s="4">
        <v>28.264295951765718</v>
      </c>
      <c r="F86" s="4">
        <v>28.264295951765718</v>
      </c>
      <c r="G86" s="4"/>
      <c r="H86" s="4">
        <v>0</v>
      </c>
      <c r="I86" s="4"/>
      <c r="J86" s="4">
        <v>0</v>
      </c>
      <c r="K86" s="4">
        <v>0</v>
      </c>
      <c r="L86" s="4"/>
      <c r="M86" s="4"/>
      <c r="N86" s="4"/>
      <c r="O86" s="4"/>
      <c r="P86" s="4"/>
      <c r="Q86" s="4"/>
    </row>
    <row r="87" spans="2:17" x14ac:dyDescent="0.2">
      <c r="B87" t="s">
        <v>2022</v>
      </c>
      <c r="C87" s="4">
        <v>0</v>
      </c>
      <c r="D87" s="4"/>
      <c r="E87" s="4">
        <v>0</v>
      </c>
      <c r="F87" s="4">
        <v>0</v>
      </c>
      <c r="G87" s="4"/>
      <c r="H87" s="4">
        <v>0</v>
      </c>
      <c r="I87" s="4"/>
      <c r="J87" s="4">
        <v>0</v>
      </c>
      <c r="K87" s="4">
        <v>0</v>
      </c>
      <c r="L87" s="4"/>
      <c r="M87" s="4"/>
      <c r="N87" s="4"/>
      <c r="O87" s="4"/>
      <c r="P87" s="4"/>
      <c r="Q87" s="4"/>
    </row>
    <row r="88" spans="2:17" x14ac:dyDescent="0.2">
      <c r="B88" t="s">
        <v>597</v>
      </c>
      <c r="C88" s="4">
        <v>0</v>
      </c>
      <c r="D88" s="4"/>
      <c r="E88" s="4">
        <v>0</v>
      </c>
      <c r="F88" s="4">
        <v>0</v>
      </c>
      <c r="G88" s="4"/>
      <c r="H88" s="4">
        <v>0</v>
      </c>
      <c r="I88" s="4"/>
      <c r="J88" s="4">
        <v>0</v>
      </c>
      <c r="K88" s="4">
        <v>0</v>
      </c>
      <c r="L88" s="4"/>
      <c r="M88" s="4">
        <v>2</v>
      </c>
      <c r="N88" s="4">
        <v>4.6440000000000001</v>
      </c>
      <c r="O88" s="4">
        <v>2.7589999999999999</v>
      </c>
      <c r="P88" s="4">
        <v>6.5289999999999999</v>
      </c>
      <c r="Q88" s="4">
        <v>2.6657925650732821</v>
      </c>
    </row>
    <row r="89" spans="2:17" x14ac:dyDescent="0.2">
      <c r="B89" t="s">
        <v>2028</v>
      </c>
      <c r="C89" s="4">
        <v>0</v>
      </c>
      <c r="D89" s="4"/>
      <c r="E89" s="4">
        <v>0</v>
      </c>
      <c r="F89" s="4">
        <v>0</v>
      </c>
      <c r="G89" s="4"/>
      <c r="H89" s="4">
        <v>0</v>
      </c>
      <c r="I89" s="4"/>
      <c r="J89" s="4">
        <v>0</v>
      </c>
      <c r="K89" s="4">
        <v>0</v>
      </c>
      <c r="L89" s="4"/>
      <c r="M89" s="4"/>
      <c r="N89" s="4"/>
      <c r="O89" s="4"/>
      <c r="P89" s="4"/>
      <c r="Q89" s="4"/>
    </row>
    <row r="90" spans="2:17" x14ac:dyDescent="0.2">
      <c r="B90" t="s">
        <v>2034</v>
      </c>
      <c r="C90" s="4">
        <v>1</v>
      </c>
      <c r="D90" s="4">
        <v>1.46</v>
      </c>
      <c r="E90" s="4">
        <v>1.46</v>
      </c>
      <c r="F90" s="4">
        <v>1.46</v>
      </c>
      <c r="G90" s="4"/>
      <c r="H90" s="4">
        <v>0</v>
      </c>
      <c r="I90" s="4"/>
      <c r="J90" s="4">
        <v>0</v>
      </c>
      <c r="K90" s="4">
        <v>0</v>
      </c>
      <c r="L90" s="4"/>
      <c r="M90" s="4"/>
      <c r="N90" s="4"/>
      <c r="O90" s="4"/>
      <c r="P90" s="4"/>
      <c r="Q90" s="4"/>
    </row>
    <row r="91" spans="2:17" x14ac:dyDescent="0.2">
      <c r="B91" t="s">
        <v>2042</v>
      </c>
      <c r="C91" s="4">
        <v>1</v>
      </c>
      <c r="D91" s="4">
        <v>5.4400101999999997</v>
      </c>
      <c r="E91" s="4">
        <v>5.4400101999999997</v>
      </c>
      <c r="F91" s="4">
        <v>5.4400101999999997</v>
      </c>
      <c r="G91" s="4"/>
      <c r="H91" s="4">
        <v>0</v>
      </c>
      <c r="I91" s="4"/>
      <c r="J91" s="4">
        <v>0</v>
      </c>
      <c r="K91" s="4">
        <v>0</v>
      </c>
      <c r="L91" s="4"/>
      <c r="M91" s="4"/>
      <c r="N91" s="4"/>
      <c r="O91" s="4"/>
      <c r="P91" s="4"/>
      <c r="Q91" s="4"/>
    </row>
    <row r="92" spans="2:17" x14ac:dyDescent="0.2">
      <c r="B92" t="s">
        <v>2049</v>
      </c>
      <c r="C92" s="4">
        <v>2</v>
      </c>
      <c r="D92" s="4">
        <v>2.4750000000000001</v>
      </c>
      <c r="E92" s="4">
        <v>2.1</v>
      </c>
      <c r="F92" s="4">
        <v>2.85</v>
      </c>
      <c r="G92" s="4">
        <v>0.5303300858899106</v>
      </c>
      <c r="H92" s="4">
        <v>0</v>
      </c>
      <c r="I92" s="4"/>
      <c r="J92" s="4">
        <v>0</v>
      </c>
      <c r="K92" s="4">
        <v>0</v>
      </c>
      <c r="L92" s="4"/>
      <c r="M92" s="4"/>
      <c r="N92" s="4"/>
      <c r="O92" s="4"/>
      <c r="P92" s="4"/>
      <c r="Q92" s="4"/>
    </row>
    <row r="93" spans="2:17" x14ac:dyDescent="0.2">
      <c r="B93" t="s">
        <v>2059</v>
      </c>
      <c r="C93" s="4">
        <v>0</v>
      </c>
      <c r="D93" s="4"/>
      <c r="E93" s="4">
        <v>0</v>
      </c>
      <c r="F93" s="4">
        <v>0</v>
      </c>
      <c r="G93" s="4"/>
      <c r="H93" s="4">
        <v>0</v>
      </c>
      <c r="I93" s="4"/>
      <c r="J93" s="4">
        <v>0</v>
      </c>
      <c r="K93" s="4">
        <v>0</v>
      </c>
      <c r="L93" s="4"/>
      <c r="M93" s="4"/>
      <c r="N93" s="4"/>
      <c r="O93" s="4"/>
      <c r="P93" s="4"/>
      <c r="Q93" s="4"/>
    </row>
    <row r="94" spans="2:17" x14ac:dyDescent="0.2">
      <c r="B94" t="s">
        <v>1546</v>
      </c>
      <c r="C94" s="4">
        <v>0</v>
      </c>
      <c r="D94" s="4"/>
      <c r="E94" s="4">
        <v>0</v>
      </c>
      <c r="F94" s="4">
        <v>0</v>
      </c>
      <c r="G94" s="4"/>
      <c r="H94" s="4">
        <v>0</v>
      </c>
      <c r="I94" s="4"/>
      <c r="J94" s="4">
        <v>0</v>
      </c>
      <c r="K94" s="4">
        <v>0</v>
      </c>
      <c r="L94" s="4"/>
      <c r="M94" s="4"/>
      <c r="N94" s="4"/>
      <c r="O94" s="4"/>
      <c r="P94" s="4"/>
      <c r="Q94" s="4"/>
    </row>
    <row r="95" spans="2:17" x14ac:dyDescent="0.2">
      <c r="B95" t="s">
        <v>1412</v>
      </c>
      <c r="C95" s="4">
        <v>0</v>
      </c>
      <c r="D95" s="4"/>
      <c r="E95" s="4">
        <v>0</v>
      </c>
      <c r="F95" s="4">
        <v>0</v>
      </c>
      <c r="G95" s="4"/>
      <c r="H95" s="4">
        <v>0</v>
      </c>
      <c r="I95" s="4"/>
      <c r="J95" s="4">
        <v>0</v>
      </c>
      <c r="K95" s="4">
        <v>0</v>
      </c>
      <c r="L95" s="4"/>
      <c r="M95" s="4"/>
      <c r="N95" s="4"/>
      <c r="O95" s="4"/>
      <c r="P95" s="4"/>
      <c r="Q95" s="4"/>
    </row>
    <row r="96" spans="2:17" x14ac:dyDescent="0.2">
      <c r="B96" t="s">
        <v>1551</v>
      </c>
      <c r="C96" s="4">
        <v>0</v>
      </c>
      <c r="D96" s="4"/>
      <c r="E96" s="4">
        <v>0</v>
      </c>
      <c r="F96" s="4">
        <v>0</v>
      </c>
      <c r="G96" s="4"/>
      <c r="H96" s="4">
        <v>0</v>
      </c>
      <c r="I96" s="4"/>
      <c r="J96" s="4">
        <v>0</v>
      </c>
      <c r="K96" s="4">
        <v>0</v>
      </c>
      <c r="L96" s="4"/>
      <c r="M96" s="4"/>
      <c r="N96" s="4"/>
      <c r="O96" s="4"/>
      <c r="P96" s="4"/>
      <c r="Q96" s="4"/>
    </row>
    <row r="97" spans="2:17" x14ac:dyDescent="0.2">
      <c r="B97" t="s">
        <v>3902</v>
      </c>
      <c r="C97" s="4">
        <v>0</v>
      </c>
      <c r="D97" s="4"/>
      <c r="E97" s="4">
        <v>0</v>
      </c>
      <c r="F97" s="4">
        <v>0</v>
      </c>
      <c r="G97" s="4"/>
      <c r="H97" s="4">
        <v>0</v>
      </c>
      <c r="I97" s="4"/>
      <c r="J97" s="4">
        <v>0</v>
      </c>
      <c r="K97" s="4">
        <v>0</v>
      </c>
      <c r="L97" s="4"/>
      <c r="M97" s="4"/>
      <c r="N97" s="4"/>
      <c r="O97" s="4"/>
      <c r="P97" s="4"/>
      <c r="Q97" s="4"/>
    </row>
    <row r="98" spans="2:17" x14ac:dyDescent="0.2">
      <c r="B98" t="s">
        <v>3956</v>
      </c>
      <c r="C98" s="4">
        <v>0</v>
      </c>
      <c r="D98" s="4"/>
      <c r="E98" s="4">
        <v>0</v>
      </c>
      <c r="F98" s="4">
        <v>0</v>
      </c>
      <c r="G98" s="4"/>
      <c r="H98" s="4">
        <v>0</v>
      </c>
      <c r="I98" s="4"/>
      <c r="J98" s="4">
        <v>0</v>
      </c>
      <c r="K98" s="4">
        <v>0</v>
      </c>
      <c r="L98" s="4"/>
      <c r="M98" s="4">
        <v>1</v>
      </c>
      <c r="N98" s="4">
        <v>24</v>
      </c>
      <c r="O98" s="4">
        <v>24</v>
      </c>
      <c r="P98" s="4">
        <v>24</v>
      </c>
      <c r="Q98" s="4"/>
    </row>
    <row r="99" spans="2:17" x14ac:dyDescent="0.2">
      <c r="B99" t="s">
        <v>2098</v>
      </c>
      <c r="C99" s="4">
        <v>4</v>
      </c>
      <c r="D99" s="4">
        <v>5.7064999999999992</v>
      </c>
      <c r="E99" s="4">
        <v>2.8</v>
      </c>
      <c r="F99" s="4">
        <v>7.7979999999999992</v>
      </c>
      <c r="G99" s="4">
        <v>2.505057484370369</v>
      </c>
      <c r="H99" s="4">
        <v>0</v>
      </c>
      <c r="I99" s="4"/>
      <c r="J99" s="4">
        <v>0</v>
      </c>
      <c r="K99" s="4">
        <v>0</v>
      </c>
      <c r="L99" s="4"/>
      <c r="M99" s="4">
        <v>2</v>
      </c>
      <c r="N99" s="4">
        <v>18.308</v>
      </c>
      <c r="O99" s="4">
        <v>16.840999999999998</v>
      </c>
      <c r="P99" s="4">
        <v>19.774999999999999</v>
      </c>
      <c r="Q99" s="4">
        <v>2.0746512960012979</v>
      </c>
    </row>
    <row r="100" spans="2:17" x14ac:dyDescent="0.2">
      <c r="B100" t="s">
        <v>2769</v>
      </c>
      <c r="C100" s="4">
        <v>4</v>
      </c>
      <c r="D100" s="4">
        <v>2.7199999999999998</v>
      </c>
      <c r="E100" s="4">
        <v>1.93</v>
      </c>
      <c r="F100" s="4">
        <v>3.7</v>
      </c>
      <c r="G100" s="4">
        <v>0.75775985641890686</v>
      </c>
      <c r="H100" s="4">
        <v>0</v>
      </c>
      <c r="I100" s="4"/>
      <c r="J100" s="4">
        <v>0</v>
      </c>
      <c r="K100" s="4">
        <v>0</v>
      </c>
      <c r="L100" s="4"/>
      <c r="M100" s="4">
        <v>2</v>
      </c>
      <c r="N100" s="4">
        <v>3.5350000000000001</v>
      </c>
      <c r="O100" s="4">
        <v>1.54</v>
      </c>
      <c r="P100" s="4">
        <v>5.53</v>
      </c>
      <c r="Q100" s="4">
        <v>2.8213560569343246</v>
      </c>
    </row>
    <row r="101" spans="2:17" x14ac:dyDescent="0.2">
      <c r="B101" t="s">
        <v>2115</v>
      </c>
      <c r="C101" s="4">
        <v>1</v>
      </c>
      <c r="D101" s="4">
        <v>1.3288105999999997</v>
      </c>
      <c r="E101" s="4">
        <v>1.3288105999999997</v>
      </c>
      <c r="F101" s="4">
        <v>1.3288105999999997</v>
      </c>
      <c r="G101" s="4"/>
      <c r="H101" s="4">
        <v>0</v>
      </c>
      <c r="I101" s="4"/>
      <c r="J101" s="4">
        <v>0</v>
      </c>
      <c r="K101" s="4">
        <v>0</v>
      </c>
      <c r="L101" s="4"/>
      <c r="M101" s="4"/>
      <c r="N101" s="4"/>
      <c r="O101" s="4"/>
      <c r="P101" s="4"/>
      <c r="Q101" s="4"/>
    </row>
    <row r="102" spans="2:17" x14ac:dyDescent="0.2">
      <c r="B102" t="s">
        <v>1547</v>
      </c>
      <c r="C102" s="4">
        <v>0</v>
      </c>
      <c r="D102" s="4"/>
      <c r="E102" s="4">
        <v>0</v>
      </c>
      <c r="F102" s="4">
        <v>0</v>
      </c>
      <c r="G102" s="4"/>
      <c r="H102" s="4">
        <v>0</v>
      </c>
      <c r="I102" s="4"/>
      <c r="J102" s="4">
        <v>0</v>
      </c>
      <c r="K102" s="4">
        <v>0</v>
      </c>
      <c r="L102" s="4"/>
      <c r="M102" s="4"/>
      <c r="N102" s="4"/>
      <c r="O102" s="4"/>
      <c r="P102" s="4"/>
      <c r="Q102" s="4"/>
    </row>
    <row r="103" spans="2:17" x14ac:dyDescent="0.2">
      <c r="B103" t="s">
        <v>2136</v>
      </c>
      <c r="C103" s="4">
        <v>5</v>
      </c>
      <c r="D103" s="4">
        <v>2.786</v>
      </c>
      <c r="E103" s="4">
        <v>1.0900000000000001</v>
      </c>
      <c r="F103" s="4">
        <v>7.08</v>
      </c>
      <c r="G103" s="4">
        <v>2.443968084898001</v>
      </c>
      <c r="H103" s="4">
        <v>0</v>
      </c>
      <c r="I103" s="4"/>
      <c r="J103" s="4">
        <v>0</v>
      </c>
      <c r="K103" s="4">
        <v>0</v>
      </c>
      <c r="L103" s="4"/>
      <c r="M103" s="4">
        <v>1</v>
      </c>
      <c r="N103" s="4">
        <v>8.6666666666666661</v>
      </c>
      <c r="O103" s="4">
        <v>8.6666666666666661</v>
      </c>
      <c r="P103" s="4">
        <v>8.6666666666666661</v>
      </c>
      <c r="Q103" s="4"/>
    </row>
    <row r="104" spans="2:17" x14ac:dyDescent="0.2">
      <c r="B104" t="s">
        <v>2145</v>
      </c>
      <c r="C104" s="4">
        <v>5</v>
      </c>
      <c r="D104" s="4">
        <v>2.6320000000000001</v>
      </c>
      <c r="E104" s="4">
        <v>1.1120000000000001</v>
      </c>
      <c r="F104" s="4">
        <v>6.0720000000000001</v>
      </c>
      <c r="G104" s="4">
        <v>2.0091103752656303</v>
      </c>
      <c r="H104" s="4">
        <v>4</v>
      </c>
      <c r="I104" s="4">
        <v>3.0709750000000002</v>
      </c>
      <c r="J104" s="4">
        <v>1.5225</v>
      </c>
      <c r="K104" s="4">
        <v>5.2657000000000007</v>
      </c>
      <c r="L104" s="4">
        <v>1.8445870565431894</v>
      </c>
      <c r="M104" s="4">
        <v>4</v>
      </c>
      <c r="N104" s="4">
        <v>3.9464749999999995</v>
      </c>
      <c r="O104" s="4">
        <v>2.7725</v>
      </c>
      <c r="P104" s="4">
        <v>5.6906999999999996</v>
      </c>
      <c r="Q104" s="4">
        <v>1.4140804229250905</v>
      </c>
    </row>
    <row r="105" spans="2:17" x14ac:dyDescent="0.2">
      <c r="B105" t="s">
        <v>480</v>
      </c>
      <c r="C105" s="4">
        <v>1</v>
      </c>
      <c r="D105" s="4">
        <v>2.8666666666666667</v>
      </c>
      <c r="E105" s="4">
        <v>2.8666666666666667</v>
      </c>
      <c r="F105" s="4">
        <v>2.8666666666666667</v>
      </c>
      <c r="G105" s="4"/>
      <c r="H105" s="4">
        <v>0</v>
      </c>
      <c r="I105" s="4"/>
      <c r="J105" s="4">
        <v>0</v>
      </c>
      <c r="K105" s="4">
        <v>0</v>
      </c>
      <c r="L105" s="4"/>
      <c r="M105" s="4">
        <v>1</v>
      </c>
      <c r="N105" s="4">
        <v>6.0606060606060606</v>
      </c>
      <c r="O105" s="4">
        <v>6.0606060606060606</v>
      </c>
      <c r="P105" s="4">
        <v>6.0606060606060606</v>
      </c>
      <c r="Q105" s="4"/>
    </row>
    <row r="106" spans="2:17" x14ac:dyDescent="0.2">
      <c r="B106" t="s">
        <v>2174</v>
      </c>
      <c r="C106" s="4">
        <v>0</v>
      </c>
      <c r="D106" s="4"/>
      <c r="E106" s="4">
        <v>0</v>
      </c>
      <c r="F106" s="4">
        <v>0</v>
      </c>
      <c r="G106" s="4"/>
      <c r="H106" s="4">
        <v>0</v>
      </c>
      <c r="I106" s="4"/>
      <c r="J106" s="4">
        <v>0</v>
      </c>
      <c r="K106" s="4">
        <v>0</v>
      </c>
      <c r="L106" s="4"/>
      <c r="M106" s="4"/>
      <c r="N106" s="4"/>
      <c r="O106" s="4"/>
      <c r="P106" s="4"/>
      <c r="Q106" s="4"/>
    </row>
    <row r="107" spans="2:17" x14ac:dyDescent="0.2">
      <c r="B107" t="s">
        <v>2177</v>
      </c>
      <c r="C107" s="4">
        <v>0</v>
      </c>
      <c r="D107" s="4"/>
      <c r="E107" s="4">
        <v>0</v>
      </c>
      <c r="F107" s="4">
        <v>0</v>
      </c>
      <c r="G107" s="4"/>
      <c r="H107" s="4">
        <v>0</v>
      </c>
      <c r="I107" s="4"/>
      <c r="J107" s="4">
        <v>0</v>
      </c>
      <c r="K107" s="4">
        <v>0</v>
      </c>
      <c r="L107" s="4"/>
      <c r="M107" s="4"/>
      <c r="N107" s="4"/>
      <c r="O107" s="4"/>
      <c r="P107" s="4"/>
      <c r="Q107" s="4"/>
    </row>
    <row r="108" spans="2:17" x14ac:dyDescent="0.2">
      <c r="B108" t="s">
        <v>2230</v>
      </c>
      <c r="C108" s="4">
        <v>2</v>
      </c>
      <c r="D108" s="4">
        <v>5.1226046511627912</v>
      </c>
      <c r="E108" s="4">
        <v>3.8479999999999999</v>
      </c>
      <c r="F108" s="4">
        <v>6.3972093023255825</v>
      </c>
      <c r="G108" s="4">
        <v>1.8025631843382495</v>
      </c>
      <c r="H108" s="4">
        <v>0</v>
      </c>
      <c r="I108" s="4"/>
      <c r="J108" s="4">
        <v>0</v>
      </c>
      <c r="K108" s="4">
        <v>0</v>
      </c>
      <c r="L108" s="4"/>
      <c r="M108" s="4">
        <v>2</v>
      </c>
      <c r="N108" s="4">
        <v>9.396930232558141</v>
      </c>
      <c r="O108" s="4">
        <v>8.952</v>
      </c>
      <c r="P108" s="4">
        <v>9.8418604651162802</v>
      </c>
      <c r="Q108" s="4">
        <v>0.62922636919351849</v>
      </c>
    </row>
    <row r="109" spans="2:17" x14ac:dyDescent="0.2">
      <c r="B109" t="s">
        <v>2282</v>
      </c>
      <c r="C109" s="4">
        <v>5</v>
      </c>
      <c r="D109" s="4">
        <v>7.82</v>
      </c>
      <c r="E109" s="4">
        <v>2.8</v>
      </c>
      <c r="F109" s="4">
        <v>12.9</v>
      </c>
      <c r="G109" s="4">
        <v>3.8931991986026073</v>
      </c>
      <c r="H109" s="4">
        <v>0</v>
      </c>
      <c r="I109" s="4"/>
      <c r="J109" s="4">
        <v>0</v>
      </c>
      <c r="K109" s="4">
        <v>0</v>
      </c>
      <c r="L109" s="4"/>
      <c r="M109" s="4">
        <v>3</v>
      </c>
      <c r="N109" s="4">
        <v>14.233333333333334</v>
      </c>
      <c r="O109" s="4">
        <v>13.3</v>
      </c>
      <c r="P109" s="4">
        <v>14.8</v>
      </c>
      <c r="Q109" s="4">
        <v>0.81445278152468636</v>
      </c>
    </row>
    <row r="110" spans="2:17" x14ac:dyDescent="0.2">
      <c r="B110" t="s">
        <v>4060</v>
      </c>
      <c r="C110" s="4">
        <v>0</v>
      </c>
      <c r="D110" s="4"/>
      <c r="E110" s="4">
        <v>0</v>
      </c>
      <c r="F110" s="4">
        <v>0</v>
      </c>
      <c r="G110" s="4"/>
      <c r="H110" s="4">
        <v>0</v>
      </c>
      <c r="I110" s="4"/>
      <c r="J110" s="4">
        <v>0</v>
      </c>
      <c r="K110" s="4">
        <v>0</v>
      </c>
      <c r="L110" s="4"/>
      <c r="M110" s="4"/>
      <c r="N110" s="4"/>
      <c r="O110" s="4"/>
      <c r="P110" s="4"/>
      <c r="Q110" s="4"/>
    </row>
    <row r="111" spans="2:17" x14ac:dyDescent="0.2">
      <c r="B111" t="s">
        <v>1548</v>
      </c>
      <c r="C111" s="4">
        <v>0</v>
      </c>
      <c r="D111" s="4"/>
      <c r="E111" s="4">
        <v>0</v>
      </c>
      <c r="F111" s="4">
        <v>0</v>
      </c>
      <c r="G111" s="4"/>
      <c r="H111" s="4">
        <v>0</v>
      </c>
      <c r="I111" s="4"/>
      <c r="J111" s="4">
        <v>0</v>
      </c>
      <c r="K111" s="4">
        <v>0</v>
      </c>
      <c r="L111" s="4"/>
      <c r="M111" s="4"/>
      <c r="N111" s="4"/>
      <c r="O111" s="4"/>
      <c r="P111" s="4"/>
      <c r="Q111" s="4"/>
    </row>
    <row r="112" spans="2:17" x14ac:dyDescent="0.2">
      <c r="B112" t="s">
        <v>2452</v>
      </c>
      <c r="C112" s="4">
        <v>0</v>
      </c>
      <c r="D112" s="4"/>
      <c r="E112" s="4">
        <v>0</v>
      </c>
      <c r="F112" s="4">
        <v>0</v>
      </c>
      <c r="G112" s="4"/>
      <c r="H112" s="4">
        <v>0</v>
      </c>
      <c r="I112" s="4"/>
      <c r="J112" s="4">
        <v>0</v>
      </c>
      <c r="K112" s="4">
        <v>0</v>
      </c>
      <c r="L112" s="4"/>
      <c r="M112" s="4"/>
      <c r="N112" s="4"/>
      <c r="O112" s="4"/>
      <c r="P112" s="4"/>
      <c r="Q112" s="4"/>
    </row>
    <row r="113" spans="1:17" x14ac:dyDescent="0.2">
      <c r="B113" t="s">
        <v>2343</v>
      </c>
      <c r="C113" s="4">
        <v>0</v>
      </c>
      <c r="D113" s="4"/>
      <c r="E113" s="4">
        <v>0</v>
      </c>
      <c r="F113" s="4">
        <v>0</v>
      </c>
      <c r="G113" s="4"/>
      <c r="H113" s="4">
        <v>0</v>
      </c>
      <c r="I113" s="4"/>
      <c r="J113" s="4">
        <v>0</v>
      </c>
      <c r="K113" s="4">
        <v>0</v>
      </c>
      <c r="L113" s="4"/>
      <c r="M113" s="4"/>
      <c r="N113" s="4"/>
      <c r="O113" s="4"/>
      <c r="P113" s="4"/>
      <c r="Q113" s="4"/>
    </row>
    <row r="114" spans="1:17" x14ac:dyDescent="0.2">
      <c r="B114" t="s">
        <v>3295</v>
      </c>
      <c r="C114" s="4">
        <v>0</v>
      </c>
      <c r="D114" s="4"/>
      <c r="E114" s="4">
        <v>0</v>
      </c>
      <c r="F114" s="4">
        <v>0</v>
      </c>
      <c r="G114" s="4"/>
      <c r="H114" s="4">
        <v>0</v>
      </c>
      <c r="I114" s="4"/>
      <c r="J114" s="4">
        <v>0</v>
      </c>
      <c r="K114" s="4">
        <v>0</v>
      </c>
      <c r="L114" s="4"/>
      <c r="M114" s="4"/>
      <c r="N114" s="4"/>
      <c r="O114" s="4"/>
      <c r="P114" s="4"/>
      <c r="Q114" s="4"/>
    </row>
    <row r="115" spans="1:17" x14ac:dyDescent="0.2">
      <c r="B115" t="s">
        <v>3294</v>
      </c>
      <c r="C115" s="4">
        <v>0</v>
      </c>
      <c r="D115" s="4"/>
      <c r="E115" s="4">
        <v>0</v>
      </c>
      <c r="F115" s="4">
        <v>0</v>
      </c>
      <c r="G115" s="4"/>
      <c r="H115" s="4">
        <v>0</v>
      </c>
      <c r="I115" s="4"/>
      <c r="J115" s="4">
        <v>0</v>
      </c>
      <c r="K115" s="4">
        <v>0</v>
      </c>
      <c r="L115" s="4"/>
      <c r="M115" s="4"/>
      <c r="N115" s="4"/>
      <c r="O115" s="4"/>
      <c r="P115" s="4"/>
      <c r="Q115" s="4"/>
    </row>
    <row r="116" spans="1:17" x14ac:dyDescent="0.2">
      <c r="A116" t="s">
        <v>2835</v>
      </c>
      <c r="B116"/>
      <c r="C116" s="4">
        <v>64</v>
      </c>
      <c r="D116" s="4">
        <v>4.09441790864674</v>
      </c>
      <c r="E116" s="4">
        <v>0.41699999999999998</v>
      </c>
      <c r="F116" s="4">
        <v>28.264295951765718</v>
      </c>
      <c r="G116" s="4">
        <v>4.8496380673449</v>
      </c>
      <c r="H116" s="4">
        <v>10</v>
      </c>
      <c r="I116" s="4">
        <v>2.9770000000000003</v>
      </c>
      <c r="J116" s="4">
        <v>1.1576000000000002</v>
      </c>
      <c r="K116" s="4">
        <v>5.2657000000000007</v>
      </c>
      <c r="L116" s="4">
        <v>1.4839652788690469</v>
      </c>
      <c r="M116" s="4">
        <v>28</v>
      </c>
      <c r="N116" s="4">
        <v>8.2572035663948444</v>
      </c>
      <c r="O116" s="4">
        <v>1.54</v>
      </c>
      <c r="P116" s="4">
        <v>24</v>
      </c>
      <c r="Q116" s="4">
        <v>5.5950042294895148</v>
      </c>
    </row>
    <row r="117" spans="1:17" x14ac:dyDescent="0.2">
      <c r="A117" t="s">
        <v>760</v>
      </c>
      <c r="B117" t="s">
        <v>1728</v>
      </c>
      <c r="C117" s="4">
        <v>2</v>
      </c>
      <c r="D117" s="4">
        <v>23.2</v>
      </c>
      <c r="E117" s="4">
        <v>22.4</v>
      </c>
      <c r="F117" s="4">
        <v>24</v>
      </c>
      <c r="G117" s="4">
        <v>1.131370849898464</v>
      </c>
      <c r="H117" s="4">
        <v>1</v>
      </c>
      <c r="I117" s="4">
        <v>29</v>
      </c>
      <c r="J117" s="4">
        <v>29</v>
      </c>
      <c r="K117" s="4">
        <v>29</v>
      </c>
      <c r="L117" s="4"/>
      <c r="M117" s="4">
        <v>1</v>
      </c>
      <c r="N117" s="4">
        <v>29</v>
      </c>
      <c r="O117" s="4">
        <v>29</v>
      </c>
      <c r="P117" s="4">
        <v>29</v>
      </c>
      <c r="Q117" s="4"/>
    </row>
    <row r="118" spans="1:17" x14ac:dyDescent="0.2">
      <c r="B118" t="s">
        <v>1787</v>
      </c>
      <c r="C118" s="4">
        <v>0</v>
      </c>
      <c r="D118" s="4"/>
      <c r="E118" s="4">
        <v>0</v>
      </c>
      <c r="F118" s="4">
        <v>0</v>
      </c>
      <c r="G118" s="4"/>
      <c r="H118" s="4">
        <v>0</v>
      </c>
      <c r="I118" s="4"/>
      <c r="J118" s="4">
        <v>0</v>
      </c>
      <c r="K118" s="4">
        <v>0</v>
      </c>
      <c r="L118" s="4"/>
      <c r="M118" s="4">
        <v>2</v>
      </c>
      <c r="N118" s="4">
        <v>1.1600699999999999</v>
      </c>
      <c r="O118" s="4">
        <v>0.83374000000000004</v>
      </c>
      <c r="P118" s="4">
        <v>1.4863999999999999</v>
      </c>
      <c r="Q118" s="4">
        <v>0.46150031180921247</v>
      </c>
    </row>
    <row r="119" spans="1:17" x14ac:dyDescent="0.2">
      <c r="B119" t="s">
        <v>1791</v>
      </c>
      <c r="C119" s="4">
        <v>0</v>
      </c>
      <c r="D119" s="4"/>
      <c r="E119" s="4">
        <v>0</v>
      </c>
      <c r="F119" s="4">
        <v>0</v>
      </c>
      <c r="G119" s="4"/>
      <c r="H119" s="4">
        <v>0</v>
      </c>
      <c r="I119" s="4"/>
      <c r="J119" s="4">
        <v>0</v>
      </c>
      <c r="K119" s="4">
        <v>0</v>
      </c>
      <c r="L119" s="4"/>
      <c r="M119" s="4"/>
      <c r="N119" s="4"/>
      <c r="O119" s="4"/>
      <c r="P119" s="4"/>
      <c r="Q119" s="4"/>
    </row>
    <row r="120" spans="1:17" x14ac:dyDescent="0.2">
      <c r="B120" t="s">
        <v>3292</v>
      </c>
      <c r="C120" s="4">
        <v>2</v>
      </c>
      <c r="D120" s="4">
        <v>4.7558000000000007</v>
      </c>
      <c r="E120" s="4">
        <v>2.1116000000000001</v>
      </c>
      <c r="F120" s="4">
        <v>7.4</v>
      </c>
      <c r="G120" s="4">
        <v>3.7394635016269362</v>
      </c>
      <c r="H120" s="4">
        <v>0</v>
      </c>
      <c r="I120" s="4"/>
      <c r="J120" s="4">
        <v>0</v>
      </c>
      <c r="K120" s="4">
        <v>0</v>
      </c>
      <c r="L120" s="4"/>
      <c r="M120" s="4"/>
      <c r="N120" s="4"/>
      <c r="O120" s="4"/>
      <c r="P120" s="4"/>
      <c r="Q120" s="4"/>
    </row>
    <row r="121" spans="1:17" x14ac:dyDescent="0.2">
      <c r="B121" t="s">
        <v>1867</v>
      </c>
      <c r="C121" s="4">
        <v>0</v>
      </c>
      <c r="D121" s="4"/>
      <c r="E121" s="4">
        <v>0</v>
      </c>
      <c r="F121" s="4">
        <v>0</v>
      </c>
      <c r="G121" s="4"/>
      <c r="H121" s="4">
        <v>0</v>
      </c>
      <c r="I121" s="4"/>
      <c r="J121" s="4">
        <v>0</v>
      </c>
      <c r="K121" s="4">
        <v>0</v>
      </c>
      <c r="L121" s="4"/>
      <c r="M121" s="4"/>
      <c r="N121" s="4"/>
      <c r="O121" s="4"/>
      <c r="P121" s="4"/>
      <c r="Q121" s="4"/>
    </row>
    <row r="122" spans="1:17" x14ac:dyDescent="0.2">
      <c r="B122" t="s">
        <v>1883</v>
      </c>
      <c r="C122" s="4">
        <v>0</v>
      </c>
      <c r="D122" s="4"/>
      <c r="E122" s="4">
        <v>0</v>
      </c>
      <c r="F122" s="4">
        <v>0</v>
      </c>
      <c r="G122" s="4"/>
      <c r="H122" s="4">
        <v>0</v>
      </c>
      <c r="I122" s="4"/>
      <c r="J122" s="4">
        <v>0</v>
      </c>
      <c r="K122" s="4">
        <v>0</v>
      </c>
      <c r="L122" s="4"/>
      <c r="M122" s="4"/>
      <c r="N122" s="4"/>
      <c r="O122" s="4"/>
      <c r="P122" s="4"/>
      <c r="Q122" s="4"/>
    </row>
    <row r="123" spans="1:17" x14ac:dyDescent="0.2">
      <c r="B123" t="s">
        <v>1896</v>
      </c>
      <c r="C123" s="4">
        <v>1</v>
      </c>
      <c r="D123" s="4">
        <v>1.5431999999999999</v>
      </c>
      <c r="E123" s="4">
        <v>1.5431999999999999</v>
      </c>
      <c r="F123" s="4">
        <v>1.5431999999999999</v>
      </c>
      <c r="G123" s="4"/>
      <c r="H123" s="4">
        <v>0</v>
      </c>
      <c r="I123" s="4"/>
      <c r="J123" s="4">
        <v>0</v>
      </c>
      <c r="K123" s="4">
        <v>0</v>
      </c>
      <c r="L123" s="4"/>
      <c r="M123" s="4"/>
      <c r="N123" s="4"/>
      <c r="O123" s="4"/>
      <c r="P123" s="4"/>
      <c r="Q123" s="4"/>
    </row>
    <row r="124" spans="1:17" x14ac:dyDescent="0.2">
      <c r="B124" t="s">
        <v>1920</v>
      </c>
      <c r="C124" s="4">
        <v>3</v>
      </c>
      <c r="D124" s="4">
        <v>3.0061111111111107</v>
      </c>
      <c r="E124" s="4">
        <v>2.5039583333333333</v>
      </c>
      <c r="F124" s="4">
        <v>3.5764583333333331</v>
      </c>
      <c r="G124" s="4">
        <v>0.53949228371666036</v>
      </c>
      <c r="H124" s="4">
        <v>0</v>
      </c>
      <c r="I124" s="4"/>
      <c r="J124" s="4">
        <v>0</v>
      </c>
      <c r="K124" s="4">
        <v>0</v>
      </c>
      <c r="L124" s="4"/>
      <c r="M124" s="4"/>
      <c r="N124" s="4"/>
      <c r="O124" s="4"/>
      <c r="P124" s="4"/>
      <c r="Q124" s="4"/>
    </row>
    <row r="125" spans="1:17" x14ac:dyDescent="0.2">
      <c r="B125" t="s">
        <v>2029</v>
      </c>
      <c r="C125" s="4">
        <v>1</v>
      </c>
      <c r="D125" s="4">
        <v>28.4</v>
      </c>
      <c r="E125" s="4">
        <v>28.4</v>
      </c>
      <c r="F125" s="4">
        <v>28.4</v>
      </c>
      <c r="G125" s="4"/>
      <c r="H125" s="4">
        <v>0</v>
      </c>
      <c r="I125" s="4"/>
      <c r="J125" s="4">
        <v>0</v>
      </c>
      <c r="K125" s="4">
        <v>0</v>
      </c>
      <c r="L125" s="4"/>
      <c r="M125" s="4"/>
      <c r="N125" s="4"/>
      <c r="O125" s="4"/>
      <c r="P125" s="4"/>
      <c r="Q125" s="4"/>
    </row>
    <row r="126" spans="1:17" x14ac:dyDescent="0.2">
      <c r="B126" t="s">
        <v>1471</v>
      </c>
      <c r="C126" s="4">
        <v>0</v>
      </c>
      <c r="D126" s="4"/>
      <c r="E126" s="4">
        <v>0</v>
      </c>
      <c r="F126" s="4">
        <v>0</v>
      </c>
      <c r="G126" s="4"/>
      <c r="H126" s="4">
        <v>0</v>
      </c>
      <c r="I126" s="4"/>
      <c r="J126" s="4">
        <v>0</v>
      </c>
      <c r="K126" s="4">
        <v>0</v>
      </c>
      <c r="L126" s="4"/>
      <c r="M126" s="4"/>
      <c r="N126" s="4"/>
      <c r="O126" s="4"/>
      <c r="P126" s="4"/>
      <c r="Q126" s="4"/>
    </row>
    <row r="127" spans="1:17" x14ac:dyDescent="0.2">
      <c r="B127" t="s">
        <v>1466</v>
      </c>
      <c r="C127" s="4">
        <v>0</v>
      </c>
      <c r="D127" s="4"/>
      <c r="E127" s="4">
        <v>0</v>
      </c>
      <c r="F127" s="4">
        <v>0</v>
      </c>
      <c r="G127" s="4"/>
      <c r="H127" s="4">
        <v>0</v>
      </c>
      <c r="I127" s="4"/>
      <c r="J127" s="4">
        <v>0</v>
      </c>
      <c r="K127" s="4">
        <v>0</v>
      </c>
      <c r="L127" s="4"/>
      <c r="M127" s="4"/>
      <c r="N127" s="4"/>
      <c r="O127" s="4"/>
      <c r="P127" s="4"/>
      <c r="Q127" s="4"/>
    </row>
    <row r="128" spans="1:17" x14ac:dyDescent="0.2">
      <c r="B128" t="s">
        <v>2431</v>
      </c>
      <c r="C128" s="4">
        <v>0</v>
      </c>
      <c r="D128" s="4"/>
      <c r="E128" s="4">
        <v>0</v>
      </c>
      <c r="F128" s="4">
        <v>0</v>
      </c>
      <c r="G128" s="4"/>
      <c r="H128" s="4">
        <v>0</v>
      </c>
      <c r="I128" s="4"/>
      <c r="J128" s="4">
        <v>0</v>
      </c>
      <c r="K128" s="4">
        <v>0</v>
      </c>
      <c r="L128" s="4"/>
      <c r="M128" s="4"/>
      <c r="N128" s="4"/>
      <c r="O128" s="4"/>
      <c r="P128" s="4"/>
      <c r="Q128" s="4"/>
    </row>
    <row r="129" spans="1:17" x14ac:dyDescent="0.2">
      <c r="B129" t="s">
        <v>2450</v>
      </c>
      <c r="C129" s="4">
        <v>2</v>
      </c>
      <c r="D129" s="4">
        <v>1.3204500000000001</v>
      </c>
      <c r="E129" s="4">
        <v>1.2381</v>
      </c>
      <c r="F129" s="4">
        <v>1.4028</v>
      </c>
      <c r="G129" s="4">
        <v>0.11646048686142317</v>
      </c>
      <c r="H129" s="4">
        <v>0</v>
      </c>
      <c r="I129" s="4"/>
      <c r="J129" s="4">
        <v>0</v>
      </c>
      <c r="K129" s="4">
        <v>0</v>
      </c>
      <c r="L129" s="4"/>
      <c r="M129" s="4"/>
      <c r="N129" s="4"/>
      <c r="O129" s="4"/>
      <c r="P129" s="4"/>
      <c r="Q129" s="4"/>
    </row>
    <row r="130" spans="1:17" x14ac:dyDescent="0.2">
      <c r="B130" t="s">
        <v>2126</v>
      </c>
      <c r="C130" s="4">
        <v>9</v>
      </c>
      <c r="D130" s="4">
        <v>3.6471020222222226</v>
      </c>
      <c r="E130" s="4">
        <v>2.0325096999999999</v>
      </c>
      <c r="F130" s="4">
        <v>7.1159132999999999</v>
      </c>
      <c r="G130" s="4">
        <v>1.8053178483626884</v>
      </c>
      <c r="H130" s="4">
        <v>0</v>
      </c>
      <c r="I130" s="4"/>
      <c r="J130" s="4">
        <v>0</v>
      </c>
      <c r="K130" s="4">
        <v>0</v>
      </c>
      <c r="L130" s="4"/>
      <c r="M130" s="4"/>
      <c r="N130" s="4"/>
      <c r="O130" s="4"/>
      <c r="P130" s="4"/>
      <c r="Q130" s="4"/>
    </row>
    <row r="131" spans="1:17" x14ac:dyDescent="0.2">
      <c r="B131" t="s">
        <v>2130</v>
      </c>
      <c r="C131" s="4">
        <v>1</v>
      </c>
      <c r="D131" s="4">
        <v>3.2267999999999999</v>
      </c>
      <c r="E131" s="4">
        <v>3.2267999999999999</v>
      </c>
      <c r="F131" s="4">
        <v>3.2267999999999999</v>
      </c>
      <c r="G131" s="4"/>
      <c r="H131" s="4">
        <v>0</v>
      </c>
      <c r="I131" s="4"/>
      <c r="J131" s="4">
        <v>0</v>
      </c>
      <c r="K131" s="4">
        <v>0</v>
      </c>
      <c r="L131" s="4"/>
      <c r="M131" s="4"/>
      <c r="N131" s="4"/>
      <c r="O131" s="4"/>
      <c r="P131" s="4"/>
      <c r="Q131" s="4"/>
    </row>
    <row r="132" spans="1:17" x14ac:dyDescent="0.2">
      <c r="B132" t="s">
        <v>2140</v>
      </c>
      <c r="C132" s="4">
        <v>1</v>
      </c>
      <c r="D132" s="4">
        <v>1.0900000000000001</v>
      </c>
      <c r="E132" s="4">
        <v>1.0900000000000001</v>
      </c>
      <c r="F132" s="4">
        <v>1.0900000000000001</v>
      </c>
      <c r="G132" s="4"/>
      <c r="H132" s="4">
        <v>0</v>
      </c>
      <c r="I132" s="4"/>
      <c r="J132" s="4">
        <v>0</v>
      </c>
      <c r="K132" s="4">
        <v>0</v>
      </c>
      <c r="L132" s="4"/>
      <c r="M132" s="4"/>
      <c r="N132" s="4"/>
      <c r="O132" s="4"/>
      <c r="P132" s="4"/>
      <c r="Q132" s="4"/>
    </row>
    <row r="133" spans="1:17" x14ac:dyDescent="0.2">
      <c r="B133" t="s">
        <v>2142</v>
      </c>
      <c r="C133" s="4">
        <v>0</v>
      </c>
      <c r="D133" s="4"/>
      <c r="E133" s="4">
        <v>0</v>
      </c>
      <c r="F133" s="4">
        <v>0</v>
      </c>
      <c r="G133" s="4"/>
      <c r="H133" s="4">
        <v>0</v>
      </c>
      <c r="I133" s="4"/>
      <c r="J133" s="4">
        <v>0</v>
      </c>
      <c r="K133" s="4">
        <v>0</v>
      </c>
      <c r="L133" s="4"/>
      <c r="M133" s="4">
        <v>1</v>
      </c>
      <c r="N133" s="4">
        <v>26.107200000000002</v>
      </c>
      <c r="O133" s="4">
        <v>26.107200000000002</v>
      </c>
      <c r="P133" s="4">
        <v>26.107200000000002</v>
      </c>
      <c r="Q133" s="4"/>
    </row>
    <row r="134" spans="1:17" x14ac:dyDescent="0.2">
      <c r="B134" t="s">
        <v>1463</v>
      </c>
      <c r="C134" s="4">
        <v>0</v>
      </c>
      <c r="D134" s="4"/>
      <c r="E134" s="4">
        <v>0</v>
      </c>
      <c r="F134" s="4">
        <v>0</v>
      </c>
      <c r="G134" s="4"/>
      <c r="H134" s="4">
        <v>0</v>
      </c>
      <c r="I134" s="4"/>
      <c r="J134" s="4">
        <v>0</v>
      </c>
      <c r="K134" s="4">
        <v>0</v>
      </c>
      <c r="L134" s="4"/>
      <c r="M134" s="4"/>
      <c r="N134" s="4"/>
      <c r="O134" s="4"/>
      <c r="P134" s="4"/>
      <c r="Q134" s="4"/>
    </row>
    <row r="135" spans="1:17" x14ac:dyDescent="0.2">
      <c r="B135" t="s">
        <v>2253</v>
      </c>
      <c r="C135" s="4">
        <v>0</v>
      </c>
      <c r="D135" s="4"/>
      <c r="E135" s="4">
        <v>0</v>
      </c>
      <c r="F135" s="4">
        <v>0</v>
      </c>
      <c r="G135" s="4"/>
      <c r="H135" s="4">
        <v>0</v>
      </c>
      <c r="I135" s="4"/>
      <c r="J135" s="4">
        <v>0</v>
      </c>
      <c r="K135" s="4">
        <v>0</v>
      </c>
      <c r="L135" s="4"/>
      <c r="M135" s="4"/>
      <c r="N135" s="4"/>
      <c r="O135" s="4"/>
      <c r="P135" s="4"/>
      <c r="Q135" s="4"/>
    </row>
    <row r="136" spans="1:17" x14ac:dyDescent="0.2">
      <c r="B136" t="s">
        <v>2970</v>
      </c>
      <c r="C136" s="4">
        <v>0</v>
      </c>
      <c r="D136" s="4"/>
      <c r="E136" s="4">
        <v>0</v>
      </c>
      <c r="F136" s="4">
        <v>0</v>
      </c>
      <c r="G136" s="4"/>
      <c r="H136" s="4">
        <v>1</v>
      </c>
      <c r="I136" s="4">
        <v>2.9633449999999999</v>
      </c>
      <c r="J136" s="4">
        <v>2.9633449999999999</v>
      </c>
      <c r="K136" s="4">
        <v>2.9633449999999999</v>
      </c>
      <c r="L136" s="4"/>
      <c r="M136" s="4">
        <v>1</v>
      </c>
      <c r="N136" s="4">
        <v>2.9633449999999999</v>
      </c>
      <c r="O136" s="4">
        <v>2.9633449999999999</v>
      </c>
      <c r="P136" s="4">
        <v>2.9633449999999999</v>
      </c>
      <c r="Q136" s="4"/>
    </row>
    <row r="137" spans="1:17" x14ac:dyDescent="0.2">
      <c r="B137" t="s">
        <v>2270</v>
      </c>
      <c r="C137" s="4">
        <v>4</v>
      </c>
      <c r="D137" s="4">
        <v>2.7156750000000001</v>
      </c>
      <c r="E137" s="4">
        <v>1.5</v>
      </c>
      <c r="F137" s="4">
        <v>4</v>
      </c>
      <c r="G137" s="4">
        <v>1.0677965579485011</v>
      </c>
      <c r="H137" s="4">
        <v>0</v>
      </c>
      <c r="I137" s="4"/>
      <c r="J137" s="4">
        <v>0</v>
      </c>
      <c r="K137" s="4">
        <v>0</v>
      </c>
      <c r="L137" s="4"/>
      <c r="M137" s="4"/>
      <c r="N137" s="4"/>
      <c r="O137" s="4"/>
      <c r="P137" s="4"/>
      <c r="Q137" s="4"/>
    </row>
    <row r="138" spans="1:17" x14ac:dyDescent="0.2">
      <c r="B138" t="s">
        <v>2290</v>
      </c>
      <c r="C138" s="4">
        <v>11</v>
      </c>
      <c r="D138" s="4">
        <v>6.3822858909090918</v>
      </c>
      <c r="E138" s="4">
        <v>4.1808379000000002</v>
      </c>
      <c r="F138" s="4">
        <v>9.4524524999999997</v>
      </c>
      <c r="G138" s="4">
        <v>1.3784473590983684</v>
      </c>
      <c r="H138" s="4">
        <v>0</v>
      </c>
      <c r="I138" s="4"/>
      <c r="J138" s="4">
        <v>0</v>
      </c>
      <c r="K138" s="4">
        <v>0</v>
      </c>
      <c r="L138" s="4"/>
      <c r="M138" s="4"/>
      <c r="N138" s="4"/>
      <c r="O138" s="4"/>
      <c r="P138" s="4"/>
      <c r="Q138" s="4"/>
    </row>
    <row r="139" spans="1:17" x14ac:dyDescent="0.2">
      <c r="B139" t="s">
        <v>761</v>
      </c>
      <c r="C139" s="4">
        <v>0</v>
      </c>
      <c r="D139" s="4"/>
      <c r="E139" s="4">
        <v>0</v>
      </c>
      <c r="F139" s="4">
        <v>0</v>
      </c>
      <c r="G139" s="4"/>
      <c r="H139" s="4">
        <v>0</v>
      </c>
      <c r="I139" s="4"/>
      <c r="J139" s="4">
        <v>0</v>
      </c>
      <c r="K139" s="4">
        <v>0</v>
      </c>
      <c r="L139" s="4"/>
      <c r="M139" s="4"/>
      <c r="N139" s="4"/>
      <c r="O139" s="4"/>
      <c r="P139" s="4"/>
      <c r="Q139" s="4"/>
    </row>
    <row r="140" spans="1:17" x14ac:dyDescent="0.2">
      <c r="B140" t="s">
        <v>2335</v>
      </c>
      <c r="C140" s="4">
        <v>0</v>
      </c>
      <c r="D140" s="4"/>
      <c r="E140" s="4">
        <v>0</v>
      </c>
      <c r="F140" s="4">
        <v>0</v>
      </c>
      <c r="G140" s="4"/>
      <c r="H140" s="4">
        <v>0</v>
      </c>
      <c r="I140" s="4"/>
      <c r="J140" s="4">
        <v>0</v>
      </c>
      <c r="K140" s="4">
        <v>0</v>
      </c>
      <c r="L140" s="4"/>
      <c r="M140" s="4"/>
      <c r="N140" s="4"/>
      <c r="O140" s="4"/>
      <c r="P140" s="4"/>
      <c r="Q140" s="4"/>
    </row>
    <row r="141" spans="1:17" x14ac:dyDescent="0.2">
      <c r="A141" t="s">
        <v>2836</v>
      </c>
      <c r="B141"/>
      <c r="C141" s="4">
        <v>37</v>
      </c>
      <c r="D141" s="4">
        <v>5.8303404414414413</v>
      </c>
      <c r="E141" s="4">
        <v>1.0900000000000001</v>
      </c>
      <c r="F141" s="4">
        <v>28.4</v>
      </c>
      <c r="G141" s="4">
        <v>6.1841050802938193</v>
      </c>
      <c r="H141" s="4">
        <v>2</v>
      </c>
      <c r="I141" s="4">
        <v>15.9816725</v>
      </c>
      <c r="J141" s="4">
        <v>2.9633449999999999</v>
      </c>
      <c r="K141" s="4">
        <v>29</v>
      </c>
      <c r="L141" s="4">
        <v>18.410695309914626</v>
      </c>
      <c r="M141" s="4">
        <v>5</v>
      </c>
      <c r="N141" s="4">
        <v>12.078137</v>
      </c>
      <c r="O141" s="4">
        <v>0.83374000000000004</v>
      </c>
      <c r="P141" s="4">
        <v>29</v>
      </c>
      <c r="Q141" s="4">
        <v>14.185070019414605</v>
      </c>
    </row>
    <row r="142" spans="1:17" x14ac:dyDescent="0.2">
      <c r="A142" t="s">
        <v>24</v>
      </c>
      <c r="B142" t="s">
        <v>53</v>
      </c>
      <c r="C142" s="4">
        <v>19</v>
      </c>
      <c r="D142" s="4">
        <v>67.894632596446456</v>
      </c>
      <c r="E142" s="4">
        <v>7.8</v>
      </c>
      <c r="F142" s="4">
        <v>169</v>
      </c>
      <c r="G142" s="4">
        <v>39.183980232133344</v>
      </c>
      <c r="H142" s="4">
        <v>4</v>
      </c>
      <c r="I142" s="4">
        <v>38.147241151344765</v>
      </c>
      <c r="J142" s="4">
        <v>25.9</v>
      </c>
      <c r="K142" s="4">
        <v>54.828964605379056</v>
      </c>
      <c r="L142" s="4">
        <v>12.577399437913796</v>
      </c>
      <c r="M142" s="4">
        <v>9</v>
      </c>
      <c r="N142" s="4">
        <v>46.114156256363309</v>
      </c>
      <c r="O142" s="4">
        <v>13.193403298350825</v>
      </c>
      <c r="P142" s="4">
        <v>189.31094453815436</v>
      </c>
      <c r="Q142" s="4">
        <v>55.219807221270088</v>
      </c>
    </row>
    <row r="143" spans="1:17" x14ac:dyDescent="0.2">
      <c r="B143" t="s">
        <v>4056</v>
      </c>
      <c r="C143" s="4">
        <v>3</v>
      </c>
      <c r="D143" s="4">
        <v>75.352323838080963</v>
      </c>
      <c r="E143" s="4">
        <v>71.784107946026978</v>
      </c>
      <c r="F143" s="4">
        <v>80.599700149925027</v>
      </c>
      <c r="G143" s="4">
        <v>4.6414815805836156</v>
      </c>
      <c r="H143" s="4">
        <v>0</v>
      </c>
      <c r="I143" s="4"/>
      <c r="J143" s="4">
        <v>0</v>
      </c>
      <c r="K143" s="4">
        <v>0</v>
      </c>
      <c r="L143" s="4"/>
      <c r="M143" s="4"/>
      <c r="N143" s="4"/>
      <c r="O143" s="4"/>
      <c r="P143" s="4"/>
      <c r="Q143" s="4"/>
    </row>
    <row r="144" spans="1:17" x14ac:dyDescent="0.2">
      <c r="B144" t="s">
        <v>283</v>
      </c>
      <c r="C144" s="4">
        <v>15</v>
      </c>
      <c r="D144" s="4">
        <v>27.337984848484844</v>
      </c>
      <c r="E144" s="4">
        <v>11.168831168831169</v>
      </c>
      <c r="F144" s="4">
        <v>56.041558441558436</v>
      </c>
      <c r="G144" s="4">
        <v>11.446373044126648</v>
      </c>
      <c r="H144" s="4">
        <v>10</v>
      </c>
      <c r="I144" s="4">
        <v>31.418659632034633</v>
      </c>
      <c r="J144" s="4">
        <v>16.623376623376622</v>
      </c>
      <c r="K144" s="4">
        <v>60.259740259740255</v>
      </c>
      <c r="L144" s="4">
        <v>13.918051459232759</v>
      </c>
      <c r="M144" s="4">
        <v>10</v>
      </c>
      <c r="N144" s="4">
        <v>31.647201298701294</v>
      </c>
      <c r="O144" s="4">
        <v>16.623376623376622</v>
      </c>
      <c r="P144" s="4">
        <v>60.259740259740255</v>
      </c>
      <c r="Q144" s="4">
        <v>13.816698953001817</v>
      </c>
    </row>
    <row r="145" spans="1:17" x14ac:dyDescent="0.2">
      <c r="B145" t="s">
        <v>348</v>
      </c>
      <c r="C145" s="4">
        <v>0</v>
      </c>
      <c r="D145" s="4"/>
      <c r="E145" s="4">
        <v>0</v>
      </c>
      <c r="F145" s="4">
        <v>0</v>
      </c>
      <c r="G145" s="4"/>
      <c r="H145" s="4">
        <v>0</v>
      </c>
      <c r="I145" s="4"/>
      <c r="J145" s="4">
        <v>0</v>
      </c>
      <c r="K145" s="4">
        <v>0</v>
      </c>
      <c r="L145" s="4"/>
      <c r="M145" s="4"/>
      <c r="N145" s="4"/>
      <c r="O145" s="4"/>
      <c r="P145" s="4"/>
      <c r="Q145" s="4"/>
    </row>
    <row r="146" spans="1:17" x14ac:dyDescent="0.2">
      <c r="B146" t="s">
        <v>2073</v>
      </c>
      <c r="C146" s="4">
        <v>0</v>
      </c>
      <c r="D146" s="4"/>
      <c r="E146" s="4">
        <v>0</v>
      </c>
      <c r="F146" s="4">
        <v>0</v>
      </c>
      <c r="G146" s="4"/>
      <c r="H146" s="4">
        <v>1</v>
      </c>
      <c r="I146" s="4">
        <v>8.5</v>
      </c>
      <c r="J146" s="4">
        <v>8.5</v>
      </c>
      <c r="K146" s="4">
        <v>8.5</v>
      </c>
      <c r="L146" s="4"/>
      <c r="M146" s="4"/>
      <c r="N146" s="4"/>
      <c r="O146" s="4"/>
      <c r="P146" s="4"/>
      <c r="Q146" s="4"/>
    </row>
    <row r="147" spans="1:17" x14ac:dyDescent="0.2">
      <c r="B147" t="s">
        <v>269</v>
      </c>
      <c r="C147" s="4">
        <v>17</v>
      </c>
      <c r="D147" s="4">
        <v>28.619775438183076</v>
      </c>
      <c r="E147" s="4">
        <v>18.378312832988502</v>
      </c>
      <c r="F147" s="4">
        <v>46.002622225253702</v>
      </c>
      <c r="G147" s="4">
        <v>6.8913248294546285</v>
      </c>
      <c r="H147" s="4">
        <v>5</v>
      </c>
      <c r="I147" s="4">
        <v>32.809625430155947</v>
      </c>
      <c r="J147" s="4">
        <v>26.748970912208506</v>
      </c>
      <c r="K147" s="4">
        <v>39.165943827160497</v>
      </c>
      <c r="L147" s="4">
        <v>5.1091696332849548</v>
      </c>
      <c r="M147" s="4">
        <v>5</v>
      </c>
      <c r="N147" s="4">
        <v>29.276550575560616</v>
      </c>
      <c r="O147" s="4">
        <v>26.748971193415638</v>
      </c>
      <c r="P147" s="4">
        <v>33.607681755829908</v>
      </c>
      <c r="Q147" s="4">
        <v>2.628469132425248</v>
      </c>
    </row>
    <row r="148" spans="1:17" x14ac:dyDescent="0.2">
      <c r="B148" t="s">
        <v>4010</v>
      </c>
      <c r="C148" s="4">
        <v>4</v>
      </c>
      <c r="D148" s="4">
        <v>24.475427350427349</v>
      </c>
      <c r="E148" s="4">
        <v>12.2</v>
      </c>
      <c r="F148" s="4">
        <v>44.246153846153845</v>
      </c>
      <c r="G148" s="4">
        <v>14.332624486190154</v>
      </c>
      <c r="H148" s="4">
        <v>2</v>
      </c>
      <c r="I148" s="4">
        <v>40.815452991452993</v>
      </c>
      <c r="J148" s="4">
        <v>31.644444444444442</v>
      </c>
      <c r="K148" s="4">
        <v>49.98646153846154</v>
      </c>
      <c r="L148" s="4">
        <v>12.969764667819058</v>
      </c>
      <c r="M148" s="4">
        <v>4</v>
      </c>
      <c r="N148" s="4">
        <v>32.446615384615384</v>
      </c>
      <c r="O148" s="4">
        <v>21.1</v>
      </c>
      <c r="P148" s="4">
        <v>49.98646153846154</v>
      </c>
      <c r="Q148" s="4">
        <v>12.894636319900052</v>
      </c>
    </row>
    <row r="149" spans="1:17" x14ac:dyDescent="0.2">
      <c r="B149" t="s">
        <v>2224</v>
      </c>
      <c r="C149" s="4">
        <v>1</v>
      </c>
      <c r="D149" s="4">
        <v>55.220125786163514</v>
      </c>
      <c r="E149" s="4">
        <v>55.220125786163514</v>
      </c>
      <c r="F149" s="4">
        <v>55.220125786163514</v>
      </c>
      <c r="G149" s="4"/>
      <c r="H149" s="4">
        <v>1</v>
      </c>
      <c r="I149" s="4">
        <v>65.132075471698101</v>
      </c>
      <c r="J149" s="4">
        <v>65.132075471698101</v>
      </c>
      <c r="K149" s="4">
        <v>65.132075471698101</v>
      </c>
      <c r="L149" s="4"/>
      <c r="M149" s="4">
        <v>1</v>
      </c>
      <c r="N149" s="4">
        <v>66.452830188679229</v>
      </c>
      <c r="O149" s="4">
        <v>66.452830188679229</v>
      </c>
      <c r="P149" s="4">
        <v>66.452830188679229</v>
      </c>
      <c r="Q149" s="4"/>
    </row>
    <row r="150" spans="1:17" x14ac:dyDescent="0.2">
      <c r="B150" t="s">
        <v>346</v>
      </c>
      <c r="C150" s="4">
        <v>6</v>
      </c>
      <c r="D150" s="4">
        <v>33.613424518743663</v>
      </c>
      <c r="E150" s="4">
        <v>12.2</v>
      </c>
      <c r="F150" s="4">
        <v>65</v>
      </c>
      <c r="G150" s="4">
        <v>20.560479404527239</v>
      </c>
      <c r="H150" s="4">
        <v>3</v>
      </c>
      <c r="I150" s="4">
        <v>31.489361670199997</v>
      </c>
      <c r="J150" s="4">
        <v>6.8389057750759878</v>
      </c>
      <c r="K150" s="4">
        <v>54.711246200607903</v>
      </c>
      <c r="L150" s="4">
        <v>23.968121673643296</v>
      </c>
      <c r="M150" s="4">
        <v>4</v>
      </c>
      <c r="N150" s="4">
        <v>41.286702127659574</v>
      </c>
      <c r="O150" s="4">
        <v>30.7</v>
      </c>
      <c r="P150" s="4">
        <v>54.711246200607903</v>
      </c>
      <c r="Q150" s="4">
        <v>10.210642429440385</v>
      </c>
    </row>
    <row r="151" spans="1:17" x14ac:dyDescent="0.2">
      <c r="B151" t="s">
        <v>2432</v>
      </c>
      <c r="C151" s="4">
        <v>0</v>
      </c>
      <c r="D151" s="4"/>
      <c r="E151" s="4">
        <v>0</v>
      </c>
      <c r="F151" s="4">
        <v>0</v>
      </c>
      <c r="G151" s="4"/>
      <c r="H151" s="4">
        <v>0</v>
      </c>
      <c r="I151" s="4"/>
      <c r="J151" s="4">
        <v>0</v>
      </c>
      <c r="K151" s="4">
        <v>0</v>
      </c>
      <c r="L151" s="4"/>
      <c r="M151" s="4"/>
      <c r="N151" s="4"/>
      <c r="O151" s="4"/>
      <c r="P151" s="4"/>
      <c r="Q151" s="4"/>
    </row>
    <row r="152" spans="1:17" x14ac:dyDescent="0.2">
      <c r="B152" t="s">
        <v>173</v>
      </c>
      <c r="C152" s="4">
        <v>0</v>
      </c>
      <c r="D152" s="4"/>
      <c r="E152" s="4">
        <v>0</v>
      </c>
      <c r="F152" s="4">
        <v>0</v>
      </c>
      <c r="G152" s="4"/>
      <c r="H152" s="4">
        <v>0</v>
      </c>
      <c r="I152" s="4"/>
      <c r="J152" s="4">
        <v>0</v>
      </c>
      <c r="K152" s="4">
        <v>0</v>
      </c>
      <c r="L152" s="4"/>
      <c r="M152" s="4"/>
      <c r="N152" s="4"/>
      <c r="O152" s="4"/>
      <c r="P152" s="4"/>
      <c r="Q152" s="4"/>
    </row>
    <row r="153" spans="1:17" x14ac:dyDescent="0.2">
      <c r="B153" t="s">
        <v>394</v>
      </c>
      <c r="C153" s="4">
        <v>0</v>
      </c>
      <c r="D153" s="4"/>
      <c r="E153" s="4">
        <v>0</v>
      </c>
      <c r="F153" s="4">
        <v>0</v>
      </c>
      <c r="G153" s="4"/>
      <c r="H153" s="4">
        <v>0</v>
      </c>
      <c r="I153" s="4"/>
      <c r="J153" s="4">
        <v>0</v>
      </c>
      <c r="K153" s="4">
        <v>0</v>
      </c>
      <c r="L153" s="4"/>
      <c r="M153" s="4"/>
      <c r="N153" s="4"/>
      <c r="O153" s="4"/>
      <c r="P153" s="4"/>
      <c r="Q153" s="4"/>
    </row>
    <row r="154" spans="1:17" x14ac:dyDescent="0.2">
      <c r="A154" t="s">
        <v>2837</v>
      </c>
      <c r="B154"/>
      <c r="C154" s="4">
        <v>65</v>
      </c>
      <c r="D154" s="4">
        <v>42.576358897283782</v>
      </c>
      <c r="E154" s="4">
        <v>7.8</v>
      </c>
      <c r="F154" s="4">
        <v>169</v>
      </c>
      <c r="G154" s="4">
        <v>29.883385042446726</v>
      </c>
      <c r="H154" s="4">
        <v>26</v>
      </c>
      <c r="I154" s="4">
        <v>33.867490559296499</v>
      </c>
      <c r="J154" s="4">
        <v>6.8389057750759878</v>
      </c>
      <c r="K154" s="4">
        <v>65.132075471698101</v>
      </c>
      <c r="L154" s="4">
        <v>14.849754460526484</v>
      </c>
      <c r="M154" s="4">
        <v>33</v>
      </c>
      <c r="N154" s="4">
        <v>37.553584012420167</v>
      </c>
      <c r="O154" s="4">
        <v>13.193403298350825</v>
      </c>
      <c r="P154" s="4">
        <v>189.31094453815436</v>
      </c>
      <c r="Q154" s="4">
        <v>30.257920234653412</v>
      </c>
    </row>
    <row r="155" spans="1:17" x14ac:dyDescent="0.2">
      <c r="A155" t="s">
        <v>398</v>
      </c>
      <c r="B155" t="s">
        <v>399</v>
      </c>
      <c r="C155" s="4">
        <v>0</v>
      </c>
      <c r="D155" s="4"/>
      <c r="E155" s="4">
        <v>0</v>
      </c>
      <c r="F155" s="4">
        <v>0</v>
      </c>
      <c r="G155" s="4"/>
      <c r="H155" s="4">
        <v>0</v>
      </c>
      <c r="I155" s="4"/>
      <c r="J155" s="4">
        <v>0</v>
      </c>
      <c r="K155" s="4">
        <v>0</v>
      </c>
      <c r="L155" s="4"/>
      <c r="M155" s="4"/>
      <c r="N155" s="4"/>
      <c r="O155" s="4"/>
      <c r="P155" s="4"/>
      <c r="Q155" s="4"/>
    </row>
    <row r="156" spans="1:17" x14ac:dyDescent="0.2">
      <c r="B156" t="s">
        <v>402</v>
      </c>
      <c r="C156" s="4">
        <v>0</v>
      </c>
      <c r="D156" s="4"/>
      <c r="E156" s="4">
        <v>0</v>
      </c>
      <c r="F156" s="4">
        <v>0</v>
      </c>
      <c r="G156" s="4"/>
      <c r="H156" s="4">
        <v>0</v>
      </c>
      <c r="I156" s="4"/>
      <c r="J156" s="4">
        <v>0</v>
      </c>
      <c r="K156" s="4">
        <v>0</v>
      </c>
      <c r="L156" s="4"/>
      <c r="M156" s="4"/>
      <c r="N156" s="4"/>
      <c r="O156" s="4"/>
      <c r="P156" s="4"/>
      <c r="Q156" s="4"/>
    </row>
    <row r="157" spans="1:17" x14ac:dyDescent="0.2">
      <c r="B157" t="s">
        <v>404</v>
      </c>
      <c r="C157" s="4">
        <v>0</v>
      </c>
      <c r="D157" s="4"/>
      <c r="E157" s="4">
        <v>0</v>
      </c>
      <c r="F157" s="4">
        <v>0</v>
      </c>
      <c r="G157" s="4"/>
      <c r="H157" s="4">
        <v>0</v>
      </c>
      <c r="I157" s="4"/>
      <c r="J157" s="4">
        <v>0</v>
      </c>
      <c r="K157" s="4">
        <v>0</v>
      </c>
      <c r="L157" s="4"/>
      <c r="M157" s="4"/>
      <c r="N157" s="4"/>
      <c r="O157" s="4"/>
      <c r="P157" s="4"/>
      <c r="Q157" s="4"/>
    </row>
    <row r="158" spans="1:17" x14ac:dyDescent="0.2">
      <c r="B158" t="s">
        <v>1211</v>
      </c>
      <c r="C158" s="4">
        <v>0</v>
      </c>
      <c r="D158" s="4"/>
      <c r="E158" s="4">
        <v>0</v>
      </c>
      <c r="F158" s="4">
        <v>0</v>
      </c>
      <c r="G158" s="4"/>
      <c r="H158" s="4">
        <v>0</v>
      </c>
      <c r="I158" s="4"/>
      <c r="J158" s="4">
        <v>0</v>
      </c>
      <c r="K158" s="4">
        <v>0</v>
      </c>
      <c r="L158" s="4"/>
      <c r="M158" s="4"/>
      <c r="N158" s="4"/>
      <c r="O158" s="4"/>
      <c r="P158" s="4"/>
      <c r="Q158" s="4"/>
    </row>
    <row r="159" spans="1:17" x14ac:dyDescent="0.2">
      <c r="B159" t="s">
        <v>3382</v>
      </c>
      <c r="C159" s="4">
        <v>0</v>
      </c>
      <c r="D159" s="4"/>
      <c r="E159" s="4">
        <v>0</v>
      </c>
      <c r="F159" s="4">
        <v>0</v>
      </c>
      <c r="G159" s="4"/>
      <c r="H159" s="4">
        <v>0</v>
      </c>
      <c r="I159" s="4"/>
      <c r="J159" s="4">
        <v>0</v>
      </c>
      <c r="K159" s="4">
        <v>0</v>
      </c>
      <c r="L159" s="4"/>
      <c r="M159" s="4"/>
      <c r="N159" s="4"/>
      <c r="O159" s="4"/>
      <c r="P159" s="4"/>
      <c r="Q159" s="4"/>
    </row>
    <row r="160" spans="1:17" x14ac:dyDescent="0.2">
      <c r="B160" t="s">
        <v>406</v>
      </c>
      <c r="C160" s="4">
        <v>0</v>
      </c>
      <c r="D160" s="4"/>
      <c r="E160" s="4">
        <v>0</v>
      </c>
      <c r="F160" s="4">
        <v>0</v>
      </c>
      <c r="G160" s="4"/>
      <c r="H160" s="4">
        <v>0</v>
      </c>
      <c r="I160" s="4"/>
      <c r="J160" s="4">
        <v>0</v>
      </c>
      <c r="K160" s="4">
        <v>0</v>
      </c>
      <c r="L160" s="4"/>
      <c r="M160" s="4">
        <v>1</v>
      </c>
      <c r="N160" s="4">
        <v>11.44</v>
      </c>
      <c r="O160" s="4">
        <v>11.44</v>
      </c>
      <c r="P160" s="4">
        <v>11.44</v>
      </c>
      <c r="Q160" s="4"/>
    </row>
    <row r="161" spans="1:17" x14ac:dyDescent="0.2">
      <c r="B161" t="s">
        <v>411</v>
      </c>
      <c r="C161" s="4">
        <v>0</v>
      </c>
      <c r="D161" s="4"/>
      <c r="E161" s="4">
        <v>0</v>
      </c>
      <c r="F161" s="4">
        <v>0</v>
      </c>
      <c r="G161" s="4"/>
      <c r="H161" s="4">
        <v>0</v>
      </c>
      <c r="I161" s="4"/>
      <c r="J161" s="4">
        <v>0</v>
      </c>
      <c r="K161" s="4">
        <v>0</v>
      </c>
      <c r="L161" s="4"/>
      <c r="M161" s="4"/>
      <c r="N161" s="4"/>
      <c r="O161" s="4"/>
      <c r="P161" s="4"/>
      <c r="Q161" s="4"/>
    </row>
    <row r="162" spans="1:17" x14ac:dyDescent="0.2">
      <c r="B162" t="s">
        <v>400</v>
      </c>
      <c r="C162" s="4">
        <v>0</v>
      </c>
      <c r="D162" s="4"/>
      <c r="E162" s="4">
        <v>0</v>
      </c>
      <c r="F162" s="4">
        <v>0</v>
      </c>
      <c r="G162" s="4"/>
      <c r="H162" s="4">
        <v>0</v>
      </c>
      <c r="I162" s="4"/>
      <c r="J162" s="4">
        <v>0</v>
      </c>
      <c r="K162" s="4">
        <v>0</v>
      </c>
      <c r="L162" s="4"/>
      <c r="M162" s="4"/>
      <c r="N162" s="4"/>
      <c r="O162" s="4"/>
      <c r="P162" s="4"/>
      <c r="Q162" s="4"/>
    </row>
    <row r="163" spans="1:17" x14ac:dyDescent="0.2">
      <c r="A163" t="s">
        <v>2838</v>
      </c>
      <c r="B163"/>
      <c r="C163" s="4">
        <v>0</v>
      </c>
      <c r="D163" s="4"/>
      <c r="E163" s="4">
        <v>0</v>
      </c>
      <c r="F163" s="4">
        <v>0</v>
      </c>
      <c r="G163" s="4"/>
      <c r="H163" s="4">
        <v>0</v>
      </c>
      <c r="I163" s="4"/>
      <c r="J163" s="4">
        <v>0</v>
      </c>
      <c r="K163" s="4">
        <v>0</v>
      </c>
      <c r="L163" s="4"/>
      <c r="M163" s="4">
        <v>1</v>
      </c>
      <c r="N163" s="4">
        <v>11.44</v>
      </c>
      <c r="O163" s="4">
        <v>11.44</v>
      </c>
      <c r="P163" s="4">
        <v>11.44</v>
      </c>
      <c r="Q163" s="4"/>
    </row>
    <row r="164" spans="1:17" x14ac:dyDescent="0.2">
      <c r="A164" t="s">
        <v>542</v>
      </c>
      <c r="B164" t="s">
        <v>1925</v>
      </c>
      <c r="C164" s="4">
        <v>0</v>
      </c>
      <c r="D164" s="4"/>
      <c r="E164" s="4">
        <v>0</v>
      </c>
      <c r="F164" s="4">
        <v>0</v>
      </c>
      <c r="G164" s="4"/>
      <c r="H164" s="4">
        <v>3</v>
      </c>
      <c r="I164" s="4">
        <v>11.899959666666668</v>
      </c>
      <c r="J164" s="4">
        <v>10.811221</v>
      </c>
      <c r="K164" s="4">
        <v>12.765396000000001</v>
      </c>
      <c r="L164" s="4">
        <v>0.99604112952744306</v>
      </c>
      <c r="M164" s="4">
        <v>3</v>
      </c>
      <c r="N164" s="4">
        <v>11.899959666666668</v>
      </c>
      <c r="O164" s="4">
        <v>10.811221</v>
      </c>
      <c r="P164" s="4">
        <v>12.765396000000001</v>
      </c>
      <c r="Q164" s="4">
        <v>0.99604112952744306</v>
      </c>
    </row>
    <row r="165" spans="1:17" x14ac:dyDescent="0.2">
      <c r="B165" t="s">
        <v>1939</v>
      </c>
      <c r="C165" s="4">
        <v>0</v>
      </c>
      <c r="D165" s="4"/>
      <c r="E165" s="4">
        <v>0</v>
      </c>
      <c r="F165" s="4">
        <v>0</v>
      </c>
      <c r="G165" s="4"/>
      <c r="H165" s="4">
        <v>2</v>
      </c>
      <c r="I165" s="4">
        <v>15.165668500000001</v>
      </c>
      <c r="J165" s="4">
        <v>14.681468000000001</v>
      </c>
      <c r="K165" s="4">
        <v>15.649869000000001</v>
      </c>
      <c r="L165" s="4">
        <v>0.68476291400781419</v>
      </c>
      <c r="M165" s="4">
        <v>3</v>
      </c>
      <c r="N165" s="4">
        <v>14.277112333333335</v>
      </c>
      <c r="O165" s="4">
        <v>12.5</v>
      </c>
      <c r="P165" s="4">
        <v>15.649869000000001</v>
      </c>
      <c r="Q165" s="4">
        <v>1.6133958931905914</v>
      </c>
    </row>
    <row r="166" spans="1:17" x14ac:dyDescent="0.2">
      <c r="B166" t="s">
        <v>1947</v>
      </c>
      <c r="C166" s="4">
        <v>0</v>
      </c>
      <c r="D166" s="4"/>
      <c r="E166" s="4">
        <v>0</v>
      </c>
      <c r="F166" s="4">
        <v>0</v>
      </c>
      <c r="G166" s="4"/>
      <c r="H166" s="4">
        <v>1</v>
      </c>
      <c r="I166" s="4">
        <v>24.8</v>
      </c>
      <c r="J166" s="4">
        <v>24.8</v>
      </c>
      <c r="K166" s="4">
        <v>24.8</v>
      </c>
      <c r="L166" s="4"/>
      <c r="M166" s="4">
        <v>1</v>
      </c>
      <c r="N166" s="4">
        <v>24.8</v>
      </c>
      <c r="O166" s="4">
        <v>24.8</v>
      </c>
      <c r="P166" s="4">
        <v>24.8</v>
      </c>
      <c r="Q166" s="4"/>
    </row>
    <row r="167" spans="1:17" x14ac:dyDescent="0.2">
      <c r="B167" t="s">
        <v>2100</v>
      </c>
      <c r="C167" s="4">
        <v>2</v>
      </c>
      <c r="D167" s="4">
        <v>14.173021739130434</v>
      </c>
      <c r="E167" s="4">
        <v>8.5329999999999995</v>
      </c>
      <c r="F167" s="4">
        <v>19.81304347826087</v>
      </c>
      <c r="G167" s="4">
        <v>7.9761952355573529</v>
      </c>
      <c r="H167" s="4">
        <v>2</v>
      </c>
      <c r="I167" s="4">
        <v>15.70807847826087</v>
      </c>
      <c r="J167" s="4">
        <v>8.8000699999999998</v>
      </c>
      <c r="K167" s="4">
        <v>22.616086956521741</v>
      </c>
      <c r="L167" s="4">
        <v>9.7693992789448529</v>
      </c>
      <c r="M167" s="4">
        <v>2</v>
      </c>
      <c r="N167" s="4">
        <v>16.322543478260869</v>
      </c>
      <c r="O167" s="4">
        <v>10.029</v>
      </c>
      <c r="P167" s="4">
        <v>22.616086956521741</v>
      </c>
      <c r="Q167" s="4">
        <v>8.9004145423412737</v>
      </c>
    </row>
    <row r="168" spans="1:17" x14ac:dyDescent="0.2">
      <c r="B168" t="s">
        <v>2114</v>
      </c>
      <c r="C168" s="4">
        <v>0</v>
      </c>
      <c r="D168" s="4"/>
      <c r="E168" s="4">
        <v>0</v>
      </c>
      <c r="F168" s="4">
        <v>0</v>
      </c>
      <c r="G168" s="4"/>
      <c r="H168" s="4">
        <v>3</v>
      </c>
      <c r="I168" s="4">
        <v>10.070841533333335</v>
      </c>
      <c r="J168" s="4">
        <v>9.5381681</v>
      </c>
      <c r="K168" s="4">
        <v>11.043447</v>
      </c>
      <c r="L168" s="4">
        <v>0.84357648566144217</v>
      </c>
      <c r="M168" s="4">
        <v>3</v>
      </c>
      <c r="N168" s="4">
        <v>10.070841533333335</v>
      </c>
      <c r="O168" s="4">
        <v>9.5381681</v>
      </c>
      <c r="P168" s="4">
        <v>11.043447</v>
      </c>
      <c r="Q168" s="4">
        <v>0.84357648566144217</v>
      </c>
    </row>
    <row r="169" spans="1:17" x14ac:dyDescent="0.2">
      <c r="B169" t="s">
        <v>3067</v>
      </c>
      <c r="C169" s="4">
        <v>0</v>
      </c>
      <c r="D169" s="4"/>
      <c r="E169" s="4">
        <v>0</v>
      </c>
      <c r="F169" s="4">
        <v>0</v>
      </c>
      <c r="G169" s="4"/>
      <c r="H169" s="4">
        <v>1</v>
      </c>
      <c r="I169" s="4">
        <v>3.1583665999999999</v>
      </c>
      <c r="J169" s="4">
        <v>3.1583665999999999</v>
      </c>
      <c r="K169" s="4">
        <v>3.1583665999999999</v>
      </c>
      <c r="L169" s="4"/>
      <c r="M169" s="4">
        <v>1</v>
      </c>
      <c r="N169" s="4">
        <v>3.1583665999999999</v>
      </c>
      <c r="O169" s="4">
        <v>3.1583665999999999</v>
      </c>
      <c r="P169" s="4">
        <v>3.1583665999999999</v>
      </c>
      <c r="Q169" s="4"/>
    </row>
    <row r="170" spans="1:17" x14ac:dyDescent="0.2">
      <c r="B170" t="s">
        <v>2228</v>
      </c>
      <c r="C170" s="4">
        <v>0</v>
      </c>
      <c r="D170" s="4"/>
      <c r="E170" s="4">
        <v>0</v>
      </c>
      <c r="F170" s="4">
        <v>0</v>
      </c>
      <c r="G170" s="4"/>
      <c r="H170" s="4">
        <v>1</v>
      </c>
      <c r="I170" s="4">
        <v>13.327939000000001</v>
      </c>
      <c r="J170" s="4">
        <v>13.327939000000001</v>
      </c>
      <c r="K170" s="4">
        <v>13.327939000000001</v>
      </c>
      <c r="L170" s="4"/>
      <c r="M170" s="4">
        <v>1</v>
      </c>
      <c r="N170" s="4">
        <v>13.327939000000001</v>
      </c>
      <c r="O170" s="4">
        <v>13.327939000000001</v>
      </c>
      <c r="P170" s="4">
        <v>13.327939000000001</v>
      </c>
      <c r="Q170" s="4"/>
    </row>
    <row r="171" spans="1:17" x14ac:dyDescent="0.2">
      <c r="B171" t="s">
        <v>2969</v>
      </c>
      <c r="C171" s="4">
        <v>1</v>
      </c>
      <c r="D171" s="4">
        <v>6.0730000000000004</v>
      </c>
      <c r="E171" s="4">
        <v>6.0730000000000004</v>
      </c>
      <c r="F171" s="4">
        <v>6.0730000000000004</v>
      </c>
      <c r="G171" s="4"/>
      <c r="H171" s="4">
        <v>2</v>
      </c>
      <c r="I171" s="4">
        <v>7.6164500000000004</v>
      </c>
      <c r="J171" s="4">
        <v>6.4828999999999999</v>
      </c>
      <c r="K171" s="4">
        <v>8.75</v>
      </c>
      <c r="L171" s="4">
        <v>1.6030817836280169</v>
      </c>
      <c r="M171" s="4">
        <v>2</v>
      </c>
      <c r="N171" s="4">
        <v>8.1844999999999999</v>
      </c>
      <c r="O171" s="4">
        <v>7.6189999999999998</v>
      </c>
      <c r="P171" s="4">
        <v>8.75</v>
      </c>
      <c r="Q171" s="4">
        <v>0.79973776952198139</v>
      </c>
    </row>
    <row r="172" spans="1:17" x14ac:dyDescent="0.2">
      <c r="B172" t="s">
        <v>2289</v>
      </c>
      <c r="C172" s="4">
        <v>1</v>
      </c>
      <c r="D172" s="4">
        <v>5.1790000000000003</v>
      </c>
      <c r="E172" s="4">
        <v>5.1790000000000003</v>
      </c>
      <c r="F172" s="4">
        <v>5.1790000000000003</v>
      </c>
      <c r="G172" s="4"/>
      <c r="H172" s="4">
        <v>1</v>
      </c>
      <c r="I172" s="4">
        <v>5.7941000000000003</v>
      </c>
      <c r="J172" s="4">
        <v>5.7941000000000003</v>
      </c>
      <c r="K172" s="4">
        <v>5.7941000000000003</v>
      </c>
      <c r="L172" s="4"/>
      <c r="M172" s="4">
        <v>2</v>
      </c>
      <c r="N172" s="4">
        <v>5.5279347826086953</v>
      </c>
      <c r="O172" s="4">
        <v>3.2608695652173911</v>
      </c>
      <c r="P172" s="4">
        <v>7.7949999999999999</v>
      </c>
      <c r="Q172" s="4">
        <v>3.2061143772190932</v>
      </c>
    </row>
    <row r="173" spans="1:17" x14ac:dyDescent="0.2">
      <c r="B173" t="s">
        <v>3296</v>
      </c>
      <c r="C173" s="4">
        <v>0</v>
      </c>
      <c r="D173" s="4"/>
      <c r="E173" s="4">
        <v>0</v>
      </c>
      <c r="F173" s="4">
        <v>0</v>
      </c>
      <c r="G173" s="4"/>
      <c r="H173" s="4">
        <v>0</v>
      </c>
      <c r="I173" s="4"/>
      <c r="J173" s="4">
        <v>0</v>
      </c>
      <c r="K173" s="4">
        <v>0</v>
      </c>
      <c r="L173" s="4"/>
      <c r="M173" s="4"/>
      <c r="N173" s="4"/>
      <c r="O173" s="4"/>
      <c r="P173" s="4"/>
      <c r="Q173" s="4"/>
    </row>
    <row r="174" spans="1:17" x14ac:dyDescent="0.2">
      <c r="A174" t="s">
        <v>2839</v>
      </c>
      <c r="B174"/>
      <c r="C174" s="4">
        <v>4</v>
      </c>
      <c r="D174" s="4">
        <v>9.8995108695652174</v>
      </c>
      <c r="E174" s="4">
        <v>5.1790000000000003</v>
      </c>
      <c r="F174" s="4">
        <v>19.81304347826087</v>
      </c>
      <c r="G174" s="4">
        <v>6.7594597674887202</v>
      </c>
      <c r="H174" s="4">
        <v>16</v>
      </c>
      <c r="I174" s="4">
        <v>11.873325197282607</v>
      </c>
      <c r="J174" s="4">
        <v>3.1583665999999999</v>
      </c>
      <c r="K174" s="4">
        <v>24.8</v>
      </c>
      <c r="L174" s="4">
        <v>5.663275464099641</v>
      </c>
      <c r="M174" s="4">
        <v>18</v>
      </c>
      <c r="N174" s="4">
        <v>11.672222373429952</v>
      </c>
      <c r="O174" s="4">
        <v>3.1583665999999999</v>
      </c>
      <c r="P174" s="4">
        <v>24.8</v>
      </c>
      <c r="Q174" s="4">
        <v>5.5179092388064559</v>
      </c>
    </row>
    <row r="175" spans="1:17" x14ac:dyDescent="0.2">
      <c r="A175" t="s">
        <v>1110</v>
      </c>
      <c r="B175" t="s">
        <v>1194</v>
      </c>
      <c r="C175" s="4">
        <v>1</v>
      </c>
      <c r="D175" s="4">
        <v>22.9</v>
      </c>
      <c r="E175" s="4">
        <v>22.9</v>
      </c>
      <c r="F175" s="4">
        <v>22.9</v>
      </c>
      <c r="G175" s="4"/>
      <c r="H175" s="4">
        <v>0</v>
      </c>
      <c r="I175" s="4"/>
      <c r="J175" s="4">
        <v>0</v>
      </c>
      <c r="K175" s="4">
        <v>0</v>
      </c>
      <c r="L175" s="4"/>
      <c r="M175" s="4">
        <v>2</v>
      </c>
      <c r="N175" s="4">
        <v>38.700000000000003</v>
      </c>
      <c r="O175" s="4">
        <v>36.700000000000003</v>
      </c>
      <c r="P175" s="4">
        <v>40.700000000000003</v>
      </c>
      <c r="Q175" s="4">
        <v>2.8284271247461099</v>
      </c>
    </row>
    <row r="176" spans="1:17" x14ac:dyDescent="0.2">
      <c r="B176" t="s">
        <v>1117</v>
      </c>
      <c r="C176" s="4">
        <v>0</v>
      </c>
      <c r="D176" s="4"/>
      <c r="E176" s="4">
        <v>0</v>
      </c>
      <c r="F176" s="4">
        <v>0</v>
      </c>
      <c r="G176" s="4"/>
      <c r="H176" s="4">
        <v>0</v>
      </c>
      <c r="I176" s="4"/>
      <c r="J176" s="4">
        <v>0</v>
      </c>
      <c r="K176" s="4">
        <v>0</v>
      </c>
      <c r="L176" s="4"/>
      <c r="M176" s="4">
        <v>2</v>
      </c>
      <c r="N176" s="4">
        <v>46.2</v>
      </c>
      <c r="O176" s="4">
        <v>34</v>
      </c>
      <c r="P176" s="4">
        <v>58.4</v>
      </c>
      <c r="Q176" s="4">
        <v>17.253405460951743</v>
      </c>
    </row>
    <row r="177" spans="2:17" x14ac:dyDescent="0.2">
      <c r="B177" t="s">
        <v>1434</v>
      </c>
      <c r="C177" s="4">
        <v>0</v>
      </c>
      <c r="D177" s="4"/>
      <c r="E177" s="4">
        <v>0</v>
      </c>
      <c r="F177" s="4">
        <v>0</v>
      </c>
      <c r="G177" s="4"/>
      <c r="H177" s="4">
        <v>0</v>
      </c>
      <c r="I177" s="4"/>
      <c r="J177" s="4">
        <v>0</v>
      </c>
      <c r="K177" s="4">
        <v>0</v>
      </c>
      <c r="L177" s="4"/>
      <c r="M177" s="4"/>
      <c r="N177" s="4"/>
      <c r="O177" s="4"/>
      <c r="P177" s="4"/>
      <c r="Q177" s="4"/>
    </row>
    <row r="178" spans="2:17" x14ac:dyDescent="0.2">
      <c r="B178" t="s">
        <v>1908</v>
      </c>
      <c r="C178" s="4">
        <v>1</v>
      </c>
      <c r="D178" s="4">
        <v>0</v>
      </c>
      <c r="E178" s="4">
        <v>0</v>
      </c>
      <c r="F178" s="4">
        <v>0</v>
      </c>
      <c r="G178" s="4"/>
      <c r="H178" s="4">
        <v>0</v>
      </c>
      <c r="I178" s="4"/>
      <c r="J178" s="4">
        <v>0</v>
      </c>
      <c r="K178" s="4">
        <v>0</v>
      </c>
      <c r="L178" s="4"/>
      <c r="M178" s="4"/>
      <c r="N178" s="4"/>
      <c r="O178" s="4"/>
      <c r="P178" s="4"/>
      <c r="Q178" s="4"/>
    </row>
    <row r="179" spans="2:17" x14ac:dyDescent="0.2">
      <c r="B179" t="s">
        <v>3051</v>
      </c>
      <c r="C179" s="4">
        <v>4</v>
      </c>
      <c r="D179" s="4">
        <v>86.121886109000002</v>
      </c>
      <c r="E179" s="4">
        <v>23.449981136000002</v>
      </c>
      <c r="F179" s="4">
        <v>246.3932897</v>
      </c>
      <c r="G179" s="4">
        <v>107.36616934726111</v>
      </c>
      <c r="H179" s="4">
        <v>0</v>
      </c>
      <c r="I179" s="4"/>
      <c r="J179" s="4">
        <v>0</v>
      </c>
      <c r="K179" s="4">
        <v>0</v>
      </c>
      <c r="L179" s="4"/>
      <c r="M179" s="4"/>
      <c r="N179" s="4"/>
      <c r="O179" s="4"/>
      <c r="P179" s="4"/>
      <c r="Q179" s="4"/>
    </row>
    <row r="180" spans="2:17" x14ac:dyDescent="0.2">
      <c r="B180" t="s">
        <v>3050</v>
      </c>
      <c r="C180" s="4">
        <v>0</v>
      </c>
      <c r="D180" s="4"/>
      <c r="E180" s="4">
        <v>0</v>
      </c>
      <c r="F180" s="4">
        <v>0</v>
      </c>
      <c r="G180" s="4"/>
      <c r="H180" s="4">
        <v>3</v>
      </c>
      <c r="I180" s="4">
        <v>3.7453566333333335</v>
      </c>
      <c r="J180" s="4">
        <v>3.6062574000000001</v>
      </c>
      <c r="K180" s="4">
        <v>3.9887606999999998</v>
      </c>
      <c r="L180" s="4">
        <v>0.21151079717178042</v>
      </c>
      <c r="M180" s="4">
        <v>3</v>
      </c>
      <c r="N180" s="4">
        <v>3.7453566333333335</v>
      </c>
      <c r="O180" s="4">
        <v>3.6062574000000001</v>
      </c>
      <c r="P180" s="4">
        <v>3.9887606999999998</v>
      </c>
      <c r="Q180" s="4">
        <v>0.21151079717178042</v>
      </c>
    </row>
    <row r="181" spans="2:17" x14ac:dyDescent="0.2">
      <c r="B181" t="s">
        <v>3293</v>
      </c>
      <c r="C181" s="4">
        <v>0</v>
      </c>
      <c r="D181" s="4"/>
      <c r="E181" s="4">
        <v>0</v>
      </c>
      <c r="F181" s="4">
        <v>0</v>
      </c>
      <c r="G181" s="4"/>
      <c r="H181" s="4">
        <v>0</v>
      </c>
      <c r="I181" s="4"/>
      <c r="J181" s="4">
        <v>0</v>
      </c>
      <c r="K181" s="4">
        <v>0</v>
      </c>
      <c r="L181" s="4"/>
      <c r="M181" s="4"/>
      <c r="N181" s="4"/>
      <c r="O181" s="4"/>
      <c r="P181" s="4"/>
      <c r="Q181" s="4"/>
    </row>
    <row r="182" spans="2:17" x14ac:dyDescent="0.2">
      <c r="B182" t="s">
        <v>1356</v>
      </c>
      <c r="C182" s="4">
        <v>0</v>
      </c>
      <c r="D182" s="4"/>
      <c r="E182" s="4">
        <v>0</v>
      </c>
      <c r="F182" s="4">
        <v>0</v>
      </c>
      <c r="G182" s="4"/>
      <c r="H182" s="4">
        <v>0</v>
      </c>
      <c r="I182" s="4"/>
      <c r="J182" s="4">
        <v>0</v>
      </c>
      <c r="K182" s="4">
        <v>0</v>
      </c>
      <c r="L182" s="4"/>
      <c r="M182" s="4"/>
      <c r="N182" s="4"/>
      <c r="O182" s="4"/>
      <c r="P182" s="4"/>
      <c r="Q182" s="4"/>
    </row>
    <row r="183" spans="2:17" x14ac:dyDescent="0.2">
      <c r="B183" t="s">
        <v>1347</v>
      </c>
      <c r="C183" s="4">
        <v>0</v>
      </c>
      <c r="D183" s="4"/>
      <c r="E183" s="4">
        <v>0</v>
      </c>
      <c r="F183" s="4">
        <v>0</v>
      </c>
      <c r="G183" s="4"/>
      <c r="H183" s="4">
        <v>0</v>
      </c>
      <c r="I183" s="4"/>
      <c r="J183" s="4">
        <v>0</v>
      </c>
      <c r="K183" s="4">
        <v>0</v>
      </c>
      <c r="L183" s="4"/>
      <c r="M183" s="4"/>
      <c r="N183" s="4"/>
      <c r="O183" s="4"/>
      <c r="P183" s="4"/>
      <c r="Q183" s="4"/>
    </row>
    <row r="184" spans="2:17" x14ac:dyDescent="0.2">
      <c r="B184" t="s">
        <v>1188</v>
      </c>
      <c r="C184" s="4">
        <v>0</v>
      </c>
      <c r="D184" s="4"/>
      <c r="E184" s="4">
        <v>0</v>
      </c>
      <c r="F184" s="4">
        <v>0</v>
      </c>
      <c r="G184" s="4"/>
      <c r="H184" s="4">
        <v>0</v>
      </c>
      <c r="I184" s="4"/>
      <c r="J184" s="4">
        <v>0</v>
      </c>
      <c r="K184" s="4">
        <v>0</v>
      </c>
      <c r="L184" s="4"/>
      <c r="M184" s="4"/>
      <c r="N184" s="4"/>
      <c r="O184" s="4"/>
      <c r="P184" s="4"/>
      <c r="Q184" s="4"/>
    </row>
    <row r="185" spans="2:17" x14ac:dyDescent="0.2">
      <c r="B185" t="s">
        <v>1491</v>
      </c>
      <c r="C185" s="4">
        <v>0</v>
      </c>
      <c r="D185" s="4"/>
      <c r="E185" s="4">
        <v>0</v>
      </c>
      <c r="F185" s="4">
        <v>0</v>
      </c>
      <c r="G185" s="4"/>
      <c r="H185" s="4">
        <v>0</v>
      </c>
      <c r="I185" s="4"/>
      <c r="J185" s="4">
        <v>0</v>
      </c>
      <c r="K185" s="4">
        <v>0</v>
      </c>
      <c r="L185" s="4"/>
      <c r="M185" s="4">
        <v>1</v>
      </c>
      <c r="N185" s="4">
        <v>675</v>
      </c>
      <c r="O185" s="4">
        <v>675</v>
      </c>
      <c r="P185" s="4">
        <v>675</v>
      </c>
      <c r="Q185" s="4"/>
    </row>
    <row r="186" spans="2:17" x14ac:dyDescent="0.2">
      <c r="B186" t="s">
        <v>1487</v>
      </c>
      <c r="C186" s="4">
        <v>0</v>
      </c>
      <c r="D186" s="4"/>
      <c r="E186" s="4">
        <v>0</v>
      </c>
      <c r="F186" s="4">
        <v>0</v>
      </c>
      <c r="G186" s="4"/>
      <c r="H186" s="4">
        <v>0</v>
      </c>
      <c r="I186" s="4"/>
      <c r="J186" s="4">
        <v>0</v>
      </c>
      <c r="K186" s="4">
        <v>0</v>
      </c>
      <c r="L186" s="4"/>
      <c r="M186" s="4">
        <v>1</v>
      </c>
      <c r="N186" s="4">
        <v>1086</v>
      </c>
      <c r="O186" s="4">
        <v>1086</v>
      </c>
      <c r="P186" s="4">
        <v>1086</v>
      </c>
      <c r="Q186" s="4"/>
    </row>
    <row r="187" spans="2:17" x14ac:dyDescent="0.2">
      <c r="B187" t="s">
        <v>1998</v>
      </c>
      <c r="C187" s="4">
        <v>0</v>
      </c>
      <c r="D187" s="4"/>
      <c r="E187" s="4">
        <v>0</v>
      </c>
      <c r="F187" s="4">
        <v>0</v>
      </c>
      <c r="G187" s="4"/>
      <c r="H187" s="4">
        <v>0</v>
      </c>
      <c r="I187" s="4"/>
      <c r="J187" s="4">
        <v>0</v>
      </c>
      <c r="K187" s="4">
        <v>0</v>
      </c>
      <c r="L187" s="4"/>
      <c r="M187" s="4"/>
      <c r="N187" s="4"/>
      <c r="O187" s="4"/>
      <c r="P187" s="4"/>
      <c r="Q187" s="4"/>
    </row>
    <row r="188" spans="2:17" x14ac:dyDescent="0.2">
      <c r="B188" t="s">
        <v>3063</v>
      </c>
      <c r="C188" s="4">
        <v>0</v>
      </c>
      <c r="D188" s="4"/>
      <c r="E188" s="4">
        <v>0</v>
      </c>
      <c r="F188" s="4">
        <v>0</v>
      </c>
      <c r="G188" s="4"/>
      <c r="H188" s="4">
        <v>0</v>
      </c>
      <c r="I188" s="4"/>
      <c r="J188" s="4">
        <v>0</v>
      </c>
      <c r="K188" s="4">
        <v>0</v>
      </c>
      <c r="L188" s="4"/>
      <c r="M188" s="4"/>
      <c r="N188" s="4"/>
      <c r="O188" s="4"/>
      <c r="P188" s="4"/>
      <c r="Q188" s="4"/>
    </row>
    <row r="189" spans="2:17" x14ac:dyDescent="0.2">
      <c r="B189" t="s">
        <v>3419</v>
      </c>
      <c r="C189" s="4">
        <v>0</v>
      </c>
      <c r="D189" s="4"/>
      <c r="E189" s="4">
        <v>0</v>
      </c>
      <c r="F189" s="4">
        <v>0</v>
      </c>
      <c r="G189" s="4"/>
      <c r="H189" s="4">
        <v>0</v>
      </c>
      <c r="I189" s="4"/>
      <c r="J189" s="4">
        <v>0</v>
      </c>
      <c r="K189" s="4">
        <v>0</v>
      </c>
      <c r="L189" s="4"/>
      <c r="M189" s="4"/>
      <c r="N189" s="4"/>
      <c r="O189" s="4"/>
      <c r="P189" s="4"/>
      <c r="Q189" s="4"/>
    </row>
    <row r="190" spans="2:17" x14ac:dyDescent="0.2">
      <c r="B190" t="s">
        <v>2954</v>
      </c>
      <c r="C190" s="4">
        <v>0</v>
      </c>
      <c r="D190" s="4"/>
      <c r="E190" s="4">
        <v>0</v>
      </c>
      <c r="F190" s="4">
        <v>0</v>
      </c>
      <c r="G190" s="4"/>
      <c r="H190" s="4">
        <v>0</v>
      </c>
      <c r="I190" s="4"/>
      <c r="J190" s="4">
        <v>0</v>
      </c>
      <c r="K190" s="4">
        <v>0</v>
      </c>
      <c r="L190" s="4"/>
      <c r="M190" s="4"/>
      <c r="N190" s="4"/>
      <c r="O190" s="4"/>
      <c r="P190" s="4"/>
      <c r="Q190" s="4"/>
    </row>
    <row r="191" spans="2:17" x14ac:dyDescent="0.2">
      <c r="B191" t="s">
        <v>2157</v>
      </c>
      <c r="C191" s="4">
        <v>0</v>
      </c>
      <c r="D191" s="4"/>
      <c r="E191" s="4">
        <v>0</v>
      </c>
      <c r="F191" s="4">
        <v>0</v>
      </c>
      <c r="G191" s="4"/>
      <c r="H191" s="4">
        <v>0</v>
      </c>
      <c r="I191" s="4"/>
      <c r="J191" s="4">
        <v>0</v>
      </c>
      <c r="K191" s="4">
        <v>0</v>
      </c>
      <c r="L191" s="4"/>
      <c r="M191" s="4"/>
      <c r="N191" s="4"/>
      <c r="O191" s="4"/>
      <c r="P191" s="4"/>
      <c r="Q191" s="4"/>
    </row>
    <row r="192" spans="2:17" x14ac:dyDescent="0.2">
      <c r="B192" t="s">
        <v>2198</v>
      </c>
      <c r="C192" s="4">
        <v>1</v>
      </c>
      <c r="D192" s="4">
        <v>5.5</v>
      </c>
      <c r="E192" s="4">
        <v>5.5</v>
      </c>
      <c r="F192" s="4">
        <v>5.5</v>
      </c>
      <c r="G192" s="4"/>
      <c r="H192" s="4">
        <v>1</v>
      </c>
      <c r="I192" s="4">
        <v>19.75</v>
      </c>
      <c r="J192" s="4">
        <v>19.75</v>
      </c>
      <c r="K192" s="4">
        <v>19.75</v>
      </c>
      <c r="L192" s="4"/>
      <c r="M192" s="4">
        <v>1</v>
      </c>
      <c r="N192" s="4">
        <v>22.75</v>
      </c>
      <c r="O192" s="4">
        <v>22.75</v>
      </c>
      <c r="P192" s="4">
        <v>22.75</v>
      </c>
      <c r="Q192" s="4"/>
    </row>
    <row r="193" spans="1:17" x14ac:dyDescent="0.2">
      <c r="A193" t="s">
        <v>2840</v>
      </c>
      <c r="B193"/>
      <c r="C193" s="4">
        <v>7</v>
      </c>
      <c r="D193" s="4">
        <v>53.269649205142855</v>
      </c>
      <c r="E193" s="4">
        <v>0</v>
      </c>
      <c r="F193" s="4">
        <v>246.3932897</v>
      </c>
      <c r="G193" s="4">
        <v>86.546202828053708</v>
      </c>
      <c r="H193" s="4">
        <v>4</v>
      </c>
      <c r="I193" s="4">
        <v>7.7465174750000001</v>
      </c>
      <c r="J193" s="4">
        <v>3.6062574000000001</v>
      </c>
      <c r="K193" s="4">
        <v>19.75</v>
      </c>
      <c r="L193" s="4">
        <v>8.004184959658728</v>
      </c>
      <c r="M193" s="4">
        <v>10</v>
      </c>
      <c r="N193" s="4">
        <v>196.47860699</v>
      </c>
      <c r="O193" s="4">
        <v>3.6062574000000001</v>
      </c>
      <c r="P193" s="4">
        <v>1086</v>
      </c>
      <c r="Q193" s="4">
        <v>373.73672328930792</v>
      </c>
    </row>
    <row r="194" spans="1:17" x14ac:dyDescent="0.2">
      <c r="A194" t="s">
        <v>587</v>
      </c>
      <c r="B194" t="s">
        <v>2955</v>
      </c>
      <c r="C194" s="4">
        <v>0</v>
      </c>
      <c r="D194" s="4"/>
      <c r="E194" s="4">
        <v>0</v>
      </c>
      <c r="F194" s="4">
        <v>0</v>
      </c>
      <c r="G194" s="4"/>
      <c r="H194" s="4">
        <v>4</v>
      </c>
      <c r="I194" s="4">
        <v>4.5742357</v>
      </c>
      <c r="J194" s="4">
        <v>3.7005972000000003</v>
      </c>
      <c r="K194" s="4">
        <v>5.132009</v>
      </c>
      <c r="L194" s="4">
        <v>0.6368808101531177</v>
      </c>
      <c r="M194" s="4">
        <v>4</v>
      </c>
      <c r="N194" s="4">
        <v>4.5742357</v>
      </c>
      <c r="O194" s="4">
        <v>3.7005972000000003</v>
      </c>
      <c r="P194" s="4">
        <v>5.132009</v>
      </c>
      <c r="Q194" s="4">
        <v>0.6368808101531177</v>
      </c>
    </row>
    <row r="195" spans="1:17" x14ac:dyDescent="0.2">
      <c r="B195" t="s">
        <v>2981</v>
      </c>
      <c r="C195" s="4">
        <v>0</v>
      </c>
      <c r="D195" s="4"/>
      <c r="E195" s="4">
        <v>0</v>
      </c>
      <c r="F195" s="4">
        <v>0</v>
      </c>
      <c r="G195" s="4"/>
      <c r="H195" s="4">
        <v>4</v>
      </c>
      <c r="I195" s="4">
        <v>3.4758499999999999</v>
      </c>
      <c r="J195" s="4">
        <v>2.9346000000000001</v>
      </c>
      <c r="K195" s="4">
        <v>3.7627999999999999</v>
      </c>
      <c r="L195" s="4">
        <v>0.37754739658308933</v>
      </c>
      <c r="M195" s="4">
        <v>4</v>
      </c>
      <c r="N195" s="4">
        <v>3.4758499999999999</v>
      </c>
      <c r="O195" s="4">
        <v>2.9346000000000001</v>
      </c>
      <c r="P195" s="4">
        <v>3.7627999999999999</v>
      </c>
      <c r="Q195" s="4">
        <v>0.37754739658308933</v>
      </c>
    </row>
    <row r="196" spans="1:17" x14ac:dyDescent="0.2">
      <c r="B196" t="s">
        <v>588</v>
      </c>
      <c r="C196" s="4">
        <v>0</v>
      </c>
      <c r="D196" s="4"/>
      <c r="E196" s="4">
        <v>0</v>
      </c>
      <c r="F196" s="4">
        <v>0</v>
      </c>
      <c r="G196" s="4"/>
      <c r="H196" s="4">
        <v>2</v>
      </c>
      <c r="I196" s="4">
        <v>3.4499999999999997</v>
      </c>
      <c r="J196" s="4">
        <v>1.3</v>
      </c>
      <c r="K196" s="4">
        <v>5.6</v>
      </c>
      <c r="L196" s="4">
        <v>3.0405591591021546</v>
      </c>
      <c r="M196" s="4">
        <v>2</v>
      </c>
      <c r="N196" s="4">
        <v>3.4499999999999997</v>
      </c>
      <c r="O196" s="4">
        <v>1.3</v>
      </c>
      <c r="P196" s="4">
        <v>5.6</v>
      </c>
      <c r="Q196" s="4">
        <v>3.0405591591021546</v>
      </c>
    </row>
    <row r="197" spans="1:17" x14ac:dyDescent="0.2">
      <c r="B197" t="s">
        <v>2068</v>
      </c>
      <c r="C197" s="4">
        <v>0</v>
      </c>
      <c r="D197" s="4"/>
      <c r="E197" s="4">
        <v>0</v>
      </c>
      <c r="F197" s="4">
        <v>0</v>
      </c>
      <c r="G197" s="4"/>
      <c r="H197" s="4">
        <v>1</v>
      </c>
      <c r="I197" s="4">
        <v>69.364547771906771</v>
      </c>
      <c r="J197" s="4">
        <v>69.364547771906771</v>
      </c>
      <c r="K197" s="4">
        <v>69.364547771906771</v>
      </c>
      <c r="L197" s="4"/>
      <c r="M197" s="4"/>
      <c r="N197" s="4"/>
      <c r="O197" s="4"/>
      <c r="P197" s="4"/>
      <c r="Q197" s="4"/>
    </row>
    <row r="198" spans="1:17" x14ac:dyDescent="0.2">
      <c r="B198" t="s">
        <v>2285</v>
      </c>
      <c r="C198" s="4">
        <v>0</v>
      </c>
      <c r="D198" s="4"/>
      <c r="E198" s="4">
        <v>0</v>
      </c>
      <c r="F198" s="4">
        <v>0</v>
      </c>
      <c r="G198" s="4"/>
      <c r="H198" s="4">
        <v>1</v>
      </c>
      <c r="I198" s="4">
        <v>5.0787000000000004</v>
      </c>
      <c r="J198" s="4">
        <v>5.0787000000000004</v>
      </c>
      <c r="K198" s="4">
        <v>5.0787000000000004</v>
      </c>
      <c r="L198" s="4"/>
      <c r="M198" s="4">
        <v>1</v>
      </c>
      <c r="N198" s="4">
        <v>5.0787000000000004</v>
      </c>
      <c r="O198" s="4">
        <v>5.0787000000000004</v>
      </c>
      <c r="P198" s="4">
        <v>5.0787000000000004</v>
      </c>
      <c r="Q198" s="4"/>
    </row>
    <row r="199" spans="1:17" x14ac:dyDescent="0.2">
      <c r="B199" t="s">
        <v>2287</v>
      </c>
      <c r="C199" s="4">
        <v>1</v>
      </c>
      <c r="D199" s="4">
        <v>3.5960999999999999</v>
      </c>
      <c r="E199" s="4">
        <v>3.5960999999999999</v>
      </c>
      <c r="F199" s="4">
        <v>3.5960999999999999</v>
      </c>
      <c r="G199" s="4"/>
      <c r="H199" s="4">
        <v>2</v>
      </c>
      <c r="I199" s="4">
        <v>5.1456238000000001</v>
      </c>
      <c r="J199" s="4">
        <v>3.5160999999999998</v>
      </c>
      <c r="K199" s="4">
        <v>6.7751476000000004</v>
      </c>
      <c r="L199" s="4">
        <v>2.3044946581697427</v>
      </c>
      <c r="M199" s="4">
        <v>2</v>
      </c>
      <c r="N199" s="4">
        <v>5.1563238</v>
      </c>
      <c r="O199" s="4">
        <v>3.5375000000000001</v>
      </c>
      <c r="P199" s="4">
        <v>6.7751476000000004</v>
      </c>
      <c r="Q199" s="4">
        <v>2.2893625730523519</v>
      </c>
    </row>
    <row r="200" spans="1:17" x14ac:dyDescent="0.2">
      <c r="A200" t="s">
        <v>2841</v>
      </c>
      <c r="B200"/>
      <c r="C200" s="4">
        <v>1</v>
      </c>
      <c r="D200" s="4">
        <v>3.5960999999999999</v>
      </c>
      <c r="E200" s="4">
        <v>3.5960999999999999</v>
      </c>
      <c r="F200" s="4">
        <v>3.5960999999999999</v>
      </c>
      <c r="G200" s="4"/>
      <c r="H200" s="4">
        <v>14</v>
      </c>
      <c r="I200" s="4">
        <v>8.8453455837076262</v>
      </c>
      <c r="J200" s="4">
        <v>1.3</v>
      </c>
      <c r="K200" s="4">
        <v>69.364547771906771</v>
      </c>
      <c r="L200" s="4">
        <v>17.468328408482023</v>
      </c>
      <c r="M200" s="4">
        <v>13</v>
      </c>
      <c r="N200" s="4">
        <v>4.1916684923076923</v>
      </c>
      <c r="O200" s="4">
        <v>1.3</v>
      </c>
      <c r="P200" s="4">
        <v>6.7751476000000004</v>
      </c>
      <c r="Q200" s="4">
        <v>1.3697251140028686</v>
      </c>
    </row>
    <row r="201" spans="1:17" x14ac:dyDescent="0.2">
      <c r="A201" t="s">
        <v>162</v>
      </c>
      <c r="B201" t="s">
        <v>1755</v>
      </c>
      <c r="C201" s="4">
        <v>1</v>
      </c>
      <c r="D201" s="4">
        <v>6.77</v>
      </c>
      <c r="E201" s="4">
        <v>6.77</v>
      </c>
      <c r="F201" s="4">
        <v>6.77</v>
      </c>
      <c r="G201" s="4"/>
      <c r="H201" s="4">
        <v>0</v>
      </c>
      <c r="I201" s="4"/>
      <c r="J201" s="4">
        <v>0</v>
      </c>
      <c r="K201" s="4">
        <v>0</v>
      </c>
      <c r="L201" s="4"/>
      <c r="M201" s="4"/>
      <c r="N201" s="4"/>
      <c r="O201" s="4"/>
      <c r="P201" s="4"/>
      <c r="Q201" s="4"/>
    </row>
    <row r="202" spans="1:17" x14ac:dyDescent="0.2">
      <c r="B202" t="s">
        <v>827</v>
      </c>
      <c r="C202" s="4">
        <v>4</v>
      </c>
      <c r="D202" s="4">
        <v>10.677703924999999</v>
      </c>
      <c r="E202" s="4">
        <v>7.9089621000000001</v>
      </c>
      <c r="F202" s="4">
        <v>17.929449999999999</v>
      </c>
      <c r="G202" s="4">
        <v>4.8554523094787436</v>
      </c>
      <c r="H202" s="4">
        <v>0</v>
      </c>
      <c r="I202" s="4"/>
      <c r="J202" s="4">
        <v>0</v>
      </c>
      <c r="K202" s="4">
        <v>0</v>
      </c>
      <c r="L202" s="4"/>
      <c r="M202" s="4"/>
      <c r="N202" s="4"/>
      <c r="O202" s="4"/>
      <c r="P202" s="4"/>
      <c r="Q202" s="4"/>
    </row>
    <row r="203" spans="1:17" x14ac:dyDescent="0.2">
      <c r="B203" t="s">
        <v>4061</v>
      </c>
      <c r="C203" s="4">
        <v>0</v>
      </c>
      <c r="D203" s="4"/>
      <c r="E203" s="4">
        <v>0</v>
      </c>
      <c r="F203" s="4">
        <v>0</v>
      </c>
      <c r="G203" s="4"/>
      <c r="H203" s="4">
        <v>0</v>
      </c>
      <c r="I203" s="4"/>
      <c r="J203" s="4">
        <v>0</v>
      </c>
      <c r="K203" s="4">
        <v>0</v>
      </c>
      <c r="L203" s="4"/>
      <c r="M203" s="4"/>
      <c r="N203" s="4"/>
      <c r="O203" s="4"/>
      <c r="P203" s="4"/>
      <c r="Q203" s="4"/>
    </row>
    <row r="204" spans="1:17" x14ac:dyDescent="0.2">
      <c r="B204" t="s">
        <v>1805</v>
      </c>
      <c r="C204" s="4">
        <v>2</v>
      </c>
      <c r="D204" s="4">
        <v>5.0749999999999993</v>
      </c>
      <c r="E204" s="4">
        <v>4.05</v>
      </c>
      <c r="F204" s="4">
        <v>6.1</v>
      </c>
      <c r="G204" s="4">
        <v>1.4495689014324273</v>
      </c>
      <c r="H204" s="4">
        <v>2</v>
      </c>
      <c r="I204" s="4">
        <v>6.9749999999999996</v>
      </c>
      <c r="J204" s="4">
        <v>6.85</v>
      </c>
      <c r="K204" s="4">
        <v>7.1</v>
      </c>
      <c r="L204" s="4">
        <v>0.17677669529659668</v>
      </c>
      <c r="M204" s="4">
        <v>2</v>
      </c>
      <c r="N204" s="4">
        <v>24.615385</v>
      </c>
      <c r="O204" s="4">
        <v>20.828399999999998</v>
      </c>
      <c r="P204" s="4">
        <v>28.402370000000001</v>
      </c>
      <c r="Q204" s="4">
        <v>5.3556055475034752</v>
      </c>
    </row>
    <row r="205" spans="1:17" x14ac:dyDescent="0.2">
      <c r="B205" t="s">
        <v>4058</v>
      </c>
      <c r="C205" s="4">
        <v>2</v>
      </c>
      <c r="D205" s="4">
        <v>0.8</v>
      </c>
      <c r="E205" s="4">
        <v>0.5</v>
      </c>
      <c r="F205" s="4">
        <v>1.1000000000000001</v>
      </c>
      <c r="G205" s="4">
        <v>0.42426406871192845</v>
      </c>
      <c r="H205" s="4">
        <v>0</v>
      </c>
      <c r="I205" s="4"/>
      <c r="J205" s="4">
        <v>0</v>
      </c>
      <c r="K205" s="4">
        <v>0</v>
      </c>
      <c r="L205" s="4"/>
      <c r="M205" s="4">
        <v>2</v>
      </c>
      <c r="N205" s="4">
        <v>157.63315</v>
      </c>
      <c r="O205" s="4">
        <v>157.15979999999999</v>
      </c>
      <c r="P205" s="4">
        <v>158.10650000000001</v>
      </c>
      <c r="Q205" s="4">
        <v>0.6694179897481799</v>
      </c>
    </row>
    <row r="206" spans="1:17" x14ac:dyDescent="0.2">
      <c r="B206" t="s">
        <v>1822</v>
      </c>
      <c r="C206" s="4">
        <v>1</v>
      </c>
      <c r="D206" s="4">
        <v>1.1000000000000001</v>
      </c>
      <c r="E206" s="4">
        <v>1.1000000000000001</v>
      </c>
      <c r="F206" s="4">
        <v>1.1000000000000001</v>
      </c>
      <c r="G206" s="4"/>
      <c r="H206" s="4">
        <v>0</v>
      </c>
      <c r="I206" s="4"/>
      <c r="J206" s="4">
        <v>0</v>
      </c>
      <c r="K206" s="4">
        <v>0</v>
      </c>
      <c r="L206" s="4"/>
      <c r="M206" s="4"/>
      <c r="N206" s="4"/>
      <c r="O206" s="4"/>
      <c r="P206" s="4"/>
      <c r="Q206" s="4"/>
    </row>
    <row r="207" spans="1:17" x14ac:dyDescent="0.2">
      <c r="B207" t="s">
        <v>771</v>
      </c>
      <c r="C207" s="4">
        <v>13</v>
      </c>
      <c r="D207" s="4">
        <v>4.290666562237762</v>
      </c>
      <c r="E207" s="4">
        <v>1.6081475999999999</v>
      </c>
      <c r="F207" s="4">
        <v>7.5</v>
      </c>
      <c r="G207" s="4">
        <v>1.8641381933984171</v>
      </c>
      <c r="H207" s="4">
        <v>11</v>
      </c>
      <c r="I207" s="4">
        <v>7.3390330578512391</v>
      </c>
      <c r="J207" s="4">
        <v>4.452</v>
      </c>
      <c r="K207" s="4">
        <v>12.212727272727271</v>
      </c>
      <c r="L207" s="4">
        <v>2.6373986470746664</v>
      </c>
      <c r="M207" s="4">
        <v>11</v>
      </c>
      <c r="N207" s="4">
        <v>26.541194545454541</v>
      </c>
      <c r="O207" s="4">
        <v>16.866</v>
      </c>
      <c r="P207" s="4">
        <v>46.9</v>
      </c>
      <c r="Q207" s="4">
        <v>9.5043101836050496</v>
      </c>
    </row>
    <row r="208" spans="1:17" x14ac:dyDescent="0.2">
      <c r="B208" t="s">
        <v>1853</v>
      </c>
      <c r="C208" s="4">
        <v>1</v>
      </c>
      <c r="D208" s="4">
        <v>1.1000000000000001</v>
      </c>
      <c r="E208" s="4">
        <v>1.1000000000000001</v>
      </c>
      <c r="F208" s="4">
        <v>1.1000000000000001</v>
      </c>
      <c r="G208" s="4"/>
      <c r="H208" s="4">
        <v>0</v>
      </c>
      <c r="I208" s="4"/>
      <c r="J208" s="4">
        <v>0</v>
      </c>
      <c r="K208" s="4">
        <v>0</v>
      </c>
      <c r="L208" s="4"/>
      <c r="M208" s="4"/>
      <c r="N208" s="4"/>
      <c r="O208" s="4"/>
      <c r="P208" s="4"/>
      <c r="Q208" s="4"/>
    </row>
    <row r="209" spans="2:17" x14ac:dyDescent="0.2">
      <c r="B209" t="s">
        <v>3819</v>
      </c>
      <c r="C209" s="4">
        <v>0</v>
      </c>
      <c r="D209" s="4"/>
      <c r="E209" s="4">
        <v>0</v>
      </c>
      <c r="F209" s="4">
        <v>0</v>
      </c>
      <c r="G209" s="4"/>
      <c r="H209" s="4">
        <v>0</v>
      </c>
      <c r="I209" s="4"/>
      <c r="J209" s="4">
        <v>0</v>
      </c>
      <c r="K209" s="4">
        <v>0</v>
      </c>
      <c r="L209" s="4"/>
      <c r="M209" s="4"/>
      <c r="N209" s="4"/>
      <c r="O209" s="4"/>
      <c r="P209" s="4"/>
      <c r="Q209" s="4"/>
    </row>
    <row r="210" spans="2:17" x14ac:dyDescent="0.2">
      <c r="B210" t="s">
        <v>1864</v>
      </c>
      <c r="C210" s="4">
        <v>5</v>
      </c>
      <c r="D210" s="4">
        <v>1.1838000000000002</v>
      </c>
      <c r="E210" s="4">
        <v>0.223</v>
      </c>
      <c r="F210" s="4">
        <v>1.81</v>
      </c>
      <c r="G210" s="4">
        <v>0.63805814782040027</v>
      </c>
      <c r="H210" s="4">
        <v>0</v>
      </c>
      <c r="I210" s="4"/>
      <c r="J210" s="4">
        <v>0</v>
      </c>
      <c r="K210" s="4">
        <v>0</v>
      </c>
      <c r="L210" s="4"/>
      <c r="M210" s="4">
        <v>5</v>
      </c>
      <c r="N210" s="4">
        <v>2.7218</v>
      </c>
      <c r="O210" s="4">
        <v>1.33</v>
      </c>
      <c r="P210" s="4">
        <v>4.0760000000000005</v>
      </c>
      <c r="Q210" s="4">
        <v>1.1623197494665574</v>
      </c>
    </row>
    <row r="211" spans="2:17" x14ac:dyDescent="0.2">
      <c r="B211" t="s">
        <v>3511</v>
      </c>
      <c r="C211" s="4">
        <v>1</v>
      </c>
      <c r="D211" s="4">
        <v>0.59000000000000008</v>
      </c>
      <c r="E211" s="4">
        <v>0.59000000000000008</v>
      </c>
      <c r="F211" s="4">
        <v>0.59000000000000008</v>
      </c>
      <c r="G211" s="4"/>
      <c r="H211" s="4">
        <v>1</v>
      </c>
      <c r="I211" s="4">
        <v>6.8900000000000006</v>
      </c>
      <c r="J211" s="4">
        <v>6.8900000000000006</v>
      </c>
      <c r="K211" s="4">
        <v>6.8900000000000006</v>
      </c>
      <c r="L211" s="4"/>
      <c r="M211" s="4">
        <v>1</v>
      </c>
      <c r="N211" s="4">
        <v>7.5600000000000005</v>
      </c>
      <c r="O211" s="4">
        <v>7.5600000000000005</v>
      </c>
      <c r="P211" s="4">
        <v>7.5600000000000005</v>
      </c>
      <c r="Q211" s="4"/>
    </row>
    <row r="212" spans="2:17" x14ac:dyDescent="0.2">
      <c r="B212" t="s">
        <v>1868</v>
      </c>
      <c r="C212" s="4">
        <v>1</v>
      </c>
      <c r="D212" s="4">
        <v>0.625</v>
      </c>
      <c r="E212" s="4">
        <v>0.625</v>
      </c>
      <c r="F212" s="4">
        <v>0.625</v>
      </c>
      <c r="G212" s="4"/>
      <c r="H212" s="4">
        <v>0</v>
      </c>
      <c r="I212" s="4"/>
      <c r="J212" s="4">
        <v>0</v>
      </c>
      <c r="K212" s="4">
        <v>0</v>
      </c>
      <c r="L212" s="4"/>
      <c r="M212" s="4"/>
      <c r="N212" s="4"/>
      <c r="O212" s="4"/>
      <c r="P212" s="4"/>
      <c r="Q212" s="4"/>
    </row>
    <row r="213" spans="2:17" x14ac:dyDescent="0.2">
      <c r="B213" t="s">
        <v>875</v>
      </c>
      <c r="C213" s="4">
        <v>2</v>
      </c>
      <c r="D213" s="4">
        <v>1.7202541499999999</v>
      </c>
      <c r="E213" s="4">
        <v>1.4390966999999999</v>
      </c>
      <c r="F213" s="4">
        <v>2.0014116</v>
      </c>
      <c r="G213" s="4">
        <v>0.39761667895223496</v>
      </c>
      <c r="H213" s="4">
        <v>0</v>
      </c>
      <c r="I213" s="4"/>
      <c r="J213" s="4">
        <v>0</v>
      </c>
      <c r="K213" s="4">
        <v>0</v>
      </c>
      <c r="L213" s="4"/>
      <c r="M213" s="4"/>
      <c r="N213" s="4"/>
      <c r="O213" s="4"/>
      <c r="P213" s="4"/>
      <c r="Q213" s="4"/>
    </row>
    <row r="214" spans="2:17" x14ac:dyDescent="0.2">
      <c r="B214" t="s">
        <v>1872</v>
      </c>
      <c r="C214" s="4">
        <v>1</v>
      </c>
      <c r="D214" s="4">
        <v>5.2511022999999994</v>
      </c>
      <c r="E214" s="4">
        <v>5.2511022999999994</v>
      </c>
      <c r="F214" s="4">
        <v>5.2511022999999994</v>
      </c>
      <c r="G214" s="4"/>
      <c r="H214" s="4">
        <v>0</v>
      </c>
      <c r="I214" s="4"/>
      <c r="J214" s="4">
        <v>0</v>
      </c>
      <c r="K214" s="4">
        <v>0</v>
      </c>
      <c r="L214" s="4"/>
      <c r="M214" s="4"/>
      <c r="N214" s="4"/>
      <c r="O214" s="4"/>
      <c r="P214" s="4"/>
      <c r="Q214" s="4"/>
    </row>
    <row r="215" spans="2:17" x14ac:dyDescent="0.2">
      <c r="B215" t="s">
        <v>2991</v>
      </c>
      <c r="C215" s="4">
        <v>2</v>
      </c>
      <c r="D215" s="4">
        <v>0.15440000000000001</v>
      </c>
      <c r="E215" s="4">
        <v>0.14480000000000001</v>
      </c>
      <c r="F215" s="4">
        <v>0.16400000000000001</v>
      </c>
      <c r="G215" s="4">
        <v>1.3576450198781776E-2</v>
      </c>
      <c r="H215" s="4">
        <v>0</v>
      </c>
      <c r="I215" s="4"/>
      <c r="J215" s="4">
        <v>0</v>
      </c>
      <c r="K215" s="4">
        <v>0</v>
      </c>
      <c r="L215" s="4"/>
      <c r="M215" s="4"/>
      <c r="N215" s="4"/>
      <c r="O215" s="4"/>
      <c r="P215" s="4"/>
      <c r="Q215" s="4"/>
    </row>
    <row r="216" spans="2:17" x14ac:dyDescent="0.2">
      <c r="B216" t="s">
        <v>2904</v>
      </c>
      <c r="C216" s="4">
        <v>1</v>
      </c>
      <c r="D216" s="4">
        <v>8.24</v>
      </c>
      <c r="E216" s="4">
        <v>8.24</v>
      </c>
      <c r="F216" s="4">
        <v>8.24</v>
      </c>
      <c r="G216" s="4"/>
      <c r="H216" s="4">
        <v>0</v>
      </c>
      <c r="I216" s="4"/>
      <c r="J216" s="4">
        <v>0</v>
      </c>
      <c r="K216" s="4">
        <v>0</v>
      </c>
      <c r="L216" s="4"/>
      <c r="M216" s="4"/>
      <c r="N216" s="4"/>
      <c r="O216" s="4"/>
      <c r="P216" s="4"/>
      <c r="Q216" s="4"/>
    </row>
    <row r="217" spans="2:17" x14ac:dyDescent="0.2">
      <c r="B217" t="s">
        <v>1946</v>
      </c>
      <c r="C217" s="4">
        <v>4</v>
      </c>
      <c r="D217" s="4">
        <v>2.3892946543425002</v>
      </c>
      <c r="E217" s="4">
        <v>1.8887313091</v>
      </c>
      <c r="F217" s="4">
        <v>2.6657383942699999</v>
      </c>
      <c r="G217" s="4">
        <v>0.34327258394537385</v>
      </c>
      <c r="H217" s="4">
        <v>0</v>
      </c>
      <c r="I217" s="4"/>
      <c r="J217" s="4">
        <v>0</v>
      </c>
      <c r="K217" s="4">
        <v>0</v>
      </c>
      <c r="L217" s="4"/>
      <c r="M217" s="4"/>
      <c r="N217" s="4"/>
      <c r="O217" s="4"/>
      <c r="P217" s="4"/>
      <c r="Q217" s="4"/>
    </row>
    <row r="218" spans="2:17" x14ac:dyDescent="0.2">
      <c r="B218" t="s">
        <v>845</v>
      </c>
      <c r="C218" s="4">
        <v>1</v>
      </c>
      <c r="D218" s="4">
        <v>0.84</v>
      </c>
      <c r="E218" s="4">
        <v>0.84</v>
      </c>
      <c r="F218" s="4">
        <v>0.84</v>
      </c>
      <c r="G218" s="4"/>
      <c r="H218" s="4">
        <v>0</v>
      </c>
      <c r="I218" s="4"/>
      <c r="J218" s="4">
        <v>0</v>
      </c>
      <c r="K218" s="4">
        <v>0</v>
      </c>
      <c r="L218" s="4"/>
      <c r="M218" s="4"/>
      <c r="N218" s="4"/>
      <c r="O218" s="4"/>
      <c r="P218" s="4"/>
      <c r="Q218" s="4"/>
    </row>
    <row r="219" spans="2:17" x14ac:dyDescent="0.2">
      <c r="B219" t="s">
        <v>4059</v>
      </c>
      <c r="C219" s="4">
        <v>0</v>
      </c>
      <c r="D219" s="4"/>
      <c r="E219" s="4">
        <v>0</v>
      </c>
      <c r="F219" s="4">
        <v>0</v>
      </c>
      <c r="G219" s="4"/>
      <c r="H219" s="4">
        <v>0</v>
      </c>
      <c r="I219" s="4"/>
      <c r="J219" s="4">
        <v>0</v>
      </c>
      <c r="K219" s="4">
        <v>0</v>
      </c>
      <c r="L219" s="4"/>
      <c r="M219" s="4"/>
      <c r="N219" s="4"/>
      <c r="O219" s="4"/>
      <c r="P219" s="4"/>
      <c r="Q219" s="4"/>
    </row>
    <row r="220" spans="2:17" x14ac:dyDescent="0.2">
      <c r="B220" t="s">
        <v>884</v>
      </c>
      <c r="C220" s="4">
        <v>0</v>
      </c>
      <c r="D220" s="4"/>
      <c r="E220" s="4">
        <v>0</v>
      </c>
      <c r="F220" s="4">
        <v>0</v>
      </c>
      <c r="G220" s="4"/>
      <c r="H220" s="4">
        <v>0</v>
      </c>
      <c r="I220" s="4"/>
      <c r="J220" s="4">
        <v>0</v>
      </c>
      <c r="K220" s="4">
        <v>0</v>
      </c>
      <c r="L220" s="4"/>
      <c r="M220" s="4"/>
      <c r="N220" s="4"/>
      <c r="O220" s="4"/>
      <c r="P220" s="4"/>
      <c r="Q220" s="4"/>
    </row>
    <row r="221" spans="2:17" x14ac:dyDescent="0.2">
      <c r="B221" t="s">
        <v>659</v>
      </c>
      <c r="C221" s="4">
        <v>3</v>
      </c>
      <c r="D221" s="4">
        <v>1.06</v>
      </c>
      <c r="E221" s="4">
        <v>0.74</v>
      </c>
      <c r="F221" s="4">
        <v>1.29</v>
      </c>
      <c r="G221" s="4">
        <v>0.28583211855912843</v>
      </c>
      <c r="H221" s="4">
        <v>0</v>
      </c>
      <c r="I221" s="4"/>
      <c r="J221" s="4">
        <v>0</v>
      </c>
      <c r="K221" s="4">
        <v>0</v>
      </c>
      <c r="L221" s="4"/>
      <c r="M221" s="4"/>
      <c r="N221" s="4"/>
      <c r="O221" s="4"/>
      <c r="P221" s="4"/>
      <c r="Q221" s="4"/>
    </row>
    <row r="222" spans="2:17" x14ac:dyDescent="0.2">
      <c r="B222" t="s">
        <v>4057</v>
      </c>
      <c r="C222" s="4">
        <v>1</v>
      </c>
      <c r="D222" s="4">
        <v>5.22</v>
      </c>
      <c r="E222" s="4">
        <v>5.22</v>
      </c>
      <c r="F222" s="4">
        <v>5.22</v>
      </c>
      <c r="G222" s="4"/>
      <c r="H222" s="4">
        <v>0</v>
      </c>
      <c r="I222" s="4"/>
      <c r="J222" s="4">
        <v>0</v>
      </c>
      <c r="K222" s="4">
        <v>0</v>
      </c>
      <c r="L222" s="4"/>
      <c r="M222" s="4"/>
      <c r="N222" s="4"/>
      <c r="O222" s="4"/>
      <c r="P222" s="4"/>
      <c r="Q222" s="4"/>
    </row>
    <row r="223" spans="2:17" x14ac:dyDescent="0.2">
      <c r="B223" t="s">
        <v>887</v>
      </c>
      <c r="C223" s="4">
        <v>0</v>
      </c>
      <c r="D223" s="4"/>
      <c r="E223" s="4">
        <v>0</v>
      </c>
      <c r="F223" s="4">
        <v>0</v>
      </c>
      <c r="G223" s="4"/>
      <c r="H223" s="4">
        <v>0</v>
      </c>
      <c r="I223" s="4"/>
      <c r="J223" s="4">
        <v>0</v>
      </c>
      <c r="K223" s="4">
        <v>0</v>
      </c>
      <c r="L223" s="4"/>
      <c r="M223" s="4"/>
      <c r="N223" s="4"/>
      <c r="O223" s="4"/>
      <c r="P223" s="4"/>
      <c r="Q223" s="4"/>
    </row>
    <row r="224" spans="2:17" x14ac:dyDescent="0.2">
      <c r="B224" t="s">
        <v>1976</v>
      </c>
      <c r="C224" s="4">
        <v>0</v>
      </c>
      <c r="D224" s="4"/>
      <c r="E224" s="4">
        <v>0</v>
      </c>
      <c r="F224" s="4">
        <v>0</v>
      </c>
      <c r="G224" s="4"/>
      <c r="H224" s="4">
        <v>0</v>
      </c>
      <c r="I224" s="4"/>
      <c r="J224" s="4">
        <v>0</v>
      </c>
      <c r="K224" s="4">
        <v>0</v>
      </c>
      <c r="L224" s="4"/>
      <c r="M224" s="4"/>
      <c r="N224" s="4"/>
      <c r="O224" s="4"/>
      <c r="P224" s="4"/>
      <c r="Q224" s="4"/>
    </row>
    <row r="225" spans="2:17" x14ac:dyDescent="0.2">
      <c r="B225" t="s">
        <v>1995</v>
      </c>
      <c r="C225" s="4">
        <v>0</v>
      </c>
      <c r="D225" s="4"/>
      <c r="E225" s="4">
        <v>0</v>
      </c>
      <c r="F225" s="4">
        <v>0</v>
      </c>
      <c r="G225" s="4"/>
      <c r="H225" s="4">
        <v>0</v>
      </c>
      <c r="I225" s="4"/>
      <c r="J225" s="4">
        <v>0</v>
      </c>
      <c r="K225" s="4">
        <v>0</v>
      </c>
      <c r="L225" s="4"/>
      <c r="M225" s="4"/>
      <c r="N225" s="4"/>
      <c r="O225" s="4"/>
      <c r="P225" s="4"/>
      <c r="Q225" s="4"/>
    </row>
    <row r="226" spans="2:17" x14ac:dyDescent="0.2">
      <c r="B226" t="s">
        <v>2460</v>
      </c>
      <c r="C226" s="4">
        <v>2</v>
      </c>
      <c r="D226" s="4">
        <v>0.46234780499999995</v>
      </c>
      <c r="E226" s="4">
        <v>0.35823792999999998</v>
      </c>
      <c r="F226" s="4">
        <v>0.56645767999999996</v>
      </c>
      <c r="G226" s="4">
        <v>0.14723359720196788</v>
      </c>
      <c r="H226" s="4">
        <v>0</v>
      </c>
      <c r="I226" s="4"/>
      <c r="J226" s="4">
        <v>0</v>
      </c>
      <c r="K226" s="4">
        <v>0</v>
      </c>
      <c r="L226" s="4"/>
      <c r="M226" s="4"/>
      <c r="N226" s="4"/>
      <c r="O226" s="4"/>
      <c r="P226" s="4"/>
      <c r="Q226" s="4"/>
    </row>
    <row r="227" spans="2:17" x14ac:dyDescent="0.2">
      <c r="B227" t="s">
        <v>868</v>
      </c>
      <c r="C227" s="4">
        <v>0</v>
      </c>
      <c r="D227" s="4"/>
      <c r="E227" s="4">
        <v>0</v>
      </c>
      <c r="F227" s="4">
        <v>0</v>
      </c>
      <c r="G227" s="4"/>
      <c r="H227" s="4">
        <v>0</v>
      </c>
      <c r="I227" s="4"/>
      <c r="J227" s="4">
        <v>0</v>
      </c>
      <c r="K227" s="4">
        <v>0</v>
      </c>
      <c r="L227" s="4"/>
      <c r="M227" s="4"/>
      <c r="N227" s="4"/>
      <c r="O227" s="4"/>
      <c r="P227" s="4"/>
      <c r="Q227" s="4"/>
    </row>
    <row r="228" spans="2:17" x14ac:dyDescent="0.2">
      <c r="B228" t="s">
        <v>3754</v>
      </c>
      <c r="C228" s="4">
        <v>1</v>
      </c>
      <c r="D228" s="4">
        <v>64.099999999999994</v>
      </c>
      <c r="E228" s="4">
        <v>64.099999999999994</v>
      </c>
      <c r="F228" s="4">
        <v>64.099999999999994</v>
      </c>
      <c r="G228" s="4"/>
      <c r="H228" s="4">
        <v>1</v>
      </c>
      <c r="I228" s="4">
        <v>65.75</v>
      </c>
      <c r="J228" s="4">
        <v>65.75</v>
      </c>
      <c r="K228" s="4">
        <v>65.75</v>
      </c>
      <c r="L228" s="4"/>
      <c r="M228" s="4">
        <v>1</v>
      </c>
      <c r="N228" s="4">
        <v>68</v>
      </c>
      <c r="O228" s="4">
        <v>68</v>
      </c>
      <c r="P228" s="4">
        <v>68</v>
      </c>
      <c r="Q228" s="4"/>
    </row>
    <row r="229" spans="2:17" x14ac:dyDescent="0.2">
      <c r="B229" t="s">
        <v>2949</v>
      </c>
      <c r="C229" s="4">
        <v>1</v>
      </c>
      <c r="D229" s="4">
        <v>1.9850391699999999</v>
      </c>
      <c r="E229" s="4">
        <v>1.9850391699999999</v>
      </c>
      <c r="F229" s="4">
        <v>1.9850391699999999</v>
      </c>
      <c r="G229" s="4"/>
      <c r="H229" s="4">
        <v>0</v>
      </c>
      <c r="I229" s="4"/>
      <c r="J229" s="4">
        <v>0</v>
      </c>
      <c r="K229" s="4">
        <v>0</v>
      </c>
      <c r="L229" s="4"/>
      <c r="M229" s="4"/>
      <c r="N229" s="4"/>
      <c r="O229" s="4"/>
      <c r="P229" s="4"/>
      <c r="Q229" s="4"/>
    </row>
    <row r="230" spans="2:17" x14ac:dyDescent="0.2">
      <c r="B230" t="s">
        <v>2057</v>
      </c>
      <c r="C230" s="4">
        <v>6</v>
      </c>
      <c r="D230" s="4">
        <v>3.1700000000000004</v>
      </c>
      <c r="E230" s="4">
        <v>1.3</v>
      </c>
      <c r="F230" s="4">
        <v>4.5999999999999996</v>
      </c>
      <c r="G230" s="4">
        <v>1.4415963373982315</v>
      </c>
      <c r="H230" s="4">
        <v>2</v>
      </c>
      <c r="I230" s="4">
        <v>4.6749999999999998</v>
      </c>
      <c r="J230" s="4">
        <v>4.45</v>
      </c>
      <c r="K230" s="4">
        <v>4.8999999999999995</v>
      </c>
      <c r="L230" s="4">
        <v>0.31819805153394681</v>
      </c>
      <c r="M230" s="4">
        <v>2</v>
      </c>
      <c r="N230" s="4">
        <v>8.4407250000000005</v>
      </c>
      <c r="O230" s="4">
        <v>6.52</v>
      </c>
      <c r="P230" s="4">
        <v>10.36145</v>
      </c>
      <c r="Q230" s="4">
        <v>2.7163153445890611</v>
      </c>
    </row>
    <row r="231" spans="2:17" x14ac:dyDescent="0.2">
      <c r="B231" t="s">
        <v>4062</v>
      </c>
      <c r="C231" s="4">
        <v>1</v>
      </c>
      <c r="D231" s="4">
        <v>0.5</v>
      </c>
      <c r="E231" s="4">
        <v>0.5</v>
      </c>
      <c r="F231" s="4">
        <v>0.5</v>
      </c>
      <c r="G231" s="4"/>
      <c r="H231" s="4">
        <v>0</v>
      </c>
      <c r="I231" s="4"/>
      <c r="J231" s="4">
        <v>0</v>
      </c>
      <c r="K231" s="4">
        <v>0</v>
      </c>
      <c r="L231" s="4"/>
      <c r="M231" s="4">
        <v>1</v>
      </c>
      <c r="N231" s="4">
        <v>148.01500000000001</v>
      </c>
      <c r="O231" s="4">
        <v>148.01500000000001</v>
      </c>
      <c r="P231" s="4">
        <v>148.01500000000001</v>
      </c>
      <c r="Q231" s="4"/>
    </row>
    <row r="232" spans="2:17" x14ac:dyDescent="0.2">
      <c r="B232" t="s">
        <v>736</v>
      </c>
      <c r="C232" s="4">
        <v>3</v>
      </c>
      <c r="D232" s="4">
        <v>4.8413399999999998</v>
      </c>
      <c r="E232" s="4">
        <v>4.3407419999999997</v>
      </c>
      <c r="F232" s="4">
        <v>5.2694879999999999</v>
      </c>
      <c r="G232" s="4">
        <v>0.46859261091484966</v>
      </c>
      <c r="H232" s="4">
        <v>0</v>
      </c>
      <c r="I232" s="4"/>
      <c r="J232" s="4">
        <v>0</v>
      </c>
      <c r="K232" s="4">
        <v>0</v>
      </c>
      <c r="L232" s="4"/>
      <c r="M232" s="4"/>
      <c r="N232" s="4"/>
      <c r="O232" s="4"/>
      <c r="P232" s="4"/>
      <c r="Q232" s="4"/>
    </row>
    <row r="233" spans="2:17" x14ac:dyDescent="0.2">
      <c r="B233" t="s">
        <v>872</v>
      </c>
      <c r="C233" s="4">
        <v>2</v>
      </c>
      <c r="D233" s="4">
        <v>1.3105</v>
      </c>
      <c r="E233" s="4">
        <v>1.131</v>
      </c>
      <c r="F233" s="4">
        <v>1.49</v>
      </c>
      <c r="G233" s="4">
        <v>0.25385133444597036</v>
      </c>
      <c r="H233" s="4">
        <v>0</v>
      </c>
      <c r="I233" s="4"/>
      <c r="J233" s="4">
        <v>0</v>
      </c>
      <c r="K233" s="4">
        <v>0</v>
      </c>
      <c r="L233" s="4"/>
      <c r="M233" s="4">
        <v>2</v>
      </c>
      <c r="N233" s="4">
        <v>2.4654999999999996</v>
      </c>
      <c r="O233" s="4">
        <v>1.911</v>
      </c>
      <c r="P233" s="4">
        <v>3.0199999999999996</v>
      </c>
      <c r="Q233" s="4">
        <v>0.78418142033588312</v>
      </c>
    </row>
    <row r="234" spans="2:17" x14ac:dyDescent="0.2">
      <c r="B234" t="s">
        <v>2447</v>
      </c>
      <c r="C234" s="4">
        <v>7</v>
      </c>
      <c r="D234" s="4">
        <v>2.5496782056285712</v>
      </c>
      <c r="E234" s="4">
        <v>0.96699999999999997</v>
      </c>
      <c r="F234" s="4">
        <v>5.6378573961000003</v>
      </c>
      <c r="G234" s="4">
        <v>1.6075250593394621</v>
      </c>
      <c r="H234" s="4">
        <v>0</v>
      </c>
      <c r="I234" s="4"/>
      <c r="J234" s="4">
        <v>0</v>
      </c>
      <c r="K234" s="4">
        <v>0</v>
      </c>
      <c r="L234" s="4"/>
      <c r="M234" s="4"/>
      <c r="N234" s="4"/>
      <c r="O234" s="4"/>
      <c r="P234" s="4"/>
      <c r="Q234" s="4"/>
    </row>
    <row r="235" spans="2:17" x14ac:dyDescent="0.2">
      <c r="B235" t="s">
        <v>2134</v>
      </c>
      <c r="C235" s="4">
        <v>1</v>
      </c>
      <c r="D235" s="4">
        <v>3.5</v>
      </c>
      <c r="E235" s="4">
        <v>3.5</v>
      </c>
      <c r="F235" s="4">
        <v>3.5</v>
      </c>
      <c r="G235" s="4"/>
      <c r="H235" s="4">
        <v>0</v>
      </c>
      <c r="I235" s="4"/>
      <c r="J235" s="4">
        <v>0</v>
      </c>
      <c r="K235" s="4">
        <v>0</v>
      </c>
      <c r="L235" s="4"/>
      <c r="M235" s="4"/>
      <c r="N235" s="4"/>
      <c r="O235" s="4"/>
      <c r="P235" s="4"/>
      <c r="Q235" s="4"/>
    </row>
    <row r="236" spans="2:17" x14ac:dyDescent="0.2">
      <c r="B236" t="s">
        <v>2152</v>
      </c>
      <c r="C236" s="4">
        <v>1</v>
      </c>
      <c r="D236" s="4">
        <v>5.64</v>
      </c>
      <c r="E236" s="4">
        <v>5.64</v>
      </c>
      <c r="F236" s="4">
        <v>5.64</v>
      </c>
      <c r="G236" s="4"/>
      <c r="H236" s="4">
        <v>0</v>
      </c>
      <c r="I236" s="4"/>
      <c r="J236" s="4">
        <v>0</v>
      </c>
      <c r="K236" s="4">
        <v>0</v>
      </c>
      <c r="L236" s="4"/>
      <c r="M236" s="4"/>
      <c r="N236" s="4"/>
      <c r="O236" s="4"/>
      <c r="P236" s="4"/>
      <c r="Q236" s="4"/>
    </row>
    <row r="237" spans="2:17" x14ac:dyDescent="0.2">
      <c r="B237" t="s">
        <v>3963</v>
      </c>
      <c r="C237" s="4">
        <v>0</v>
      </c>
      <c r="D237" s="4"/>
      <c r="E237" s="4">
        <v>0</v>
      </c>
      <c r="F237" s="4">
        <v>0</v>
      </c>
      <c r="G237" s="4"/>
      <c r="H237" s="4">
        <v>0</v>
      </c>
      <c r="I237" s="4"/>
      <c r="J237" s="4">
        <v>0</v>
      </c>
      <c r="K237" s="4">
        <v>0</v>
      </c>
      <c r="L237" s="4"/>
      <c r="M237" s="4">
        <v>1</v>
      </c>
      <c r="N237" s="4">
        <v>18</v>
      </c>
      <c r="O237" s="4">
        <v>18</v>
      </c>
      <c r="P237" s="4">
        <v>18</v>
      </c>
      <c r="Q237" s="4"/>
    </row>
    <row r="238" spans="2:17" x14ac:dyDescent="0.2">
      <c r="B238" t="s">
        <v>3815</v>
      </c>
      <c r="C238" s="4">
        <v>0</v>
      </c>
      <c r="D238" s="4"/>
      <c r="E238" s="4">
        <v>0</v>
      </c>
      <c r="F238" s="4">
        <v>0</v>
      </c>
      <c r="G238" s="4"/>
      <c r="H238" s="4">
        <v>0</v>
      </c>
      <c r="I238" s="4"/>
      <c r="J238" s="4">
        <v>0</v>
      </c>
      <c r="K238" s="4">
        <v>0</v>
      </c>
      <c r="L238" s="4"/>
      <c r="M238" s="4"/>
      <c r="N238" s="4"/>
      <c r="O238" s="4"/>
      <c r="P238" s="4"/>
      <c r="Q238" s="4"/>
    </row>
    <row r="239" spans="2:17" x14ac:dyDescent="0.2">
      <c r="B239" t="s">
        <v>3061</v>
      </c>
      <c r="C239" s="4">
        <v>0</v>
      </c>
      <c r="D239" s="4"/>
      <c r="E239" s="4">
        <v>0</v>
      </c>
      <c r="F239" s="4">
        <v>0</v>
      </c>
      <c r="G239" s="4"/>
      <c r="H239" s="4">
        <v>2</v>
      </c>
      <c r="I239" s="4">
        <v>6.6309645499999998</v>
      </c>
      <c r="J239" s="4">
        <v>6.4781129000000002</v>
      </c>
      <c r="K239" s="4">
        <v>6.7838162000000004</v>
      </c>
      <c r="L239" s="4">
        <v>0.21616487646111129</v>
      </c>
      <c r="M239" s="4">
        <v>2</v>
      </c>
      <c r="N239" s="4">
        <v>6.6309645499999998</v>
      </c>
      <c r="O239" s="4">
        <v>6.4781129000000002</v>
      </c>
      <c r="P239" s="4">
        <v>6.7838162000000004</v>
      </c>
      <c r="Q239" s="4">
        <v>0.21616487646111129</v>
      </c>
    </row>
    <row r="240" spans="2:17" x14ac:dyDescent="0.2">
      <c r="B240" t="s">
        <v>2204</v>
      </c>
      <c r="C240" s="4">
        <v>0</v>
      </c>
      <c r="D240" s="4"/>
      <c r="E240" s="4">
        <v>0</v>
      </c>
      <c r="F240" s="4">
        <v>0</v>
      </c>
      <c r="G240" s="4"/>
      <c r="H240" s="4">
        <v>0</v>
      </c>
      <c r="I240" s="4"/>
      <c r="J240" s="4">
        <v>0</v>
      </c>
      <c r="K240" s="4">
        <v>0</v>
      </c>
      <c r="L240" s="4"/>
      <c r="M240" s="4"/>
      <c r="N240" s="4"/>
      <c r="O240" s="4"/>
      <c r="P240" s="4"/>
      <c r="Q240" s="4"/>
    </row>
    <row r="241" spans="2:17" x14ac:dyDescent="0.2">
      <c r="B241" t="s">
        <v>2206</v>
      </c>
      <c r="C241" s="4">
        <v>8</v>
      </c>
      <c r="D241" s="4">
        <v>1.6112500000000001</v>
      </c>
      <c r="E241" s="4">
        <v>0.8</v>
      </c>
      <c r="F241" s="4">
        <v>2.69</v>
      </c>
      <c r="G241" s="4">
        <v>0.53279418433119463</v>
      </c>
      <c r="H241" s="4">
        <v>0</v>
      </c>
      <c r="I241" s="4"/>
      <c r="J241" s="4">
        <v>0</v>
      </c>
      <c r="K241" s="4">
        <v>0</v>
      </c>
      <c r="L241" s="4"/>
      <c r="M241" s="4">
        <v>2</v>
      </c>
      <c r="N241" s="4">
        <v>6.65</v>
      </c>
      <c r="O241" s="4">
        <v>2.8</v>
      </c>
      <c r="P241" s="4">
        <v>10.5</v>
      </c>
      <c r="Q241" s="4">
        <v>5.4447222151364159</v>
      </c>
    </row>
    <row r="242" spans="2:17" x14ac:dyDescent="0.2">
      <c r="B242" t="s">
        <v>2845</v>
      </c>
      <c r="C242" s="4">
        <v>0</v>
      </c>
      <c r="D242" s="4"/>
      <c r="E242" s="4">
        <v>0</v>
      </c>
      <c r="F242" s="4">
        <v>0</v>
      </c>
      <c r="G242" s="4"/>
      <c r="H242" s="4">
        <v>0</v>
      </c>
      <c r="I242" s="4"/>
      <c r="J242" s="4">
        <v>0</v>
      </c>
      <c r="K242" s="4">
        <v>0</v>
      </c>
      <c r="L242" s="4"/>
      <c r="M242" s="4"/>
      <c r="N242" s="4"/>
      <c r="O242" s="4"/>
      <c r="P242" s="4"/>
      <c r="Q242" s="4"/>
    </row>
    <row r="243" spans="2:17" x14ac:dyDescent="0.2">
      <c r="B243" t="s">
        <v>2746</v>
      </c>
      <c r="C243" s="4">
        <v>1</v>
      </c>
      <c r="D243" s="4">
        <v>1.92</v>
      </c>
      <c r="E243" s="4">
        <v>1.92</v>
      </c>
      <c r="F243" s="4">
        <v>1.92</v>
      </c>
      <c r="G243" s="4"/>
      <c r="H243" s="4">
        <v>0</v>
      </c>
      <c r="I243" s="4"/>
      <c r="J243" s="4">
        <v>0</v>
      </c>
      <c r="K243" s="4">
        <v>0</v>
      </c>
      <c r="L243" s="4"/>
      <c r="M243" s="4"/>
      <c r="N243" s="4"/>
      <c r="O243" s="4"/>
      <c r="P243" s="4"/>
      <c r="Q243" s="4"/>
    </row>
    <row r="244" spans="2:17" x14ac:dyDescent="0.2">
      <c r="B244" t="s">
        <v>892</v>
      </c>
      <c r="C244" s="4">
        <v>3</v>
      </c>
      <c r="D244" s="4">
        <v>1.5507451766666669</v>
      </c>
      <c r="E244" s="4">
        <v>0.54075452999999996</v>
      </c>
      <c r="F244" s="4">
        <v>3.33</v>
      </c>
      <c r="G244" s="4">
        <v>1.545573713255328</v>
      </c>
      <c r="H244" s="4">
        <v>0</v>
      </c>
      <c r="I244" s="4"/>
      <c r="J244" s="4">
        <v>0</v>
      </c>
      <c r="K244" s="4">
        <v>0</v>
      </c>
      <c r="L244" s="4"/>
      <c r="M244" s="4"/>
      <c r="N244" s="4"/>
      <c r="O244" s="4"/>
      <c r="P244" s="4"/>
      <c r="Q244" s="4"/>
    </row>
    <row r="245" spans="2:17" x14ac:dyDescent="0.2">
      <c r="B245" t="s">
        <v>2359</v>
      </c>
      <c r="C245" s="4">
        <v>0</v>
      </c>
      <c r="D245" s="4"/>
      <c r="E245" s="4">
        <v>0</v>
      </c>
      <c r="F245" s="4">
        <v>0</v>
      </c>
      <c r="G245" s="4"/>
      <c r="H245" s="4">
        <v>0</v>
      </c>
      <c r="I245" s="4"/>
      <c r="J245" s="4">
        <v>0</v>
      </c>
      <c r="K245" s="4">
        <v>0</v>
      </c>
      <c r="L245" s="4"/>
      <c r="M245" s="4"/>
      <c r="N245" s="4"/>
      <c r="O245" s="4"/>
      <c r="P245" s="4"/>
      <c r="Q245" s="4"/>
    </row>
    <row r="246" spans="2:17" x14ac:dyDescent="0.2">
      <c r="B246" t="s">
        <v>2935</v>
      </c>
      <c r="C246" s="4">
        <v>1</v>
      </c>
      <c r="D246" s="4">
        <v>0.96</v>
      </c>
      <c r="E246" s="4">
        <v>0.96</v>
      </c>
      <c r="F246" s="4">
        <v>0.96</v>
      </c>
      <c r="G246" s="4"/>
      <c r="H246" s="4">
        <v>0</v>
      </c>
      <c r="I246" s="4"/>
      <c r="J246" s="4">
        <v>0</v>
      </c>
      <c r="K246" s="4">
        <v>0</v>
      </c>
      <c r="L246" s="4"/>
      <c r="M246" s="4"/>
      <c r="N246" s="4"/>
      <c r="O246" s="4"/>
      <c r="P246" s="4"/>
      <c r="Q246" s="4"/>
    </row>
    <row r="247" spans="2:17" x14ac:dyDescent="0.2">
      <c r="B247" t="s">
        <v>3822</v>
      </c>
      <c r="C247" s="4">
        <v>0</v>
      </c>
      <c r="D247" s="4"/>
      <c r="E247" s="4">
        <v>0</v>
      </c>
      <c r="F247" s="4">
        <v>0</v>
      </c>
      <c r="G247" s="4"/>
      <c r="H247" s="4">
        <v>0</v>
      </c>
      <c r="I247" s="4"/>
      <c r="J247" s="4">
        <v>0</v>
      </c>
      <c r="K247" s="4">
        <v>0</v>
      </c>
      <c r="L247" s="4"/>
      <c r="M247" s="4"/>
      <c r="N247" s="4"/>
      <c r="O247" s="4"/>
      <c r="P247" s="4"/>
      <c r="Q247" s="4"/>
    </row>
    <row r="248" spans="2:17" x14ac:dyDescent="0.2">
      <c r="B248" t="s">
        <v>2311</v>
      </c>
      <c r="C248" s="4">
        <v>7</v>
      </c>
      <c r="D248" s="4">
        <v>2.3902571428571426</v>
      </c>
      <c r="E248" s="4">
        <v>0.86899999999999999</v>
      </c>
      <c r="F248" s="4">
        <v>3.9775999999999998</v>
      </c>
      <c r="G248" s="4">
        <v>1.1507929655345519</v>
      </c>
      <c r="H248" s="4">
        <v>1</v>
      </c>
      <c r="I248" s="4">
        <v>1.0088000000000001</v>
      </c>
      <c r="J248" s="4">
        <v>1.0088000000000001</v>
      </c>
      <c r="K248" s="4">
        <v>1.0088000000000001</v>
      </c>
      <c r="L248" s="4"/>
      <c r="M248" s="4">
        <v>1</v>
      </c>
      <c r="N248" s="4">
        <v>2.4127999999999998</v>
      </c>
      <c r="O248" s="4">
        <v>2.4127999999999998</v>
      </c>
      <c r="P248" s="4">
        <v>2.4127999999999998</v>
      </c>
      <c r="Q248" s="4"/>
    </row>
    <row r="249" spans="2:17" x14ac:dyDescent="0.2">
      <c r="B249" t="s">
        <v>3073</v>
      </c>
      <c r="C249" s="4">
        <v>4</v>
      </c>
      <c r="D249" s="4">
        <v>4.62765</v>
      </c>
      <c r="E249" s="4">
        <v>0.93</v>
      </c>
      <c r="F249" s="4">
        <v>6.6340000000000003</v>
      </c>
      <c r="G249" s="4">
        <v>2.5250943012093634</v>
      </c>
      <c r="H249" s="4">
        <v>4</v>
      </c>
      <c r="I249" s="4">
        <v>7.8090999999999999</v>
      </c>
      <c r="J249" s="4">
        <v>1.1055999999999999</v>
      </c>
      <c r="K249" s="4">
        <v>11.824000000000002</v>
      </c>
      <c r="L249" s="4">
        <v>4.642937979340239</v>
      </c>
      <c r="M249" s="4">
        <v>6</v>
      </c>
      <c r="N249" s="4">
        <v>17.517483333333335</v>
      </c>
      <c r="O249" s="4">
        <v>9.36</v>
      </c>
      <c r="P249" s="4">
        <v>23.944400000000002</v>
      </c>
      <c r="Q249" s="4">
        <v>6.0093395488744576</v>
      </c>
    </row>
    <row r="250" spans="2:17" x14ac:dyDescent="0.2">
      <c r="B250" t="s">
        <v>4055</v>
      </c>
      <c r="C250" s="4">
        <v>6</v>
      </c>
      <c r="D250" s="4">
        <v>44.852046666666666</v>
      </c>
      <c r="E250" s="4">
        <v>22.352170000000001</v>
      </c>
      <c r="F250" s="4">
        <v>60.91</v>
      </c>
      <c r="G250" s="4">
        <v>14.662029064955053</v>
      </c>
      <c r="H250" s="4">
        <v>0</v>
      </c>
      <c r="I250" s="4"/>
      <c r="J250" s="4">
        <v>0</v>
      </c>
      <c r="K250" s="4">
        <v>0</v>
      </c>
      <c r="L250" s="4"/>
      <c r="M250" s="4">
        <v>8</v>
      </c>
      <c r="N250" s="4">
        <v>43.521249999999995</v>
      </c>
      <c r="O250" s="4">
        <v>16.2</v>
      </c>
      <c r="P250" s="4">
        <v>63.6</v>
      </c>
      <c r="Q250" s="4">
        <v>17.432220117193506</v>
      </c>
    </row>
    <row r="251" spans="2:17" x14ac:dyDescent="0.2">
      <c r="B251" t="s">
        <v>2315</v>
      </c>
      <c r="C251" s="4">
        <v>1</v>
      </c>
      <c r="D251" s="4">
        <v>0.93</v>
      </c>
      <c r="E251" s="4">
        <v>0.93</v>
      </c>
      <c r="F251" s="4">
        <v>0.93</v>
      </c>
      <c r="G251" s="4"/>
      <c r="H251" s="4">
        <v>1</v>
      </c>
      <c r="I251" s="4">
        <v>1.6705000000000001</v>
      </c>
      <c r="J251" s="4">
        <v>1.6705000000000001</v>
      </c>
      <c r="K251" s="4">
        <v>1.6705000000000001</v>
      </c>
      <c r="L251" s="4"/>
      <c r="M251" s="4">
        <v>1</v>
      </c>
      <c r="N251" s="4">
        <v>12.242599999999999</v>
      </c>
      <c r="O251" s="4">
        <v>12.242599999999999</v>
      </c>
      <c r="P251" s="4">
        <v>12.242599999999999</v>
      </c>
      <c r="Q251" s="4"/>
    </row>
    <row r="252" spans="2:17" x14ac:dyDescent="0.2">
      <c r="B252" t="s">
        <v>2316</v>
      </c>
      <c r="C252" s="4">
        <v>1</v>
      </c>
      <c r="D252" s="4">
        <v>0.93</v>
      </c>
      <c r="E252" s="4">
        <v>0.93</v>
      </c>
      <c r="F252" s="4">
        <v>0.93</v>
      </c>
      <c r="G252" s="4"/>
      <c r="H252" s="4">
        <v>1</v>
      </c>
      <c r="I252" s="4">
        <v>1.4378</v>
      </c>
      <c r="J252" s="4">
        <v>1.4378</v>
      </c>
      <c r="K252" s="4">
        <v>1.4378</v>
      </c>
      <c r="L252" s="4"/>
      <c r="M252" s="4">
        <v>3</v>
      </c>
      <c r="N252" s="4">
        <v>14.916333333333334</v>
      </c>
      <c r="O252" s="4">
        <v>4.7489999999999997</v>
      </c>
      <c r="P252" s="4">
        <v>20.399999999999999</v>
      </c>
      <c r="Q252" s="4">
        <v>8.8142498451844045</v>
      </c>
    </row>
    <row r="253" spans="2:17" x14ac:dyDescent="0.2">
      <c r="B253" t="s">
        <v>3074</v>
      </c>
      <c r="C253" s="4">
        <v>4</v>
      </c>
      <c r="D253" s="4">
        <v>3.9947999999999997</v>
      </c>
      <c r="E253" s="4">
        <v>0.93</v>
      </c>
      <c r="F253" s="4">
        <v>5.2831999999999999</v>
      </c>
      <c r="G253" s="4">
        <v>2.0518911667045119</v>
      </c>
      <c r="H253" s="4">
        <v>4</v>
      </c>
      <c r="I253" s="4">
        <v>6.5811999999999999</v>
      </c>
      <c r="J253" s="4">
        <v>1.1055999999999999</v>
      </c>
      <c r="K253" s="4">
        <v>8.5332000000000008</v>
      </c>
      <c r="L253" s="4">
        <v>3.6515009626179751</v>
      </c>
      <c r="M253" s="4">
        <v>4</v>
      </c>
      <c r="N253" s="4">
        <v>18.015300000000003</v>
      </c>
      <c r="O253" s="4">
        <v>17.153600000000001</v>
      </c>
      <c r="P253" s="4">
        <v>18.5334</v>
      </c>
      <c r="Q253" s="4">
        <v>0.61245308935992215</v>
      </c>
    </row>
    <row r="254" spans="2:17" x14ac:dyDescent="0.2">
      <c r="B254" t="s">
        <v>2318</v>
      </c>
      <c r="C254" s="4">
        <v>8</v>
      </c>
      <c r="D254" s="4">
        <v>5.8059250000000002</v>
      </c>
      <c r="E254" s="4">
        <v>1.34</v>
      </c>
      <c r="F254" s="4">
        <v>7.1342999999999996</v>
      </c>
      <c r="G254" s="4">
        <v>1.9699316128448998</v>
      </c>
      <c r="H254" s="4">
        <v>8</v>
      </c>
      <c r="I254" s="4">
        <v>10.581235249999999</v>
      </c>
      <c r="J254" s="4">
        <v>3.9000000000000004</v>
      </c>
      <c r="K254" s="4">
        <v>12.8842</v>
      </c>
      <c r="L254" s="4">
        <v>3.1630868434178518</v>
      </c>
      <c r="M254" s="4">
        <v>8</v>
      </c>
      <c r="N254" s="4">
        <v>16.920601785714283</v>
      </c>
      <c r="O254" s="4">
        <v>13.785714285714286</v>
      </c>
      <c r="P254" s="4">
        <v>23.3247</v>
      </c>
      <c r="Q254" s="4">
        <v>3.5872977643666255</v>
      </c>
    </row>
    <row r="255" spans="2:17" x14ac:dyDescent="0.2">
      <c r="B255" t="s">
        <v>2332</v>
      </c>
      <c r="C255" s="4">
        <v>0</v>
      </c>
      <c r="D255" s="4"/>
      <c r="E255" s="4">
        <v>0</v>
      </c>
      <c r="F255" s="4">
        <v>0</v>
      </c>
      <c r="G255" s="4"/>
      <c r="H255" s="4">
        <v>0</v>
      </c>
      <c r="I255" s="4"/>
      <c r="J255" s="4">
        <v>0</v>
      </c>
      <c r="K255" s="4">
        <v>0</v>
      </c>
      <c r="L255" s="4"/>
      <c r="M255" s="4"/>
      <c r="N255" s="4"/>
      <c r="O255" s="4"/>
      <c r="P255" s="4"/>
      <c r="Q255" s="4"/>
    </row>
    <row r="256" spans="2:17" x14ac:dyDescent="0.2">
      <c r="B256" t="s">
        <v>3297</v>
      </c>
      <c r="C256" s="4">
        <v>0</v>
      </c>
      <c r="D256" s="4"/>
      <c r="E256" s="4">
        <v>0</v>
      </c>
      <c r="F256" s="4">
        <v>0</v>
      </c>
      <c r="G256" s="4"/>
      <c r="H256" s="4">
        <v>0</v>
      </c>
      <c r="I256" s="4"/>
      <c r="J256" s="4">
        <v>0</v>
      </c>
      <c r="K256" s="4">
        <v>0</v>
      </c>
      <c r="L256" s="4"/>
      <c r="M256" s="4"/>
      <c r="N256" s="4"/>
      <c r="O256" s="4"/>
      <c r="P256" s="4"/>
      <c r="Q256" s="4"/>
    </row>
    <row r="257" spans="1:17" x14ac:dyDescent="0.2">
      <c r="B257" t="s">
        <v>2356</v>
      </c>
      <c r="C257" s="4">
        <v>0</v>
      </c>
      <c r="D257" s="4"/>
      <c r="E257" s="4">
        <v>0</v>
      </c>
      <c r="F257" s="4">
        <v>0</v>
      </c>
      <c r="G257" s="4"/>
      <c r="H257" s="4">
        <v>0</v>
      </c>
      <c r="I257" s="4"/>
      <c r="J257" s="4">
        <v>0</v>
      </c>
      <c r="K257" s="4">
        <v>0</v>
      </c>
      <c r="L257" s="4"/>
      <c r="M257" s="4"/>
      <c r="N257" s="4"/>
      <c r="O257" s="4"/>
      <c r="P257" s="4"/>
      <c r="Q257" s="4"/>
    </row>
    <row r="258" spans="1:17" x14ac:dyDescent="0.2">
      <c r="B258" t="s">
        <v>890</v>
      </c>
      <c r="C258" s="4">
        <v>1</v>
      </c>
      <c r="D258" s="4">
        <v>0.18415999999999999</v>
      </c>
      <c r="E258" s="4">
        <v>0.18415999999999999</v>
      </c>
      <c r="F258" s="4">
        <v>0.18415999999999999</v>
      </c>
      <c r="G258" s="4"/>
      <c r="H258" s="4">
        <v>0</v>
      </c>
      <c r="I258" s="4"/>
      <c r="J258" s="4">
        <v>0</v>
      </c>
      <c r="K258" s="4">
        <v>0</v>
      </c>
      <c r="L258" s="4"/>
      <c r="M258" s="4"/>
      <c r="N258" s="4"/>
      <c r="O258" s="4"/>
      <c r="P258" s="4"/>
      <c r="Q258" s="4"/>
    </row>
    <row r="259" spans="1:17" x14ac:dyDescent="0.2">
      <c r="B259" t="s">
        <v>3964</v>
      </c>
      <c r="C259" s="4">
        <v>0</v>
      </c>
      <c r="D259" s="4"/>
      <c r="E259" s="4">
        <v>0</v>
      </c>
      <c r="F259" s="4">
        <v>0</v>
      </c>
      <c r="G259" s="4"/>
      <c r="H259" s="4">
        <v>0</v>
      </c>
      <c r="I259" s="4"/>
      <c r="J259" s="4">
        <v>0</v>
      </c>
      <c r="K259" s="4">
        <v>0</v>
      </c>
      <c r="L259" s="4"/>
      <c r="M259" s="4">
        <v>1</v>
      </c>
      <c r="N259" s="4">
        <v>29</v>
      </c>
      <c r="O259" s="4">
        <v>29</v>
      </c>
      <c r="P259" s="4">
        <v>29</v>
      </c>
      <c r="Q259" s="4"/>
    </row>
    <row r="260" spans="1:17" x14ac:dyDescent="0.2">
      <c r="A260" t="s">
        <v>2842</v>
      </c>
      <c r="B260"/>
      <c r="C260" s="4">
        <v>116</v>
      </c>
      <c r="D260" s="4">
        <v>5.8818211032401777</v>
      </c>
      <c r="E260" s="4">
        <v>0.14480000000000001</v>
      </c>
      <c r="F260" s="4">
        <v>64.099999999999994</v>
      </c>
      <c r="G260" s="4">
        <v>11.473744060450619</v>
      </c>
      <c r="H260" s="4">
        <v>38</v>
      </c>
      <c r="I260" s="4">
        <v>8.8489335456937805</v>
      </c>
      <c r="J260" s="4">
        <v>1.0088000000000001</v>
      </c>
      <c r="K260" s="4">
        <v>65.75</v>
      </c>
      <c r="L260" s="4">
        <v>10.10702425025074</v>
      </c>
      <c r="M260" s="4">
        <v>64</v>
      </c>
      <c r="N260" s="4">
        <v>26.704904740401783</v>
      </c>
      <c r="O260" s="4">
        <v>1.33</v>
      </c>
      <c r="P260" s="4">
        <v>158.10650000000001</v>
      </c>
      <c r="Q260" s="4">
        <v>32.385002062282254</v>
      </c>
    </row>
    <row r="261" spans="1:17" x14ac:dyDescent="0.2">
      <c r="A261" t="s">
        <v>2863</v>
      </c>
      <c r="B261" t="s">
        <v>2863</v>
      </c>
      <c r="C261" s="4"/>
      <c r="D261" s="4"/>
      <c r="E261" s="4"/>
      <c r="F261" s="4"/>
      <c r="G261" s="4"/>
      <c r="H261" s="4"/>
      <c r="I261" s="4"/>
      <c r="J261" s="4"/>
      <c r="K261" s="4"/>
      <c r="L261" s="4"/>
      <c r="M261" s="4"/>
      <c r="N261" s="4"/>
      <c r="O261" s="4"/>
      <c r="P261" s="4"/>
      <c r="Q261" s="4"/>
    </row>
    <row r="262" spans="1:17" x14ac:dyDescent="0.2">
      <c r="A262" t="s">
        <v>2864</v>
      </c>
      <c r="B262"/>
      <c r="C262" s="4"/>
      <c r="D262" s="4"/>
      <c r="E262" s="4"/>
      <c r="F262" s="4"/>
      <c r="G262" s="4"/>
      <c r="H262" s="4"/>
      <c r="I262" s="4"/>
      <c r="J262" s="4"/>
      <c r="K262" s="4"/>
      <c r="L262" s="4"/>
      <c r="M262" s="4"/>
      <c r="N262" s="4"/>
      <c r="O262" s="4"/>
      <c r="P262" s="4"/>
      <c r="Q262" s="4"/>
    </row>
    <row r="263" spans="1:17" x14ac:dyDescent="0.2">
      <c r="B263"/>
      <c r="C263"/>
      <c r="D263"/>
      <c r="E263"/>
      <c r="F263"/>
      <c r="G263"/>
      <c r="H263"/>
      <c r="I263"/>
    </row>
    <row r="264" spans="1:17" x14ac:dyDescent="0.2">
      <c r="B264"/>
      <c r="C264"/>
      <c r="D264"/>
      <c r="E264"/>
      <c r="F264"/>
      <c r="G264"/>
      <c r="H264"/>
      <c r="I264"/>
    </row>
    <row r="265" spans="1:17" x14ac:dyDescent="0.2">
      <c r="B265"/>
      <c r="C265"/>
      <c r="D265"/>
      <c r="E265"/>
      <c r="F265"/>
      <c r="G265"/>
      <c r="H265"/>
      <c r="I265"/>
    </row>
    <row r="266" spans="1:17" x14ac:dyDescent="0.2">
      <c r="B266"/>
      <c r="C266"/>
      <c r="D266"/>
      <c r="E266"/>
      <c r="F266"/>
      <c r="G266"/>
      <c r="H266"/>
      <c r="I266"/>
    </row>
    <row r="267" spans="1:17" x14ac:dyDescent="0.2">
      <c r="B267"/>
      <c r="C267"/>
      <c r="D267"/>
      <c r="E267"/>
      <c r="F267"/>
      <c r="G267"/>
      <c r="H267"/>
      <c r="I267"/>
    </row>
    <row r="268" spans="1:17" x14ac:dyDescent="0.2">
      <c r="B268"/>
      <c r="C268"/>
      <c r="D268"/>
      <c r="E268"/>
      <c r="F268"/>
      <c r="G268"/>
      <c r="H268"/>
      <c r="I268"/>
    </row>
    <row r="269" spans="1:17" x14ac:dyDescent="0.2">
      <c r="B269"/>
      <c r="C269"/>
      <c r="D269"/>
      <c r="E269"/>
      <c r="F269"/>
      <c r="G269"/>
      <c r="H269"/>
      <c r="I269"/>
    </row>
    <row r="270" spans="1:17" x14ac:dyDescent="0.2">
      <c r="B270"/>
      <c r="C270"/>
      <c r="D270"/>
      <c r="E270"/>
      <c r="F270"/>
      <c r="G270"/>
      <c r="H270"/>
      <c r="I270"/>
    </row>
    <row r="271" spans="1:17" x14ac:dyDescent="0.2">
      <c r="B271"/>
      <c r="C271"/>
      <c r="D271"/>
      <c r="E271"/>
      <c r="F271"/>
      <c r="G271"/>
      <c r="H271"/>
      <c r="I271"/>
    </row>
    <row r="272" spans="1:17" x14ac:dyDescent="0.2">
      <c r="B272"/>
      <c r="C272"/>
      <c r="D272"/>
      <c r="E272"/>
      <c r="F272"/>
      <c r="G272"/>
      <c r="H272"/>
      <c r="I272"/>
    </row>
    <row r="273" spans="2:9" x14ac:dyDescent="0.2">
      <c r="B273"/>
      <c r="C273"/>
      <c r="D273"/>
      <c r="E273"/>
      <c r="F273"/>
      <c r="G273"/>
      <c r="H273"/>
      <c r="I273"/>
    </row>
    <row r="274" spans="2:9" x14ac:dyDescent="0.2">
      <c r="B274"/>
      <c r="C274"/>
      <c r="D274"/>
      <c r="E274"/>
      <c r="F274"/>
      <c r="G274"/>
      <c r="H274"/>
      <c r="I274"/>
    </row>
  </sheetData>
  <mergeCells count="3">
    <mergeCell ref="C2:G2"/>
    <mergeCell ref="H2:L2"/>
    <mergeCell ref="M2:Q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161"/>
  <sheetViews>
    <sheetView workbookViewId="0">
      <selection activeCell="O13" sqref="O13"/>
    </sheetView>
  </sheetViews>
  <sheetFormatPr baseColWidth="10" defaultColWidth="11" defaultRowHeight="16" x14ac:dyDescent="0.2"/>
  <cols>
    <col min="2" max="2" width="15.5" bestFit="1" customWidth="1"/>
  </cols>
  <sheetData>
    <row r="1" spans="1:9" ht="19" x14ac:dyDescent="0.25">
      <c r="A1" s="215" t="s">
        <v>4075</v>
      </c>
    </row>
    <row r="2" spans="1:9" ht="19" x14ac:dyDescent="0.25">
      <c r="A2" s="365" t="s">
        <v>4426</v>
      </c>
    </row>
    <row r="4" spans="1:9" ht="20" x14ac:dyDescent="0.2">
      <c r="A4" t="s">
        <v>2453</v>
      </c>
      <c r="B4" s="1" t="s">
        <v>1</v>
      </c>
      <c r="E4" t="s">
        <v>874</v>
      </c>
      <c r="F4" s="1" t="s">
        <v>1</v>
      </c>
      <c r="H4" s="90" t="s">
        <v>3353</v>
      </c>
      <c r="I4" s="1" t="s">
        <v>1</v>
      </c>
    </row>
    <row r="5" spans="1:9" x14ac:dyDescent="0.2">
      <c r="B5" t="str">
        <f>"=Blueberry"</f>
        <v>=Blueberry</v>
      </c>
      <c r="F5" s="90" t="str">
        <f>"=carrot"</f>
        <v>=carrot</v>
      </c>
      <c r="I5" s="130" t="str">
        <f>"=Broccoli"</f>
        <v>=Broccoli</v>
      </c>
    </row>
    <row r="6" spans="1:9" ht="20" x14ac:dyDescent="0.2">
      <c r="B6" t="str">
        <f>"=Raspberry"</f>
        <v>=Raspberry</v>
      </c>
      <c r="E6" t="s">
        <v>2744</v>
      </c>
      <c r="F6" s="1" t="s">
        <v>1</v>
      </c>
      <c r="I6" s="130" t="str">
        <f>"=Brussels sprouts"</f>
        <v>=Brussels sprouts</v>
      </c>
    </row>
    <row r="7" spans="1:9" x14ac:dyDescent="0.2">
      <c r="A7" s="130"/>
      <c r="B7" s="130" t="str">
        <f>"=Gooseberry"</f>
        <v>=Gooseberry</v>
      </c>
      <c r="F7" s="90" t="str">
        <f>"=cassava"</f>
        <v>=cassava</v>
      </c>
      <c r="I7" s="130" t="str">
        <f>"=Cabbage"</f>
        <v>=Cabbage</v>
      </c>
    </row>
    <row r="8" spans="1:9" ht="20" x14ac:dyDescent="0.2">
      <c r="A8" s="130"/>
      <c r="B8" s="130" t="str">
        <f>"=Huckleberry"</f>
        <v>=Huckleberry</v>
      </c>
      <c r="E8" t="s">
        <v>857</v>
      </c>
      <c r="F8" s="1" t="s">
        <v>1</v>
      </c>
      <c r="I8" s="130" t="str">
        <f>"=Cauliflower"</f>
        <v>=Cauliflower</v>
      </c>
    </row>
    <row r="9" spans="1:9" x14ac:dyDescent="0.2">
      <c r="A9" s="130"/>
      <c r="B9" s="130" t="str">
        <f>"=strawberry"</f>
        <v>=strawberry</v>
      </c>
      <c r="F9" s="90" t="str">
        <f>"=Potato, tuber, w/peel"</f>
        <v>=Potato, tuber, w/peel</v>
      </c>
      <c r="I9" s="130" t="str">
        <f>"=Kohlrabi"</f>
        <v>=Kohlrabi</v>
      </c>
    </row>
    <row r="10" spans="1:9" x14ac:dyDescent="0.2">
      <c r="A10" s="130"/>
      <c r="B10" s="130" t="str">
        <f>"=Mulberry"</f>
        <v>=Mulberry</v>
      </c>
      <c r="F10" s="90"/>
      <c r="I10" s="130" t="str">
        <f>"=Cabbage, Chinese, bok choy"</f>
        <v>=Cabbage, Chinese, bok choy</v>
      </c>
    </row>
    <row r="11" spans="1:9" ht="20" x14ac:dyDescent="0.2">
      <c r="B11" t="str">
        <f>"=blackberry"</f>
        <v>=blackberry</v>
      </c>
      <c r="E11" t="s">
        <v>4068</v>
      </c>
      <c r="F11" s="1" t="s">
        <v>1</v>
      </c>
      <c r="I11" s="130" t="str">
        <f>"=Collards"</f>
        <v>=Collards</v>
      </c>
    </row>
    <row r="12" spans="1:9" x14ac:dyDescent="0.2">
      <c r="A12" s="157"/>
      <c r="B12" s="157" t="str">
        <f>"=boysenberry"</f>
        <v>=boysenberry</v>
      </c>
      <c r="F12" s="90" t="str">
        <f>"=ginger"</f>
        <v>=ginger</v>
      </c>
      <c r="I12" s="130" t="str">
        <f>"=Kale"</f>
        <v>=Kale</v>
      </c>
    </row>
    <row r="13" spans="1:9" ht="20" x14ac:dyDescent="0.2">
      <c r="A13" s="130"/>
      <c r="B13" s="130" t="str">
        <f>"=Cranberry"</f>
        <v>=Cranberry</v>
      </c>
      <c r="E13" t="s">
        <v>4069</v>
      </c>
      <c r="F13" s="1" t="s">
        <v>1</v>
      </c>
      <c r="I13" s="130" t="str">
        <f>"=Mustard greens"</f>
        <v>=Mustard greens</v>
      </c>
    </row>
    <row r="14" spans="1:9" x14ac:dyDescent="0.2">
      <c r="F14" s="90" t="str">
        <f>"=endive"</f>
        <v>=endive</v>
      </c>
      <c r="I14" s="130" t="str">
        <f>"=Turnip, greens"</f>
        <v>=Turnip, greens</v>
      </c>
    </row>
    <row r="15" spans="1:9" ht="20" x14ac:dyDescent="0.2">
      <c r="A15" s="157" t="s">
        <v>1725</v>
      </c>
      <c r="B15" s="1" t="s">
        <v>1</v>
      </c>
      <c r="C15" s="90" t="s">
        <v>3280</v>
      </c>
      <c r="E15" t="s">
        <v>3271</v>
      </c>
      <c r="F15" s="1" t="s">
        <v>1</v>
      </c>
      <c r="I15" s="130" t="str">
        <f>"=Cabbage, Chinese, napa"</f>
        <v>=Cabbage, Chinese, napa</v>
      </c>
    </row>
    <row r="16" spans="1:9" x14ac:dyDescent="0.2">
      <c r="B16" s="157" t="str">
        <f>"=Clover, seed"</f>
        <v>=Clover, seed</v>
      </c>
      <c r="F16" s="90" t="str">
        <f>"=onion, bulb"</f>
        <v>=onion, bulb</v>
      </c>
      <c r="I16" s="130" t="str">
        <f>"=Cabbage, Chinese, mustard"</f>
        <v>=Cabbage, Chinese, mustard</v>
      </c>
    </row>
    <row r="17" spans="1:9" ht="20" x14ac:dyDescent="0.2">
      <c r="A17" s="71"/>
      <c r="B17" s="363"/>
      <c r="E17" t="s">
        <v>882</v>
      </c>
      <c r="F17" s="1" t="s">
        <v>1</v>
      </c>
      <c r="I17" s="130" t="str">
        <f>"=Radish, roots"</f>
        <v>=Radish, roots</v>
      </c>
    </row>
    <row r="18" spans="1:9" x14ac:dyDescent="0.2">
      <c r="F18" s="90" t="str">
        <f>"=broccoli"</f>
        <v>=broccoli</v>
      </c>
      <c r="I18" s="130" t="str">
        <f>"=Radish, Oriental, roots"</f>
        <v>=Radish, Oriental, roots</v>
      </c>
    </row>
    <row r="19" spans="1:9" ht="20" x14ac:dyDescent="0.2">
      <c r="A19" s="130" t="s">
        <v>2266</v>
      </c>
      <c r="B19" s="1" t="s">
        <v>1</v>
      </c>
      <c r="E19" t="s">
        <v>893</v>
      </c>
      <c r="F19" s="1" t="s">
        <v>1</v>
      </c>
      <c r="I19" s="130" t="str">
        <f>"=Rutabaga"</f>
        <v>=Rutabaga</v>
      </c>
    </row>
    <row r="20" spans="1:9" x14ac:dyDescent="0.2">
      <c r="B20" s="158" t="str">
        <f>"=soybean, meal"</f>
        <v>=soybean, meal</v>
      </c>
      <c r="F20" s="157" t="str">
        <f>"=spinach"</f>
        <v>=spinach</v>
      </c>
      <c r="I20" s="130" t="str">
        <f>"=Turnip, roots"</f>
        <v>=Turnip, roots</v>
      </c>
    </row>
    <row r="22" spans="1:9" ht="20" x14ac:dyDescent="0.2">
      <c r="A22" s="90" t="s">
        <v>2464</v>
      </c>
      <c r="B22" s="1" t="s">
        <v>1</v>
      </c>
      <c r="E22" s="130" t="s">
        <v>3272</v>
      </c>
      <c r="F22" s="1" t="s">
        <v>1</v>
      </c>
    </row>
    <row r="23" spans="1:9" ht="20" x14ac:dyDescent="0.2">
      <c r="B23" s="130" t="str">
        <f>"=Broccoli"</f>
        <v>=Broccoli</v>
      </c>
      <c r="C23" s="90"/>
      <c r="F23" t="str">
        <f>"=Bean, snap, succulent"</f>
        <v>=Bean, snap, succulent</v>
      </c>
      <c r="H23" t="s">
        <v>3355</v>
      </c>
      <c r="I23" s="1" t="s">
        <v>1</v>
      </c>
    </row>
    <row r="24" spans="1:9" ht="20" x14ac:dyDescent="0.2">
      <c r="B24" s="130" t="str">
        <f>"=Brussels sprouts"</f>
        <v>=Brussels sprouts</v>
      </c>
      <c r="C24" s="90"/>
      <c r="E24" t="s">
        <v>3273</v>
      </c>
      <c r="F24" s="1" t="s">
        <v>1</v>
      </c>
      <c r="I24" t="str">
        <f>"=Bean, broad, seed"</f>
        <v>=Bean, broad, seed</v>
      </c>
    </row>
    <row r="25" spans="1:9" x14ac:dyDescent="0.2">
      <c r="B25" s="130" t="str">
        <f>"=Cabbage"</f>
        <v>=Cabbage</v>
      </c>
      <c r="C25" s="90"/>
      <c r="F25" s="130" t="str">
        <f>"=Pea, pigeon, seed"</f>
        <v>=Pea, pigeon, seed</v>
      </c>
      <c r="I25" t="str">
        <f>"=Bean, brown"</f>
        <v>=Bean, brown</v>
      </c>
    </row>
    <row r="26" spans="1:9" ht="20" x14ac:dyDescent="0.2">
      <c r="B26" s="130" t="str">
        <f>"=Cauliflower"</f>
        <v>=Cauliflower</v>
      </c>
      <c r="C26" s="90"/>
      <c r="E26" s="90" t="s">
        <v>3270</v>
      </c>
      <c r="F26" s="1" t="s">
        <v>1</v>
      </c>
      <c r="I26" t="str">
        <f>"=Bean, cowpea, seed"</f>
        <v>=Bean, cowpea, seed</v>
      </c>
    </row>
    <row r="27" spans="1:9" x14ac:dyDescent="0.2">
      <c r="B27" s="130" t="str">
        <f>"=Kohlrabi"</f>
        <v>=Kohlrabi</v>
      </c>
      <c r="C27" s="90"/>
      <c r="F27" s="90" t="str">
        <f>"=Bean, dry"</f>
        <v>=Bean, dry</v>
      </c>
      <c r="I27" t="str">
        <f>"=Bean, dry"</f>
        <v>=Bean, dry</v>
      </c>
    </row>
    <row r="28" spans="1:9" ht="20" x14ac:dyDescent="0.2">
      <c r="A28" s="90" t="s">
        <v>2454</v>
      </c>
      <c r="B28" s="1" t="s">
        <v>1</v>
      </c>
      <c r="E28" s="90" t="s">
        <v>3274</v>
      </c>
      <c r="F28" s="1" t="s">
        <v>1</v>
      </c>
      <c r="I28" t="str">
        <f>"=Chickpea, seed"</f>
        <v>=Chickpea, seed</v>
      </c>
    </row>
    <row r="29" spans="1:9" x14ac:dyDescent="0.2">
      <c r="B29" s="130" t="str">
        <f>"=Cabbage, Chinese, bok choy"</f>
        <v>=Cabbage, Chinese, bok choy</v>
      </c>
      <c r="C29" s="90"/>
      <c r="F29" s="157" t="str">
        <f>"=lentil, seed"</f>
        <v>=lentil, seed</v>
      </c>
      <c r="I29" t="str">
        <f>"=lentil, seed"</f>
        <v>=lentil, seed</v>
      </c>
    </row>
    <row r="30" spans="1:9" ht="20" x14ac:dyDescent="0.2">
      <c r="B30" s="130" t="str">
        <f>"=Collards"</f>
        <v>=Collards</v>
      </c>
      <c r="C30" s="90"/>
      <c r="F30" s="1" t="s">
        <v>1</v>
      </c>
      <c r="I30" t="str">
        <f>"=Pea, dry"</f>
        <v>=Pea, dry</v>
      </c>
    </row>
    <row r="31" spans="1:9" x14ac:dyDescent="0.2">
      <c r="B31" s="130" t="str">
        <f>"=Kale"</f>
        <v>=Kale</v>
      </c>
      <c r="C31" s="90"/>
      <c r="F31" s="90" t="str">
        <f>"=tomato"</f>
        <v>=tomato</v>
      </c>
      <c r="I31" t="str">
        <f>"=Pea, pigeon, seed"</f>
        <v>=Pea, pigeon, seed</v>
      </c>
    </row>
    <row r="32" spans="1:9" x14ac:dyDescent="0.2">
      <c r="B32" s="130" t="str">
        <f>"=Mustard greens"</f>
        <v>=Mustard greens</v>
      </c>
      <c r="C32" s="90"/>
      <c r="F32" s="90"/>
      <c r="I32" t="str">
        <f>"=Soybean, seed"</f>
        <v>=Soybean, seed</v>
      </c>
    </row>
    <row r="33" spans="1:9" x14ac:dyDescent="0.2">
      <c r="B33" s="130" t="str">
        <f>"=Turnip, greens"</f>
        <v>=Turnip, greens</v>
      </c>
      <c r="C33" s="90"/>
    </row>
    <row r="34" spans="1:9" ht="20" x14ac:dyDescent="0.2">
      <c r="B34" s="130" t="str">
        <f>"=Cabbage, Chinese, napa"</f>
        <v>=Cabbage, Chinese, napa</v>
      </c>
      <c r="C34" s="90"/>
      <c r="E34" s="90" t="s">
        <v>3275</v>
      </c>
      <c r="F34" s="1" t="s">
        <v>1</v>
      </c>
      <c r="H34" t="s">
        <v>3356</v>
      </c>
      <c r="I34" s="1" t="s">
        <v>1</v>
      </c>
    </row>
    <row r="35" spans="1:9" x14ac:dyDescent="0.2">
      <c r="B35" s="130" t="str">
        <f>"=Cabbage, Chinese, mustard"</f>
        <v>=Cabbage, Chinese, mustard</v>
      </c>
      <c r="C35" s="90"/>
      <c r="F35" s="90" t="str">
        <f>"=tomato"</f>
        <v>=tomato</v>
      </c>
      <c r="I35" s="130" t="str">
        <f>"=Tomato, paste"</f>
        <v>=Tomato, paste</v>
      </c>
    </row>
    <row r="36" spans="1:9" ht="20" x14ac:dyDescent="0.2">
      <c r="A36" s="90" t="s">
        <v>2459</v>
      </c>
      <c r="B36" s="1" t="s">
        <v>1</v>
      </c>
      <c r="F36" s="90" t="str">
        <f>"=pepper_bell"</f>
        <v>=pepper_bell</v>
      </c>
      <c r="I36" s="130" t="str">
        <f>"=Tomato, puree"</f>
        <v>=Tomato, puree</v>
      </c>
    </row>
    <row r="37" spans="1:9" x14ac:dyDescent="0.2">
      <c r="B37" s="130" t="str">
        <f>"=Radish, roots"</f>
        <v>=Radish, roots</v>
      </c>
      <c r="C37" s="90"/>
      <c r="F37" s="218" t="str">
        <f>"=eggplant"</f>
        <v>=eggplant</v>
      </c>
      <c r="I37" s="130" t="str">
        <f>"=Tomato, dried"</f>
        <v>=Tomato, dried</v>
      </c>
    </row>
    <row r="38" spans="1:9" ht="20" x14ac:dyDescent="0.2">
      <c r="B38" s="130" t="str">
        <f>"=Radish, Oriental, roots"</f>
        <v>=Radish, Oriental, roots</v>
      </c>
      <c r="C38" s="90"/>
      <c r="E38" s="90" t="s">
        <v>3276</v>
      </c>
      <c r="F38" s="1" t="s">
        <v>1</v>
      </c>
      <c r="I38" s="130" t="str">
        <f>"=Tomato, juice"</f>
        <v>=Tomato, juice</v>
      </c>
    </row>
    <row r="39" spans="1:9" x14ac:dyDescent="0.2">
      <c r="B39" s="130" t="str">
        <f>"=Rutabaga"</f>
        <v>=Rutabaga</v>
      </c>
      <c r="C39" s="90"/>
      <c r="F39" s="157" t="str">
        <f>"=Pepper, bell"</f>
        <v>=Pepper, bell</v>
      </c>
    </row>
    <row r="40" spans="1:9" ht="20" x14ac:dyDescent="0.2">
      <c r="B40" s="130" t="str">
        <f>"=Turnip, roots"</f>
        <v>=Turnip, roots</v>
      </c>
      <c r="C40" s="90"/>
      <c r="E40" s="90" t="s">
        <v>862</v>
      </c>
      <c r="F40" s="1" t="s">
        <v>1</v>
      </c>
      <c r="H40" t="s">
        <v>3357</v>
      </c>
      <c r="I40" s="1" t="s">
        <v>1</v>
      </c>
    </row>
    <row r="41" spans="1:9" ht="20" x14ac:dyDescent="0.2">
      <c r="A41" s="90" t="s">
        <v>2458</v>
      </c>
      <c r="B41" s="1" t="s">
        <v>1</v>
      </c>
      <c r="F41" s="90" t="str">
        <f>"=cantaloupe"</f>
        <v>=cantaloupe</v>
      </c>
      <c r="I41" s="130" t="str">
        <f>"=Citron"</f>
        <v>=Citron</v>
      </c>
    </row>
    <row r="42" spans="1:9" x14ac:dyDescent="0.2">
      <c r="B42" s="130" t="str">
        <f>"=Citron"</f>
        <v>=Citron</v>
      </c>
      <c r="C42" s="90"/>
      <c r="F42" s="217" t="str">
        <f>"=Honeydew melon"</f>
        <v>=Honeydew melon</v>
      </c>
      <c r="I42" s="130" t="str">
        <f>"=Citrus hybrids"</f>
        <v>=Citrus hybrids</v>
      </c>
    </row>
    <row r="43" spans="1:9" x14ac:dyDescent="0.2">
      <c r="B43" s="130" t="str">
        <f>"=Citrus hybrids"</f>
        <v>=Citrus hybrids</v>
      </c>
      <c r="C43" s="90"/>
      <c r="F43" s="90" t="str">
        <f>"=Watermelon"</f>
        <v>=Watermelon</v>
      </c>
      <c r="I43" s="130" t="str">
        <f>"=Orange"</f>
        <v>=Orange</v>
      </c>
    </row>
    <row r="44" spans="1:9" x14ac:dyDescent="0.2">
      <c r="B44" s="130" t="str">
        <f>"=Orange"</f>
        <v>=Orange</v>
      </c>
      <c r="C44" s="90"/>
      <c r="F44" s="90"/>
      <c r="I44" s="130" t="str">
        <f>"=Tangerine"</f>
        <v>=Tangerine</v>
      </c>
    </row>
    <row r="45" spans="1:9" ht="20" x14ac:dyDescent="0.2">
      <c r="B45" s="130" t="str">
        <f>"=Tangerine"</f>
        <v>=Tangerine</v>
      </c>
      <c r="C45" s="90"/>
      <c r="E45" t="s">
        <v>846</v>
      </c>
      <c r="F45" s="1" t="s">
        <v>1</v>
      </c>
      <c r="I45" s="130" t="str">
        <f>"=Kumquat"</f>
        <v>=Kumquat</v>
      </c>
    </row>
    <row r="46" spans="1:9" x14ac:dyDescent="0.2">
      <c r="B46" s="130" t="str">
        <f>"=Kumquat"</f>
        <v>=Kumquat</v>
      </c>
      <c r="C46" s="90"/>
      <c r="F46" s="90" t="str">
        <f>"=cucumber"</f>
        <v>=cucumber</v>
      </c>
      <c r="I46" t="str">
        <f>"=Mandarins"</f>
        <v>=Mandarins</v>
      </c>
    </row>
    <row r="47" spans="1:9" ht="20" x14ac:dyDescent="0.2">
      <c r="B47" t="str">
        <f>"=Mandarins"</f>
        <v>=Mandarins</v>
      </c>
      <c r="C47" s="90"/>
      <c r="E47" s="90" t="s">
        <v>3277</v>
      </c>
      <c r="F47" s="1" t="s">
        <v>1</v>
      </c>
      <c r="I47" t="str">
        <f>"=Fruits, Citrus"</f>
        <v>=Fruits, Citrus</v>
      </c>
    </row>
    <row r="48" spans="1:9" x14ac:dyDescent="0.2">
      <c r="B48" t="str">
        <f>"=Fruits, Citrus"</f>
        <v>=Fruits, Citrus</v>
      </c>
      <c r="C48" s="90"/>
      <c r="E48" s="218"/>
      <c r="F48" s="130" t="str">
        <f>"=Squash, winter"</f>
        <v>=Squash, winter</v>
      </c>
      <c r="I48" s="130" t="str">
        <f>"=Lemon"</f>
        <v>=Lemon</v>
      </c>
    </row>
    <row r="49" spans="1:9" x14ac:dyDescent="0.2">
      <c r="B49" s="130" t="str">
        <f>"=Lemon"</f>
        <v>=Lemon</v>
      </c>
      <c r="C49" s="90"/>
      <c r="E49" s="218"/>
      <c r="F49" s="130" t="str">
        <f>"=Pumpkin"</f>
        <v>=Pumpkin</v>
      </c>
      <c r="I49" s="130" t="str">
        <f>"=Lime"</f>
        <v>=Lime</v>
      </c>
    </row>
    <row r="50" spans="1:9" x14ac:dyDescent="0.2">
      <c r="B50" s="130" t="str">
        <f>"=Lime"</f>
        <v>=Lime</v>
      </c>
      <c r="C50" s="90"/>
      <c r="I50" s="130" t="str">
        <f>"=Grapefruit"</f>
        <v>=Grapefruit</v>
      </c>
    </row>
    <row r="51" spans="1:9" ht="20" x14ac:dyDescent="0.2">
      <c r="B51" s="130" t="str">
        <f>"=Grapefruit"</f>
        <v>=Grapefruit</v>
      </c>
      <c r="C51" s="90"/>
      <c r="E51" t="s">
        <v>890</v>
      </c>
      <c r="F51" s="1" t="s">
        <v>1</v>
      </c>
      <c r="I51" s="130" t="str">
        <f>"=Nectarine"</f>
        <v>=Nectarine</v>
      </c>
    </row>
    <row r="52" spans="1:9" x14ac:dyDescent="0.2">
      <c r="B52" s="130" t="str">
        <f>"=Nectarine"</f>
        <v>=Nectarine</v>
      </c>
      <c r="C52" s="90"/>
      <c r="F52" s="90" t="str">
        <f>"=zucchini"</f>
        <v>=zucchini</v>
      </c>
      <c r="I52" s="130" t="str">
        <f>"=Fig"</f>
        <v>=Fig</v>
      </c>
    </row>
    <row r="53" spans="1:9" ht="20" x14ac:dyDescent="0.2">
      <c r="A53" s="90" t="s">
        <v>2461</v>
      </c>
      <c r="B53" s="1" t="s">
        <v>1</v>
      </c>
      <c r="E53" t="s">
        <v>2769</v>
      </c>
      <c r="F53" s="1" t="s">
        <v>1</v>
      </c>
      <c r="I53" s="130" t="str">
        <f>"=Guava"</f>
        <v>=Guava</v>
      </c>
    </row>
    <row r="54" spans="1:9" x14ac:dyDescent="0.2">
      <c r="B54" s="130" t="str">
        <f>"=Basil, dried leaves"</f>
        <v>=Basil, dried leaves</v>
      </c>
      <c r="C54" s="90"/>
      <c r="F54" s="90" t="str">
        <f>"=orange"</f>
        <v>=orange</v>
      </c>
      <c r="I54" s="130" t="str">
        <f>"=Lychee"</f>
        <v>=Lychee</v>
      </c>
    </row>
    <row r="55" spans="1:9" ht="20" x14ac:dyDescent="0.2">
      <c r="B55" s="130" t="str">
        <f>"=Parsley, dried leaves"</f>
        <v>=Parsley, dried leaves</v>
      </c>
      <c r="C55" s="90"/>
      <c r="E55" s="90" t="s">
        <v>848</v>
      </c>
      <c r="F55" s="1" t="s">
        <v>1</v>
      </c>
      <c r="I55" s="130" t="str">
        <f>"=Avocado"</f>
        <v>=Avocado</v>
      </c>
    </row>
    <row r="56" spans="1:9" ht="20" x14ac:dyDescent="0.2">
      <c r="A56" s="90" t="s">
        <v>2462</v>
      </c>
      <c r="B56" s="1" t="s">
        <v>1</v>
      </c>
      <c r="F56" s="90" t="str">
        <f>"=Apple, fruit with peel"</f>
        <v>=Apple, fruit with peel</v>
      </c>
      <c r="I56" s="130" t="str">
        <f>"=Banana"</f>
        <v>=Banana</v>
      </c>
    </row>
    <row r="57" spans="1:9" ht="20" x14ac:dyDescent="0.2">
      <c r="B57" s="130" t="str">
        <f>"=Chive, fresh leaves"</f>
        <v>=Chive, fresh leaves</v>
      </c>
      <c r="C57" s="90"/>
      <c r="E57" t="s">
        <v>841</v>
      </c>
      <c r="F57" s="1" t="s">
        <v>1</v>
      </c>
      <c r="I57" t="str">
        <f>"=tropical fruit"</f>
        <v>=tropical fruit</v>
      </c>
    </row>
    <row r="58" spans="1:9" x14ac:dyDescent="0.2">
      <c r="B58" s="130" t="str">
        <f>"=Cilantro, leaves"</f>
        <v>=Cilantro, leaves</v>
      </c>
      <c r="C58" s="90"/>
      <c r="F58" s="90" t="str">
        <f>"=pear"</f>
        <v>=pear</v>
      </c>
      <c r="I58" s="130" t="str">
        <f>"=Mango"</f>
        <v>=Mango</v>
      </c>
    </row>
    <row r="59" spans="1:9" ht="20" x14ac:dyDescent="0.2">
      <c r="B59" s="130" t="str">
        <f>"=Dillweed"</f>
        <v>=Dillweed</v>
      </c>
      <c r="C59" s="90"/>
      <c r="E59" t="s">
        <v>2749</v>
      </c>
      <c r="F59" s="1" t="s">
        <v>1</v>
      </c>
      <c r="I59" s="130" t="str">
        <f>"=Papaya"</f>
        <v>=Papaya</v>
      </c>
    </row>
    <row r="60" spans="1:9" x14ac:dyDescent="0.2">
      <c r="B60" s="130" t="str">
        <f>"=Parsley, leaves"</f>
        <v>=Parsley, leaves</v>
      </c>
      <c r="C60" s="90"/>
      <c r="F60" s="90" t="str">
        <f>"=cherry"</f>
        <v>=cherry</v>
      </c>
      <c r="I60" s="130" t="str">
        <f>"=Breadfruit"</f>
        <v>=Breadfruit</v>
      </c>
    </row>
    <row r="61" spans="1:9" ht="20" x14ac:dyDescent="0.2">
      <c r="B61" s="130" t="str">
        <f>"=Basil, fresh leaves"</f>
        <v>=Basil, fresh leaves</v>
      </c>
      <c r="C61" s="90"/>
      <c r="E61" t="s">
        <v>4070</v>
      </c>
      <c r="F61" s="1" t="s">
        <v>1</v>
      </c>
      <c r="I61" s="130" t="str">
        <f>"=Pineapple"</f>
        <v>=Pineapple</v>
      </c>
    </row>
    <row r="62" spans="1:9" x14ac:dyDescent="0.2">
      <c r="B62" s="130" t="str">
        <f>"=Herbs, other"</f>
        <v>=Herbs, other</v>
      </c>
      <c r="C62" s="90"/>
      <c r="F62" s="90" t="str">
        <f>"=apricot"</f>
        <v>=apricot</v>
      </c>
      <c r="I62" s="130" t="str">
        <f>"=Soursop"</f>
        <v>=Soursop</v>
      </c>
    </row>
    <row r="63" spans="1:9" ht="20" x14ac:dyDescent="0.2">
      <c r="B63" s="130" t="str">
        <f>"=Marjoram"</f>
        <v>=Marjoram</v>
      </c>
      <c r="C63" s="90"/>
      <c r="E63" t="s">
        <v>2771</v>
      </c>
      <c r="F63" s="1" t="s">
        <v>1</v>
      </c>
      <c r="I63" s="130" t="str">
        <f>"=Passionfruit"</f>
        <v>=Passionfruit</v>
      </c>
    </row>
    <row r="64" spans="1:9" x14ac:dyDescent="0.2">
      <c r="B64" s="130" t="str">
        <f>"=Savory"</f>
        <v>=Savory</v>
      </c>
      <c r="C64" s="90"/>
      <c r="F64" s="90" t="str">
        <f>"=peach"</f>
        <v>=peach</v>
      </c>
    </row>
    <row r="65" spans="1:9" ht="20" x14ac:dyDescent="0.2">
      <c r="B65" s="130" t="str">
        <f>"=Peppermint"</f>
        <v>=Peppermint</v>
      </c>
      <c r="C65" s="90"/>
      <c r="E65" t="s">
        <v>4071</v>
      </c>
      <c r="F65" s="1" t="s">
        <v>1</v>
      </c>
      <c r="H65" t="s">
        <v>3303</v>
      </c>
      <c r="I65" s="1" t="s">
        <v>1</v>
      </c>
    </row>
    <row r="66" spans="1:9" ht="20" x14ac:dyDescent="0.2">
      <c r="A66" s="90" t="s">
        <v>2702</v>
      </c>
      <c r="B66" s="1" t="s">
        <v>1</v>
      </c>
      <c r="F66" s="90" t="str">
        <f>"=plum"</f>
        <v>=plum</v>
      </c>
      <c r="I66" t="str">
        <f>"=Coconut, oil"</f>
        <v>=Coconut, oil</v>
      </c>
    </row>
    <row r="67" spans="1:9" ht="20" x14ac:dyDescent="0.2">
      <c r="B67" s="130" t="str">
        <f>"=Barley, pearled barley"</f>
        <v>=Barley, pearled barley</v>
      </c>
      <c r="C67" s="90"/>
      <c r="E67" s="90" t="s">
        <v>3278</v>
      </c>
      <c r="F67" s="1" t="s">
        <v>1</v>
      </c>
    </row>
    <row r="68" spans="1:9" ht="20" x14ac:dyDescent="0.2">
      <c r="B68" s="130" t="str">
        <f>"=Buckwheat"</f>
        <v>=Buckwheat</v>
      </c>
      <c r="C68" s="90"/>
      <c r="F68" s="157" t="str">
        <f>"=grape, raisin"</f>
        <v>=grape, raisin</v>
      </c>
      <c r="H68" t="s">
        <v>3358</v>
      </c>
      <c r="I68" s="1" t="s">
        <v>1</v>
      </c>
    </row>
    <row r="69" spans="1:9" ht="20" x14ac:dyDescent="0.2">
      <c r="B69" s="130" t="str">
        <f>"=Corn, pop"</f>
        <v>=Corn, pop</v>
      </c>
      <c r="C69" s="90"/>
      <c r="E69" t="s">
        <v>2011</v>
      </c>
      <c r="F69" s="1" t="s">
        <v>1</v>
      </c>
      <c r="I69" t="str">
        <f>"=Corn, field, flour"</f>
        <v>=Corn, field, flour</v>
      </c>
    </row>
    <row r="70" spans="1:9" x14ac:dyDescent="0.2">
      <c r="B70" s="130" t="str">
        <f>"=Millet, grain"</f>
        <v>=Millet, grain</v>
      </c>
      <c r="C70" s="90"/>
      <c r="F70" s="90" t="str">
        <f>"=Grape"</f>
        <v>=Grape</v>
      </c>
      <c r="I70" t="str">
        <f>"=Oat, flour"</f>
        <v>=Oat, flour</v>
      </c>
    </row>
    <row r="71" spans="1:9" ht="20" x14ac:dyDescent="0.2">
      <c r="B71" s="130" t="str">
        <f>"=Rye, grain"</f>
        <v>=Rye, grain</v>
      </c>
      <c r="C71" s="90"/>
      <c r="E71" t="s">
        <v>866</v>
      </c>
      <c r="F71" s="1" t="s">
        <v>1</v>
      </c>
      <c r="I71" s="130" t="str">
        <f>"=Rice, flour"</f>
        <v>=Rice, flour</v>
      </c>
    </row>
    <row r="72" spans="1:9" x14ac:dyDescent="0.2">
      <c r="B72" s="130" t="str">
        <f>"=Wheat, grain"</f>
        <v>=Wheat, grain</v>
      </c>
      <c r="C72" s="90"/>
      <c r="F72" s="90" t="str">
        <f>"=strawberry"</f>
        <v>=strawberry</v>
      </c>
      <c r="I72" t="str">
        <f>"=Rye, flour"</f>
        <v>=Rye, flour</v>
      </c>
    </row>
    <row r="73" spans="1:9" ht="20" x14ac:dyDescent="0.2">
      <c r="B73" s="130" t="str">
        <f>"=Flax, seed"</f>
        <v>=Flax, seed</v>
      </c>
      <c r="C73" s="90"/>
      <c r="E73" t="s">
        <v>2449</v>
      </c>
      <c r="F73" s="1" t="s">
        <v>1</v>
      </c>
      <c r="I73" t="str">
        <f>"=Wheat, flour"</f>
        <v>=Wheat, flour</v>
      </c>
    </row>
    <row r="74" spans="1:9" x14ac:dyDescent="0.2">
      <c r="B74" s="130" t="str">
        <f>"=Sesame, seed"</f>
        <v>=Sesame, seed</v>
      </c>
      <c r="C74" s="90"/>
      <c r="F74" s="90" t="str">
        <f>"=almond"</f>
        <v>=almond</v>
      </c>
    </row>
    <row r="75" spans="1:9" ht="20" x14ac:dyDescent="0.2">
      <c r="B75" s="130" t="str">
        <f>"=Amaranth, grain"</f>
        <v>=Amaranth, grain</v>
      </c>
      <c r="C75" s="90"/>
      <c r="E75" s="90" t="s">
        <v>3279</v>
      </c>
      <c r="F75" s="1" t="s">
        <v>1</v>
      </c>
      <c r="H75" t="s">
        <v>3361</v>
      </c>
      <c r="I75" s="1" t="s">
        <v>1</v>
      </c>
    </row>
    <row r="76" spans="1:9" x14ac:dyDescent="0.2">
      <c r="B76" s="130" t="str">
        <f>"=Psyllium, seed"</f>
        <v>=Psyllium, seed</v>
      </c>
      <c r="C76" s="90"/>
      <c r="F76" s="157" t="str">
        <f>"=coconut, meat"</f>
        <v>=coconut, meat</v>
      </c>
      <c r="H76" t="s">
        <v>3362</v>
      </c>
      <c r="I76" t="str">
        <f>"=Artichoke, globe"</f>
        <v>=Artichoke, globe</v>
      </c>
    </row>
    <row r="77" spans="1:9" ht="20" x14ac:dyDescent="0.2">
      <c r="B77" s="130" t="str">
        <f>"=Oat, groats/rolled oats"</f>
        <v>=Oat, groats/rolled oats</v>
      </c>
      <c r="E77" t="s">
        <v>3282</v>
      </c>
      <c r="F77" s="1" t="s">
        <v>1</v>
      </c>
      <c r="H77" t="s">
        <v>3363</v>
      </c>
      <c r="I77" t="str">
        <f>"=Asparagus"</f>
        <v>=Asparagus</v>
      </c>
    </row>
    <row r="78" spans="1:9" ht="20" x14ac:dyDescent="0.2">
      <c r="A78" s="90" t="s">
        <v>2457</v>
      </c>
      <c r="B78" s="1" t="s">
        <v>1</v>
      </c>
      <c r="C78" s="90"/>
      <c r="F78" s="90" t="str">
        <f>"=rice, bran"</f>
        <v>=rice, bran</v>
      </c>
      <c r="I78" t="str">
        <f>"=Bean, snap, succulent"</f>
        <v>=Bean, snap, succulent</v>
      </c>
    </row>
    <row r="79" spans="1:9" ht="20" x14ac:dyDescent="0.2">
      <c r="B79" s="130" t="str">
        <f>"=Beet, garden, tops"</f>
        <v>=Beet, garden, tops</v>
      </c>
      <c r="C79" s="90"/>
      <c r="E79" s="90" t="s">
        <v>3283</v>
      </c>
      <c r="F79" s="1" t="s">
        <v>1</v>
      </c>
      <c r="I79" t="str">
        <f>"=Broccoli"</f>
        <v>=Broccoli</v>
      </c>
    </row>
    <row r="80" spans="1:9" x14ac:dyDescent="0.2">
      <c r="B80" s="130" t="str">
        <f>"=Amaranth, leafy"</f>
        <v>=Amaranth, leafy</v>
      </c>
      <c r="C80" s="90"/>
      <c r="F80" s="157" t="str">
        <f>"=wheat, flour"</f>
        <v>=wheat, flour</v>
      </c>
      <c r="I80" t="str">
        <f>"=Cabbage"</f>
        <v>=Cabbage</v>
      </c>
    </row>
    <row r="81" spans="1:9" ht="20" x14ac:dyDescent="0.2">
      <c r="B81" s="130" t="str">
        <f>"=Endive"</f>
        <v>=Endive</v>
      </c>
      <c r="C81" s="90"/>
      <c r="E81" s="90" t="s">
        <v>3281</v>
      </c>
      <c r="F81" s="1" t="s">
        <v>1</v>
      </c>
      <c r="I81" t="str">
        <f>"=Cassava"</f>
        <v>=Cassava</v>
      </c>
    </row>
    <row r="82" spans="1:9" x14ac:dyDescent="0.2">
      <c r="B82" s="130" t="str">
        <f>"=Lettuce, head"</f>
        <v>=Lettuce, head</v>
      </c>
      <c r="C82" s="90"/>
      <c r="F82" s="130" t="str">
        <f>"=Rice, brown"</f>
        <v>=Rice, brown</v>
      </c>
      <c r="I82" t="str">
        <f>"=Cauliflower"</f>
        <v>=Cauliflower</v>
      </c>
    </row>
    <row r="83" spans="1:9" x14ac:dyDescent="0.2">
      <c r="B83" s="130" t="str">
        <f>"=Lettuce, leaf"</f>
        <v>=Lettuce, leaf</v>
      </c>
      <c r="C83" s="90"/>
      <c r="F83" s="130" t="str">
        <f>"=Rice, white"</f>
        <v>=Rice, white</v>
      </c>
      <c r="I83" t="str">
        <f>"=Celery"</f>
        <v>=Celery</v>
      </c>
    </row>
    <row r="84" spans="1:9" x14ac:dyDescent="0.2">
      <c r="B84" s="130" t="str">
        <f>"=Swiss chard"</f>
        <v>=Swiss chard</v>
      </c>
      <c r="C84" s="90"/>
      <c r="F84" s="90"/>
      <c r="I84" t="str">
        <f>"=Corn, sweet"</f>
        <v>=Corn, sweet</v>
      </c>
    </row>
    <row r="85" spans="1:9" x14ac:dyDescent="0.2">
      <c r="B85" s="130" t="str">
        <f>"=spinach"</f>
        <v>=spinach</v>
      </c>
      <c r="C85" s="90"/>
      <c r="F85" s="90"/>
      <c r="I85" t="str">
        <f>"=Cucumber"</f>
        <v>=Cucumber</v>
      </c>
    </row>
    <row r="86" spans="1:9" ht="20" x14ac:dyDescent="0.2">
      <c r="B86" s="130" t="str">
        <f>"=Arugula"</f>
        <v>=Arugula</v>
      </c>
      <c r="C86" s="90"/>
      <c r="E86" t="s">
        <v>828</v>
      </c>
      <c r="F86" s="1" t="s">
        <v>1</v>
      </c>
      <c r="I86" t="str">
        <f>"=Eggplant"</f>
        <v>=Eggplant</v>
      </c>
    </row>
    <row r="87" spans="1:9" x14ac:dyDescent="0.2">
      <c r="B87" s="130" t="str">
        <f>"=Cress, garden"</f>
        <v>=Cress, garden</v>
      </c>
      <c r="F87" s="90" t="str">
        <f>"=asparagus"</f>
        <v>=asparagus</v>
      </c>
      <c r="I87" t="str">
        <f>"=Escarole"</f>
        <v>=Escarole</v>
      </c>
    </row>
    <row r="88" spans="1:9" ht="20" x14ac:dyDescent="0.2">
      <c r="B88" s="130" t="str">
        <f>"=Watercress"</f>
        <v>=Watercress</v>
      </c>
      <c r="C88" s="90"/>
      <c r="E88" t="s">
        <v>2748</v>
      </c>
      <c r="F88" s="1" t="s">
        <v>1</v>
      </c>
      <c r="I88" t="str">
        <f>"=Fennel, Florence"</f>
        <v>=Fennel, Florence</v>
      </c>
    </row>
    <row r="89" spans="1:9" ht="20" x14ac:dyDescent="0.2">
      <c r="A89" s="90" t="s">
        <v>2463</v>
      </c>
      <c r="B89" s="1" t="s">
        <v>1</v>
      </c>
      <c r="C89" s="90"/>
      <c r="F89" s="90" t="str">
        <f>"=celery"</f>
        <v>=celery</v>
      </c>
      <c r="I89" t="str">
        <f>"=kale"</f>
        <v>=kale</v>
      </c>
    </row>
    <row r="90" spans="1:9" ht="20" x14ac:dyDescent="0.2">
      <c r="B90" s="130" t="str">
        <f>"=Almond"</f>
        <v>=Almond</v>
      </c>
      <c r="C90" s="90"/>
      <c r="E90" t="s">
        <v>4072</v>
      </c>
      <c r="F90" s="1" t="s">
        <v>1</v>
      </c>
      <c r="I90" t="str">
        <f>"=lettuce, head"</f>
        <v>=lettuce, head</v>
      </c>
    </row>
    <row r="91" spans="1:9" x14ac:dyDescent="0.2">
      <c r="B91" s="130" t="str">
        <f>"=Brazil nut"</f>
        <v>=Brazil nut</v>
      </c>
      <c r="C91" s="90"/>
      <c r="F91" s="90" t="str">
        <f>"=artichoke, globe"</f>
        <v>=artichoke, globe</v>
      </c>
      <c r="I91" t="str">
        <f>"=Lettuce, leaf"</f>
        <v>=Lettuce, leaf</v>
      </c>
    </row>
    <row r="92" spans="1:9" ht="20" x14ac:dyDescent="0.2">
      <c r="B92" s="130" t="str">
        <f>"=Butternut"</f>
        <v>=Butternut</v>
      </c>
      <c r="C92" s="90"/>
      <c r="E92" t="s">
        <v>836</v>
      </c>
      <c r="F92" s="1" t="s">
        <v>1</v>
      </c>
      <c r="I92" t="str">
        <f>"=Mushroom"</f>
        <v>=Mushroom</v>
      </c>
    </row>
    <row r="93" spans="1:9" x14ac:dyDescent="0.2">
      <c r="B93" s="130" t="str">
        <f>"=Cashew"</f>
        <v>=Cashew</v>
      </c>
      <c r="C93" s="90"/>
      <c r="F93" s="90" t="str">
        <f>"=banana"</f>
        <v>=banana</v>
      </c>
      <c r="I93" t="str">
        <f>"=Pea, succulent"</f>
        <v>=Pea, succulent</v>
      </c>
    </row>
    <row r="94" spans="1:9" ht="20" x14ac:dyDescent="0.2">
      <c r="B94" s="130" t="str">
        <f>"=Chestnut"</f>
        <v>=Chestnut</v>
      </c>
      <c r="C94" s="90"/>
      <c r="E94" t="s">
        <v>2770</v>
      </c>
      <c r="F94" s="1" t="s">
        <v>1</v>
      </c>
      <c r="I94" t="str">
        <f>"=Pepper, bell"</f>
        <v>=Pepper, bell</v>
      </c>
    </row>
    <row r="95" spans="1:9" x14ac:dyDescent="0.2">
      <c r="B95" t="str">
        <f>"=Coconut, meat"</f>
        <v>=Coconut, meat</v>
      </c>
      <c r="C95" s="90"/>
      <c r="F95" s="90" t="str">
        <f>"=papaya"</f>
        <v>=papaya</v>
      </c>
      <c r="I95" t="str">
        <f>"=pumpkin"</f>
        <v>=pumpkin</v>
      </c>
    </row>
    <row r="96" spans="1:9" ht="20" x14ac:dyDescent="0.2">
      <c r="B96" s="130" t="str">
        <f>"=Hazelnut"</f>
        <v>=Hazelnut</v>
      </c>
      <c r="C96" s="90"/>
      <c r="E96" t="s">
        <v>878</v>
      </c>
      <c r="F96" s="1" t="s">
        <v>1</v>
      </c>
      <c r="I96" t="str">
        <f>"=Spinach"</f>
        <v>=Spinach</v>
      </c>
    </row>
    <row r="97" spans="1:9" x14ac:dyDescent="0.2">
      <c r="B97" s="130" t="str">
        <f>"=Macadamia nut"</f>
        <v>=Macadamia nut</v>
      </c>
      <c r="C97" s="90"/>
      <c r="F97" s="90" t="str">
        <f>"=pineapple"</f>
        <v>=pineapple</v>
      </c>
      <c r="I97" t="str">
        <f>"=Squash, Summer"</f>
        <v>=Squash, Summer</v>
      </c>
    </row>
    <row r="98" spans="1:9" ht="21" thickBot="1" x14ac:dyDescent="0.25">
      <c r="B98" s="130" t="str">
        <f>"=Pecan"</f>
        <v>=Pecan</v>
      </c>
      <c r="C98" s="90"/>
      <c r="E98" t="s">
        <v>3285</v>
      </c>
      <c r="F98" s="1" t="s">
        <v>1</v>
      </c>
      <c r="I98" t="str">
        <f>"=squash, winter"</f>
        <v>=squash, winter</v>
      </c>
    </row>
    <row r="99" spans="1:9" x14ac:dyDescent="0.2">
      <c r="B99" s="130" t="str">
        <f>"=Pine nut"</f>
        <v>=Pine nut</v>
      </c>
      <c r="F99" s="124" t="str">
        <f>"=Fish-shellfish, mollusc"</f>
        <v>=Fish-shellfish, mollusc</v>
      </c>
      <c r="I99" t="str">
        <f>"=Tomato"</f>
        <v>=Tomato</v>
      </c>
    </row>
    <row r="100" spans="1:9" x14ac:dyDescent="0.2">
      <c r="B100" s="130" t="str">
        <f>"=Pistachio"</f>
        <v>=Pistachio</v>
      </c>
      <c r="C100" s="90"/>
      <c r="F100" s="130" t="str">
        <f>"=Fish-saltwater finfish"</f>
        <v>=Fish-saltwater finfish</v>
      </c>
      <c r="I100" t="str">
        <f>"=zucchini"</f>
        <v>=zucchini</v>
      </c>
    </row>
    <row r="101" spans="1:9" x14ac:dyDescent="0.2">
      <c r="B101" s="130" t="str">
        <f>"=Walnut"</f>
        <v>=Walnut</v>
      </c>
      <c r="C101" s="90"/>
      <c r="F101" s="130" t="str">
        <f>"=Fish-freshwater finfish"</f>
        <v>=Fish-freshwater finfish</v>
      </c>
    </row>
    <row r="102" spans="1:9" ht="20" x14ac:dyDescent="0.2">
      <c r="A102" s="90" t="s">
        <v>2455</v>
      </c>
      <c r="B102" s="1" t="s">
        <v>1</v>
      </c>
      <c r="C102" s="90"/>
      <c r="F102" s="130" t="str">
        <f>"=Fish-freshwater finfish, farm raised"</f>
        <v>=Fish-freshwater finfish, farm raised</v>
      </c>
      <c r="H102" t="s">
        <v>3364</v>
      </c>
      <c r="I102" s="1" t="s">
        <v>1</v>
      </c>
    </row>
    <row r="103" spans="1:9" x14ac:dyDescent="0.2">
      <c r="B103" s="130" t="str">
        <f>"=Beet, garden, roots"</f>
        <v>=Beet, garden, roots</v>
      </c>
      <c r="C103" s="90"/>
      <c r="F103" s="130" t="str">
        <f>"=Fish-saltwater finfish, other"</f>
        <v>=Fish-saltwater finfish, other</v>
      </c>
      <c r="I103" t="str">
        <f>"=beet, sugar"</f>
        <v>=beet, sugar</v>
      </c>
    </row>
    <row r="104" spans="1:9" x14ac:dyDescent="0.2">
      <c r="B104" s="130" t="str">
        <f>"=Burdock"</f>
        <v>=Burdock</v>
      </c>
      <c r="C104" s="90"/>
      <c r="F104" s="130" t="str">
        <f>"=Fish-shellfish, crustacean"</f>
        <v>=Fish-shellfish, crustacean</v>
      </c>
      <c r="I104" t="str">
        <f>"=beet, sugar, molasses"</f>
        <v>=beet, sugar, molasses</v>
      </c>
    </row>
    <row r="105" spans="1:9" x14ac:dyDescent="0.2">
      <c r="B105" s="130" t="str">
        <f>"=Carrot"</f>
        <v>=Carrot</v>
      </c>
      <c r="C105" s="90"/>
      <c r="I105" t="str">
        <f>"=Honey"</f>
        <v>=Honey</v>
      </c>
    </row>
    <row r="106" spans="1:9" ht="20" x14ac:dyDescent="0.2">
      <c r="B106" s="130" t="str">
        <f>"=Horseradish"</f>
        <v>=Horseradish</v>
      </c>
      <c r="C106" s="90"/>
      <c r="E106" t="s">
        <v>3284</v>
      </c>
      <c r="F106" s="1" t="s">
        <v>1</v>
      </c>
      <c r="I106" t="str">
        <f>"=Maple syrup"</f>
        <v>=Maple syrup</v>
      </c>
    </row>
    <row r="107" spans="1:9" x14ac:dyDescent="0.2">
      <c r="B107" s="130" t="str">
        <f>"=Parsnip"</f>
        <v>=Parsnip</v>
      </c>
      <c r="F107" s="130" t="str">
        <f>"=Fish-saltwater finfish, other"</f>
        <v>=Fish-saltwater finfish, other</v>
      </c>
      <c r="I107" t="str">
        <f>"=Sugarcane, molasses"</f>
        <v>=Sugarcane, molasses</v>
      </c>
    </row>
    <row r="108" spans="1:9" x14ac:dyDescent="0.2">
      <c r="B108" s="130" t="str">
        <f>"=Ginger"</f>
        <v>=Ginger</v>
      </c>
      <c r="C108" s="90"/>
      <c r="I108" t="str">
        <f>"=Sugarcane, sugar"</f>
        <v>=Sugarcane, sugar</v>
      </c>
    </row>
    <row r="109" spans="1:9" ht="20" x14ac:dyDescent="0.2">
      <c r="B109" s="130" t="str">
        <f>"=Potato, tuber, w/peel"</f>
        <v>=Potato, tuber, w/peel</v>
      </c>
      <c r="C109" s="90"/>
      <c r="E109" t="s">
        <v>1339</v>
      </c>
      <c r="F109" s="1" t="s">
        <v>1</v>
      </c>
    </row>
    <row r="110" spans="1:9" ht="20" x14ac:dyDescent="0.2">
      <c r="A110" s="90" t="s">
        <v>2465</v>
      </c>
      <c r="B110" s="1" t="s">
        <v>1</v>
      </c>
      <c r="C110" s="90"/>
      <c r="F110" t="str">
        <f>"=honey"</f>
        <v>=honey</v>
      </c>
      <c r="H110" t="s">
        <v>3365</v>
      </c>
      <c r="I110" s="1" t="s">
        <v>1</v>
      </c>
    </row>
    <row r="111" spans="1:9" ht="20" x14ac:dyDescent="0.2">
      <c r="B111" s="130" t="str">
        <f>"=Ginseng, dried"</f>
        <v>=Ginseng, dried</v>
      </c>
      <c r="C111" s="90"/>
      <c r="E111" t="s">
        <v>4073</v>
      </c>
      <c r="F111" s="1" t="s">
        <v>1</v>
      </c>
      <c r="I111" t="str">
        <f>"=Cocoa Bean, Chocolate"</f>
        <v>=Cocoa Bean, Chocolate</v>
      </c>
    </row>
    <row r="112" spans="1:9" x14ac:dyDescent="0.2">
      <c r="B112" s="130" t="str">
        <f>"=Cinnamon"</f>
        <v>=Cinnamon</v>
      </c>
      <c r="C112" s="90"/>
      <c r="F112" t="str">
        <f>"=Escarole"</f>
        <v>=Escarole</v>
      </c>
      <c r="I112" t="str">
        <f>"=Cocoa bean, Powder"</f>
        <v>=Cocoa bean, Powder</v>
      </c>
    </row>
    <row r="113" spans="1:9" ht="20" x14ac:dyDescent="0.2">
      <c r="B113" s="130" t="str">
        <f>"=Coriander, seed"</f>
        <v>=Coriander, seed</v>
      </c>
      <c r="C113" s="90"/>
      <c r="E113" t="s">
        <v>3451</v>
      </c>
      <c r="F113" s="1" t="s">
        <v>1</v>
      </c>
      <c r="I113" t="str">
        <f>"=Cocoa Butter"</f>
        <v>=Cocoa Butter</v>
      </c>
    </row>
    <row r="114" spans="1:9" x14ac:dyDescent="0.2">
      <c r="B114" s="130" t="str">
        <f>"=Dill, seed"</f>
        <v>=Dill, seed</v>
      </c>
      <c r="F114" t="str">
        <f>"=Sheep"</f>
        <v>=Sheep</v>
      </c>
      <c r="I114" t="str">
        <f>"=Cocoa Cake"</f>
        <v>=Cocoa Cake</v>
      </c>
    </row>
    <row r="115" spans="1:9" ht="20" x14ac:dyDescent="0.2">
      <c r="B115" s="130" t="str">
        <f>"=Pepper, black and white"</f>
        <v>=Pepper, black and white</v>
      </c>
      <c r="C115" s="90"/>
      <c r="E115" t="s">
        <v>4074</v>
      </c>
      <c r="F115" s="1" t="s">
        <v>1</v>
      </c>
      <c r="I115" t="str">
        <f>"=Cocoa Liquor"</f>
        <v>=Cocoa Liquor</v>
      </c>
    </row>
    <row r="116" spans="1:9" x14ac:dyDescent="0.2">
      <c r="B116" s="130" t="str">
        <f>"=Spices, other"</f>
        <v>=Spices, other</v>
      </c>
      <c r="C116" s="90"/>
      <c r="F116" t="str">
        <f>"=Maple syrup"</f>
        <v>=Maple syrup</v>
      </c>
      <c r="I116" t="str">
        <f>"=Coffee, roasted bean"</f>
        <v>=Coffee, roasted bean</v>
      </c>
    </row>
    <row r="117" spans="1:9" ht="20" x14ac:dyDescent="0.2">
      <c r="A117" s="90" t="s">
        <v>2456</v>
      </c>
      <c r="B117" s="1" t="s">
        <v>1</v>
      </c>
      <c r="C117" s="90"/>
      <c r="I117" t="str">
        <f>"=Tea, dried"</f>
        <v>=Tea, dried</v>
      </c>
    </row>
    <row r="118" spans="1:9" ht="20" x14ac:dyDescent="0.2">
      <c r="B118" s="130" t="str">
        <f>"=Apple, fruit with peel"</f>
        <v>=Apple, fruit with peel</v>
      </c>
      <c r="C118" s="90"/>
      <c r="E118" t="s">
        <v>2448</v>
      </c>
      <c r="F118" s="1" t="s">
        <v>1</v>
      </c>
    </row>
    <row r="119" spans="1:9" ht="20" x14ac:dyDescent="0.2">
      <c r="B119" s="130" t="str">
        <f>"=Pear"</f>
        <v>=Pear</v>
      </c>
      <c r="C119" s="90"/>
      <c r="F119" t="str">
        <f>"=Chicken"</f>
        <v>=Chicken</v>
      </c>
      <c r="H119" s="248" t="s">
        <v>3368</v>
      </c>
      <c r="I119" s="1" t="s">
        <v>1</v>
      </c>
    </row>
    <row r="120" spans="1:9" x14ac:dyDescent="0.2">
      <c r="B120" s="130" t="str">
        <f>"=Cherry"</f>
        <v>=Cherry</v>
      </c>
      <c r="C120" s="90"/>
      <c r="I120" t="str">
        <f>"=Fluid Milk, cow"</f>
        <v>=Fluid Milk, cow</v>
      </c>
    </row>
    <row r="121" spans="1:9" ht="20" x14ac:dyDescent="0.2">
      <c r="B121" s="130" t="str">
        <f>"=Apricot"</f>
        <v>=Apricot</v>
      </c>
      <c r="C121" s="90"/>
      <c r="E121" t="s">
        <v>3289</v>
      </c>
      <c r="F121" s="1" t="s">
        <v>1</v>
      </c>
    </row>
    <row r="122" spans="1:9" ht="20" x14ac:dyDescent="0.2">
      <c r="B122" s="130" t="str">
        <f>"=Peach"</f>
        <v>=Peach</v>
      </c>
      <c r="C122" s="90"/>
      <c r="F122" t="str">
        <f>"=Corn, field, flour"</f>
        <v>=Corn, field, flour</v>
      </c>
      <c r="H122" t="s">
        <v>3370</v>
      </c>
      <c r="I122" s="1" t="s">
        <v>1</v>
      </c>
    </row>
    <row r="123" spans="1:9" ht="20" x14ac:dyDescent="0.2">
      <c r="B123" s="130" t="str">
        <f>"=Plum"</f>
        <v>=Plum</v>
      </c>
      <c r="C123" s="90"/>
      <c r="E123" t="s">
        <v>3287</v>
      </c>
      <c r="F123" s="1" t="s">
        <v>1</v>
      </c>
      <c r="I123" t="str">
        <f>"=Cucumber"</f>
        <v>=Cucumber</v>
      </c>
    </row>
    <row r="124" spans="1:9" x14ac:dyDescent="0.2">
      <c r="B124" s="130" t="str">
        <f>"=Plum, prune, fresh"</f>
        <v>=Plum, prune, fresh</v>
      </c>
      <c r="F124" t="str">
        <f>"=Corn, field, starch"</f>
        <v>=Corn, field, starch</v>
      </c>
      <c r="I124" t="str">
        <f>"=pumpkin"</f>
        <v>=pumpkin</v>
      </c>
    </row>
    <row r="125" spans="1:9" ht="20" x14ac:dyDescent="0.2">
      <c r="B125" s="130" t="str">
        <f>"=Persimmon"</f>
        <v>=Persimmon</v>
      </c>
      <c r="C125" s="90"/>
      <c r="E125" t="s">
        <v>2785</v>
      </c>
      <c r="F125" s="1" t="s">
        <v>1</v>
      </c>
      <c r="I125" t="str">
        <f>"=Squash, Summer"</f>
        <v>=Squash, Summer</v>
      </c>
    </row>
    <row r="126" spans="1:9" x14ac:dyDescent="0.2">
      <c r="B126" s="130" t="str">
        <f>"=Pomegranate"</f>
        <v>=Pomegranate</v>
      </c>
      <c r="C126" s="90"/>
      <c r="F126" t="str">
        <f>"=Beer"</f>
        <v>=Beer</v>
      </c>
      <c r="I126" t="str">
        <f>"=squash, winter"</f>
        <v>=squash, winter</v>
      </c>
    </row>
    <row r="127" spans="1:9" ht="20" x14ac:dyDescent="0.2">
      <c r="A127" s="90" t="s">
        <v>2452</v>
      </c>
      <c r="B127" s="1" t="s">
        <v>1</v>
      </c>
      <c r="C127" s="90"/>
      <c r="E127" t="s">
        <v>3288</v>
      </c>
      <c r="F127" s="1" t="s">
        <v>1</v>
      </c>
      <c r="I127" s="130" t="str">
        <f>"=Cantaloupe"</f>
        <v>=Cantaloupe</v>
      </c>
    </row>
    <row r="128" spans="1:9" x14ac:dyDescent="0.2">
      <c r="B128" s="130" t="str">
        <f>"=Fig"</f>
        <v>=Fig</v>
      </c>
      <c r="C128" s="90"/>
      <c r="F128" t="str">
        <f>"=Oat, flour"</f>
        <v>=Oat, flour</v>
      </c>
      <c r="I128" s="130" t="str">
        <f>"=Honeydew melon"</f>
        <v>=Honeydew melon</v>
      </c>
    </row>
    <row r="129" spans="1:9" ht="20" x14ac:dyDescent="0.2">
      <c r="B129" s="130" t="str">
        <f>"=Guava"</f>
        <v>=Guava</v>
      </c>
      <c r="C129" s="90"/>
      <c r="E129" t="s">
        <v>3290</v>
      </c>
      <c r="F129" s="1" t="s">
        <v>1</v>
      </c>
      <c r="I129" s="130" t="str">
        <f>"=Watermelon"</f>
        <v>=Watermelon</v>
      </c>
    </row>
    <row r="130" spans="1:9" x14ac:dyDescent="0.2">
      <c r="B130" s="130" t="str">
        <f>"=Lychee"</f>
        <v>=Lychee</v>
      </c>
      <c r="C130" s="90"/>
      <c r="F130" t="str">
        <f>"=Sugarcane, molasses"</f>
        <v>=Sugarcane, molasses</v>
      </c>
      <c r="I130" s="130" t="str">
        <f>"=Balsam pear"</f>
        <v>=Balsam pear</v>
      </c>
    </row>
    <row r="131" spans="1:9" ht="20" x14ac:dyDescent="0.2">
      <c r="B131" s="130" t="str">
        <f>"=Avocado"</f>
        <v>=Avocado</v>
      </c>
      <c r="C131" s="90"/>
      <c r="E131" t="s">
        <v>3309</v>
      </c>
      <c r="F131" s="1" t="s">
        <v>1</v>
      </c>
      <c r="I131" s="130" t="str">
        <f>"=Chayote, fruit"</f>
        <v>=Chayote, fruit</v>
      </c>
    </row>
    <row r="132" spans="1:9" x14ac:dyDescent="0.2">
      <c r="B132" s="130" t="str">
        <f>"=Banana"</f>
        <v>=Banana</v>
      </c>
      <c r="C132" s="90"/>
      <c r="F132" t="str">
        <f>"=Tea, dried"</f>
        <v>=Tea, dried</v>
      </c>
      <c r="I132" s="130" t="str">
        <f>"=Chinese waxgourd"</f>
        <v>=Chinese waxgourd</v>
      </c>
    </row>
    <row r="133" spans="1:9" x14ac:dyDescent="0.2">
      <c r="B133" t="str">
        <f>"=tropical fruit"</f>
        <v>=tropical fruit</v>
      </c>
      <c r="C133" s="90"/>
    </row>
    <row r="134" spans="1:9" ht="20" x14ac:dyDescent="0.2">
      <c r="B134" s="130" t="str">
        <f>"=Mango"</f>
        <v>=Mango</v>
      </c>
      <c r="C134" s="90"/>
      <c r="E134" t="s">
        <v>3359</v>
      </c>
      <c r="F134" s="1" t="s">
        <v>1</v>
      </c>
    </row>
    <row r="135" spans="1:9" x14ac:dyDescent="0.2">
      <c r="B135" s="130" t="str">
        <f>"=Papaya"</f>
        <v>=Papaya</v>
      </c>
      <c r="F135" t="str">
        <f>"=Beef"</f>
        <v>=Beef</v>
      </c>
    </row>
    <row r="136" spans="1:9" x14ac:dyDescent="0.2">
      <c r="B136" s="130" t="str">
        <f>"=Breadfruit"</f>
        <v>=Breadfruit</v>
      </c>
      <c r="F136" t="str">
        <f>"=Goat"</f>
        <v>=Goat</v>
      </c>
    </row>
    <row r="137" spans="1:9" x14ac:dyDescent="0.2">
      <c r="B137" s="130" t="str">
        <f>"=Pineapple"</f>
        <v>=Pineapple</v>
      </c>
      <c r="F137" t="str">
        <f>"=Sheep"</f>
        <v>=Sheep</v>
      </c>
    </row>
    <row r="138" spans="1:9" x14ac:dyDescent="0.2">
      <c r="B138" s="130" t="str">
        <f>"=Soursop"</f>
        <v>=Soursop</v>
      </c>
    </row>
    <row r="139" spans="1:9" ht="20" x14ac:dyDescent="0.2">
      <c r="B139" s="130" t="str">
        <f>"=Passionfruit"</f>
        <v>=Passionfruit</v>
      </c>
      <c r="E139" t="s">
        <v>3360</v>
      </c>
      <c r="F139" s="1" t="s">
        <v>1</v>
      </c>
    </row>
    <row r="140" spans="1:9" ht="20" x14ac:dyDescent="0.2">
      <c r="A140" t="s">
        <v>3291</v>
      </c>
      <c r="B140" s="1" t="s">
        <v>1</v>
      </c>
      <c r="F140" t="str">
        <f>"=Chicken"</f>
        <v>=Chicken</v>
      </c>
    </row>
    <row r="141" spans="1:9" x14ac:dyDescent="0.2">
      <c r="B141" s="130" t="str">
        <f>"=Flax seed, oil"</f>
        <v>=Flax seed, oil</v>
      </c>
      <c r="F141" t="str">
        <f>"=Poultry"</f>
        <v>=Poultry</v>
      </c>
    </row>
    <row r="142" spans="1:9" x14ac:dyDescent="0.2">
      <c r="B142" s="130" t="str">
        <f>"=Rapeseed, oil"</f>
        <v>=Rapeseed, oil</v>
      </c>
      <c r="F142" t="str">
        <f>"=Turkey"</f>
        <v>=Turkey</v>
      </c>
    </row>
    <row r="143" spans="1:9" x14ac:dyDescent="0.2">
      <c r="B143" s="130" t="str">
        <f>"=Sesame, oil"</f>
        <v>=Sesame, oil</v>
      </c>
      <c r="F143" t="str">
        <f>"=Pork"</f>
        <v>=Pork</v>
      </c>
    </row>
    <row r="144" spans="1:9" x14ac:dyDescent="0.2">
      <c r="B144" s="130" t="str">
        <f>"=Safflower, oil"</f>
        <v>=Safflower, oil</v>
      </c>
      <c r="F144" t="str">
        <f>"=Rabbit, meat"</f>
        <v>=Rabbit, meat</v>
      </c>
    </row>
    <row r="145" spans="1:2" x14ac:dyDescent="0.2">
      <c r="B145" s="130" t="str">
        <f>"=Sunflower, oil"</f>
        <v>=Sunflower, oil</v>
      </c>
    </row>
    <row r="146" spans="1:2" x14ac:dyDescent="0.2">
      <c r="B146" s="130" t="str">
        <f>"=Cottonseed, oil"</f>
        <v>=Cottonseed, oil</v>
      </c>
    </row>
    <row r="148" spans="1:2" ht="20" x14ac:dyDescent="0.2">
      <c r="A148" t="s">
        <v>3354</v>
      </c>
      <c r="B148" s="1" t="s">
        <v>1</v>
      </c>
    </row>
    <row r="149" spans="1:2" x14ac:dyDescent="0.2">
      <c r="B149" s="130" t="str">
        <f>"=Soybean, oil"</f>
        <v>=Soybean, oil</v>
      </c>
    </row>
    <row r="150" spans="1:2" x14ac:dyDescent="0.2">
      <c r="B150" s="130" t="str">
        <f>"=Almond, oil"</f>
        <v>=Almond, oil</v>
      </c>
    </row>
    <row r="151" spans="1:2" x14ac:dyDescent="0.2">
      <c r="B151" s="130" t="str">
        <f>"=Coconut, oil"</f>
        <v>=Coconut, oil</v>
      </c>
    </row>
    <row r="152" spans="1:2" x14ac:dyDescent="0.2">
      <c r="B152" s="130" t="str">
        <f>"=Corn, field, oil"</f>
        <v>=Corn, field, oil</v>
      </c>
    </row>
    <row r="153" spans="1:2" x14ac:dyDescent="0.2">
      <c r="B153" s="130" t="str">
        <f>"=Flax seed, oil"</f>
        <v>=Flax seed, oil</v>
      </c>
    </row>
    <row r="154" spans="1:2" x14ac:dyDescent="0.2">
      <c r="B154" s="130" t="str">
        <f>"=Rapeseed, oil"</f>
        <v>=Rapeseed, oil</v>
      </c>
    </row>
    <row r="155" spans="1:2" x14ac:dyDescent="0.2">
      <c r="B155" s="130" t="str">
        <f>"=Sesame, oil"</f>
        <v>=Sesame, oil</v>
      </c>
    </row>
    <row r="156" spans="1:2" x14ac:dyDescent="0.2">
      <c r="B156" s="130" t="str">
        <f>"=Safflower, oil"</f>
        <v>=Safflower, oil</v>
      </c>
    </row>
    <row r="157" spans="1:2" x14ac:dyDescent="0.2">
      <c r="B157" s="130" t="str">
        <f>"=Sunflower, oil"</f>
        <v>=Sunflower, oil</v>
      </c>
    </row>
    <row r="158" spans="1:2" x14ac:dyDescent="0.2">
      <c r="B158" s="130" t="str">
        <f>"=Cottonseed, oil"</f>
        <v>=Cottonseed, oil</v>
      </c>
    </row>
    <row r="159" spans="1:2" x14ac:dyDescent="0.2">
      <c r="B159" s="130" t="str">
        <f>"=Olive, oil"</f>
        <v>=Olive, oil</v>
      </c>
    </row>
    <row r="160" spans="1:2" x14ac:dyDescent="0.2">
      <c r="B160" s="130" t="str">
        <f>"=Palm, oil"</f>
        <v>=Palm, oil</v>
      </c>
    </row>
    <row r="161" spans="2:2" x14ac:dyDescent="0.2">
      <c r="B161" s="130" t="str">
        <f>"=Peanut, oil"</f>
        <v>=Peanut, oil</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999"/>
  <sheetViews>
    <sheetView zoomScale="150" zoomScaleNormal="150" zoomScalePageLayoutView="150" workbookViewId="0">
      <pane ySplit="1" topLeftCell="A2" activePane="bottomLeft" state="frozen"/>
      <selection pane="bottomLeft" activeCell="Q1" sqref="Q1"/>
    </sheetView>
  </sheetViews>
  <sheetFormatPr baseColWidth="10" defaultColWidth="8.83203125" defaultRowHeight="21" customHeight="1" x14ac:dyDescent="0.2"/>
  <cols>
    <col min="1" max="1" width="9.6640625" style="6" bestFit="1" customWidth="1"/>
    <col min="2" max="2" width="28.6640625" style="6" customWidth="1"/>
    <col min="3" max="3" width="17.5" style="60" customWidth="1"/>
    <col min="4" max="4" width="10.6640625" style="60" customWidth="1"/>
    <col min="5" max="5" width="6.83203125" style="64" bestFit="1" customWidth="1"/>
    <col min="6" max="6" width="10.1640625" style="60" bestFit="1" customWidth="1"/>
    <col min="7" max="7" width="6.83203125" bestFit="1" customWidth="1"/>
    <col min="8" max="8" width="7.5" customWidth="1"/>
    <col min="9" max="9" width="10.5" style="6" bestFit="1" customWidth="1"/>
    <col min="10" max="10" width="6" style="6" customWidth="1"/>
    <col min="11" max="11" width="10.5" style="6" bestFit="1" customWidth="1"/>
    <col min="12" max="12" width="7.1640625" customWidth="1"/>
    <col min="13" max="13" width="10.6640625" customWidth="1"/>
    <col min="14" max="14" width="8.83203125" customWidth="1"/>
    <col min="15" max="15" width="14.5" style="6" customWidth="1"/>
  </cols>
  <sheetData>
    <row r="1" spans="1:15" s="61" customFormat="1" ht="30.75" customHeight="1" x14ac:dyDescent="0.2">
      <c r="A1" s="61" t="s">
        <v>1719</v>
      </c>
      <c r="B1" s="61" t="s">
        <v>1720</v>
      </c>
      <c r="C1" s="61" t="s">
        <v>2691</v>
      </c>
      <c r="D1" s="61" t="s">
        <v>1721</v>
      </c>
      <c r="E1" s="61" t="s">
        <v>2733</v>
      </c>
      <c r="F1" s="61" t="s">
        <v>2732</v>
      </c>
      <c r="G1" s="61" t="s">
        <v>2724</v>
      </c>
      <c r="H1" s="61" t="s">
        <v>2734</v>
      </c>
      <c r="I1" s="61" t="s">
        <v>2736</v>
      </c>
      <c r="J1" s="61" t="s">
        <v>2735</v>
      </c>
      <c r="K1" s="61" t="s">
        <v>2737</v>
      </c>
      <c r="L1" s="61" t="s">
        <v>2692</v>
      </c>
      <c r="M1" s="61" t="s">
        <v>2693</v>
      </c>
      <c r="N1" s="61" t="s">
        <v>2467</v>
      </c>
      <c r="O1" s="61" t="s">
        <v>2690</v>
      </c>
    </row>
    <row r="2" spans="1:15" ht="21" customHeight="1" x14ac:dyDescent="0.2">
      <c r="A2" s="19">
        <v>1800002000</v>
      </c>
      <c r="B2" s="20" t="s">
        <v>1725</v>
      </c>
      <c r="C2" s="52" t="s">
        <v>1726</v>
      </c>
      <c r="D2" s="52" t="s">
        <v>1727</v>
      </c>
      <c r="E2" s="70" t="s">
        <v>594</v>
      </c>
      <c r="F2" s="70">
        <v>1</v>
      </c>
      <c r="H2">
        <v>1</v>
      </c>
      <c r="I2" s="37"/>
      <c r="J2" s="37"/>
      <c r="K2" s="37"/>
      <c r="L2" s="41"/>
      <c r="M2" s="41"/>
      <c r="N2" s="41"/>
      <c r="O2" s="37"/>
    </row>
    <row r="3" spans="1:15" ht="21" customHeight="1" x14ac:dyDescent="0.2">
      <c r="A3" s="22">
        <v>1400003000</v>
      </c>
      <c r="B3" s="9" t="s">
        <v>1728</v>
      </c>
      <c r="C3" s="53" t="s">
        <v>1729</v>
      </c>
      <c r="D3" s="53"/>
      <c r="E3" s="74" t="s">
        <v>2724</v>
      </c>
      <c r="F3" s="70">
        <v>1</v>
      </c>
      <c r="G3">
        <v>1</v>
      </c>
      <c r="H3">
        <v>1</v>
      </c>
      <c r="I3" s="37"/>
      <c r="J3" s="37"/>
      <c r="K3" s="37"/>
      <c r="L3" s="33">
        <v>42101000</v>
      </c>
      <c r="M3" s="34" t="s">
        <v>2472</v>
      </c>
      <c r="N3" s="35" t="s">
        <v>2473</v>
      </c>
      <c r="O3" s="37"/>
    </row>
    <row r="4" spans="1:15" ht="21" customHeight="1" x14ac:dyDescent="0.2">
      <c r="A4" s="22">
        <v>1400004000</v>
      </c>
      <c r="B4" s="9" t="s">
        <v>1730</v>
      </c>
      <c r="C4" s="53" t="s">
        <v>1731</v>
      </c>
      <c r="D4" s="53"/>
      <c r="E4" s="74" t="s">
        <v>2724</v>
      </c>
      <c r="F4" s="71">
        <v>1</v>
      </c>
      <c r="G4">
        <v>1</v>
      </c>
      <c r="H4">
        <v>1</v>
      </c>
      <c r="I4" s="37"/>
      <c r="J4" s="37"/>
      <c r="K4" s="37"/>
      <c r="L4" s="33">
        <v>82101300</v>
      </c>
      <c r="M4" s="34" t="s">
        <v>2474</v>
      </c>
      <c r="N4" s="35" t="s">
        <v>2475</v>
      </c>
      <c r="O4" s="37" t="s">
        <v>2689</v>
      </c>
    </row>
    <row r="5" spans="1:15" ht="21" customHeight="1" x14ac:dyDescent="0.2">
      <c r="A5" s="22">
        <v>9500006000</v>
      </c>
      <c r="B5" s="9" t="s">
        <v>1732</v>
      </c>
      <c r="C5" s="53" t="s">
        <v>1733</v>
      </c>
      <c r="D5" s="53"/>
      <c r="E5" s="70" t="s">
        <v>594</v>
      </c>
      <c r="F5" s="70">
        <v>1</v>
      </c>
      <c r="H5">
        <v>1</v>
      </c>
      <c r="I5" s="37"/>
      <c r="J5" s="37"/>
      <c r="K5" s="37"/>
      <c r="L5" s="41"/>
      <c r="M5" s="41"/>
      <c r="N5" s="41"/>
      <c r="O5" s="37"/>
    </row>
    <row r="6" spans="1:15" ht="21" customHeight="1" x14ac:dyDescent="0.2">
      <c r="A6" s="22">
        <v>401005000</v>
      </c>
      <c r="B6" s="9" t="s">
        <v>1734</v>
      </c>
      <c r="C6" s="53" t="s">
        <v>1735</v>
      </c>
      <c r="D6" s="53" t="s">
        <v>1736</v>
      </c>
      <c r="E6" s="70" t="s">
        <v>594</v>
      </c>
      <c r="F6" s="70">
        <v>1</v>
      </c>
      <c r="H6">
        <v>1</v>
      </c>
      <c r="I6" s="37"/>
      <c r="J6" s="37"/>
      <c r="K6" s="37"/>
      <c r="L6" s="41"/>
      <c r="M6" s="41"/>
      <c r="N6" s="41"/>
      <c r="O6" s="37"/>
    </row>
    <row r="7" spans="1:15" ht="21" customHeight="1" x14ac:dyDescent="0.2">
      <c r="A7" s="22">
        <v>1100009000</v>
      </c>
      <c r="B7" s="9" t="s">
        <v>1737</v>
      </c>
      <c r="C7" s="53" t="s">
        <v>1738</v>
      </c>
      <c r="D7" s="53"/>
      <c r="E7" s="74" t="s">
        <v>2724</v>
      </c>
      <c r="F7" s="71">
        <v>6.15</v>
      </c>
      <c r="G7">
        <v>6.15</v>
      </c>
      <c r="H7">
        <v>1</v>
      </c>
      <c r="I7" s="37"/>
      <c r="J7" s="37">
        <v>8</v>
      </c>
      <c r="K7" s="37"/>
      <c r="L7" s="33">
        <v>62101100</v>
      </c>
      <c r="M7" s="34" t="s">
        <v>2476</v>
      </c>
      <c r="N7" s="35" t="s">
        <v>688</v>
      </c>
      <c r="O7" s="37">
        <v>1100007000</v>
      </c>
    </row>
    <row r="8" spans="1:15" ht="21" customHeight="1" x14ac:dyDescent="0.2">
      <c r="A8" s="22">
        <v>1100007000</v>
      </c>
      <c r="B8" s="9" t="s">
        <v>1739</v>
      </c>
      <c r="C8" s="53" t="s">
        <v>1740</v>
      </c>
      <c r="D8" s="53"/>
      <c r="E8" s="72" t="s">
        <v>2735</v>
      </c>
      <c r="F8" s="71">
        <v>1.1100000000000001</v>
      </c>
      <c r="G8">
        <v>1.3</v>
      </c>
      <c r="H8">
        <v>1.1111111111111112</v>
      </c>
      <c r="I8" s="37"/>
      <c r="J8" s="37"/>
      <c r="K8" s="37"/>
      <c r="L8" s="33">
        <v>63101000</v>
      </c>
      <c r="M8" s="34" t="s">
        <v>2477</v>
      </c>
      <c r="N8" s="35" t="s">
        <v>688</v>
      </c>
      <c r="O8" s="37"/>
    </row>
    <row r="9" spans="1:15" ht="21" customHeight="1" x14ac:dyDescent="0.2">
      <c r="A9" s="22">
        <v>1100010000</v>
      </c>
      <c r="B9" s="9" t="s">
        <v>1741</v>
      </c>
      <c r="C9" s="53" t="s">
        <v>1742</v>
      </c>
      <c r="D9" s="53"/>
      <c r="E9" s="74" t="s">
        <v>2724</v>
      </c>
      <c r="F9" s="71">
        <v>1.5</v>
      </c>
      <c r="G9">
        <v>1.5</v>
      </c>
      <c r="H9">
        <v>1</v>
      </c>
      <c r="I9" s="37"/>
      <c r="J9" s="37">
        <v>1.3636363636363644</v>
      </c>
      <c r="K9" s="37"/>
      <c r="L9" s="33">
        <v>64104010</v>
      </c>
      <c r="M9" s="34" t="s">
        <v>2422</v>
      </c>
      <c r="N9" s="35" t="s">
        <v>2478</v>
      </c>
      <c r="O9" s="37">
        <v>1100007000</v>
      </c>
    </row>
    <row r="10" spans="1:15" ht="21" customHeight="1" x14ac:dyDescent="0.2">
      <c r="A10" s="22">
        <v>1100008000</v>
      </c>
      <c r="B10" s="9" t="s">
        <v>1743</v>
      </c>
      <c r="C10" s="53" t="s">
        <v>1744</v>
      </c>
      <c r="D10" s="53"/>
      <c r="E10" s="72" t="s">
        <v>2737</v>
      </c>
      <c r="F10" s="73">
        <v>1.3</v>
      </c>
      <c r="H10">
        <v>1</v>
      </c>
      <c r="I10" s="37"/>
      <c r="J10" s="37"/>
      <c r="K10" s="37">
        <v>1.3</v>
      </c>
      <c r="L10" s="41"/>
      <c r="M10" s="41"/>
      <c r="N10" s="41"/>
      <c r="O10" s="37">
        <v>1100007000</v>
      </c>
    </row>
    <row r="11" spans="1:15" ht="21" customHeight="1" x14ac:dyDescent="0.2">
      <c r="A11" s="22">
        <v>1100011000</v>
      </c>
      <c r="B11" s="9" t="s">
        <v>1745</v>
      </c>
      <c r="C11" s="53" t="s">
        <v>1746</v>
      </c>
      <c r="D11" s="53"/>
      <c r="E11" s="74" t="s">
        <v>2724</v>
      </c>
      <c r="F11" s="71">
        <v>1.4</v>
      </c>
      <c r="G11">
        <v>1.4</v>
      </c>
      <c r="H11">
        <v>1</v>
      </c>
      <c r="I11" s="37"/>
      <c r="J11" s="37">
        <v>1.2658227848101264</v>
      </c>
      <c r="K11" s="37"/>
      <c r="L11" s="33">
        <v>63101120</v>
      </c>
      <c r="M11" s="41" t="s">
        <v>2479</v>
      </c>
      <c r="N11" s="35" t="s">
        <v>688</v>
      </c>
      <c r="O11" s="37">
        <v>1100007000</v>
      </c>
    </row>
    <row r="12" spans="1:15" ht="21" customHeight="1" x14ac:dyDescent="0.2">
      <c r="A12" s="22">
        <v>1202012000</v>
      </c>
      <c r="B12" s="9" t="s">
        <v>1747</v>
      </c>
      <c r="C12" s="53" t="s">
        <v>1748</v>
      </c>
      <c r="D12" s="53" t="s">
        <v>1749</v>
      </c>
      <c r="E12" s="74" t="s">
        <v>2724</v>
      </c>
      <c r="F12" s="71">
        <v>1.08</v>
      </c>
      <c r="G12">
        <v>1.08</v>
      </c>
      <c r="H12">
        <v>1.0752688172043012</v>
      </c>
      <c r="I12" s="37"/>
      <c r="J12" s="37"/>
      <c r="K12" s="37"/>
      <c r="L12" s="33">
        <v>63103010</v>
      </c>
      <c r="M12" s="34" t="s">
        <v>2469</v>
      </c>
      <c r="N12" s="35" t="s">
        <v>2468</v>
      </c>
      <c r="O12" s="37"/>
    </row>
    <row r="13" spans="1:15" ht="21" customHeight="1" x14ac:dyDescent="0.2">
      <c r="A13" s="22">
        <v>1202013000</v>
      </c>
      <c r="B13" s="9" t="s">
        <v>1750</v>
      </c>
      <c r="C13" s="53" t="s">
        <v>1751</v>
      </c>
      <c r="D13" s="53" t="s">
        <v>1749</v>
      </c>
      <c r="E13" s="74" t="s">
        <v>2724</v>
      </c>
      <c r="F13" s="71">
        <v>5.46</v>
      </c>
      <c r="G13">
        <v>5.46</v>
      </c>
      <c r="H13">
        <v>1</v>
      </c>
      <c r="I13" s="37"/>
      <c r="J13" s="37"/>
      <c r="K13" s="37">
        <v>5.063003663003661</v>
      </c>
      <c r="L13" s="33">
        <v>62104100</v>
      </c>
      <c r="M13" s="34" t="s">
        <v>2466</v>
      </c>
      <c r="N13" s="35" t="s">
        <v>2468</v>
      </c>
      <c r="O13" s="37">
        <v>1202012000</v>
      </c>
    </row>
    <row r="14" spans="1:15" ht="21" customHeight="1" x14ac:dyDescent="0.2">
      <c r="A14" s="22">
        <v>1202014000</v>
      </c>
      <c r="B14" s="9" t="s">
        <v>1752</v>
      </c>
      <c r="C14" s="53" t="s">
        <v>1742</v>
      </c>
      <c r="D14" s="53" t="s">
        <v>1749</v>
      </c>
      <c r="E14" s="72" t="s">
        <v>2750</v>
      </c>
      <c r="F14" s="71">
        <v>1.63</v>
      </c>
      <c r="G14">
        <v>0.43200000000000005</v>
      </c>
      <c r="H14">
        <v>1</v>
      </c>
      <c r="I14" s="37"/>
      <c r="J14" s="37"/>
      <c r="K14" s="37"/>
      <c r="L14" s="33">
        <v>64201010</v>
      </c>
      <c r="M14" s="34" t="s">
        <v>2470</v>
      </c>
      <c r="N14" s="35" t="s">
        <v>2468</v>
      </c>
      <c r="O14" s="37" t="s">
        <v>2689</v>
      </c>
    </row>
    <row r="15" spans="1:15" ht="21" customHeight="1" x14ac:dyDescent="0.2">
      <c r="A15" s="22">
        <v>103015000</v>
      </c>
      <c r="B15" s="9" t="s">
        <v>1753</v>
      </c>
      <c r="C15" s="53" t="s">
        <v>1754</v>
      </c>
      <c r="D15" s="53"/>
      <c r="E15" s="70" t="s">
        <v>594</v>
      </c>
      <c r="F15" s="70">
        <v>1</v>
      </c>
      <c r="H15">
        <v>1</v>
      </c>
      <c r="I15" s="37"/>
      <c r="J15" s="37"/>
      <c r="K15" s="37"/>
      <c r="L15" s="41"/>
      <c r="M15" s="41"/>
      <c r="N15" s="41"/>
      <c r="O15" s="37"/>
    </row>
    <row r="16" spans="1:15" ht="21" customHeight="1" x14ac:dyDescent="0.2">
      <c r="A16" s="22">
        <v>9500016000</v>
      </c>
      <c r="B16" s="9" t="s">
        <v>1755</v>
      </c>
      <c r="C16" s="53" t="s">
        <v>1756</v>
      </c>
      <c r="D16" s="53"/>
      <c r="E16" s="70" t="s">
        <v>2735</v>
      </c>
      <c r="F16" s="71">
        <v>2.5</v>
      </c>
      <c r="H16">
        <v>2.5</v>
      </c>
      <c r="I16" s="37"/>
      <c r="J16" s="37"/>
      <c r="K16" s="37"/>
      <c r="L16" s="33">
        <v>75201011</v>
      </c>
      <c r="M16" s="34" t="s">
        <v>2482</v>
      </c>
      <c r="N16" s="35" t="s">
        <v>2481</v>
      </c>
      <c r="O16" s="37"/>
    </row>
    <row r="17" spans="1:15" ht="21" customHeight="1" x14ac:dyDescent="0.2">
      <c r="A17" s="22">
        <v>103017000</v>
      </c>
      <c r="B17" s="9" t="s">
        <v>1757</v>
      </c>
      <c r="C17" s="53" t="s">
        <v>1758</v>
      </c>
      <c r="D17" s="53"/>
      <c r="E17" s="74" t="s">
        <v>2724</v>
      </c>
      <c r="F17" s="71">
        <v>2.5</v>
      </c>
      <c r="G17">
        <v>2.5</v>
      </c>
      <c r="H17">
        <v>1</v>
      </c>
      <c r="I17" s="37"/>
      <c r="J17" s="37"/>
      <c r="K17" s="37"/>
      <c r="L17" s="33">
        <v>75100750</v>
      </c>
      <c r="M17" s="34" t="s">
        <v>2480</v>
      </c>
      <c r="N17" s="35" t="s">
        <v>2481</v>
      </c>
      <c r="O17" s="37"/>
    </row>
    <row r="18" spans="1:15" ht="21" customHeight="1" x14ac:dyDescent="0.2">
      <c r="A18" s="22">
        <v>402018000</v>
      </c>
      <c r="B18" s="9" t="s">
        <v>1759</v>
      </c>
      <c r="C18" s="53" t="s">
        <v>1760</v>
      </c>
      <c r="D18" s="53"/>
      <c r="E18" s="74" t="s">
        <v>2724</v>
      </c>
      <c r="F18" s="71">
        <v>1.67</v>
      </c>
      <c r="G18">
        <v>1.67</v>
      </c>
      <c r="H18">
        <v>1</v>
      </c>
      <c r="I18" s="37"/>
      <c r="J18" s="37"/>
      <c r="K18" s="37"/>
      <c r="L18" s="33">
        <v>75113080</v>
      </c>
      <c r="M18" s="34" t="s">
        <v>2483</v>
      </c>
      <c r="N18" s="35" t="s">
        <v>631</v>
      </c>
      <c r="O18" s="37"/>
    </row>
    <row r="19" spans="1:15" ht="21" customHeight="1" x14ac:dyDescent="0.2">
      <c r="A19" s="22">
        <v>2201019000</v>
      </c>
      <c r="B19" s="9" t="s">
        <v>827</v>
      </c>
      <c r="C19" s="53" t="s">
        <v>1761</v>
      </c>
      <c r="D19" s="53"/>
      <c r="E19" s="74" t="s">
        <v>2724</v>
      </c>
      <c r="F19" s="71">
        <v>1.89</v>
      </c>
      <c r="G19">
        <v>1.89</v>
      </c>
      <c r="H19">
        <v>1.8867924528301885</v>
      </c>
      <c r="I19" s="37"/>
      <c r="J19" s="37"/>
      <c r="K19" s="37"/>
      <c r="L19" s="33">
        <v>75100800</v>
      </c>
      <c r="M19" s="34" t="s">
        <v>2484</v>
      </c>
      <c r="N19" s="35" t="s">
        <v>2481</v>
      </c>
      <c r="O19" s="37"/>
    </row>
    <row r="20" spans="1:15" ht="21" customHeight="1" x14ac:dyDescent="0.2">
      <c r="A20" s="22">
        <v>2402020000</v>
      </c>
      <c r="B20" s="9" t="s">
        <v>859</v>
      </c>
      <c r="C20" s="53" t="s">
        <v>1762</v>
      </c>
      <c r="D20" s="53"/>
      <c r="E20" s="74" t="s">
        <v>2724</v>
      </c>
      <c r="F20" s="71">
        <v>1.35</v>
      </c>
      <c r="G20">
        <v>1.35</v>
      </c>
      <c r="H20">
        <v>1.3513513513513513</v>
      </c>
      <c r="I20" s="37"/>
      <c r="J20" s="37"/>
      <c r="K20" s="37"/>
      <c r="L20" s="33">
        <v>63105010</v>
      </c>
      <c r="M20" s="34" t="s">
        <v>2485</v>
      </c>
      <c r="N20" s="35" t="s">
        <v>2481</v>
      </c>
      <c r="O20" s="37"/>
    </row>
    <row r="21" spans="1:15" ht="21" customHeight="1" x14ac:dyDescent="0.2">
      <c r="A21" s="22">
        <v>902021000</v>
      </c>
      <c r="B21" s="9" t="s">
        <v>1763</v>
      </c>
      <c r="C21" s="53" t="s">
        <v>1764</v>
      </c>
      <c r="D21" s="53" t="s">
        <v>1765</v>
      </c>
      <c r="E21" s="70" t="s">
        <v>594</v>
      </c>
      <c r="F21" s="70">
        <v>1</v>
      </c>
      <c r="G21">
        <v>1.06</v>
      </c>
      <c r="H21">
        <v>1</v>
      </c>
      <c r="I21" s="37"/>
      <c r="J21" s="37"/>
      <c r="K21" s="37"/>
      <c r="L21" s="43" t="s">
        <v>2706</v>
      </c>
      <c r="M21" s="42" t="s">
        <v>2707</v>
      </c>
      <c r="N21" s="45" t="s">
        <v>162</v>
      </c>
      <c r="O21" s="37"/>
    </row>
    <row r="22" spans="1:15" ht="21" customHeight="1" x14ac:dyDescent="0.2">
      <c r="A22" s="22">
        <v>2201022000</v>
      </c>
      <c r="B22" s="9" t="s">
        <v>1766</v>
      </c>
      <c r="C22" s="53" t="s">
        <v>1767</v>
      </c>
      <c r="D22" s="53" t="s">
        <v>1768</v>
      </c>
      <c r="E22" s="70" t="s">
        <v>594</v>
      </c>
      <c r="F22" s="70">
        <v>1</v>
      </c>
      <c r="G22">
        <v>3.45</v>
      </c>
      <c r="H22">
        <v>1</v>
      </c>
      <c r="I22" s="37"/>
      <c r="J22" s="37"/>
      <c r="K22" s="37"/>
      <c r="L22" s="43" t="s">
        <v>2706</v>
      </c>
      <c r="M22" s="42" t="s">
        <v>2708</v>
      </c>
      <c r="N22" s="45" t="s">
        <v>162</v>
      </c>
      <c r="O22" s="37"/>
    </row>
    <row r="23" spans="1:15" ht="21" customHeight="1" x14ac:dyDescent="0.2">
      <c r="A23" s="22">
        <v>2402023000</v>
      </c>
      <c r="B23" s="9" t="s">
        <v>1769</v>
      </c>
      <c r="C23" s="53" t="s">
        <v>1770</v>
      </c>
      <c r="D23" s="53"/>
      <c r="E23" s="74" t="s">
        <v>2724</v>
      </c>
      <c r="F23" s="71">
        <v>1.56</v>
      </c>
      <c r="G23">
        <v>1.56</v>
      </c>
      <c r="H23">
        <v>1.5625</v>
      </c>
      <c r="I23" s="37"/>
      <c r="J23" s="37"/>
      <c r="K23" s="37"/>
      <c r="L23" s="33">
        <v>63107010</v>
      </c>
      <c r="M23" s="34" t="s">
        <v>2490</v>
      </c>
      <c r="N23" s="35" t="s">
        <v>237</v>
      </c>
      <c r="O23" s="37"/>
    </row>
    <row r="24" spans="1:15" ht="21" customHeight="1" x14ac:dyDescent="0.2">
      <c r="A24" s="22">
        <v>2402024000</v>
      </c>
      <c r="B24" s="9" t="s">
        <v>1771</v>
      </c>
      <c r="C24" s="53" t="s">
        <v>1772</v>
      </c>
      <c r="D24" s="53"/>
      <c r="E24" s="70" t="s">
        <v>2724</v>
      </c>
      <c r="F24" s="71">
        <v>6.04</v>
      </c>
      <c r="G24">
        <v>6.04</v>
      </c>
      <c r="H24">
        <v>1</v>
      </c>
      <c r="I24" s="37"/>
      <c r="J24" s="37"/>
      <c r="K24" s="37">
        <v>3.8142686329214825</v>
      </c>
      <c r="L24" s="43" t="s">
        <v>2695</v>
      </c>
      <c r="M24" s="42" t="s">
        <v>2694</v>
      </c>
      <c r="N24" s="35" t="s">
        <v>237</v>
      </c>
      <c r="O24" s="37">
        <v>2402023000</v>
      </c>
    </row>
    <row r="25" spans="1:15" ht="21" customHeight="1" x14ac:dyDescent="0.2">
      <c r="A25" s="22">
        <v>1500027000</v>
      </c>
      <c r="B25" s="9" t="s">
        <v>1773</v>
      </c>
      <c r="C25" s="53" t="s">
        <v>1774</v>
      </c>
      <c r="D25" s="53"/>
      <c r="E25" s="70" t="s">
        <v>594</v>
      </c>
      <c r="F25" s="70">
        <v>1</v>
      </c>
      <c r="H25">
        <v>1</v>
      </c>
      <c r="I25" s="37"/>
      <c r="J25" s="37"/>
      <c r="K25" s="37"/>
      <c r="L25" s="41"/>
      <c r="M25" s="41"/>
      <c r="N25" s="41"/>
      <c r="O25" s="37"/>
    </row>
    <row r="26" spans="1:15" ht="21" customHeight="1" x14ac:dyDescent="0.2">
      <c r="A26" s="22">
        <v>1500026000</v>
      </c>
      <c r="B26" s="9" t="s">
        <v>1775</v>
      </c>
      <c r="C26" s="53" t="s">
        <v>1754</v>
      </c>
      <c r="D26" s="53" t="s">
        <v>1776</v>
      </c>
      <c r="E26" s="72" t="s">
        <v>628</v>
      </c>
      <c r="F26" s="73">
        <v>1</v>
      </c>
      <c r="H26">
        <v>1</v>
      </c>
      <c r="I26" s="37">
        <v>1.845</v>
      </c>
      <c r="J26" s="37"/>
      <c r="K26" s="37"/>
      <c r="L26" s="41"/>
      <c r="M26" s="41"/>
      <c r="O26" s="37"/>
    </row>
    <row r="27" spans="1:15" ht="21" customHeight="1" x14ac:dyDescent="0.2">
      <c r="A27" s="22">
        <v>1500025000</v>
      </c>
      <c r="B27" s="9" t="s">
        <v>1777</v>
      </c>
      <c r="C27" s="53" t="s">
        <v>1778</v>
      </c>
      <c r="D27" s="53"/>
      <c r="E27" s="72" t="s">
        <v>628</v>
      </c>
      <c r="F27" s="73">
        <v>1</v>
      </c>
      <c r="G27">
        <v>0.35</v>
      </c>
      <c r="H27">
        <v>1</v>
      </c>
      <c r="I27" s="37">
        <v>1.6</v>
      </c>
      <c r="J27" s="37"/>
      <c r="K27" s="37"/>
      <c r="L27" s="44" t="s">
        <v>2699</v>
      </c>
      <c r="M27" s="46" t="s">
        <v>2700</v>
      </c>
      <c r="N27" s="47" t="s">
        <v>2701</v>
      </c>
      <c r="O27" s="37"/>
    </row>
    <row r="28" spans="1:15" ht="21" customHeight="1" x14ac:dyDescent="0.2">
      <c r="A28" s="22">
        <v>1901029000</v>
      </c>
      <c r="B28" s="9" t="s">
        <v>1779</v>
      </c>
      <c r="C28" s="53" t="s">
        <v>1780</v>
      </c>
      <c r="D28" s="53"/>
      <c r="E28" s="70" t="s">
        <v>2737</v>
      </c>
      <c r="F28" s="73">
        <v>11.290931989924436</v>
      </c>
      <c r="H28">
        <v>1</v>
      </c>
      <c r="I28" s="37"/>
      <c r="J28" s="37"/>
      <c r="K28" s="37">
        <v>11.290931989924436</v>
      </c>
      <c r="L28" s="41"/>
      <c r="M28" s="41"/>
      <c r="N28" s="41"/>
      <c r="O28" s="37">
        <v>1901028000</v>
      </c>
    </row>
    <row r="29" spans="1:15" ht="21" customHeight="1" x14ac:dyDescent="0.2">
      <c r="A29" s="22">
        <v>1901028000</v>
      </c>
      <c r="B29" s="9" t="s">
        <v>1781</v>
      </c>
      <c r="C29" s="53" t="s">
        <v>1782</v>
      </c>
      <c r="D29" s="53"/>
      <c r="E29" s="70" t="s">
        <v>594</v>
      </c>
      <c r="F29" s="70">
        <v>1</v>
      </c>
      <c r="H29">
        <v>1</v>
      </c>
      <c r="I29" s="37"/>
      <c r="J29" s="37"/>
      <c r="K29" s="37"/>
      <c r="L29" s="41"/>
      <c r="M29" s="41"/>
      <c r="N29" s="41"/>
      <c r="O29" s="37"/>
    </row>
    <row r="30" spans="1:15" ht="21" customHeight="1" x14ac:dyDescent="0.2">
      <c r="A30" s="22">
        <v>603035000</v>
      </c>
      <c r="B30" s="9" t="s">
        <v>1783</v>
      </c>
      <c r="C30" s="53" t="s">
        <v>1784</v>
      </c>
      <c r="D30" s="53"/>
      <c r="E30" s="70" t="s">
        <v>594</v>
      </c>
      <c r="F30" s="71">
        <v>1</v>
      </c>
      <c r="H30">
        <v>1</v>
      </c>
      <c r="I30" s="37"/>
      <c r="J30" s="37"/>
      <c r="K30" s="37"/>
      <c r="L30" s="41"/>
      <c r="M30" s="41"/>
      <c r="N30" s="41"/>
      <c r="O30" s="37"/>
    </row>
    <row r="31" spans="1:15" ht="21" customHeight="1" x14ac:dyDescent="0.2">
      <c r="A31" s="22">
        <v>603030000</v>
      </c>
      <c r="B31" s="9" t="s">
        <v>1785</v>
      </c>
      <c r="C31" s="53" t="s">
        <v>1784</v>
      </c>
      <c r="D31" s="53" t="s">
        <v>1786</v>
      </c>
      <c r="E31" s="70" t="s">
        <v>594</v>
      </c>
      <c r="F31" s="71">
        <v>1</v>
      </c>
      <c r="G31">
        <v>0.38</v>
      </c>
      <c r="H31">
        <v>1</v>
      </c>
      <c r="I31" s="37"/>
      <c r="J31" s="37"/>
      <c r="K31" s="37"/>
      <c r="L31" s="43" t="s">
        <v>2706</v>
      </c>
      <c r="M31" s="42" t="s">
        <v>2710</v>
      </c>
      <c r="N31" s="45" t="s">
        <v>162</v>
      </c>
      <c r="O31" s="37"/>
    </row>
    <row r="32" spans="1:15" ht="21" customHeight="1" x14ac:dyDescent="0.2">
      <c r="A32" s="22">
        <v>603032000</v>
      </c>
      <c r="B32" s="9" t="s">
        <v>1787</v>
      </c>
      <c r="C32" s="53" t="s">
        <v>1784</v>
      </c>
      <c r="D32" s="53" t="s">
        <v>1788</v>
      </c>
      <c r="E32" s="70" t="s">
        <v>594</v>
      </c>
      <c r="F32" s="71">
        <v>1</v>
      </c>
      <c r="G32">
        <v>0.32</v>
      </c>
      <c r="H32">
        <v>1</v>
      </c>
      <c r="I32" s="37"/>
      <c r="J32" s="37"/>
      <c r="K32" s="37"/>
      <c r="L32" s="50" t="s">
        <v>2706</v>
      </c>
      <c r="M32" s="50" t="s">
        <v>2712</v>
      </c>
      <c r="N32" s="50" t="s">
        <v>162</v>
      </c>
      <c r="O32" s="37"/>
    </row>
    <row r="33" spans="1:15" ht="21" customHeight="1" x14ac:dyDescent="0.2">
      <c r="A33" s="22">
        <v>602031000</v>
      </c>
      <c r="B33" s="9" t="s">
        <v>1789</v>
      </c>
      <c r="C33" s="53" t="s">
        <v>1790</v>
      </c>
      <c r="D33" s="53" t="s">
        <v>1788</v>
      </c>
      <c r="E33" s="70" t="s">
        <v>594</v>
      </c>
      <c r="F33" s="71">
        <v>1</v>
      </c>
      <c r="H33">
        <v>1</v>
      </c>
      <c r="I33" s="37"/>
      <c r="J33" s="37"/>
      <c r="K33" s="37"/>
      <c r="L33" s="41"/>
      <c r="M33" s="41"/>
      <c r="N33" s="41"/>
      <c r="O33" s="37"/>
    </row>
    <row r="34" spans="1:15" ht="21" customHeight="1" x14ac:dyDescent="0.2">
      <c r="A34" s="22">
        <v>603034000</v>
      </c>
      <c r="B34" s="9" t="s">
        <v>1791</v>
      </c>
      <c r="C34" s="53" t="s">
        <v>1784</v>
      </c>
      <c r="D34" s="53" t="s">
        <v>1792</v>
      </c>
      <c r="E34" s="70" t="s">
        <v>594</v>
      </c>
      <c r="F34" s="71">
        <v>1</v>
      </c>
      <c r="G34">
        <v>0.33799999999999997</v>
      </c>
      <c r="H34">
        <v>1</v>
      </c>
      <c r="I34" s="37"/>
      <c r="J34" s="37"/>
      <c r="K34" s="37"/>
      <c r="L34" s="33">
        <v>41301020</v>
      </c>
      <c r="M34" s="34" t="s">
        <v>2493</v>
      </c>
      <c r="N34" s="35" t="s">
        <v>2491</v>
      </c>
      <c r="O34" s="37"/>
    </row>
    <row r="35" spans="1:15" ht="21" customHeight="1" x14ac:dyDescent="0.2">
      <c r="A35" s="22">
        <v>602033000</v>
      </c>
      <c r="B35" s="9" t="s">
        <v>1793</v>
      </c>
      <c r="C35" s="53" t="s">
        <v>1794</v>
      </c>
      <c r="D35" s="53" t="s">
        <v>1792</v>
      </c>
      <c r="E35" s="70" t="s">
        <v>594</v>
      </c>
      <c r="F35" s="71">
        <v>1</v>
      </c>
      <c r="G35">
        <v>0.27800000000000002</v>
      </c>
      <c r="H35">
        <v>1</v>
      </c>
      <c r="I35" s="37"/>
      <c r="J35" s="37"/>
      <c r="K35" s="37"/>
      <c r="L35" s="33">
        <v>75223011</v>
      </c>
      <c r="M35" s="34" t="s">
        <v>2492</v>
      </c>
      <c r="N35" s="35" t="s">
        <v>2491</v>
      </c>
      <c r="O35" s="37"/>
    </row>
    <row r="36" spans="1:15" ht="21" customHeight="1" x14ac:dyDescent="0.2">
      <c r="A36" s="22">
        <v>603036000</v>
      </c>
      <c r="B36" s="9" t="s">
        <v>1795</v>
      </c>
      <c r="C36" s="53" t="s">
        <v>1784</v>
      </c>
      <c r="D36" s="53"/>
      <c r="E36" s="70" t="s">
        <v>594</v>
      </c>
      <c r="F36" s="71">
        <v>1</v>
      </c>
      <c r="G36">
        <v>0.36799999999999999</v>
      </c>
      <c r="H36">
        <v>1</v>
      </c>
      <c r="I36" s="37"/>
      <c r="J36" s="37"/>
      <c r="K36" s="37"/>
      <c r="L36" s="33">
        <v>41106020</v>
      </c>
      <c r="M36" s="34" t="s">
        <v>2494</v>
      </c>
      <c r="N36" s="35" t="s">
        <v>2491</v>
      </c>
      <c r="O36" s="37"/>
    </row>
    <row r="37" spans="1:15" ht="21" customHeight="1" x14ac:dyDescent="0.2">
      <c r="A37" s="22">
        <v>603038000</v>
      </c>
      <c r="B37" s="9" t="s">
        <v>1796</v>
      </c>
      <c r="C37" s="53" t="s">
        <v>1784</v>
      </c>
      <c r="D37" s="53"/>
      <c r="E37" s="70" t="s">
        <v>594</v>
      </c>
      <c r="F37" s="71">
        <v>1</v>
      </c>
      <c r="G37">
        <v>0.36799999999999999</v>
      </c>
      <c r="H37">
        <v>1</v>
      </c>
      <c r="I37" s="37"/>
      <c r="J37" s="37"/>
      <c r="K37" s="37"/>
      <c r="L37" s="33">
        <v>75204011</v>
      </c>
      <c r="M37" s="34" t="s">
        <v>2496</v>
      </c>
      <c r="N37" s="35" t="s">
        <v>2491</v>
      </c>
      <c r="O37" s="37"/>
    </row>
    <row r="38" spans="1:15" ht="21" customHeight="1" x14ac:dyDescent="0.2">
      <c r="A38" s="22">
        <v>602037000</v>
      </c>
      <c r="B38" s="9" t="s">
        <v>1797</v>
      </c>
      <c r="C38" s="53" t="s">
        <v>1794</v>
      </c>
      <c r="D38" s="53"/>
      <c r="E38" s="70" t="s">
        <v>594</v>
      </c>
      <c r="F38" s="71">
        <v>1</v>
      </c>
      <c r="G38">
        <v>0.33</v>
      </c>
      <c r="H38">
        <v>1</v>
      </c>
      <c r="I38" s="37"/>
      <c r="J38" s="37"/>
      <c r="K38" s="37"/>
      <c r="L38" s="33">
        <v>75102000</v>
      </c>
      <c r="M38" s="34" t="s">
        <v>2495</v>
      </c>
      <c r="N38" s="35" t="s">
        <v>2491</v>
      </c>
      <c r="O38" s="37"/>
    </row>
    <row r="39" spans="1:15" ht="21" customHeight="1" x14ac:dyDescent="0.2">
      <c r="A39" s="22">
        <v>603039000</v>
      </c>
      <c r="B39" s="9" t="s">
        <v>1798</v>
      </c>
      <c r="C39" s="53" t="s">
        <v>1784</v>
      </c>
      <c r="D39" s="53" t="s">
        <v>1799</v>
      </c>
      <c r="E39" s="70" t="s">
        <v>594</v>
      </c>
      <c r="F39" s="71">
        <v>1</v>
      </c>
      <c r="G39">
        <v>0.32299999999999995</v>
      </c>
      <c r="H39">
        <v>1</v>
      </c>
      <c r="I39" s="37"/>
      <c r="J39" s="37"/>
      <c r="K39" s="37"/>
      <c r="L39" s="33">
        <v>41108000</v>
      </c>
      <c r="M39" s="34" t="s">
        <v>2497</v>
      </c>
      <c r="N39" s="35" t="s">
        <v>2491</v>
      </c>
      <c r="O39" s="37"/>
    </row>
    <row r="40" spans="1:15" ht="21" customHeight="1" x14ac:dyDescent="0.2">
      <c r="A40" s="22">
        <v>603040000</v>
      </c>
      <c r="B40" s="9" t="s">
        <v>1800</v>
      </c>
      <c r="C40" s="53" t="s">
        <v>1784</v>
      </c>
      <c r="D40" s="53" t="s">
        <v>1801</v>
      </c>
      <c r="E40" s="70" t="s">
        <v>594</v>
      </c>
      <c r="F40" s="71">
        <v>1</v>
      </c>
      <c r="H40">
        <v>1</v>
      </c>
      <c r="I40" s="37"/>
      <c r="J40" s="37"/>
      <c r="K40" s="37"/>
      <c r="L40" s="41"/>
      <c r="M40" s="41"/>
      <c r="N40" s="35" t="s">
        <v>2491</v>
      </c>
      <c r="O40" s="37"/>
    </row>
    <row r="41" spans="1:15" ht="21" customHeight="1" x14ac:dyDescent="0.2">
      <c r="A41" s="22">
        <v>603041000</v>
      </c>
      <c r="B41" s="9" t="s">
        <v>1802</v>
      </c>
      <c r="C41" s="53" t="s">
        <v>1784</v>
      </c>
      <c r="D41" s="53"/>
      <c r="E41" s="70" t="s">
        <v>594</v>
      </c>
      <c r="F41" s="71">
        <v>1</v>
      </c>
      <c r="G41">
        <v>0.43</v>
      </c>
      <c r="H41">
        <v>1</v>
      </c>
      <c r="I41" s="37"/>
      <c r="J41" s="37"/>
      <c r="K41" s="37"/>
      <c r="L41" s="33">
        <v>41103060</v>
      </c>
      <c r="M41" s="34" t="s">
        <v>2498</v>
      </c>
      <c r="N41" s="35" t="s">
        <v>2491</v>
      </c>
      <c r="O41" s="37"/>
    </row>
    <row r="42" spans="1:15" ht="21" customHeight="1" x14ac:dyDescent="0.2">
      <c r="A42" s="22">
        <v>603042000</v>
      </c>
      <c r="B42" s="9" t="s">
        <v>1803</v>
      </c>
      <c r="C42" s="53" t="s">
        <v>1784</v>
      </c>
      <c r="D42" s="53" t="s">
        <v>1804</v>
      </c>
      <c r="E42" s="70" t="s">
        <v>594</v>
      </c>
      <c r="F42" s="71">
        <v>1</v>
      </c>
      <c r="G42">
        <v>0.42</v>
      </c>
      <c r="H42">
        <v>1</v>
      </c>
      <c r="I42" s="37"/>
      <c r="J42" s="37"/>
      <c r="K42" s="37"/>
      <c r="L42" s="43" t="s">
        <v>2718</v>
      </c>
      <c r="M42" s="42" t="s">
        <v>2721</v>
      </c>
      <c r="N42" s="45" t="s">
        <v>162</v>
      </c>
      <c r="O42" s="37"/>
    </row>
    <row r="43" spans="1:15" ht="21" customHeight="1" x14ac:dyDescent="0.2">
      <c r="A43" s="22">
        <v>601043000</v>
      </c>
      <c r="B43" s="9" t="s">
        <v>1805</v>
      </c>
      <c r="C43" s="53" t="s">
        <v>1790</v>
      </c>
      <c r="D43" s="53" t="s">
        <v>1806</v>
      </c>
      <c r="E43" s="74" t="s">
        <v>2724</v>
      </c>
      <c r="F43" s="71">
        <v>1.1399999999999999</v>
      </c>
      <c r="G43">
        <v>1.1399999999999999</v>
      </c>
      <c r="H43">
        <v>1</v>
      </c>
      <c r="I43" s="37"/>
      <c r="J43" s="37"/>
      <c r="K43" s="37"/>
      <c r="L43" s="50" t="s">
        <v>2706</v>
      </c>
      <c r="M43" s="51" t="s">
        <v>2709</v>
      </c>
      <c r="N43" s="45" t="s">
        <v>162</v>
      </c>
      <c r="O43" s="37"/>
    </row>
    <row r="44" spans="1:15" ht="21" customHeight="1" x14ac:dyDescent="0.2">
      <c r="A44" s="22">
        <v>9500186100</v>
      </c>
      <c r="B44" s="9" t="s">
        <v>1807</v>
      </c>
      <c r="C44" s="53" t="s">
        <v>1808</v>
      </c>
      <c r="D44" s="53" t="s">
        <v>1809</v>
      </c>
      <c r="E44" s="70" t="s">
        <v>594</v>
      </c>
      <c r="F44" s="71">
        <v>1</v>
      </c>
      <c r="H44">
        <v>1</v>
      </c>
      <c r="I44" s="37"/>
      <c r="J44" s="37"/>
      <c r="K44" s="37"/>
      <c r="L44" s="33">
        <v>28410000</v>
      </c>
      <c r="M44" s="34" t="s">
        <v>1807</v>
      </c>
      <c r="N44" s="41"/>
      <c r="O44" s="37"/>
    </row>
    <row r="45" spans="1:15" ht="21" customHeight="1" x14ac:dyDescent="0.2">
      <c r="A45" s="22">
        <v>3100047000</v>
      </c>
      <c r="B45" s="9" t="s">
        <v>1810</v>
      </c>
      <c r="C45" s="53" t="s">
        <v>1811</v>
      </c>
      <c r="D45" s="53"/>
      <c r="E45" s="70" t="s">
        <v>594</v>
      </c>
      <c r="F45" s="71">
        <v>1</v>
      </c>
      <c r="H45">
        <v>1</v>
      </c>
      <c r="I45" s="37"/>
      <c r="J45" s="37"/>
      <c r="K45" s="37"/>
      <c r="L45" s="41"/>
      <c r="M45" s="41"/>
      <c r="N45" s="41"/>
      <c r="O45" s="37"/>
    </row>
    <row r="46" spans="1:15" ht="21" customHeight="1" x14ac:dyDescent="0.2">
      <c r="A46" s="22">
        <v>3100049000</v>
      </c>
      <c r="B46" s="9" t="s">
        <v>1812</v>
      </c>
      <c r="C46" s="53" t="s">
        <v>1813</v>
      </c>
      <c r="D46" s="53"/>
      <c r="E46" s="70" t="s">
        <v>594</v>
      </c>
      <c r="F46" s="71">
        <v>1</v>
      </c>
      <c r="H46">
        <v>1</v>
      </c>
      <c r="I46" s="37"/>
      <c r="J46" s="37"/>
      <c r="K46" s="37"/>
      <c r="L46" s="41"/>
      <c r="M46" s="41"/>
      <c r="N46" s="41"/>
      <c r="O46" s="37"/>
    </row>
    <row r="47" spans="1:15" ht="21" customHeight="1" x14ac:dyDescent="0.2">
      <c r="A47" s="22">
        <v>3100044000</v>
      </c>
      <c r="B47" s="9" t="s">
        <v>1814</v>
      </c>
      <c r="C47" s="53" t="s">
        <v>1815</v>
      </c>
      <c r="D47" s="53" t="s">
        <v>1816</v>
      </c>
      <c r="E47" s="70" t="s">
        <v>594</v>
      </c>
      <c r="F47" s="71">
        <v>1</v>
      </c>
      <c r="H47">
        <v>1</v>
      </c>
      <c r="I47" s="37"/>
      <c r="J47" s="37"/>
      <c r="K47" s="37"/>
      <c r="L47" s="41"/>
      <c r="M47" s="41"/>
      <c r="N47" s="41"/>
      <c r="O47" s="37"/>
    </row>
    <row r="48" spans="1:15" ht="21" customHeight="1" x14ac:dyDescent="0.2">
      <c r="A48" s="22">
        <v>3100046000</v>
      </c>
      <c r="B48" s="9" t="s">
        <v>1817</v>
      </c>
      <c r="C48" s="53" t="s">
        <v>1818</v>
      </c>
      <c r="D48" s="53" t="s">
        <v>1819</v>
      </c>
      <c r="E48" s="70" t="s">
        <v>594</v>
      </c>
      <c r="F48" s="71">
        <v>1</v>
      </c>
      <c r="H48">
        <v>1</v>
      </c>
      <c r="I48" s="37"/>
      <c r="J48" s="37"/>
      <c r="K48" s="37"/>
      <c r="L48" s="41"/>
      <c r="M48" s="41"/>
      <c r="N48" s="41"/>
      <c r="O48" s="37"/>
    </row>
    <row r="49" spans="1:15" ht="21" customHeight="1" x14ac:dyDescent="0.2">
      <c r="A49" s="22">
        <v>3100045000</v>
      </c>
      <c r="B49" s="9" t="s">
        <v>1820</v>
      </c>
      <c r="C49" s="53" t="s">
        <v>1821</v>
      </c>
      <c r="D49" s="53"/>
      <c r="E49" s="70" t="s">
        <v>2724</v>
      </c>
      <c r="F49" s="71">
        <v>1.38</v>
      </c>
      <c r="G49">
        <v>1.38</v>
      </c>
      <c r="H49">
        <v>1</v>
      </c>
      <c r="I49" s="37"/>
      <c r="J49" s="37"/>
      <c r="K49" s="37"/>
      <c r="L49" s="65">
        <v>21602000</v>
      </c>
      <c r="M49" s="66" t="s">
        <v>2738</v>
      </c>
      <c r="N49" s="67" t="s">
        <v>53</v>
      </c>
      <c r="O49" s="37" t="s">
        <v>2689</v>
      </c>
    </row>
    <row r="50" spans="1:15" ht="21" customHeight="1" x14ac:dyDescent="0.2">
      <c r="A50" s="22">
        <v>101050000</v>
      </c>
      <c r="B50" s="9" t="s">
        <v>1822</v>
      </c>
      <c r="C50" s="53" t="s">
        <v>1823</v>
      </c>
      <c r="D50" s="53"/>
      <c r="E50" s="72" t="s">
        <v>2736</v>
      </c>
      <c r="F50" s="71">
        <v>1.1100000000000001</v>
      </c>
      <c r="G50">
        <v>1.49</v>
      </c>
      <c r="H50">
        <v>1</v>
      </c>
      <c r="I50" s="37">
        <v>1.111</v>
      </c>
      <c r="J50" s="37"/>
      <c r="K50" s="37"/>
      <c r="L50" s="33">
        <v>75102500</v>
      </c>
      <c r="M50" s="34" t="s">
        <v>2501</v>
      </c>
      <c r="N50" s="35" t="s">
        <v>2502</v>
      </c>
      <c r="O50" s="37"/>
    </row>
    <row r="51" spans="1:15" ht="21" customHeight="1" x14ac:dyDescent="0.2">
      <c r="A51" s="22">
        <v>200051000</v>
      </c>
      <c r="B51" s="9" t="s">
        <v>1824</v>
      </c>
      <c r="C51" s="53" t="s">
        <v>1760</v>
      </c>
      <c r="D51" s="62" t="s">
        <v>1825</v>
      </c>
      <c r="E51" s="70" t="s">
        <v>2724</v>
      </c>
      <c r="F51" s="71">
        <v>1.79</v>
      </c>
      <c r="G51">
        <v>1.79</v>
      </c>
      <c r="H51">
        <v>1</v>
      </c>
      <c r="I51" s="37"/>
      <c r="J51" s="37"/>
      <c r="K51" s="37"/>
      <c r="L51" s="33">
        <v>72101100</v>
      </c>
      <c r="M51" s="34" t="s">
        <v>2499</v>
      </c>
      <c r="N51" s="35" t="s">
        <v>2500</v>
      </c>
      <c r="O51" s="37"/>
    </row>
    <row r="52" spans="1:15" ht="21" customHeight="1" x14ac:dyDescent="0.2">
      <c r="A52" s="22">
        <v>101052000</v>
      </c>
      <c r="B52" s="30" t="s">
        <v>1826</v>
      </c>
      <c r="C52" s="53" t="s">
        <v>1827</v>
      </c>
      <c r="D52" s="53" t="s">
        <v>1828</v>
      </c>
      <c r="E52" s="70" t="s">
        <v>2724</v>
      </c>
      <c r="F52" s="71">
        <v>1</v>
      </c>
      <c r="G52">
        <v>1</v>
      </c>
      <c r="H52">
        <v>1</v>
      </c>
      <c r="I52" s="38"/>
      <c r="J52" s="38"/>
      <c r="K52" s="38"/>
      <c r="L52" s="33">
        <v>91104200</v>
      </c>
      <c r="M52" s="34" t="s">
        <v>2503</v>
      </c>
      <c r="N52" s="35" t="s">
        <v>2471</v>
      </c>
      <c r="O52" s="38"/>
    </row>
    <row r="53" spans="1:15" ht="21" customHeight="1" x14ac:dyDescent="0.2">
      <c r="A53" s="22">
        <v>101053000</v>
      </c>
      <c r="B53" s="30" t="s">
        <v>1829</v>
      </c>
      <c r="C53" s="53" t="s">
        <v>1830</v>
      </c>
      <c r="D53" s="53"/>
      <c r="E53" s="70" t="s">
        <v>2724</v>
      </c>
      <c r="F53" s="71">
        <v>1</v>
      </c>
      <c r="G53">
        <v>1</v>
      </c>
      <c r="H53">
        <v>1</v>
      </c>
      <c r="I53" s="38"/>
      <c r="J53" s="38"/>
      <c r="K53" s="38"/>
      <c r="L53" s="33">
        <v>91303000</v>
      </c>
      <c r="M53" s="34" t="s">
        <v>2504</v>
      </c>
      <c r="N53" s="35" t="s">
        <v>2471</v>
      </c>
      <c r="O53" s="38"/>
    </row>
    <row r="54" spans="1:15" ht="21" customHeight="1" x14ac:dyDescent="0.2">
      <c r="A54" s="22">
        <v>9500054000</v>
      </c>
      <c r="B54" s="9" t="s">
        <v>1831</v>
      </c>
      <c r="C54" s="53" t="s">
        <v>1760</v>
      </c>
      <c r="D54" s="53" t="s">
        <v>1832</v>
      </c>
      <c r="E54" s="70" t="s">
        <v>2724</v>
      </c>
      <c r="F54" s="71">
        <v>1.1459999999999999</v>
      </c>
      <c r="G54">
        <v>1.1459999999999999</v>
      </c>
      <c r="H54">
        <v>1</v>
      </c>
      <c r="I54" s="37"/>
      <c r="J54" s="37"/>
      <c r="K54" s="37"/>
      <c r="L54" s="33">
        <v>72116000</v>
      </c>
      <c r="M54" s="34" t="s">
        <v>2505</v>
      </c>
      <c r="N54" s="35" t="s">
        <v>2500</v>
      </c>
      <c r="O54" s="37"/>
    </row>
    <row r="55" spans="1:15" ht="21" customHeight="1" x14ac:dyDescent="0.2">
      <c r="A55" s="22">
        <v>1301055000</v>
      </c>
      <c r="B55" s="9" t="s">
        <v>1833</v>
      </c>
      <c r="C55" s="53" t="s">
        <v>1834</v>
      </c>
      <c r="D55" s="53" t="s">
        <v>1835</v>
      </c>
      <c r="E55" s="74" t="s">
        <v>2724</v>
      </c>
      <c r="F55" s="71">
        <v>1.04</v>
      </c>
      <c r="G55">
        <v>1.04</v>
      </c>
      <c r="H55">
        <v>1</v>
      </c>
      <c r="I55" s="37"/>
      <c r="J55" s="37"/>
      <c r="K55" s="37"/>
      <c r="L55" s="33">
        <v>63201010</v>
      </c>
      <c r="M55" s="34" t="s">
        <v>2506</v>
      </c>
      <c r="N55" s="35" t="s">
        <v>2507</v>
      </c>
      <c r="O55" s="37"/>
    </row>
    <row r="56" spans="1:15" ht="21" customHeight="1" x14ac:dyDescent="0.2">
      <c r="A56" s="22">
        <v>1301056000</v>
      </c>
      <c r="B56" s="9" t="s">
        <v>1836</v>
      </c>
      <c r="C56" s="53" t="s">
        <v>1742</v>
      </c>
      <c r="D56" s="53" t="s">
        <v>1835</v>
      </c>
      <c r="E56" s="74" t="s">
        <v>2724</v>
      </c>
      <c r="F56" s="71">
        <v>1.3</v>
      </c>
      <c r="G56">
        <v>1.3</v>
      </c>
      <c r="H56">
        <v>1</v>
      </c>
      <c r="I56" s="37"/>
      <c r="J56" s="37"/>
      <c r="K56" s="37"/>
      <c r="L56" s="33">
        <v>64104600</v>
      </c>
      <c r="M56" s="34" t="s">
        <v>2508</v>
      </c>
      <c r="N56" s="35" t="s">
        <v>2507</v>
      </c>
      <c r="O56" s="37" t="s">
        <v>2689</v>
      </c>
    </row>
    <row r="57" spans="1:15" ht="21" customHeight="1" x14ac:dyDescent="0.2">
      <c r="A57" s="22">
        <v>1302057000</v>
      </c>
      <c r="B57" s="9" t="s">
        <v>1837</v>
      </c>
      <c r="C57" s="53" t="s">
        <v>1834</v>
      </c>
      <c r="D57" s="53" t="s">
        <v>1838</v>
      </c>
      <c r="E57" s="74" t="s">
        <v>2724</v>
      </c>
      <c r="F57" s="71">
        <v>1.05</v>
      </c>
      <c r="G57">
        <v>1.05</v>
      </c>
      <c r="H57">
        <v>1.0526315789473684</v>
      </c>
      <c r="I57" s="37"/>
      <c r="J57" s="37"/>
      <c r="K57" s="37"/>
      <c r="L57" s="33">
        <v>63203010</v>
      </c>
      <c r="M57" s="34" t="s">
        <v>2509</v>
      </c>
      <c r="N57" s="35" t="s">
        <v>2507</v>
      </c>
      <c r="O57" s="37"/>
    </row>
    <row r="58" spans="1:15" ht="21" customHeight="1" x14ac:dyDescent="0.2">
      <c r="A58" s="22">
        <v>1301058000</v>
      </c>
      <c r="B58" s="9" t="s">
        <v>1839</v>
      </c>
      <c r="C58" s="53" t="s">
        <v>1834</v>
      </c>
      <c r="D58" s="53"/>
      <c r="E58" s="74" t="s">
        <v>2724</v>
      </c>
      <c r="F58" s="71">
        <v>1.04</v>
      </c>
      <c r="G58">
        <v>1.04</v>
      </c>
      <c r="H58">
        <v>1</v>
      </c>
      <c r="I58" s="37"/>
      <c r="J58" s="37"/>
      <c r="K58" s="37"/>
      <c r="L58" s="33">
        <v>63205010</v>
      </c>
      <c r="M58" s="34" t="s">
        <v>2510</v>
      </c>
      <c r="N58" s="35" t="s">
        <v>2507</v>
      </c>
      <c r="O58" s="37"/>
    </row>
    <row r="59" spans="1:15" ht="21" customHeight="1" x14ac:dyDescent="0.2">
      <c r="A59" s="22">
        <v>1400059000</v>
      </c>
      <c r="B59" s="9" t="s">
        <v>1840</v>
      </c>
      <c r="C59" s="53" t="s">
        <v>1729</v>
      </c>
      <c r="D59" s="53"/>
      <c r="E59" s="70" t="s">
        <v>2724</v>
      </c>
      <c r="F59" s="71">
        <v>1</v>
      </c>
      <c r="G59">
        <v>1</v>
      </c>
      <c r="H59">
        <v>1</v>
      </c>
      <c r="I59" s="37"/>
      <c r="J59" s="37"/>
      <c r="K59" s="37"/>
      <c r="L59" s="33">
        <v>42102000</v>
      </c>
      <c r="M59" s="34" t="s">
        <v>2511</v>
      </c>
      <c r="N59" s="35" t="s">
        <v>2473</v>
      </c>
      <c r="O59" s="37"/>
    </row>
    <row r="60" spans="1:15" ht="21" customHeight="1" x14ac:dyDescent="0.2">
      <c r="A60" s="22">
        <v>2403060000</v>
      </c>
      <c r="B60" s="9" t="s">
        <v>1841</v>
      </c>
      <c r="C60" s="53" t="s">
        <v>1842</v>
      </c>
      <c r="D60" s="53"/>
      <c r="E60" s="74" t="s">
        <v>2724</v>
      </c>
      <c r="F60" s="71">
        <v>1.28</v>
      </c>
      <c r="G60">
        <v>1.28</v>
      </c>
      <c r="H60">
        <v>1</v>
      </c>
      <c r="I60" s="37"/>
      <c r="J60" s="37"/>
      <c r="K60" s="37"/>
      <c r="L60" s="43" t="s">
        <v>2706</v>
      </c>
      <c r="M60" s="42" t="s">
        <v>2711</v>
      </c>
      <c r="N60" s="45" t="s">
        <v>162</v>
      </c>
      <c r="O60" s="37"/>
    </row>
    <row r="61" spans="1:15" ht="21" customHeight="1" x14ac:dyDescent="0.2">
      <c r="A61" s="22">
        <v>500061000</v>
      </c>
      <c r="B61" s="9" t="s">
        <v>771</v>
      </c>
      <c r="C61" s="53" t="s">
        <v>1843</v>
      </c>
      <c r="D61" s="53"/>
      <c r="E61" s="74" t="s">
        <v>2724</v>
      </c>
      <c r="F61" s="71">
        <v>1.64</v>
      </c>
      <c r="G61">
        <v>1.64</v>
      </c>
      <c r="H61">
        <v>1.639344262295082</v>
      </c>
      <c r="I61" s="37"/>
      <c r="J61" s="37"/>
      <c r="K61" s="37"/>
      <c r="L61" s="33">
        <v>72201100</v>
      </c>
      <c r="M61" s="34" t="s">
        <v>2512</v>
      </c>
      <c r="N61" s="35" t="s">
        <v>2513</v>
      </c>
      <c r="O61" s="37"/>
    </row>
    <row r="62" spans="1:15" ht="21" customHeight="1" x14ac:dyDescent="0.2">
      <c r="A62" s="22">
        <v>402062000</v>
      </c>
      <c r="B62" s="9" t="s">
        <v>1844</v>
      </c>
      <c r="C62" s="53" t="s">
        <v>1845</v>
      </c>
      <c r="D62" s="53"/>
      <c r="E62" s="70" t="s">
        <v>594</v>
      </c>
      <c r="F62" s="71">
        <v>1</v>
      </c>
      <c r="G62">
        <v>0.87</v>
      </c>
      <c r="H62">
        <v>1</v>
      </c>
      <c r="I62" s="37"/>
      <c r="J62" s="37"/>
      <c r="K62" s="37"/>
      <c r="L62" s="44" t="s">
        <v>2706</v>
      </c>
      <c r="M62" s="48" t="s">
        <v>2713</v>
      </c>
      <c r="N62" s="49" t="s">
        <v>162</v>
      </c>
      <c r="O62" s="37"/>
    </row>
    <row r="63" spans="1:15" ht="21" customHeight="1" x14ac:dyDescent="0.2">
      <c r="A63" s="22">
        <v>500064000</v>
      </c>
      <c r="B63" s="9" t="s">
        <v>1846</v>
      </c>
      <c r="C63" s="53" t="s">
        <v>1847</v>
      </c>
      <c r="D63" s="53"/>
      <c r="E63" s="74" t="s">
        <v>2724</v>
      </c>
      <c r="F63" s="71">
        <v>1.1100000000000001</v>
      </c>
      <c r="G63">
        <v>1.1100000000000001</v>
      </c>
      <c r="H63">
        <v>1.1111111111111112</v>
      </c>
      <c r="I63" s="37"/>
      <c r="J63" s="37"/>
      <c r="K63" s="37"/>
      <c r="L63" s="33">
        <v>75102750</v>
      </c>
      <c r="M63" s="34" t="s">
        <v>2514</v>
      </c>
      <c r="N63" s="35" t="s">
        <v>2515</v>
      </c>
      <c r="O63" s="37"/>
    </row>
    <row r="64" spans="1:15" ht="21" customHeight="1" x14ac:dyDescent="0.2">
      <c r="A64" s="22">
        <v>1500065000</v>
      </c>
      <c r="B64" s="9" t="s">
        <v>1848</v>
      </c>
      <c r="C64" s="53" t="s">
        <v>1849</v>
      </c>
      <c r="D64" s="53"/>
      <c r="E64" s="70" t="s">
        <v>594</v>
      </c>
      <c r="F64" s="71">
        <v>1</v>
      </c>
      <c r="G64">
        <v>0.26899999999999996</v>
      </c>
      <c r="H64">
        <v>1</v>
      </c>
      <c r="I64" s="37"/>
      <c r="J64" s="37"/>
      <c r="K64" s="37"/>
      <c r="L64" s="33">
        <v>56200500</v>
      </c>
      <c r="M64" s="34" t="s">
        <v>2516</v>
      </c>
      <c r="N64" s="35" t="s">
        <v>2517</v>
      </c>
      <c r="O64" s="37"/>
    </row>
    <row r="65" spans="1:15" ht="21" customHeight="1" x14ac:dyDescent="0.2">
      <c r="A65" s="22">
        <v>101067000</v>
      </c>
      <c r="B65" s="9" t="s">
        <v>1850</v>
      </c>
      <c r="C65" s="53" t="s">
        <v>1851</v>
      </c>
      <c r="D65" s="53"/>
      <c r="E65" s="72" t="s">
        <v>2737</v>
      </c>
      <c r="F65" s="71">
        <v>1.33</v>
      </c>
      <c r="G65">
        <v>1.61</v>
      </c>
      <c r="H65">
        <v>1</v>
      </c>
      <c r="I65" s="37"/>
      <c r="J65" s="37"/>
      <c r="K65" s="37">
        <v>1.33</v>
      </c>
      <c r="L65" s="33">
        <v>75209500</v>
      </c>
      <c r="M65" s="34" t="s">
        <v>2518</v>
      </c>
      <c r="N65" s="35" t="s">
        <v>2502</v>
      </c>
      <c r="O65" s="37"/>
    </row>
    <row r="66" spans="1:15" ht="21" customHeight="1" x14ac:dyDescent="0.2">
      <c r="A66" s="22">
        <v>1400068000</v>
      </c>
      <c r="B66" s="9" t="s">
        <v>1852</v>
      </c>
      <c r="C66" s="53" t="s">
        <v>1729</v>
      </c>
      <c r="D66" s="53"/>
      <c r="E66" s="70" t="s">
        <v>594</v>
      </c>
      <c r="F66" s="71">
        <v>1</v>
      </c>
      <c r="H66">
        <v>1</v>
      </c>
      <c r="I66" s="37"/>
      <c r="J66" s="37"/>
      <c r="K66" s="37"/>
      <c r="L66" s="41"/>
      <c r="M66" s="41"/>
      <c r="N66" s="41"/>
      <c r="O66" s="37"/>
    </row>
    <row r="67" spans="1:15" ht="21" customHeight="1" x14ac:dyDescent="0.2">
      <c r="A67" s="22">
        <v>500069000</v>
      </c>
      <c r="B67" s="9" t="s">
        <v>1853</v>
      </c>
      <c r="C67" s="53" t="s">
        <v>1760</v>
      </c>
      <c r="D67" s="53"/>
      <c r="E67" s="74" t="s">
        <v>2724</v>
      </c>
      <c r="F67" s="71">
        <v>1.25</v>
      </c>
      <c r="G67">
        <v>1.25</v>
      </c>
      <c r="H67">
        <v>1.25</v>
      </c>
      <c r="I67" s="37"/>
      <c r="J67" s="37"/>
      <c r="K67" s="37"/>
      <c r="L67" s="33">
        <v>75103000</v>
      </c>
      <c r="M67" s="34" t="s">
        <v>2519</v>
      </c>
      <c r="N67" s="35" t="s">
        <v>2515</v>
      </c>
      <c r="O67" s="37"/>
    </row>
    <row r="68" spans="1:15" ht="21" customHeight="1" x14ac:dyDescent="0.2">
      <c r="A68" s="22">
        <v>402070000</v>
      </c>
      <c r="B68" s="9" t="s">
        <v>1854</v>
      </c>
      <c r="C68" s="53" t="s">
        <v>1782</v>
      </c>
      <c r="D68" s="53"/>
      <c r="E68" s="70" t="s">
        <v>2724</v>
      </c>
      <c r="F68" s="71">
        <v>1.1399999999999999</v>
      </c>
      <c r="G68">
        <v>1.1399999999999999</v>
      </c>
      <c r="H68">
        <v>1</v>
      </c>
      <c r="I68" s="37"/>
      <c r="J68" s="37"/>
      <c r="K68" s="37"/>
      <c r="L68" s="33">
        <v>75104000</v>
      </c>
      <c r="M68" s="34" t="s">
        <v>2520</v>
      </c>
      <c r="N68" s="35" t="s">
        <v>2515</v>
      </c>
      <c r="O68" s="37"/>
    </row>
    <row r="69" spans="1:15" ht="21" customHeight="1" x14ac:dyDescent="0.2">
      <c r="A69" s="22">
        <v>500072000</v>
      </c>
      <c r="B69" s="9" t="s">
        <v>1855</v>
      </c>
      <c r="C69" s="53" t="s">
        <v>1760</v>
      </c>
      <c r="D69" s="53"/>
      <c r="E69" s="70" t="s">
        <v>2724</v>
      </c>
      <c r="F69" s="71">
        <v>1.08</v>
      </c>
      <c r="G69">
        <v>1.08</v>
      </c>
      <c r="H69">
        <v>1</v>
      </c>
      <c r="I69" s="37"/>
      <c r="J69" s="37"/>
      <c r="K69" s="37"/>
      <c r="L69" s="33">
        <v>72122100</v>
      </c>
      <c r="M69" s="34" t="s">
        <v>2521</v>
      </c>
      <c r="N69" s="35" t="s">
        <v>2515</v>
      </c>
      <c r="O69" s="37"/>
    </row>
    <row r="70" spans="1:15" ht="21" customHeight="1" x14ac:dyDescent="0.2">
      <c r="A70" s="22">
        <v>500071000</v>
      </c>
      <c r="B70" s="9" t="s">
        <v>1856</v>
      </c>
      <c r="C70" s="53" t="s">
        <v>1760</v>
      </c>
      <c r="D70" s="53"/>
      <c r="E70" s="70" t="s">
        <v>2724</v>
      </c>
      <c r="F70" s="71">
        <v>1.1399999999999999</v>
      </c>
      <c r="G70">
        <v>1.1399999999999999</v>
      </c>
      <c r="H70">
        <v>1</v>
      </c>
      <c r="I70" s="37"/>
      <c r="J70" s="37"/>
      <c r="K70" s="37"/>
      <c r="L70" s="33">
        <v>75104000</v>
      </c>
      <c r="M70" s="34" t="s">
        <v>2520</v>
      </c>
      <c r="N70" s="35" t="s">
        <v>2515</v>
      </c>
      <c r="O70" s="37"/>
    </row>
    <row r="71" spans="1:15" ht="21" customHeight="1" x14ac:dyDescent="0.2">
      <c r="A71" s="22">
        <v>2201073000</v>
      </c>
      <c r="B71" s="9" t="s">
        <v>1857</v>
      </c>
      <c r="C71" s="53" t="s">
        <v>1770</v>
      </c>
      <c r="D71" s="53" t="s">
        <v>1858</v>
      </c>
      <c r="E71" s="74" t="s">
        <v>2724</v>
      </c>
      <c r="F71" s="71">
        <v>1.04</v>
      </c>
      <c r="G71">
        <v>1.04</v>
      </c>
      <c r="H71">
        <v>1</v>
      </c>
      <c r="I71" s="37"/>
      <c r="J71" s="37"/>
      <c r="K71" s="37"/>
      <c r="L71" s="33">
        <v>75105500</v>
      </c>
      <c r="M71" s="34" t="s">
        <v>2522</v>
      </c>
      <c r="N71" s="35" t="s">
        <v>2481</v>
      </c>
      <c r="O71" s="37"/>
    </row>
    <row r="72" spans="1:15" ht="21" customHeight="1" x14ac:dyDescent="0.2">
      <c r="A72" s="22">
        <v>901075000</v>
      </c>
      <c r="B72" s="9" t="s">
        <v>1859</v>
      </c>
      <c r="C72" s="53" t="s">
        <v>1860</v>
      </c>
      <c r="D72" s="53" t="s">
        <v>1861</v>
      </c>
      <c r="E72" s="74" t="s">
        <v>2724</v>
      </c>
      <c r="F72" s="71">
        <v>1.96</v>
      </c>
      <c r="G72">
        <v>1.96</v>
      </c>
      <c r="H72">
        <v>1.9607843137254901</v>
      </c>
      <c r="I72" s="37"/>
      <c r="J72" s="37"/>
      <c r="K72" s="37"/>
      <c r="L72" s="33">
        <v>63109010</v>
      </c>
      <c r="M72" s="34" t="s">
        <v>2523</v>
      </c>
      <c r="N72" s="35" t="s">
        <v>2524</v>
      </c>
      <c r="O72" s="37"/>
    </row>
    <row r="73" spans="1:15" ht="21" customHeight="1" x14ac:dyDescent="0.2">
      <c r="A73" s="22">
        <v>2302077000</v>
      </c>
      <c r="B73" s="9" t="s">
        <v>1862</v>
      </c>
      <c r="C73" s="53" t="s">
        <v>1863</v>
      </c>
      <c r="D73" s="53"/>
      <c r="E73" s="70" t="s">
        <v>2724</v>
      </c>
      <c r="F73" s="71">
        <v>1</v>
      </c>
      <c r="G73">
        <v>1</v>
      </c>
      <c r="H73">
        <v>1</v>
      </c>
      <c r="I73" s="37"/>
      <c r="J73" s="37"/>
      <c r="K73" s="37"/>
      <c r="L73" s="33">
        <v>44101000</v>
      </c>
      <c r="M73" s="34" t="s">
        <v>2525</v>
      </c>
      <c r="N73" s="35" t="s">
        <v>2481</v>
      </c>
      <c r="O73" s="37"/>
    </row>
    <row r="74" spans="1:15" ht="21" customHeight="1" x14ac:dyDescent="0.2">
      <c r="A74" s="22">
        <v>101078000</v>
      </c>
      <c r="B74" s="9" t="s">
        <v>1864</v>
      </c>
      <c r="C74" s="54" t="s">
        <v>1865</v>
      </c>
      <c r="D74" s="53"/>
      <c r="E74" s="74" t="s">
        <v>2724</v>
      </c>
      <c r="F74" s="71">
        <v>1.1200000000000001</v>
      </c>
      <c r="G74">
        <v>1.1200000000000001</v>
      </c>
      <c r="H74">
        <v>1.1235955056179776</v>
      </c>
      <c r="I74" s="37"/>
      <c r="J74" s="37"/>
      <c r="K74" s="37"/>
      <c r="L74" s="33">
        <v>73101010</v>
      </c>
      <c r="M74" s="34" t="s">
        <v>2527</v>
      </c>
      <c r="N74" s="35" t="s">
        <v>873</v>
      </c>
      <c r="O74" s="37"/>
    </row>
    <row r="75" spans="1:15" ht="21" customHeight="1" x14ac:dyDescent="0.2">
      <c r="A75" s="22">
        <v>101079000</v>
      </c>
      <c r="B75" s="9" t="s">
        <v>1866</v>
      </c>
      <c r="C75" s="53" t="s">
        <v>1742</v>
      </c>
      <c r="D75" s="53"/>
      <c r="E75" s="70" t="s">
        <v>2724</v>
      </c>
      <c r="F75" s="71">
        <v>1.1200000000000001</v>
      </c>
      <c r="G75">
        <v>1.1200000000000001</v>
      </c>
      <c r="H75">
        <v>1</v>
      </c>
      <c r="I75" s="37"/>
      <c r="J75" s="37"/>
      <c r="K75" s="37"/>
      <c r="L75" s="33">
        <v>73105010</v>
      </c>
      <c r="M75" s="34" t="s">
        <v>2526</v>
      </c>
      <c r="N75" s="35" t="s">
        <v>873</v>
      </c>
      <c r="O75" s="37" t="s">
        <v>2689</v>
      </c>
    </row>
    <row r="76" spans="1:15" ht="21" customHeight="1" x14ac:dyDescent="0.2">
      <c r="A76" s="22">
        <v>1400081000</v>
      </c>
      <c r="B76" s="9" t="s">
        <v>1867</v>
      </c>
      <c r="C76" s="53" t="s">
        <v>1729</v>
      </c>
      <c r="D76" s="53"/>
      <c r="E76" s="72" t="s">
        <v>628</v>
      </c>
      <c r="F76" s="71">
        <v>1</v>
      </c>
      <c r="G76">
        <v>1.03</v>
      </c>
      <c r="H76">
        <v>1</v>
      </c>
      <c r="I76" s="37"/>
      <c r="J76" s="37"/>
      <c r="K76" s="37"/>
      <c r="L76" s="33">
        <v>42104200</v>
      </c>
      <c r="M76" s="34" t="s">
        <v>2528</v>
      </c>
      <c r="N76" s="35" t="s">
        <v>2473</v>
      </c>
      <c r="O76" s="37"/>
    </row>
    <row r="77" spans="1:15" ht="21" customHeight="1" x14ac:dyDescent="0.2">
      <c r="A77" s="24">
        <v>103082000</v>
      </c>
      <c r="B77" s="25" t="s">
        <v>1868</v>
      </c>
      <c r="C77" s="55" t="s">
        <v>1869</v>
      </c>
      <c r="D77" s="53" t="s">
        <v>1870</v>
      </c>
      <c r="E77" s="70" t="s">
        <v>594</v>
      </c>
      <c r="F77" s="71">
        <v>1</v>
      </c>
      <c r="G77">
        <v>1.0049999999999999</v>
      </c>
      <c r="H77">
        <v>1</v>
      </c>
      <c r="I77" s="39"/>
      <c r="J77" s="39"/>
      <c r="K77" s="39"/>
      <c r="L77" s="33">
        <v>71930100</v>
      </c>
      <c r="M77" s="34" t="s">
        <v>2529</v>
      </c>
      <c r="N77" s="35" t="s">
        <v>2502</v>
      </c>
      <c r="O77" s="39"/>
    </row>
    <row r="78" spans="1:15" ht="21" customHeight="1" x14ac:dyDescent="0.2">
      <c r="A78" s="22">
        <v>500083000</v>
      </c>
      <c r="B78" s="9" t="s">
        <v>875</v>
      </c>
      <c r="C78" s="53" t="s">
        <v>1843</v>
      </c>
      <c r="D78" s="53" t="s">
        <v>1871</v>
      </c>
      <c r="E78" s="74" t="s">
        <v>2724</v>
      </c>
      <c r="F78" s="71">
        <v>2.56</v>
      </c>
      <c r="G78">
        <v>2.56</v>
      </c>
      <c r="H78">
        <v>2.5641025641025639</v>
      </c>
      <c r="I78" s="37"/>
      <c r="J78" s="37"/>
      <c r="K78" s="37"/>
      <c r="L78" s="33">
        <v>75107000</v>
      </c>
      <c r="M78" s="34" t="s">
        <v>2530</v>
      </c>
      <c r="N78" s="35" t="s">
        <v>2513</v>
      </c>
      <c r="O78" s="37"/>
    </row>
    <row r="79" spans="1:15" ht="21" customHeight="1" x14ac:dyDescent="0.2">
      <c r="A79" s="22">
        <v>2202085000</v>
      </c>
      <c r="B79" s="9" t="s">
        <v>1872</v>
      </c>
      <c r="C79" s="53" t="s">
        <v>1873</v>
      </c>
      <c r="D79" s="53"/>
      <c r="E79" s="74" t="s">
        <v>2724</v>
      </c>
      <c r="F79" s="71">
        <v>1.1200000000000001</v>
      </c>
      <c r="G79">
        <v>1.1200000000000001</v>
      </c>
      <c r="H79">
        <v>1.1235955056179776</v>
      </c>
      <c r="I79" s="37"/>
      <c r="J79" s="37"/>
      <c r="K79" s="37"/>
      <c r="L79" s="33">
        <v>75109000</v>
      </c>
      <c r="M79" s="34" t="s">
        <v>2531</v>
      </c>
      <c r="N79" s="35" t="s">
        <v>1872</v>
      </c>
      <c r="O79" s="37"/>
    </row>
    <row r="80" spans="1:15" ht="21" customHeight="1" x14ac:dyDescent="0.2">
      <c r="A80" s="22">
        <v>2202086000</v>
      </c>
      <c r="B80" s="9" t="s">
        <v>1874</v>
      </c>
      <c r="C80" s="53" t="s">
        <v>1875</v>
      </c>
      <c r="D80" s="53"/>
      <c r="E80" s="70" t="s">
        <v>2724</v>
      </c>
      <c r="F80" s="71">
        <v>5</v>
      </c>
      <c r="G80">
        <v>5</v>
      </c>
      <c r="H80">
        <v>1</v>
      </c>
      <c r="I80" s="37"/>
      <c r="J80" s="37"/>
      <c r="K80" s="37"/>
      <c r="L80" s="33">
        <v>75132100</v>
      </c>
      <c r="M80" s="34" t="s">
        <v>2532</v>
      </c>
      <c r="N80" s="35" t="s">
        <v>1872</v>
      </c>
      <c r="O80" s="37"/>
    </row>
    <row r="81" spans="1:15" ht="21" customHeight="1" x14ac:dyDescent="0.2">
      <c r="A81" s="22">
        <v>902088000</v>
      </c>
      <c r="B81" s="9" t="s">
        <v>1876</v>
      </c>
      <c r="C81" s="53" t="s">
        <v>1877</v>
      </c>
      <c r="D81" s="53" t="s">
        <v>1878</v>
      </c>
      <c r="E81" s="70" t="s">
        <v>594</v>
      </c>
      <c r="F81" s="71">
        <v>1</v>
      </c>
      <c r="H81">
        <v>1</v>
      </c>
      <c r="I81" s="37"/>
      <c r="J81" s="37"/>
      <c r="K81" s="37"/>
      <c r="L81" s="41"/>
      <c r="M81" s="41"/>
      <c r="N81" s="41"/>
      <c r="O81" s="37"/>
    </row>
    <row r="82" spans="1:15" ht="21" customHeight="1" x14ac:dyDescent="0.2">
      <c r="A82" s="22">
        <v>1201090000</v>
      </c>
      <c r="B82" s="9" t="s">
        <v>1879</v>
      </c>
      <c r="C82" s="53" t="s">
        <v>1880</v>
      </c>
      <c r="D82" s="53" t="s">
        <v>1881</v>
      </c>
      <c r="E82" s="74" t="s">
        <v>2724</v>
      </c>
      <c r="F82" s="71">
        <v>1.0900000000000001</v>
      </c>
      <c r="G82">
        <v>1.0900000000000001</v>
      </c>
      <c r="H82">
        <v>1.0989010989010988</v>
      </c>
      <c r="I82" s="37"/>
      <c r="J82" s="37"/>
      <c r="K82" s="37"/>
      <c r="L82" s="33">
        <v>63115010</v>
      </c>
      <c r="M82" s="34" t="s">
        <v>2533</v>
      </c>
      <c r="N82" s="35" t="s">
        <v>2468</v>
      </c>
      <c r="O82" s="37"/>
    </row>
    <row r="83" spans="1:15" ht="21" customHeight="1" x14ac:dyDescent="0.2">
      <c r="A83" s="22">
        <v>1201091000</v>
      </c>
      <c r="B83" s="9" t="s">
        <v>1882</v>
      </c>
      <c r="C83" s="53" t="s">
        <v>1742</v>
      </c>
      <c r="D83" s="53" t="s">
        <v>1881</v>
      </c>
      <c r="E83" s="70" t="s">
        <v>594</v>
      </c>
      <c r="F83" s="71">
        <v>1</v>
      </c>
      <c r="H83">
        <v>1</v>
      </c>
      <c r="I83" s="37"/>
      <c r="J83" s="37"/>
      <c r="K83" s="37"/>
      <c r="L83" s="41"/>
      <c r="M83" s="41"/>
      <c r="N83" s="41"/>
      <c r="O83" s="37" t="s">
        <v>2689</v>
      </c>
    </row>
    <row r="84" spans="1:15" ht="21" customHeight="1" x14ac:dyDescent="0.2">
      <c r="A84" s="22">
        <v>1400092000</v>
      </c>
      <c r="B84" s="9" t="s">
        <v>1883</v>
      </c>
      <c r="C84" s="53" t="s">
        <v>1884</v>
      </c>
      <c r="D84" s="53"/>
      <c r="E84" s="70" t="s">
        <v>2724</v>
      </c>
      <c r="F84" s="71">
        <v>1.24</v>
      </c>
      <c r="G84">
        <v>1.24</v>
      </c>
      <c r="H84">
        <v>1</v>
      </c>
      <c r="I84" s="37"/>
      <c r="J84" s="37"/>
      <c r="K84" s="37"/>
      <c r="L84" s="33">
        <v>42105000</v>
      </c>
      <c r="M84" s="34" t="s">
        <v>2534</v>
      </c>
      <c r="N84" s="35" t="s">
        <v>2473</v>
      </c>
      <c r="O84" s="37"/>
    </row>
    <row r="85" spans="1:15" ht="21" customHeight="1" x14ac:dyDescent="0.2">
      <c r="A85" s="22">
        <v>4000096000</v>
      </c>
      <c r="B85" s="9" t="s">
        <v>1885</v>
      </c>
      <c r="C85" s="53" t="s">
        <v>1886</v>
      </c>
      <c r="D85" s="53"/>
      <c r="E85" s="70" t="s">
        <v>594</v>
      </c>
      <c r="F85" s="71">
        <v>1</v>
      </c>
      <c r="H85">
        <v>1</v>
      </c>
      <c r="I85" s="37"/>
      <c r="J85" s="37"/>
      <c r="K85" s="37"/>
      <c r="L85" s="41"/>
      <c r="M85" s="41"/>
      <c r="N85" s="41"/>
      <c r="O85" s="37"/>
    </row>
    <row r="86" spans="1:15" ht="21" customHeight="1" x14ac:dyDescent="0.2">
      <c r="A86" s="22">
        <v>4000094000</v>
      </c>
      <c r="B86" s="9" t="s">
        <v>1887</v>
      </c>
      <c r="C86" s="53" t="s">
        <v>1888</v>
      </c>
      <c r="D86" s="53"/>
      <c r="E86" s="70" t="s">
        <v>594</v>
      </c>
      <c r="F86" s="71">
        <v>1</v>
      </c>
      <c r="H86">
        <v>1</v>
      </c>
      <c r="I86" s="37"/>
      <c r="J86" s="37"/>
      <c r="K86" s="37"/>
      <c r="L86" s="41"/>
      <c r="M86" s="41"/>
      <c r="N86" s="41"/>
      <c r="O86" s="37"/>
    </row>
    <row r="87" spans="1:15" ht="21" customHeight="1" x14ac:dyDescent="0.2">
      <c r="A87" s="22">
        <v>4000093000</v>
      </c>
      <c r="B87" s="9" t="s">
        <v>1889</v>
      </c>
      <c r="C87" s="53" t="s">
        <v>1890</v>
      </c>
      <c r="D87" s="53"/>
      <c r="E87" s="70" t="s">
        <v>594</v>
      </c>
      <c r="F87" s="71">
        <v>1</v>
      </c>
      <c r="H87">
        <v>1</v>
      </c>
      <c r="I87" s="37"/>
      <c r="J87" s="37"/>
      <c r="K87" s="37"/>
      <c r="L87" s="41"/>
      <c r="M87" s="41"/>
      <c r="N87" s="41"/>
      <c r="O87" s="37"/>
    </row>
    <row r="88" spans="1:15" ht="21" customHeight="1" x14ac:dyDescent="0.2">
      <c r="A88" s="22">
        <v>4000095000</v>
      </c>
      <c r="B88" s="9" t="s">
        <v>1891</v>
      </c>
      <c r="C88" s="53" t="s">
        <v>1892</v>
      </c>
      <c r="D88" s="53" t="s">
        <v>1893</v>
      </c>
      <c r="E88" s="70" t="s">
        <v>594</v>
      </c>
      <c r="F88" s="71">
        <v>1</v>
      </c>
      <c r="H88">
        <v>1</v>
      </c>
      <c r="I88" s="37"/>
      <c r="J88" s="37"/>
      <c r="K88" s="37"/>
      <c r="L88" s="41"/>
      <c r="M88" s="41"/>
      <c r="N88" s="41"/>
      <c r="O88" s="37"/>
    </row>
    <row r="89" spans="1:15" ht="21" customHeight="1" x14ac:dyDescent="0.2">
      <c r="A89" s="22">
        <v>4000097000</v>
      </c>
      <c r="B89" s="9" t="s">
        <v>1894</v>
      </c>
      <c r="C89" s="53" t="s">
        <v>1895</v>
      </c>
      <c r="D89" s="53"/>
      <c r="E89" s="70" t="s">
        <v>594</v>
      </c>
      <c r="F89" s="71">
        <v>1</v>
      </c>
      <c r="G89">
        <v>1.3</v>
      </c>
      <c r="H89">
        <v>1</v>
      </c>
      <c r="I89" s="37"/>
      <c r="J89" s="37"/>
      <c r="K89" s="37"/>
      <c r="L89" s="33">
        <v>24198440</v>
      </c>
      <c r="M89" s="34" t="s">
        <v>2535</v>
      </c>
      <c r="N89" s="35" t="s">
        <v>283</v>
      </c>
      <c r="O89" s="37"/>
    </row>
    <row r="90" spans="1:15" ht="21" customHeight="1" x14ac:dyDescent="0.2">
      <c r="A90" s="22">
        <v>603098000</v>
      </c>
      <c r="B90" s="9" t="s">
        <v>1896</v>
      </c>
      <c r="C90" s="53" t="s">
        <v>1784</v>
      </c>
      <c r="D90" s="53" t="s">
        <v>1897</v>
      </c>
      <c r="E90" s="70" t="s">
        <v>594</v>
      </c>
      <c r="F90" s="71">
        <v>1</v>
      </c>
      <c r="G90">
        <v>0.45</v>
      </c>
      <c r="H90">
        <v>1</v>
      </c>
      <c r="I90" s="37"/>
      <c r="J90" s="37"/>
      <c r="K90" s="37"/>
      <c r="L90" s="43" t="s">
        <v>2714</v>
      </c>
      <c r="M90" s="42" t="s">
        <v>2715</v>
      </c>
      <c r="N90" s="45" t="s">
        <v>162</v>
      </c>
      <c r="O90" s="37"/>
    </row>
    <row r="91" spans="1:15" ht="21" customHeight="1" x14ac:dyDescent="0.2">
      <c r="A91" s="22">
        <v>101100000</v>
      </c>
      <c r="B91" s="9" t="s">
        <v>1898</v>
      </c>
      <c r="C91" s="53" t="s">
        <v>1851</v>
      </c>
      <c r="D91" s="53"/>
      <c r="E91" s="70" t="s">
        <v>594</v>
      </c>
      <c r="F91" s="70">
        <v>1</v>
      </c>
      <c r="H91">
        <v>1</v>
      </c>
      <c r="I91" s="37"/>
      <c r="J91" s="37"/>
      <c r="K91" s="37"/>
      <c r="L91" s="33">
        <v>92202010</v>
      </c>
      <c r="M91" s="34" t="s">
        <v>2536</v>
      </c>
      <c r="N91" s="41"/>
      <c r="O91" s="37"/>
    </row>
    <row r="92" spans="1:15" ht="21" customHeight="1" x14ac:dyDescent="0.2">
      <c r="A92" s="22">
        <v>200101000</v>
      </c>
      <c r="B92" s="9" t="s">
        <v>1899</v>
      </c>
      <c r="C92" s="53" t="s">
        <v>1760</v>
      </c>
      <c r="D92" s="53"/>
      <c r="E92" s="70" t="s">
        <v>2724</v>
      </c>
      <c r="F92" s="71">
        <v>1.1459999999999999</v>
      </c>
      <c r="G92">
        <v>1.1459999999999999</v>
      </c>
      <c r="H92">
        <v>1</v>
      </c>
      <c r="I92" s="37"/>
      <c r="J92" s="37"/>
      <c r="K92" s="37"/>
      <c r="L92" s="33">
        <v>72116000</v>
      </c>
      <c r="M92" s="34" t="s">
        <v>2505</v>
      </c>
      <c r="N92" s="35" t="s">
        <v>2500</v>
      </c>
      <c r="O92" s="37"/>
    </row>
    <row r="93" spans="1:15" ht="21" customHeight="1" x14ac:dyDescent="0.2">
      <c r="A93" s="22">
        <v>902102000</v>
      </c>
      <c r="B93" s="9" t="s">
        <v>1900</v>
      </c>
      <c r="C93" s="53" t="s">
        <v>1901</v>
      </c>
      <c r="D93" s="53" t="s">
        <v>1902</v>
      </c>
      <c r="E93" s="74" t="s">
        <v>2724</v>
      </c>
      <c r="F93" s="71">
        <v>1.42</v>
      </c>
      <c r="G93">
        <v>1.42</v>
      </c>
      <c r="H93">
        <v>1</v>
      </c>
      <c r="I93" s="37"/>
      <c r="J93" s="37"/>
      <c r="K93" s="37"/>
      <c r="L93" s="50" t="s">
        <v>2729</v>
      </c>
      <c r="M93" s="46" t="s">
        <v>2731</v>
      </c>
      <c r="N93" s="47" t="s">
        <v>162</v>
      </c>
      <c r="O93" s="37"/>
    </row>
    <row r="94" spans="1:15" ht="21" customHeight="1" x14ac:dyDescent="0.2">
      <c r="A94" s="22">
        <v>302103000</v>
      </c>
      <c r="B94" s="9" t="s">
        <v>1903</v>
      </c>
      <c r="C94" s="53" t="s">
        <v>1904</v>
      </c>
      <c r="D94" s="53" t="s">
        <v>1905</v>
      </c>
      <c r="E94" s="74" t="s">
        <v>2724</v>
      </c>
      <c r="F94" s="71">
        <v>1</v>
      </c>
      <c r="G94">
        <v>1</v>
      </c>
      <c r="H94">
        <v>1</v>
      </c>
      <c r="I94" s="37"/>
      <c r="J94" s="37"/>
      <c r="K94" s="37"/>
      <c r="L94" s="33">
        <v>75109500</v>
      </c>
      <c r="M94" s="34" t="s">
        <v>2537</v>
      </c>
      <c r="N94" s="35" t="s">
        <v>2481</v>
      </c>
      <c r="O94" s="37"/>
    </row>
    <row r="95" spans="1:15" ht="21" customHeight="1" x14ac:dyDescent="0.2">
      <c r="A95" s="22">
        <v>401118000</v>
      </c>
      <c r="B95" s="9" t="s">
        <v>1906</v>
      </c>
      <c r="C95" s="53" t="s">
        <v>1760</v>
      </c>
      <c r="D95" s="53" t="s">
        <v>1907</v>
      </c>
      <c r="E95" s="74" t="s">
        <v>2724</v>
      </c>
      <c r="F95" s="71">
        <v>1.18</v>
      </c>
      <c r="G95">
        <v>1.18</v>
      </c>
      <c r="H95">
        <v>1</v>
      </c>
      <c r="I95" s="37"/>
      <c r="J95" s="37"/>
      <c r="K95" s="37"/>
      <c r="L95" s="33">
        <v>75109550</v>
      </c>
      <c r="M95" s="34" t="s">
        <v>2538</v>
      </c>
      <c r="N95" s="35" t="s">
        <v>2500</v>
      </c>
      <c r="O95" s="37"/>
    </row>
    <row r="96" spans="1:15" ht="21" customHeight="1" x14ac:dyDescent="0.2">
      <c r="A96" s="22">
        <v>1902105000</v>
      </c>
      <c r="B96" s="9" t="s">
        <v>1908</v>
      </c>
      <c r="C96" s="53" t="s">
        <v>1909</v>
      </c>
      <c r="D96" s="53"/>
      <c r="E96" s="70" t="s">
        <v>594</v>
      </c>
      <c r="F96" s="71">
        <v>1</v>
      </c>
      <c r="H96">
        <v>1</v>
      </c>
      <c r="I96" s="37"/>
      <c r="J96" s="37"/>
      <c r="K96" s="37"/>
      <c r="L96" s="41"/>
      <c r="M96" s="41"/>
      <c r="N96" s="41"/>
      <c r="O96" s="37"/>
    </row>
    <row r="97" spans="1:15" ht="21" customHeight="1" x14ac:dyDescent="0.2">
      <c r="A97" s="22">
        <v>1001106000</v>
      </c>
      <c r="B97" s="9" t="s">
        <v>1910</v>
      </c>
      <c r="C97" s="53" t="s">
        <v>1842</v>
      </c>
      <c r="D97" s="53"/>
      <c r="E97" s="72" t="s">
        <v>2751</v>
      </c>
      <c r="F97" s="71">
        <v>2</v>
      </c>
      <c r="H97">
        <v>1</v>
      </c>
      <c r="I97" s="37"/>
      <c r="J97" s="37"/>
      <c r="K97" s="37"/>
      <c r="L97" s="41"/>
      <c r="M97" s="41"/>
      <c r="N97" s="41"/>
      <c r="O97" s="37"/>
    </row>
    <row r="98" spans="1:15" ht="21" customHeight="1" x14ac:dyDescent="0.2">
      <c r="A98" s="22">
        <v>1001107000</v>
      </c>
      <c r="B98" s="9" t="s">
        <v>1911</v>
      </c>
      <c r="C98" s="53" t="s">
        <v>1912</v>
      </c>
      <c r="D98" s="53" t="s">
        <v>1913</v>
      </c>
      <c r="E98" s="72" t="s">
        <v>2752</v>
      </c>
      <c r="F98" s="71">
        <v>1.35</v>
      </c>
      <c r="H98">
        <v>1</v>
      </c>
      <c r="I98" s="37"/>
      <c r="J98" s="37"/>
      <c r="K98" s="37"/>
      <c r="L98" s="41"/>
      <c r="M98" s="41"/>
      <c r="N98" s="41"/>
      <c r="O98" s="37"/>
    </row>
    <row r="99" spans="1:15" ht="21" customHeight="1" x14ac:dyDescent="0.2">
      <c r="A99" s="22">
        <v>9500109000</v>
      </c>
      <c r="B99" s="9" t="s">
        <v>1914</v>
      </c>
      <c r="C99" s="53" t="s">
        <v>1915</v>
      </c>
      <c r="D99" s="53"/>
      <c r="E99" s="70" t="s">
        <v>594</v>
      </c>
      <c r="F99" s="71">
        <v>1</v>
      </c>
      <c r="H99">
        <v>1</v>
      </c>
      <c r="I99" s="37"/>
      <c r="J99" s="37"/>
      <c r="K99" s="37"/>
      <c r="L99" s="41"/>
      <c r="M99" s="41"/>
      <c r="N99" s="41"/>
      <c r="O99" s="37"/>
    </row>
    <row r="100" spans="1:15" ht="21" customHeight="1" x14ac:dyDescent="0.2">
      <c r="A100" s="22">
        <v>9500110000</v>
      </c>
      <c r="B100" s="9" t="s">
        <v>1916</v>
      </c>
      <c r="C100" s="53" t="s">
        <v>1917</v>
      </c>
      <c r="D100" s="53"/>
      <c r="E100" s="70" t="s">
        <v>594</v>
      </c>
      <c r="F100" s="71">
        <v>1</v>
      </c>
      <c r="H100">
        <v>1</v>
      </c>
      <c r="I100" s="37"/>
      <c r="J100" s="37"/>
      <c r="K100" s="37"/>
      <c r="L100" s="33">
        <v>11830150</v>
      </c>
      <c r="M100" s="34" t="s">
        <v>2539</v>
      </c>
      <c r="N100" s="41"/>
      <c r="O100" s="37"/>
    </row>
    <row r="101" spans="1:15" ht="21" customHeight="1" x14ac:dyDescent="0.2">
      <c r="A101" s="22">
        <v>1400112000</v>
      </c>
      <c r="B101" s="9" t="s">
        <v>1918</v>
      </c>
      <c r="C101" s="53" t="s">
        <v>1919</v>
      </c>
      <c r="D101" s="53"/>
      <c r="E101" s="70" t="s">
        <v>2737</v>
      </c>
      <c r="F101" s="73">
        <v>1.8298434257687231</v>
      </c>
      <c r="G101">
        <v>0.501</v>
      </c>
      <c r="H101">
        <v>1</v>
      </c>
      <c r="I101" s="37"/>
      <c r="J101" s="37"/>
      <c r="K101" s="37">
        <v>1.8298434257687231</v>
      </c>
      <c r="L101" s="33">
        <v>42106020</v>
      </c>
      <c r="M101" s="34" t="s">
        <v>2543</v>
      </c>
      <c r="N101" s="35" t="s">
        <v>2471</v>
      </c>
      <c r="O101" s="37">
        <v>1400111000</v>
      </c>
    </row>
    <row r="102" spans="1:15" ht="21" customHeight="1" x14ac:dyDescent="0.2">
      <c r="A102" s="22">
        <v>1400111000</v>
      </c>
      <c r="B102" s="9" t="s">
        <v>1920</v>
      </c>
      <c r="C102" s="53" t="s">
        <v>1921</v>
      </c>
      <c r="D102" s="53" t="s">
        <v>1922</v>
      </c>
      <c r="E102" s="70" t="s">
        <v>2737</v>
      </c>
      <c r="F102" s="71">
        <v>1.92</v>
      </c>
      <c r="H102">
        <v>1</v>
      </c>
      <c r="I102" s="37"/>
      <c r="J102" s="37"/>
      <c r="K102" s="37">
        <v>1.92</v>
      </c>
      <c r="L102" s="33">
        <v>42106000</v>
      </c>
      <c r="M102" s="34" t="s">
        <v>2541</v>
      </c>
      <c r="N102" s="41"/>
      <c r="O102" s="37"/>
    </row>
    <row r="103" spans="1:15" ht="21" customHeight="1" x14ac:dyDescent="0.2">
      <c r="A103" s="22">
        <v>1400113000</v>
      </c>
      <c r="B103" s="9" t="s">
        <v>1923</v>
      </c>
      <c r="C103" s="53" t="s">
        <v>1924</v>
      </c>
      <c r="D103" s="53"/>
      <c r="E103" s="70" t="s">
        <v>594</v>
      </c>
      <c r="F103" s="71">
        <v>1</v>
      </c>
      <c r="H103">
        <v>1</v>
      </c>
      <c r="I103" s="37"/>
      <c r="J103" s="37"/>
      <c r="K103" s="37"/>
      <c r="L103" s="33">
        <v>42401010</v>
      </c>
      <c r="M103" s="34" t="s">
        <v>2542</v>
      </c>
      <c r="N103" s="41"/>
      <c r="O103" s="37"/>
    </row>
    <row r="104" spans="1:15" ht="21" customHeight="1" x14ac:dyDescent="0.2">
      <c r="A104" s="22">
        <v>1400114000</v>
      </c>
      <c r="B104" s="9" t="s">
        <v>1925</v>
      </c>
      <c r="C104" s="53" t="s">
        <v>1731</v>
      </c>
      <c r="D104" s="53"/>
      <c r="E104" s="70" t="s">
        <v>2724</v>
      </c>
      <c r="F104" s="71">
        <v>1</v>
      </c>
      <c r="G104">
        <v>1</v>
      </c>
      <c r="H104">
        <v>1</v>
      </c>
      <c r="I104" s="37"/>
      <c r="J104" s="37"/>
      <c r="K104" s="37"/>
      <c r="L104" s="33">
        <v>82101500</v>
      </c>
      <c r="M104" s="34" t="s">
        <v>2540</v>
      </c>
      <c r="N104" s="35" t="s">
        <v>2475</v>
      </c>
      <c r="O104" s="37"/>
    </row>
    <row r="105" spans="1:15" ht="21" customHeight="1" x14ac:dyDescent="0.2">
      <c r="A105" s="22">
        <v>9500116000</v>
      </c>
      <c r="B105" s="9" t="s">
        <v>1926</v>
      </c>
      <c r="C105" s="53" t="s">
        <v>1927</v>
      </c>
      <c r="D105" s="53"/>
      <c r="E105" s="72" t="s">
        <v>628</v>
      </c>
      <c r="F105" s="73">
        <v>1</v>
      </c>
      <c r="H105">
        <v>1</v>
      </c>
      <c r="I105" s="37">
        <v>2.5</v>
      </c>
      <c r="J105" s="37"/>
      <c r="K105" s="37"/>
      <c r="L105" s="33">
        <v>92103000</v>
      </c>
      <c r="M105" s="34" t="s">
        <v>2544</v>
      </c>
      <c r="N105" s="41"/>
      <c r="O105" s="37"/>
    </row>
    <row r="106" spans="1:15" ht="21" customHeight="1" x14ac:dyDescent="0.2">
      <c r="A106" s="22">
        <v>9500115000</v>
      </c>
      <c r="B106" s="9" t="s">
        <v>1928</v>
      </c>
      <c r="C106" s="53" t="s">
        <v>1784</v>
      </c>
      <c r="D106" s="53"/>
      <c r="E106" s="72" t="s">
        <v>628</v>
      </c>
      <c r="F106" s="73">
        <v>1</v>
      </c>
      <c r="H106">
        <v>1</v>
      </c>
      <c r="I106" s="37">
        <v>1.1904761904761905</v>
      </c>
      <c r="J106" s="37"/>
      <c r="K106" s="37"/>
      <c r="L106" s="33">
        <v>92101000</v>
      </c>
      <c r="M106" s="34" t="s">
        <v>2545</v>
      </c>
      <c r="N106" s="41"/>
      <c r="O106" s="37"/>
    </row>
    <row r="107" spans="1:15" ht="21" customHeight="1" x14ac:dyDescent="0.2">
      <c r="A107" s="22">
        <v>402117000</v>
      </c>
      <c r="B107" s="9" t="s">
        <v>1929</v>
      </c>
      <c r="C107" s="53" t="s">
        <v>1760</v>
      </c>
      <c r="D107" s="53"/>
      <c r="E107" s="74" t="s">
        <v>2724</v>
      </c>
      <c r="F107" s="71">
        <v>1.75</v>
      </c>
      <c r="G107">
        <v>1.75</v>
      </c>
      <c r="H107">
        <v>1.7543859649122806</v>
      </c>
      <c r="I107" s="37"/>
      <c r="J107" s="37"/>
      <c r="K107" s="37"/>
      <c r="L107" s="33">
        <v>72107100</v>
      </c>
      <c r="M107" s="34" t="s">
        <v>2546</v>
      </c>
      <c r="N107" s="35" t="s">
        <v>2515</v>
      </c>
      <c r="O107" s="37"/>
    </row>
    <row r="108" spans="1:15" ht="21" customHeight="1" x14ac:dyDescent="0.2">
      <c r="A108" s="22">
        <v>1902119000</v>
      </c>
      <c r="B108" s="9" t="s">
        <v>1930</v>
      </c>
      <c r="C108" s="53" t="s">
        <v>1931</v>
      </c>
      <c r="D108" s="53" t="s">
        <v>1932</v>
      </c>
      <c r="E108" s="70" t="s">
        <v>594</v>
      </c>
      <c r="F108" s="71">
        <v>1</v>
      </c>
      <c r="H108">
        <v>1</v>
      </c>
      <c r="I108" s="37"/>
      <c r="J108" s="37"/>
      <c r="K108" s="37"/>
      <c r="L108" s="41"/>
      <c r="M108" s="41"/>
      <c r="N108" s="41"/>
      <c r="O108" s="37"/>
    </row>
    <row r="109" spans="1:15" ht="21" customHeight="1" x14ac:dyDescent="0.2">
      <c r="A109" s="22">
        <v>1500122000</v>
      </c>
      <c r="B109" s="30" t="s">
        <v>1933</v>
      </c>
      <c r="C109" s="53" t="s">
        <v>1774</v>
      </c>
      <c r="D109" s="53"/>
      <c r="E109" s="70" t="s">
        <v>594</v>
      </c>
      <c r="F109" s="71">
        <v>1</v>
      </c>
      <c r="H109">
        <v>1</v>
      </c>
      <c r="I109" s="38"/>
      <c r="J109" s="38"/>
      <c r="K109" s="38"/>
      <c r="L109" s="41"/>
      <c r="M109" s="41"/>
      <c r="N109" s="41"/>
      <c r="O109" s="38" t="s">
        <v>2689</v>
      </c>
    </row>
    <row r="110" spans="1:15" ht="21" customHeight="1" x14ac:dyDescent="0.2">
      <c r="A110" s="22">
        <v>1500120000</v>
      </c>
      <c r="B110" s="30" t="s">
        <v>1934</v>
      </c>
      <c r="C110" s="53" t="s">
        <v>1935</v>
      </c>
      <c r="D110" s="53"/>
      <c r="E110" s="72" t="s">
        <v>628</v>
      </c>
      <c r="F110" s="73">
        <v>1</v>
      </c>
      <c r="H110">
        <v>1</v>
      </c>
      <c r="I110" s="38">
        <v>1.7</v>
      </c>
      <c r="J110" s="38"/>
      <c r="K110" s="38"/>
      <c r="L110" s="41"/>
      <c r="M110" s="41"/>
      <c r="N110" s="41"/>
      <c r="O110" s="38"/>
    </row>
    <row r="111" spans="1:15" ht="21" customHeight="1" x14ac:dyDescent="0.2">
      <c r="A111" s="22">
        <v>1500121000</v>
      </c>
      <c r="B111" s="30" t="s">
        <v>1936</v>
      </c>
      <c r="C111" s="53" t="s">
        <v>1937</v>
      </c>
      <c r="D111" s="53" t="s">
        <v>1938</v>
      </c>
      <c r="E111" s="72" t="s">
        <v>628</v>
      </c>
      <c r="F111" s="73">
        <v>1</v>
      </c>
      <c r="H111">
        <v>1</v>
      </c>
      <c r="I111" s="38">
        <v>1.1200000000000001</v>
      </c>
      <c r="J111" s="38"/>
      <c r="K111" s="38"/>
      <c r="L111" s="41"/>
      <c r="M111" s="41"/>
      <c r="N111" s="41"/>
      <c r="O111" s="38"/>
    </row>
    <row r="112" spans="1:15" ht="21" customHeight="1" x14ac:dyDescent="0.2">
      <c r="A112" s="22">
        <v>1500125000</v>
      </c>
      <c r="B112" s="30" t="s">
        <v>1939</v>
      </c>
      <c r="C112" s="53" t="s">
        <v>1731</v>
      </c>
      <c r="D112" s="53"/>
      <c r="E112" s="72" t="s">
        <v>628</v>
      </c>
      <c r="F112" s="73">
        <v>1</v>
      </c>
      <c r="G112">
        <v>1</v>
      </c>
      <c r="H112">
        <v>1</v>
      </c>
      <c r="I112" s="38">
        <v>35</v>
      </c>
      <c r="J112" s="38"/>
      <c r="K112" s="38"/>
      <c r="L112" s="33">
        <v>82102000</v>
      </c>
      <c r="M112" s="34" t="s">
        <v>2547</v>
      </c>
      <c r="N112" s="35" t="s">
        <v>2548</v>
      </c>
      <c r="O112" s="38"/>
    </row>
    <row r="113" spans="1:15" ht="21" customHeight="1" x14ac:dyDescent="0.2">
      <c r="A113" s="22">
        <v>1500123000</v>
      </c>
      <c r="B113" s="30" t="s">
        <v>1940</v>
      </c>
      <c r="C113" s="53" t="s">
        <v>1941</v>
      </c>
      <c r="D113" s="53"/>
      <c r="E113" s="72" t="s">
        <v>628</v>
      </c>
      <c r="F113" s="73">
        <v>1</v>
      </c>
      <c r="H113">
        <v>1</v>
      </c>
      <c r="I113" s="38">
        <v>1.63</v>
      </c>
      <c r="J113" s="38"/>
      <c r="K113" s="38"/>
      <c r="L113" s="41"/>
      <c r="M113" s="41"/>
      <c r="N113" s="41"/>
      <c r="O113" s="38"/>
    </row>
    <row r="114" spans="1:15" ht="21" customHeight="1" x14ac:dyDescent="0.2">
      <c r="A114" s="22">
        <v>1500124000</v>
      </c>
      <c r="B114" s="30" t="s">
        <v>1942</v>
      </c>
      <c r="C114" s="53" t="s">
        <v>1943</v>
      </c>
      <c r="D114" s="53"/>
      <c r="E114" s="72" t="s">
        <v>628</v>
      </c>
      <c r="F114" s="73">
        <v>1</v>
      </c>
      <c r="G114">
        <v>1</v>
      </c>
      <c r="H114">
        <v>1</v>
      </c>
      <c r="I114" s="38">
        <v>1.43</v>
      </c>
      <c r="J114" s="38"/>
      <c r="K114" s="38"/>
      <c r="L114" s="33">
        <v>91301030</v>
      </c>
      <c r="M114" s="34" t="s">
        <v>2549</v>
      </c>
      <c r="N114" s="35" t="s">
        <v>2471</v>
      </c>
      <c r="O114" s="38"/>
    </row>
    <row r="115" spans="1:15" ht="21" customHeight="1" x14ac:dyDescent="0.2">
      <c r="A115" s="22">
        <v>1500126000</v>
      </c>
      <c r="B115" s="9" t="s">
        <v>1944</v>
      </c>
      <c r="C115" s="53" t="s">
        <v>1945</v>
      </c>
      <c r="D115" s="53"/>
      <c r="E115" s="70" t="s">
        <v>2724</v>
      </c>
      <c r="F115" s="70">
        <v>1</v>
      </c>
      <c r="G115">
        <v>1</v>
      </c>
      <c r="H115">
        <v>1</v>
      </c>
      <c r="I115" s="37"/>
      <c r="J115" s="37"/>
      <c r="K115" s="37"/>
      <c r="L115" s="33">
        <v>54403010</v>
      </c>
      <c r="M115" s="34" t="s">
        <v>2552</v>
      </c>
      <c r="N115" s="35" t="s">
        <v>2517</v>
      </c>
      <c r="O115" s="37" t="s">
        <v>2689</v>
      </c>
    </row>
    <row r="116" spans="1:15" ht="21" customHeight="1" x14ac:dyDescent="0.2">
      <c r="A116" s="22">
        <v>1500127000</v>
      </c>
      <c r="B116" s="9" t="s">
        <v>1946</v>
      </c>
      <c r="C116" s="53" t="s">
        <v>1945</v>
      </c>
      <c r="D116" s="53"/>
      <c r="E116" s="74" t="s">
        <v>2724</v>
      </c>
      <c r="F116" s="71">
        <v>2.78</v>
      </c>
      <c r="G116">
        <v>2.78</v>
      </c>
      <c r="H116">
        <v>2.7777777777777777</v>
      </c>
      <c r="I116" s="37"/>
      <c r="J116" s="37"/>
      <c r="K116" s="37"/>
      <c r="L116" s="33">
        <v>75109600</v>
      </c>
      <c r="M116" s="34" t="s">
        <v>2550</v>
      </c>
      <c r="N116" s="35" t="s">
        <v>2551</v>
      </c>
      <c r="O116" s="37" t="s">
        <v>2689</v>
      </c>
    </row>
    <row r="117" spans="1:15" ht="21" customHeight="1" x14ac:dyDescent="0.2">
      <c r="A117" s="22">
        <v>2003128000</v>
      </c>
      <c r="B117" s="9" t="s">
        <v>1947</v>
      </c>
      <c r="C117" s="53" t="s">
        <v>1731</v>
      </c>
      <c r="D117" s="53"/>
      <c r="E117" s="70" t="s">
        <v>2724</v>
      </c>
      <c r="F117" s="71">
        <v>1</v>
      </c>
      <c r="G117">
        <v>1</v>
      </c>
      <c r="H117">
        <v>1</v>
      </c>
      <c r="I117" s="37"/>
      <c r="J117" s="37"/>
      <c r="K117" s="37"/>
      <c r="L117" s="33">
        <v>82103000</v>
      </c>
      <c r="M117" s="34" t="s">
        <v>2553</v>
      </c>
      <c r="N117" s="35" t="s">
        <v>2548</v>
      </c>
      <c r="O117" s="37"/>
    </row>
    <row r="118" spans="1:15" ht="21" customHeight="1" x14ac:dyDescent="0.2">
      <c r="A118" s="22">
        <v>1307130000</v>
      </c>
      <c r="B118" s="9" t="s">
        <v>1948</v>
      </c>
      <c r="C118" s="53" t="s">
        <v>1834</v>
      </c>
      <c r="D118" s="53"/>
      <c r="E118" s="74" t="s">
        <v>2724</v>
      </c>
      <c r="F118" s="75">
        <v>1.02</v>
      </c>
      <c r="G118">
        <v>1.02</v>
      </c>
      <c r="H118">
        <v>1.0204081632653061</v>
      </c>
      <c r="I118" s="37"/>
      <c r="J118" s="37"/>
      <c r="K118" s="37"/>
      <c r="L118" s="33">
        <v>63207010</v>
      </c>
      <c r="M118" s="34" t="s">
        <v>2554</v>
      </c>
      <c r="N118" s="35" t="s">
        <v>2507</v>
      </c>
      <c r="O118" s="37"/>
    </row>
    <row r="119" spans="1:15" ht="21" customHeight="1" x14ac:dyDescent="0.2">
      <c r="A119" s="22">
        <v>1307131000</v>
      </c>
      <c r="B119" s="9" t="s">
        <v>1949</v>
      </c>
      <c r="C119" s="53" t="s">
        <v>1950</v>
      </c>
      <c r="D119" s="53"/>
      <c r="E119" s="70" t="s">
        <v>2737</v>
      </c>
      <c r="F119" s="73">
        <v>6.6411671924290197</v>
      </c>
      <c r="G119">
        <v>0.35299999999999998</v>
      </c>
      <c r="H119">
        <v>1</v>
      </c>
      <c r="I119" s="37"/>
      <c r="J119" s="37"/>
      <c r="K119" s="37">
        <v>6.6411671924290197</v>
      </c>
      <c r="L119" s="33">
        <v>62109100</v>
      </c>
      <c r="M119" s="34" t="s">
        <v>2555</v>
      </c>
      <c r="N119" s="35" t="s">
        <v>2507</v>
      </c>
      <c r="O119" s="37">
        <v>1307130000</v>
      </c>
    </row>
    <row r="120" spans="1:15" ht="21" customHeight="1" x14ac:dyDescent="0.2">
      <c r="A120" s="22">
        <v>1307132000</v>
      </c>
      <c r="B120" s="9" t="s">
        <v>1951</v>
      </c>
      <c r="C120" s="53" t="s">
        <v>1742</v>
      </c>
      <c r="D120" s="53"/>
      <c r="E120" s="74" t="s">
        <v>2724</v>
      </c>
      <c r="F120" s="71">
        <v>1.3</v>
      </c>
      <c r="G120">
        <v>1.3</v>
      </c>
      <c r="H120">
        <v>1</v>
      </c>
      <c r="I120" s="37"/>
      <c r="J120" s="37"/>
      <c r="K120" s="37"/>
      <c r="L120" s="33">
        <v>64105400</v>
      </c>
      <c r="M120" s="34" t="s">
        <v>2556</v>
      </c>
      <c r="N120" s="35" t="s">
        <v>2507</v>
      </c>
      <c r="O120" s="37"/>
    </row>
    <row r="121" spans="1:15" ht="21" customHeight="1" x14ac:dyDescent="0.2">
      <c r="A121" s="22">
        <v>402133000</v>
      </c>
      <c r="B121" s="9" t="s">
        <v>1952</v>
      </c>
      <c r="C121" s="53" t="s">
        <v>1760</v>
      </c>
      <c r="D121" s="53"/>
      <c r="E121" s="74" t="s">
        <v>2724</v>
      </c>
      <c r="F121" s="71">
        <v>1.41</v>
      </c>
      <c r="G121">
        <v>1.41</v>
      </c>
      <c r="H121">
        <v>1</v>
      </c>
      <c r="I121" s="37"/>
      <c r="J121" s="37"/>
      <c r="K121" s="37"/>
      <c r="L121" s="33">
        <v>72110100</v>
      </c>
      <c r="M121" s="34" t="s">
        <v>2557</v>
      </c>
      <c r="N121" s="35" t="s">
        <v>2515</v>
      </c>
      <c r="O121" s="37"/>
    </row>
    <row r="122" spans="1:15" ht="21" customHeight="1" x14ac:dyDescent="0.2">
      <c r="A122" s="22">
        <v>902135000</v>
      </c>
      <c r="B122" s="9" t="s">
        <v>845</v>
      </c>
      <c r="C122" s="53" t="s">
        <v>1953</v>
      </c>
      <c r="D122" s="53"/>
      <c r="E122" s="74" t="s">
        <v>2724</v>
      </c>
      <c r="F122" s="71">
        <v>1.03</v>
      </c>
      <c r="G122">
        <v>1.03</v>
      </c>
      <c r="H122">
        <v>1.3698630136986301</v>
      </c>
      <c r="I122" s="37"/>
      <c r="J122" s="37"/>
      <c r="K122" s="37"/>
      <c r="L122" s="33">
        <v>75111000</v>
      </c>
      <c r="M122" s="34" t="s">
        <v>2558</v>
      </c>
      <c r="N122" s="35" t="s">
        <v>2559</v>
      </c>
      <c r="O122" s="37"/>
    </row>
    <row r="123" spans="1:15" ht="21" customHeight="1" x14ac:dyDescent="0.2">
      <c r="A123" s="22">
        <v>1302137000</v>
      </c>
      <c r="B123" s="9" t="s">
        <v>1954</v>
      </c>
      <c r="C123" s="53" t="s">
        <v>1950</v>
      </c>
      <c r="D123" s="53" t="s">
        <v>1955</v>
      </c>
      <c r="E123" s="74" t="s">
        <v>2724</v>
      </c>
      <c r="F123" s="71">
        <v>5.13</v>
      </c>
      <c r="G123">
        <v>5.13</v>
      </c>
      <c r="H123">
        <v>1</v>
      </c>
      <c r="I123" s="37"/>
      <c r="J123" s="37"/>
      <c r="K123" s="37"/>
      <c r="L123" s="33">
        <v>62108100</v>
      </c>
      <c r="M123" s="34" t="s">
        <v>2560</v>
      </c>
      <c r="N123" s="35" t="s">
        <v>2507</v>
      </c>
      <c r="O123" s="37" t="s">
        <v>2689</v>
      </c>
    </row>
    <row r="124" spans="1:15" ht="21" customHeight="1" x14ac:dyDescent="0.2">
      <c r="A124" s="22">
        <v>401138000</v>
      </c>
      <c r="B124" s="9" t="s">
        <v>1956</v>
      </c>
      <c r="C124" s="53" t="s">
        <v>1760</v>
      </c>
      <c r="D124" s="53"/>
      <c r="E124" s="70" t="s">
        <v>594</v>
      </c>
      <c r="F124" s="70">
        <v>1</v>
      </c>
      <c r="G124">
        <v>0.71</v>
      </c>
      <c r="H124">
        <v>1</v>
      </c>
      <c r="I124" s="37"/>
      <c r="J124" s="37"/>
      <c r="K124" s="37"/>
      <c r="L124" s="43" t="s">
        <v>2714</v>
      </c>
      <c r="M124" s="42" t="s">
        <v>2716</v>
      </c>
      <c r="N124" s="45" t="s">
        <v>162</v>
      </c>
      <c r="O124" s="37"/>
    </row>
    <row r="125" spans="1:15" ht="21" customHeight="1" x14ac:dyDescent="0.2">
      <c r="A125" s="22">
        <v>103139000</v>
      </c>
      <c r="B125" s="9" t="s">
        <v>1957</v>
      </c>
      <c r="C125" s="53" t="s">
        <v>1958</v>
      </c>
      <c r="D125" s="53" t="s">
        <v>1959</v>
      </c>
      <c r="E125" s="70" t="s">
        <v>594</v>
      </c>
      <c r="F125" s="71">
        <v>1</v>
      </c>
      <c r="G125">
        <v>1.5409999999999999</v>
      </c>
      <c r="H125">
        <v>1</v>
      </c>
      <c r="I125" s="37"/>
      <c r="J125" s="37"/>
      <c r="K125" s="37"/>
      <c r="L125" s="33">
        <v>71962010</v>
      </c>
      <c r="M125" s="34" t="s">
        <v>2561</v>
      </c>
      <c r="N125" s="35" t="s">
        <v>2502</v>
      </c>
      <c r="O125" s="37"/>
    </row>
    <row r="126" spans="1:15" ht="21" customHeight="1" x14ac:dyDescent="0.2">
      <c r="A126" s="22">
        <v>200140000</v>
      </c>
      <c r="B126" s="9" t="s">
        <v>1960</v>
      </c>
      <c r="C126" s="53" t="s">
        <v>1961</v>
      </c>
      <c r="D126" s="53" t="s">
        <v>1959</v>
      </c>
      <c r="E126" s="70" t="s">
        <v>594</v>
      </c>
      <c r="F126" s="71">
        <v>1</v>
      </c>
      <c r="H126">
        <v>1</v>
      </c>
      <c r="I126" s="37"/>
      <c r="J126" s="37"/>
      <c r="K126" s="37"/>
      <c r="L126" s="41"/>
      <c r="M126" s="41"/>
      <c r="N126" s="41"/>
      <c r="O126" s="37"/>
    </row>
    <row r="127" spans="1:15" ht="21" customHeight="1" x14ac:dyDescent="0.2">
      <c r="A127" s="22">
        <v>2303141000</v>
      </c>
      <c r="B127" s="9" t="s">
        <v>1962</v>
      </c>
      <c r="C127" s="53" t="s">
        <v>1963</v>
      </c>
      <c r="D127" s="53"/>
      <c r="E127" s="74" t="s">
        <v>2724</v>
      </c>
      <c r="F127" s="71">
        <v>1.1100000000000001</v>
      </c>
      <c r="G127">
        <v>1.1100000000000001</v>
      </c>
      <c r="H127">
        <v>1</v>
      </c>
      <c r="I127" s="37"/>
      <c r="J127" s="37"/>
      <c r="K127" s="37"/>
      <c r="L127" s="33">
        <v>62110100</v>
      </c>
      <c r="M127" s="34" t="s">
        <v>1962</v>
      </c>
      <c r="N127" s="35" t="s">
        <v>2487</v>
      </c>
      <c r="O127" s="37"/>
    </row>
    <row r="128" spans="1:15" ht="21" customHeight="1" x14ac:dyDescent="0.2">
      <c r="A128" s="22">
        <v>1902143000</v>
      </c>
      <c r="B128" s="9" t="s">
        <v>1964</v>
      </c>
      <c r="C128" s="53" t="s">
        <v>1965</v>
      </c>
      <c r="D128" s="53"/>
      <c r="E128" s="70" t="s">
        <v>594</v>
      </c>
      <c r="F128" s="71">
        <v>1</v>
      </c>
      <c r="H128">
        <v>1</v>
      </c>
      <c r="I128" s="37"/>
      <c r="J128" s="37"/>
      <c r="K128" s="37"/>
      <c r="L128" s="41"/>
      <c r="M128" s="41"/>
      <c r="N128" s="41"/>
      <c r="O128" s="37"/>
    </row>
    <row r="129" spans="1:15" ht="21" customHeight="1" x14ac:dyDescent="0.2">
      <c r="A129" s="22">
        <v>401144000</v>
      </c>
      <c r="B129" s="9" t="s">
        <v>1966</v>
      </c>
      <c r="C129" s="53" t="s">
        <v>1760</v>
      </c>
      <c r="D129" s="53"/>
      <c r="E129" s="70" t="s">
        <v>594</v>
      </c>
      <c r="F129" s="71">
        <v>1</v>
      </c>
      <c r="H129">
        <v>1</v>
      </c>
      <c r="I129" s="37"/>
      <c r="J129" s="37"/>
      <c r="K129" s="37"/>
      <c r="L129" s="41"/>
      <c r="M129" s="41"/>
      <c r="N129" s="41"/>
      <c r="O129" s="37"/>
    </row>
    <row r="130" spans="1:15" ht="21" customHeight="1" x14ac:dyDescent="0.2">
      <c r="A130" s="22">
        <v>7000146000</v>
      </c>
      <c r="B130" s="9" t="s">
        <v>1967</v>
      </c>
      <c r="C130" s="53" t="s">
        <v>1968</v>
      </c>
      <c r="D130" s="53"/>
      <c r="E130" s="70" t="s">
        <v>2724</v>
      </c>
      <c r="F130" s="71">
        <v>1.1399999999999999</v>
      </c>
      <c r="G130">
        <v>1.1399999999999999</v>
      </c>
      <c r="H130">
        <v>1.1363636363636365</v>
      </c>
      <c r="I130" s="37">
        <v>7.7639751552795024</v>
      </c>
      <c r="J130" s="37"/>
      <c r="K130" s="37"/>
      <c r="L130" s="33">
        <v>31108010</v>
      </c>
      <c r="M130" s="34" t="s">
        <v>2562</v>
      </c>
      <c r="N130" s="35" t="s">
        <v>2565</v>
      </c>
      <c r="O130" s="37"/>
    </row>
    <row r="131" spans="1:15" ht="21" customHeight="1" x14ac:dyDescent="0.2">
      <c r="A131" s="22">
        <v>7000145000</v>
      </c>
      <c r="B131" s="9" t="s">
        <v>1969</v>
      </c>
      <c r="C131" s="53" t="s">
        <v>1970</v>
      </c>
      <c r="D131" s="53"/>
      <c r="E131" s="74" t="s">
        <v>2724</v>
      </c>
      <c r="F131" s="71">
        <v>1.1399999999999999</v>
      </c>
      <c r="G131">
        <v>1.1399999999999999</v>
      </c>
      <c r="H131">
        <v>1.1363636363636365</v>
      </c>
      <c r="I131" s="37"/>
      <c r="J131" s="37"/>
      <c r="K131" s="37"/>
      <c r="L131" s="33">
        <v>31101010</v>
      </c>
      <c r="M131" s="34" t="s">
        <v>2563</v>
      </c>
      <c r="N131" s="35" t="s">
        <v>2565</v>
      </c>
      <c r="O131" s="37"/>
    </row>
    <row r="132" spans="1:15" ht="21" customHeight="1" x14ac:dyDescent="0.2">
      <c r="A132" s="22">
        <v>7000147000</v>
      </c>
      <c r="B132" s="9" t="s">
        <v>1971</v>
      </c>
      <c r="C132" s="53" t="s">
        <v>1972</v>
      </c>
      <c r="D132" s="53"/>
      <c r="E132" s="70" t="s">
        <v>2724</v>
      </c>
      <c r="F132" s="71">
        <v>1.1399999999999999</v>
      </c>
      <c r="G132">
        <v>1.1399999999999999</v>
      </c>
      <c r="H132">
        <v>1.1363636363636365</v>
      </c>
      <c r="I132" s="37">
        <v>2.2466861379465288</v>
      </c>
      <c r="J132" s="37"/>
      <c r="K132" s="37"/>
      <c r="L132" s="33">
        <v>31110010</v>
      </c>
      <c r="M132" s="34" t="s">
        <v>2564</v>
      </c>
      <c r="N132" s="35" t="s">
        <v>2565</v>
      </c>
      <c r="O132" s="37"/>
    </row>
    <row r="133" spans="1:15" ht="21" customHeight="1" x14ac:dyDescent="0.2">
      <c r="A133" s="22">
        <v>802148000</v>
      </c>
      <c r="B133" s="9" t="s">
        <v>884</v>
      </c>
      <c r="C133" s="53" t="s">
        <v>1973</v>
      </c>
      <c r="D133" s="53"/>
      <c r="E133" s="74" t="s">
        <v>2724</v>
      </c>
      <c r="F133" s="71">
        <v>1.23</v>
      </c>
      <c r="G133">
        <v>1.23</v>
      </c>
      <c r="H133">
        <v>1.2345679012345678</v>
      </c>
      <c r="I133" s="37"/>
      <c r="J133" s="37"/>
      <c r="K133" s="37"/>
      <c r="L133" s="33">
        <v>75111200</v>
      </c>
      <c r="M133" s="34" t="s">
        <v>2566</v>
      </c>
      <c r="N133" s="35" t="s">
        <v>2481</v>
      </c>
      <c r="O133" s="37"/>
    </row>
    <row r="134" spans="1:15" ht="21" customHeight="1" x14ac:dyDescent="0.2">
      <c r="A134" s="22">
        <v>401150000</v>
      </c>
      <c r="B134" s="9" t="s">
        <v>1974</v>
      </c>
      <c r="C134" s="53" t="s">
        <v>1760</v>
      </c>
      <c r="D134" s="53" t="s">
        <v>1975</v>
      </c>
      <c r="E134" s="74" t="s">
        <v>2724</v>
      </c>
      <c r="F134" s="71">
        <v>1.1599999999999999</v>
      </c>
      <c r="G134">
        <v>1.1599999999999999</v>
      </c>
      <c r="H134">
        <v>1</v>
      </c>
      <c r="I134" s="37"/>
      <c r="J134" s="37"/>
      <c r="K134" s="37"/>
      <c r="L134" s="43" t="s">
        <v>2714</v>
      </c>
      <c r="M134" s="42" t="s">
        <v>2717</v>
      </c>
      <c r="N134" s="45" t="s">
        <v>162</v>
      </c>
      <c r="O134" s="37"/>
    </row>
    <row r="135" spans="1:15" ht="21" customHeight="1" x14ac:dyDescent="0.2">
      <c r="A135" s="22">
        <v>2201152000</v>
      </c>
      <c r="B135" s="9" t="s">
        <v>1976</v>
      </c>
      <c r="C135" s="53" t="s">
        <v>1760</v>
      </c>
      <c r="D135" s="53" t="s">
        <v>1977</v>
      </c>
      <c r="E135" s="74" t="s">
        <v>2724</v>
      </c>
      <c r="F135" s="71">
        <v>1.1200000000000001</v>
      </c>
      <c r="G135">
        <v>1.1200000000000001</v>
      </c>
      <c r="H135">
        <v>1</v>
      </c>
      <c r="I135" s="37"/>
      <c r="J135" s="37"/>
      <c r="K135" s="37"/>
      <c r="L135" s="33">
        <v>75109010</v>
      </c>
      <c r="M135" s="34" t="s">
        <v>2567</v>
      </c>
      <c r="N135" s="35" t="s">
        <v>2481</v>
      </c>
      <c r="O135" s="37"/>
    </row>
    <row r="136" spans="1:15" ht="21" customHeight="1" x14ac:dyDescent="0.2">
      <c r="A136" s="22">
        <v>2302153000</v>
      </c>
      <c r="B136" s="9" t="s">
        <v>1978</v>
      </c>
      <c r="C136" s="53" t="s">
        <v>1877</v>
      </c>
      <c r="D136" s="53"/>
      <c r="E136" s="74" t="s">
        <v>2724</v>
      </c>
      <c r="F136" s="71">
        <v>1.01</v>
      </c>
      <c r="G136">
        <v>1.01</v>
      </c>
      <c r="H136">
        <v>1</v>
      </c>
      <c r="I136" s="37"/>
      <c r="J136" s="37"/>
      <c r="K136" s="37"/>
      <c r="L136" s="33">
        <v>63119010</v>
      </c>
      <c r="M136" s="34" t="s">
        <v>2568</v>
      </c>
      <c r="N136" s="35" t="s">
        <v>2487</v>
      </c>
      <c r="O136" s="37"/>
    </row>
    <row r="137" spans="1:15" ht="21" customHeight="1" x14ac:dyDescent="0.2">
      <c r="A137" s="22">
        <v>2302154000</v>
      </c>
      <c r="B137" s="9" t="s">
        <v>1979</v>
      </c>
      <c r="C137" s="53" t="s">
        <v>1980</v>
      </c>
      <c r="D137" s="53"/>
      <c r="E137" s="74" t="s">
        <v>2724</v>
      </c>
      <c r="F137" s="71">
        <v>3.38</v>
      </c>
      <c r="G137">
        <v>3.38</v>
      </c>
      <c r="H137">
        <v>1</v>
      </c>
      <c r="I137" s="37"/>
      <c r="J137" s="37"/>
      <c r="K137" s="37">
        <v>3.3484921014839637</v>
      </c>
      <c r="L137" s="33">
        <v>62113100</v>
      </c>
      <c r="M137" s="34" t="s">
        <v>2569</v>
      </c>
      <c r="N137" s="35" t="s">
        <v>2487</v>
      </c>
      <c r="O137" s="37">
        <v>2302153000</v>
      </c>
    </row>
    <row r="138" spans="1:15" ht="21" customHeight="1" x14ac:dyDescent="0.2">
      <c r="A138" s="22">
        <v>8000157000</v>
      </c>
      <c r="B138" s="9" t="s">
        <v>1981</v>
      </c>
      <c r="C138" s="53" t="s">
        <v>1982</v>
      </c>
      <c r="D138" s="53" t="s">
        <v>1983</v>
      </c>
      <c r="E138" s="70" t="s">
        <v>594</v>
      </c>
      <c r="F138" s="71">
        <v>1</v>
      </c>
      <c r="H138">
        <v>1</v>
      </c>
      <c r="I138" s="37"/>
      <c r="J138" s="37"/>
      <c r="K138" s="37"/>
      <c r="L138" s="41"/>
      <c r="M138" s="41"/>
      <c r="N138" s="41"/>
      <c r="O138" s="37"/>
    </row>
    <row r="139" spans="1:15" ht="21" customHeight="1" x14ac:dyDescent="0.2">
      <c r="A139" s="22">
        <v>8000158000</v>
      </c>
      <c r="B139" s="9" t="s">
        <v>1984</v>
      </c>
      <c r="C139" s="53" t="s">
        <v>1982</v>
      </c>
      <c r="D139" s="53" t="s">
        <v>1985</v>
      </c>
      <c r="E139" s="70" t="s">
        <v>594</v>
      </c>
      <c r="F139" s="71">
        <v>1</v>
      </c>
      <c r="H139">
        <v>1</v>
      </c>
      <c r="I139" s="37"/>
      <c r="J139" s="37"/>
      <c r="K139" s="37"/>
      <c r="L139" s="41"/>
      <c r="M139" s="41"/>
      <c r="N139" s="41"/>
      <c r="O139" s="37"/>
    </row>
    <row r="140" spans="1:15" ht="21" customHeight="1" x14ac:dyDescent="0.2">
      <c r="A140" s="22">
        <v>8000159000</v>
      </c>
      <c r="B140" s="9" t="s">
        <v>2451</v>
      </c>
      <c r="C140" s="53" t="s">
        <v>1982</v>
      </c>
      <c r="D140" s="53" t="s">
        <v>1985</v>
      </c>
      <c r="E140" s="70" t="s">
        <v>594</v>
      </c>
      <c r="F140" s="71">
        <v>1</v>
      </c>
      <c r="H140">
        <v>1</v>
      </c>
      <c r="I140" s="37"/>
      <c r="J140" s="37"/>
      <c r="K140" s="37"/>
      <c r="L140" s="41"/>
      <c r="M140" s="41"/>
      <c r="N140" s="41"/>
      <c r="O140" s="37"/>
    </row>
    <row r="141" spans="1:15" ht="21" customHeight="1" x14ac:dyDescent="0.2">
      <c r="A141" s="22">
        <v>8000160000</v>
      </c>
      <c r="B141" s="9" t="s">
        <v>1986</v>
      </c>
      <c r="C141" s="53" t="s">
        <v>1982</v>
      </c>
      <c r="D141" s="53" t="s">
        <v>1985</v>
      </c>
      <c r="E141" s="70" t="s">
        <v>594</v>
      </c>
      <c r="F141" s="71">
        <v>1</v>
      </c>
      <c r="H141">
        <v>1</v>
      </c>
      <c r="I141" s="37"/>
      <c r="J141" s="37"/>
      <c r="K141" s="37"/>
      <c r="L141" s="41"/>
      <c r="M141" s="41"/>
      <c r="N141" s="41"/>
      <c r="O141" s="37"/>
    </row>
    <row r="142" spans="1:15" ht="21" customHeight="1" x14ac:dyDescent="0.2">
      <c r="A142" s="22">
        <v>8000161000</v>
      </c>
      <c r="B142" s="9" t="s">
        <v>1987</v>
      </c>
      <c r="C142" s="53" t="s">
        <v>1988</v>
      </c>
      <c r="D142" s="53" t="s">
        <v>1985</v>
      </c>
      <c r="E142" s="70" t="s">
        <v>594</v>
      </c>
      <c r="F142" s="71">
        <v>1</v>
      </c>
      <c r="H142">
        <v>1</v>
      </c>
      <c r="I142" s="37"/>
      <c r="J142" s="37"/>
      <c r="K142" s="37"/>
      <c r="L142" s="41"/>
      <c r="M142" s="41"/>
      <c r="N142" s="41"/>
      <c r="O142" s="37"/>
    </row>
    <row r="143" spans="1:15" ht="21" customHeight="1" x14ac:dyDescent="0.2">
      <c r="A143" s="22">
        <v>8000162000</v>
      </c>
      <c r="B143" s="9" t="s">
        <v>1989</v>
      </c>
      <c r="C143" s="53" t="s">
        <v>1990</v>
      </c>
      <c r="D143" s="53" t="s">
        <v>1985</v>
      </c>
      <c r="E143" s="70" t="s">
        <v>594</v>
      </c>
      <c r="F143" s="71">
        <v>1</v>
      </c>
      <c r="H143">
        <v>1</v>
      </c>
      <c r="I143" s="37"/>
      <c r="J143" s="37"/>
      <c r="K143" s="37"/>
      <c r="L143" s="41"/>
      <c r="M143" s="41"/>
      <c r="N143" s="41"/>
      <c r="O143" s="37"/>
    </row>
    <row r="144" spans="1:15" ht="21" customHeight="1" x14ac:dyDescent="0.2">
      <c r="A144" s="22">
        <v>2001163000</v>
      </c>
      <c r="B144" s="9" t="s">
        <v>1991</v>
      </c>
      <c r="C144" s="53" t="s">
        <v>1992</v>
      </c>
      <c r="D144" s="53" t="s">
        <v>1993</v>
      </c>
      <c r="E144" s="72" t="s">
        <v>628</v>
      </c>
      <c r="F144" s="73">
        <v>1</v>
      </c>
      <c r="G144">
        <v>1</v>
      </c>
      <c r="H144">
        <v>1</v>
      </c>
      <c r="I144" s="37">
        <v>2.8554216867469879</v>
      </c>
      <c r="J144" s="37"/>
      <c r="K144" s="37"/>
      <c r="L144" s="33">
        <v>82103500</v>
      </c>
      <c r="M144" s="34" t="s">
        <v>2570</v>
      </c>
      <c r="N144" s="35" t="s">
        <v>2475</v>
      </c>
      <c r="O144" s="37"/>
    </row>
    <row r="145" spans="1:15" ht="21" customHeight="1" x14ac:dyDescent="0.2">
      <c r="A145" s="22">
        <v>2001162900</v>
      </c>
      <c r="B145" s="9" t="s">
        <v>1994</v>
      </c>
      <c r="C145" s="53" t="s">
        <v>1808</v>
      </c>
      <c r="D145" s="53" t="s">
        <v>1809</v>
      </c>
      <c r="E145" s="70" t="s">
        <v>594</v>
      </c>
      <c r="F145" s="71">
        <v>1</v>
      </c>
      <c r="H145">
        <v>1</v>
      </c>
      <c r="I145" s="37"/>
      <c r="J145" s="37"/>
      <c r="K145" s="37"/>
      <c r="L145" s="33">
        <v>43104000</v>
      </c>
      <c r="M145" s="34" t="s">
        <v>2571</v>
      </c>
      <c r="N145" s="41"/>
      <c r="O145" s="37"/>
    </row>
    <row r="146" spans="1:15" ht="21" customHeight="1" x14ac:dyDescent="0.2">
      <c r="A146" s="22">
        <v>301165000</v>
      </c>
      <c r="B146" s="9" t="s">
        <v>1995</v>
      </c>
      <c r="C146" s="53" t="s">
        <v>1996</v>
      </c>
      <c r="D146" s="53" t="s">
        <v>1997</v>
      </c>
      <c r="E146" s="74" t="s">
        <v>2724</v>
      </c>
      <c r="F146" s="71">
        <v>1.1499999999999999</v>
      </c>
      <c r="G146">
        <v>1.1499999999999999</v>
      </c>
      <c r="H146">
        <v>1.1494252873563218</v>
      </c>
      <c r="I146" s="37"/>
      <c r="J146" s="37"/>
      <c r="K146" s="37"/>
      <c r="L146" s="33">
        <v>75111500</v>
      </c>
      <c r="M146" s="34" t="s">
        <v>2572</v>
      </c>
      <c r="N146" s="35" t="s">
        <v>2481</v>
      </c>
      <c r="O146" s="37"/>
    </row>
    <row r="147" spans="1:15" ht="21" customHeight="1" x14ac:dyDescent="0.2">
      <c r="A147" s="22">
        <v>103166000</v>
      </c>
      <c r="B147" s="9" t="s">
        <v>1998</v>
      </c>
      <c r="C147" s="53" t="s">
        <v>1999</v>
      </c>
      <c r="D147" s="53"/>
      <c r="E147" s="72" t="s">
        <v>2737</v>
      </c>
      <c r="F147" s="71">
        <v>1.08</v>
      </c>
      <c r="H147">
        <v>1</v>
      </c>
      <c r="I147" s="37"/>
      <c r="J147" s="37"/>
      <c r="K147" s="37">
        <v>1.08</v>
      </c>
      <c r="L147" s="41"/>
      <c r="M147" s="41"/>
      <c r="N147" s="41"/>
      <c r="O147" s="37"/>
    </row>
    <row r="148" spans="1:15" ht="21" customHeight="1" x14ac:dyDescent="0.2">
      <c r="A148" s="22">
        <v>103167000</v>
      </c>
      <c r="B148" s="9" t="s">
        <v>2000</v>
      </c>
      <c r="C148" s="53" t="s">
        <v>2001</v>
      </c>
      <c r="D148" s="53"/>
      <c r="E148" s="72" t="s">
        <v>2737</v>
      </c>
      <c r="F148" s="71">
        <v>4.58</v>
      </c>
      <c r="H148">
        <v>1</v>
      </c>
      <c r="I148" s="37"/>
      <c r="J148" s="37"/>
      <c r="K148" s="37">
        <v>4.58</v>
      </c>
      <c r="L148" s="41"/>
      <c r="M148" s="41"/>
      <c r="N148" s="41"/>
      <c r="O148" s="37">
        <v>103166000</v>
      </c>
    </row>
    <row r="149" spans="1:15" ht="21" customHeight="1" x14ac:dyDescent="0.2">
      <c r="A149" s="22">
        <v>101168000</v>
      </c>
      <c r="B149" s="9" t="s">
        <v>2002</v>
      </c>
      <c r="C149" s="53" t="s">
        <v>2003</v>
      </c>
      <c r="D149" s="53"/>
      <c r="E149" s="70" t="s">
        <v>594</v>
      </c>
      <c r="F149" s="71">
        <v>1</v>
      </c>
      <c r="H149">
        <v>1</v>
      </c>
      <c r="I149" s="37"/>
      <c r="J149" s="37"/>
      <c r="K149" s="37"/>
      <c r="L149" s="41"/>
      <c r="M149" s="41"/>
      <c r="N149" s="41"/>
      <c r="O149" s="37"/>
    </row>
    <row r="150" spans="1:15" ht="21" customHeight="1" x14ac:dyDescent="0.2">
      <c r="A150" s="22">
        <v>3200171000</v>
      </c>
      <c r="B150" s="9" t="s">
        <v>2004</v>
      </c>
      <c r="C150" s="53" t="s">
        <v>2005</v>
      </c>
      <c r="D150" s="53"/>
      <c r="E150" s="70" t="s">
        <v>594</v>
      </c>
      <c r="F150" s="71">
        <v>1</v>
      </c>
      <c r="H150">
        <v>1</v>
      </c>
      <c r="I150" s="37"/>
      <c r="J150" s="37"/>
      <c r="K150" s="37"/>
      <c r="L150" s="41"/>
      <c r="M150" s="41"/>
      <c r="N150" s="41"/>
      <c r="O150" s="37"/>
    </row>
    <row r="151" spans="1:15" ht="21" customHeight="1" x14ac:dyDescent="0.2">
      <c r="A151" s="22">
        <v>3200169000</v>
      </c>
      <c r="B151" s="9" t="s">
        <v>2006</v>
      </c>
      <c r="C151" s="53" t="s">
        <v>2007</v>
      </c>
      <c r="D151" s="53"/>
      <c r="E151" s="70" t="s">
        <v>594</v>
      </c>
      <c r="F151" s="71">
        <v>1</v>
      </c>
      <c r="H151">
        <v>1</v>
      </c>
      <c r="I151" s="37"/>
      <c r="J151" s="37"/>
      <c r="K151" s="37"/>
      <c r="L151" s="41"/>
      <c r="M151" s="41"/>
      <c r="N151" s="41"/>
      <c r="O151" s="37"/>
    </row>
    <row r="152" spans="1:15" ht="21" customHeight="1" x14ac:dyDescent="0.2">
      <c r="A152" s="22">
        <v>3200170000</v>
      </c>
      <c r="B152" s="9" t="s">
        <v>2008</v>
      </c>
      <c r="C152" s="53" t="s">
        <v>1892</v>
      </c>
      <c r="D152" s="53" t="s">
        <v>2009</v>
      </c>
      <c r="E152" s="70" t="s">
        <v>594</v>
      </c>
      <c r="F152" s="71">
        <v>1</v>
      </c>
      <c r="H152">
        <v>1</v>
      </c>
      <c r="I152" s="37"/>
      <c r="J152" s="37"/>
      <c r="K152" s="37"/>
      <c r="L152" s="41"/>
      <c r="M152" s="41"/>
      <c r="N152" s="41"/>
      <c r="O152" s="37"/>
    </row>
    <row r="153" spans="1:15" ht="21" customHeight="1" x14ac:dyDescent="0.2">
      <c r="A153" s="22">
        <v>1302174000</v>
      </c>
      <c r="B153" s="9" t="s">
        <v>2010</v>
      </c>
      <c r="C153" s="53" t="s">
        <v>1834</v>
      </c>
      <c r="D153" s="53"/>
      <c r="E153" s="70" t="s">
        <v>594</v>
      </c>
      <c r="F153" s="71">
        <v>1</v>
      </c>
      <c r="H153">
        <v>1</v>
      </c>
      <c r="I153" s="37"/>
      <c r="J153" s="37"/>
      <c r="K153" s="37"/>
      <c r="L153" s="41"/>
      <c r="M153" s="41"/>
      <c r="N153" s="41"/>
      <c r="O153" s="37"/>
    </row>
    <row r="154" spans="1:15" ht="21" customHeight="1" x14ac:dyDescent="0.2">
      <c r="A154" s="22">
        <v>1304175000</v>
      </c>
      <c r="B154" s="9" t="s">
        <v>2011</v>
      </c>
      <c r="C154" s="53" t="s">
        <v>2012</v>
      </c>
      <c r="D154" s="53" t="s">
        <v>2013</v>
      </c>
      <c r="E154" s="74" t="s">
        <v>2724</v>
      </c>
      <c r="F154" s="71">
        <v>1.04</v>
      </c>
      <c r="G154">
        <v>1.04</v>
      </c>
      <c r="H154">
        <v>1.0416666666666667</v>
      </c>
      <c r="I154" s="37"/>
      <c r="J154" s="37"/>
      <c r="K154" s="37"/>
      <c r="L154" s="33">
        <v>63123000</v>
      </c>
      <c r="M154" s="34" t="s">
        <v>2573</v>
      </c>
      <c r="N154" s="35" t="s">
        <v>852</v>
      </c>
      <c r="O154" s="37"/>
    </row>
    <row r="155" spans="1:15" ht="21" customHeight="1" x14ac:dyDescent="0.2">
      <c r="A155" s="22">
        <v>1304176000</v>
      </c>
      <c r="B155" s="9" t="s">
        <v>2014</v>
      </c>
      <c r="C155" s="53" t="s">
        <v>1742</v>
      </c>
      <c r="D155" s="62" t="s">
        <v>2015</v>
      </c>
      <c r="E155" s="74" t="s">
        <v>2724</v>
      </c>
      <c r="F155" s="71">
        <v>1.3</v>
      </c>
      <c r="G155">
        <v>1.3</v>
      </c>
      <c r="H155">
        <v>1</v>
      </c>
      <c r="I155" s="37"/>
      <c r="J155" s="37">
        <v>1.2359550561797754</v>
      </c>
      <c r="K155" s="37"/>
      <c r="L155" s="33">
        <v>64116020</v>
      </c>
      <c r="M155" s="34" t="s">
        <v>2423</v>
      </c>
      <c r="N155" s="35" t="s">
        <v>852</v>
      </c>
      <c r="O155" s="37">
        <v>1304175000</v>
      </c>
    </row>
    <row r="156" spans="1:15" ht="21" customHeight="1" x14ac:dyDescent="0.2">
      <c r="A156" s="22">
        <v>9500177000</v>
      </c>
      <c r="B156" s="9" t="s">
        <v>2016</v>
      </c>
      <c r="C156" s="53" t="s">
        <v>1760</v>
      </c>
      <c r="D156" s="53"/>
      <c r="E156" s="70" t="s">
        <v>594</v>
      </c>
      <c r="F156" s="71">
        <v>1</v>
      </c>
      <c r="H156">
        <v>1</v>
      </c>
      <c r="I156" s="37"/>
      <c r="J156" s="37"/>
      <c r="K156" s="37"/>
      <c r="L156" s="41"/>
      <c r="M156" s="41"/>
      <c r="N156" s="41"/>
      <c r="O156" s="37" t="s">
        <v>2689</v>
      </c>
    </row>
    <row r="157" spans="1:15" ht="21" customHeight="1" x14ac:dyDescent="0.2">
      <c r="A157" s="22">
        <v>1304178000</v>
      </c>
      <c r="B157" s="9" t="s">
        <v>2017</v>
      </c>
      <c r="C157" s="53" t="s">
        <v>2018</v>
      </c>
      <c r="D157" s="53" t="s">
        <v>2019</v>
      </c>
      <c r="E157" s="72" t="s">
        <v>628</v>
      </c>
      <c r="F157" s="71">
        <v>1</v>
      </c>
      <c r="G157">
        <v>4.54</v>
      </c>
      <c r="H157">
        <v>1</v>
      </c>
      <c r="I157" s="37"/>
      <c r="J157" s="37"/>
      <c r="K157" s="37"/>
      <c r="L157" s="44" t="s">
        <v>2696</v>
      </c>
      <c r="M157" s="38" t="s">
        <v>2739</v>
      </c>
      <c r="N157" s="67" t="s">
        <v>852</v>
      </c>
      <c r="O157" s="37"/>
    </row>
    <row r="158" spans="1:15" ht="21" customHeight="1" x14ac:dyDescent="0.2">
      <c r="A158" s="22">
        <v>1304179000</v>
      </c>
      <c r="B158" s="9" t="s">
        <v>2020</v>
      </c>
      <c r="C158" s="53" t="s">
        <v>2021</v>
      </c>
      <c r="D158" s="53"/>
      <c r="E158" s="70" t="s">
        <v>594</v>
      </c>
      <c r="F158" s="71">
        <v>1</v>
      </c>
      <c r="H158">
        <v>1</v>
      </c>
      <c r="I158" s="37"/>
      <c r="J158" s="37"/>
      <c r="K158" s="37"/>
      <c r="L158" s="41"/>
      <c r="M158" s="41"/>
      <c r="N158" s="41"/>
      <c r="O158" s="37"/>
    </row>
    <row r="159" spans="1:15" ht="21" customHeight="1" x14ac:dyDescent="0.2">
      <c r="A159" s="22">
        <v>1003180000</v>
      </c>
      <c r="B159" s="9" t="s">
        <v>2022</v>
      </c>
      <c r="C159" s="53" t="s">
        <v>2023</v>
      </c>
      <c r="D159" s="53" t="s">
        <v>2024</v>
      </c>
      <c r="E159" s="74" t="s">
        <v>2724</v>
      </c>
      <c r="F159" s="71">
        <v>2</v>
      </c>
      <c r="G159">
        <v>2</v>
      </c>
      <c r="H159">
        <v>2</v>
      </c>
      <c r="I159" s="37"/>
      <c r="J159" s="37"/>
      <c r="K159" s="37"/>
      <c r="L159" s="33">
        <v>61101010</v>
      </c>
      <c r="M159" s="34" t="s">
        <v>2574</v>
      </c>
      <c r="N159" s="35" t="s">
        <v>2576</v>
      </c>
      <c r="O159" s="37"/>
    </row>
    <row r="160" spans="1:15" ht="21" customHeight="1" x14ac:dyDescent="0.2">
      <c r="A160" s="22">
        <v>1003181000</v>
      </c>
      <c r="B160" s="9" t="s">
        <v>2025</v>
      </c>
      <c r="C160" s="53" t="s">
        <v>1742</v>
      </c>
      <c r="D160" s="53"/>
      <c r="E160" s="70" t="s">
        <v>2724</v>
      </c>
      <c r="F160" s="71">
        <v>2.25</v>
      </c>
      <c r="G160">
        <v>2.25</v>
      </c>
      <c r="H160">
        <v>1</v>
      </c>
      <c r="I160" s="37">
        <v>1.845</v>
      </c>
      <c r="J160" s="37"/>
      <c r="K160" s="37"/>
      <c r="L160" s="33">
        <v>61201010</v>
      </c>
      <c r="M160" s="34" t="s">
        <v>2575</v>
      </c>
      <c r="N160" s="35" t="s">
        <v>2576</v>
      </c>
      <c r="O160" s="37">
        <v>1003180000</v>
      </c>
    </row>
    <row r="161" spans="1:15" ht="21" customHeight="1" x14ac:dyDescent="0.2">
      <c r="A161" s="22">
        <v>603182000</v>
      </c>
      <c r="B161" s="9" t="s">
        <v>2026</v>
      </c>
      <c r="C161" s="53" t="s">
        <v>2027</v>
      </c>
      <c r="D161" s="53"/>
      <c r="E161" s="70" t="s">
        <v>594</v>
      </c>
      <c r="F161" s="71">
        <v>1</v>
      </c>
      <c r="H161">
        <v>1</v>
      </c>
      <c r="I161" s="37"/>
      <c r="J161" s="37"/>
      <c r="K161" s="37"/>
      <c r="L161" s="33"/>
      <c r="M161" s="41"/>
      <c r="N161" s="41"/>
      <c r="O161" s="37"/>
    </row>
    <row r="162" spans="1:15" ht="21" customHeight="1" x14ac:dyDescent="0.2">
      <c r="A162" s="22">
        <v>2302183000</v>
      </c>
      <c r="B162" s="9" t="s">
        <v>2028</v>
      </c>
      <c r="C162" s="53" t="s">
        <v>1770</v>
      </c>
      <c r="D162" s="53"/>
      <c r="E162" s="74" t="s">
        <v>2724</v>
      </c>
      <c r="F162" s="71">
        <v>1.28</v>
      </c>
      <c r="G162">
        <v>1.28</v>
      </c>
      <c r="H162">
        <v>1</v>
      </c>
      <c r="I162" s="37"/>
      <c r="J162" s="37"/>
      <c r="K162" s="37"/>
      <c r="L162" s="33">
        <v>63125010</v>
      </c>
      <c r="M162" s="34" t="s">
        <v>2577</v>
      </c>
      <c r="N162" s="35" t="s">
        <v>2578</v>
      </c>
      <c r="O162" s="37"/>
    </row>
    <row r="163" spans="1:15" ht="21" customHeight="1" x14ac:dyDescent="0.2">
      <c r="A163" s="22">
        <v>1400155000</v>
      </c>
      <c r="B163" s="9" t="s">
        <v>2029</v>
      </c>
      <c r="C163" s="53" t="s">
        <v>1729</v>
      </c>
      <c r="D163" s="53" t="s">
        <v>2030</v>
      </c>
      <c r="E163" s="72" t="s">
        <v>628</v>
      </c>
      <c r="F163" s="71">
        <v>1</v>
      </c>
      <c r="G163">
        <v>1</v>
      </c>
      <c r="H163">
        <v>1</v>
      </c>
      <c r="I163" s="37"/>
      <c r="J163" s="37"/>
      <c r="K163" s="37"/>
      <c r="L163" s="33">
        <v>42107000</v>
      </c>
      <c r="M163" s="34" t="s">
        <v>2579</v>
      </c>
      <c r="N163" s="35" t="s">
        <v>2473</v>
      </c>
      <c r="O163" s="76" t="s">
        <v>2758</v>
      </c>
    </row>
    <row r="164" spans="1:15" ht="21" customHeight="1" x14ac:dyDescent="0.2">
      <c r="A164" s="22">
        <v>1901184000</v>
      </c>
      <c r="B164" s="9" t="s">
        <v>2031</v>
      </c>
      <c r="C164" s="53" t="s">
        <v>1782</v>
      </c>
      <c r="D164" s="53" t="s">
        <v>2032</v>
      </c>
      <c r="E164" s="70" t="s">
        <v>594</v>
      </c>
      <c r="F164" s="71">
        <v>1</v>
      </c>
      <c r="H164">
        <v>1</v>
      </c>
      <c r="I164" s="37"/>
      <c r="J164" s="37"/>
      <c r="K164" s="37"/>
      <c r="L164" s="41"/>
      <c r="M164" s="41"/>
      <c r="N164" s="41"/>
      <c r="O164" s="37"/>
    </row>
    <row r="165" spans="1:15" ht="21" customHeight="1" x14ac:dyDescent="0.2">
      <c r="A165" s="22">
        <v>9500186000</v>
      </c>
      <c r="B165" s="9" t="s">
        <v>588</v>
      </c>
      <c r="C165" s="53" t="s">
        <v>2033</v>
      </c>
      <c r="D165" s="53"/>
      <c r="E165" s="70" t="s">
        <v>2724</v>
      </c>
      <c r="F165" s="71">
        <v>1</v>
      </c>
      <c r="G165">
        <v>1</v>
      </c>
      <c r="H165">
        <v>1</v>
      </c>
      <c r="I165" s="37"/>
      <c r="J165" s="37"/>
      <c r="K165" s="37"/>
      <c r="L165" s="33">
        <v>91302010</v>
      </c>
      <c r="M165" s="34" t="s">
        <v>588</v>
      </c>
      <c r="N165" s="35" t="s">
        <v>2471</v>
      </c>
      <c r="O165" s="37"/>
    </row>
    <row r="166" spans="1:15" ht="21" customHeight="1" x14ac:dyDescent="0.2">
      <c r="A166" s="22">
        <v>901187000</v>
      </c>
      <c r="B166" s="9" t="s">
        <v>2034</v>
      </c>
      <c r="C166" s="53" t="s">
        <v>2023</v>
      </c>
      <c r="D166" s="53"/>
      <c r="E166" s="74" t="s">
        <v>2724</v>
      </c>
      <c r="F166" s="71">
        <v>2.17</v>
      </c>
      <c r="G166">
        <v>2.17</v>
      </c>
      <c r="H166">
        <v>2.1739130434782612</v>
      </c>
      <c r="I166" s="37"/>
      <c r="J166" s="37"/>
      <c r="K166" s="37"/>
      <c r="L166" s="33">
        <v>63127010</v>
      </c>
      <c r="M166" s="34" t="s">
        <v>2580</v>
      </c>
      <c r="N166" s="35" t="s">
        <v>2524</v>
      </c>
      <c r="O166" s="37"/>
    </row>
    <row r="167" spans="1:15" ht="21" customHeight="1" x14ac:dyDescent="0.2">
      <c r="A167" s="22">
        <v>9500188000</v>
      </c>
      <c r="B167" s="9" t="s">
        <v>2035</v>
      </c>
      <c r="C167" s="53" t="s">
        <v>2036</v>
      </c>
      <c r="D167" s="53"/>
      <c r="E167" s="70" t="s">
        <v>594</v>
      </c>
      <c r="F167" s="71">
        <v>1</v>
      </c>
      <c r="H167">
        <v>1</v>
      </c>
      <c r="I167" s="37"/>
      <c r="J167" s="37"/>
      <c r="K167" s="37"/>
      <c r="L167" s="41"/>
      <c r="M167" s="41"/>
      <c r="N167" s="41"/>
      <c r="O167" s="37"/>
    </row>
    <row r="168" spans="1:15" ht="21" customHeight="1" x14ac:dyDescent="0.2">
      <c r="A168" s="22">
        <v>101190000</v>
      </c>
      <c r="B168" s="9" t="s">
        <v>2037</v>
      </c>
      <c r="C168" s="53" t="s">
        <v>2038</v>
      </c>
      <c r="D168" s="53"/>
      <c r="E168" s="70" t="s">
        <v>594</v>
      </c>
      <c r="F168" s="71">
        <v>1</v>
      </c>
      <c r="G168">
        <v>0.76800000000000002</v>
      </c>
      <c r="H168">
        <v>1</v>
      </c>
      <c r="I168" s="37"/>
      <c r="J168" s="37"/>
      <c r="K168" s="37"/>
      <c r="L168" s="33">
        <v>75503090</v>
      </c>
      <c r="M168" s="34" t="s">
        <v>2037</v>
      </c>
      <c r="N168" s="35" t="s">
        <v>2515</v>
      </c>
      <c r="O168" s="37"/>
    </row>
    <row r="169" spans="1:15" ht="21" customHeight="1" x14ac:dyDescent="0.2">
      <c r="A169" s="22">
        <v>1302191000</v>
      </c>
      <c r="B169" s="9" t="s">
        <v>2039</v>
      </c>
      <c r="C169" s="53" t="s">
        <v>1834</v>
      </c>
      <c r="D169" s="53"/>
      <c r="E169" s="74" t="s">
        <v>2724</v>
      </c>
      <c r="F169" s="71">
        <v>1.05</v>
      </c>
      <c r="G169">
        <v>1.05</v>
      </c>
      <c r="H169">
        <v>1</v>
      </c>
      <c r="I169" s="37"/>
      <c r="J169" s="37"/>
      <c r="K169" s="37"/>
      <c r="L169" s="33">
        <v>63214000</v>
      </c>
      <c r="M169" s="34" t="s">
        <v>2581</v>
      </c>
      <c r="N169" s="35" t="s">
        <v>2507</v>
      </c>
      <c r="O169" s="37"/>
    </row>
    <row r="170" spans="1:15" ht="21" customHeight="1" x14ac:dyDescent="0.2">
      <c r="A170" s="22">
        <v>402194000</v>
      </c>
      <c r="B170" s="9" t="s">
        <v>2040</v>
      </c>
      <c r="C170" s="53" t="s">
        <v>1760</v>
      </c>
      <c r="D170" s="53" t="s">
        <v>2041</v>
      </c>
      <c r="E170" s="70" t="s">
        <v>2735</v>
      </c>
      <c r="F170" s="71">
        <v>1.639344262295082</v>
      </c>
      <c r="G170">
        <v>0.92299999999999993</v>
      </c>
      <c r="H170">
        <v>1.639344262295082</v>
      </c>
      <c r="I170" s="37"/>
      <c r="J170" s="37"/>
      <c r="K170" s="37"/>
      <c r="L170" s="33">
        <v>72119211</v>
      </c>
      <c r="M170" s="34" t="s">
        <v>2582</v>
      </c>
      <c r="N170" s="35" t="s">
        <v>2515</v>
      </c>
      <c r="O170" s="37"/>
    </row>
    <row r="171" spans="1:15" ht="21" customHeight="1" x14ac:dyDescent="0.2">
      <c r="A171" s="22">
        <v>1304195000</v>
      </c>
      <c r="B171" s="9" t="s">
        <v>2042</v>
      </c>
      <c r="C171" s="53" t="s">
        <v>2043</v>
      </c>
      <c r="D171" s="53"/>
      <c r="E171" s="74" t="s">
        <v>2724</v>
      </c>
      <c r="F171" s="71">
        <v>1.1599999999999999</v>
      </c>
      <c r="G171">
        <v>1.1599999999999999</v>
      </c>
      <c r="H171">
        <v>1.1627906976744187</v>
      </c>
      <c r="I171" s="37"/>
      <c r="J171" s="37"/>
      <c r="K171" s="37"/>
      <c r="L171" s="33">
        <v>63126500</v>
      </c>
      <c r="M171" s="34" t="s">
        <v>2583</v>
      </c>
      <c r="N171" s="35" t="s">
        <v>2487</v>
      </c>
      <c r="O171" s="37"/>
    </row>
    <row r="172" spans="1:15" ht="21" customHeight="1" x14ac:dyDescent="0.2">
      <c r="A172" s="22">
        <v>2201196000</v>
      </c>
      <c r="B172" s="9" t="s">
        <v>2044</v>
      </c>
      <c r="C172" s="53" t="s">
        <v>1782</v>
      </c>
      <c r="D172" s="53"/>
      <c r="E172" s="74" t="s">
        <v>2724</v>
      </c>
      <c r="F172" s="71">
        <v>2.17</v>
      </c>
      <c r="G172">
        <v>2.17</v>
      </c>
      <c r="H172">
        <v>1</v>
      </c>
      <c r="I172" s="37"/>
      <c r="J172" s="37"/>
      <c r="K172" s="37"/>
      <c r="L172" s="33">
        <v>75112000</v>
      </c>
      <c r="M172" s="34" t="s">
        <v>2584</v>
      </c>
      <c r="N172" s="35" t="s">
        <v>2515</v>
      </c>
      <c r="O172" s="37"/>
    </row>
    <row r="173" spans="1:15" ht="21" customHeight="1" x14ac:dyDescent="0.2">
      <c r="A173" s="22">
        <v>1002197000</v>
      </c>
      <c r="B173" s="9" t="s">
        <v>2045</v>
      </c>
      <c r="C173" s="53" t="s">
        <v>2046</v>
      </c>
      <c r="D173" s="53"/>
      <c r="E173" s="74" t="s">
        <v>2724</v>
      </c>
      <c r="F173" s="71">
        <v>1.08</v>
      </c>
      <c r="G173">
        <v>1.08</v>
      </c>
      <c r="H173">
        <v>1</v>
      </c>
      <c r="I173" s="37"/>
      <c r="J173" s="37"/>
      <c r="K173" s="37"/>
      <c r="L173" s="33">
        <v>61110010</v>
      </c>
      <c r="M173" s="34" t="s">
        <v>2585</v>
      </c>
      <c r="N173" s="35" t="s">
        <v>2576</v>
      </c>
      <c r="O173" s="37"/>
    </row>
    <row r="174" spans="1:15" ht="21" customHeight="1" x14ac:dyDescent="0.2">
      <c r="A174" s="22">
        <v>302198000</v>
      </c>
      <c r="B174" s="9" t="s">
        <v>868</v>
      </c>
      <c r="C174" s="53" t="s">
        <v>2047</v>
      </c>
      <c r="D174" s="53" t="s">
        <v>2048</v>
      </c>
      <c r="E174" s="71" t="s">
        <v>628</v>
      </c>
      <c r="F174" s="71">
        <v>1</v>
      </c>
      <c r="G174">
        <v>2.27</v>
      </c>
      <c r="H174">
        <v>1</v>
      </c>
      <c r="I174" s="37"/>
      <c r="J174" s="37"/>
      <c r="K174" s="37"/>
      <c r="L174" s="33">
        <v>75112500</v>
      </c>
      <c r="M174" s="34" t="s">
        <v>2586</v>
      </c>
      <c r="N174" s="35" t="s">
        <v>2481</v>
      </c>
      <c r="O174" s="37"/>
    </row>
    <row r="175" spans="1:15" ht="21" customHeight="1" x14ac:dyDescent="0.2">
      <c r="A175" s="22">
        <v>1002199000</v>
      </c>
      <c r="B175" s="9" t="s">
        <v>2049</v>
      </c>
      <c r="C175" s="53" t="s">
        <v>1912</v>
      </c>
      <c r="D175" s="53"/>
      <c r="E175" s="74" t="s">
        <v>2724</v>
      </c>
      <c r="F175" s="71">
        <v>1.89</v>
      </c>
      <c r="G175">
        <v>1.89</v>
      </c>
      <c r="H175">
        <v>1.8867924528301885</v>
      </c>
      <c r="I175" s="37"/>
      <c r="J175" s="37"/>
      <c r="K175" s="37"/>
      <c r="L175" s="33">
        <v>61113010</v>
      </c>
      <c r="M175" s="34" t="s">
        <v>2587</v>
      </c>
      <c r="N175" s="35" t="s">
        <v>2576</v>
      </c>
      <c r="O175" s="37" t="s">
        <v>2689</v>
      </c>
    </row>
    <row r="176" spans="1:15" ht="21" customHeight="1" x14ac:dyDescent="0.2">
      <c r="A176" s="22">
        <v>1002200000</v>
      </c>
      <c r="B176" s="9" t="s">
        <v>2050</v>
      </c>
      <c r="C176" s="54" t="s">
        <v>1742</v>
      </c>
      <c r="D176" s="53"/>
      <c r="E176" s="70" t="s">
        <v>2724</v>
      </c>
      <c r="F176" s="71">
        <v>3.25</v>
      </c>
      <c r="G176">
        <v>3.25</v>
      </c>
      <c r="H176">
        <v>1</v>
      </c>
      <c r="I176" s="37">
        <v>1.6</v>
      </c>
      <c r="J176" s="37"/>
      <c r="K176" s="37"/>
      <c r="L176" s="33">
        <v>61204010</v>
      </c>
      <c r="M176" s="34" t="s">
        <v>2588</v>
      </c>
      <c r="N176" s="35" t="s">
        <v>2576</v>
      </c>
      <c r="O176" s="37">
        <v>1002199000</v>
      </c>
    </row>
    <row r="177" spans="1:15" ht="21" customHeight="1" x14ac:dyDescent="0.2">
      <c r="A177" s="22">
        <v>1002201000</v>
      </c>
      <c r="B177" s="9" t="s">
        <v>2051</v>
      </c>
      <c r="C177" s="53" t="s">
        <v>2052</v>
      </c>
      <c r="D177" s="53"/>
      <c r="E177" s="70" t="s">
        <v>594</v>
      </c>
      <c r="F177" s="71">
        <v>1</v>
      </c>
      <c r="H177">
        <v>1</v>
      </c>
      <c r="I177" s="37"/>
      <c r="J177" s="37"/>
      <c r="K177" s="37"/>
      <c r="L177" s="41"/>
      <c r="M177" s="41"/>
      <c r="N177" s="41"/>
      <c r="O177" s="37" t="s">
        <v>2689</v>
      </c>
    </row>
    <row r="178" spans="1:15" ht="21" customHeight="1" x14ac:dyDescent="0.2">
      <c r="A178" s="22">
        <v>603203000</v>
      </c>
      <c r="B178" s="9" t="s">
        <v>2053</v>
      </c>
      <c r="C178" s="53" t="s">
        <v>2054</v>
      </c>
      <c r="D178" s="53"/>
      <c r="E178" s="70" t="s">
        <v>594</v>
      </c>
      <c r="F178" s="71">
        <v>1</v>
      </c>
      <c r="G178">
        <v>0.33799999999999997</v>
      </c>
      <c r="H178">
        <v>1</v>
      </c>
      <c r="I178" s="37"/>
      <c r="J178" s="37"/>
      <c r="K178" s="37"/>
      <c r="L178" s="33">
        <v>41305000</v>
      </c>
      <c r="M178" s="34" t="s">
        <v>2589</v>
      </c>
      <c r="N178" s="35" t="s">
        <v>2481</v>
      </c>
      <c r="O178" s="37"/>
    </row>
    <row r="179" spans="1:15" ht="21" customHeight="1" x14ac:dyDescent="0.2">
      <c r="A179" s="22">
        <v>401204000</v>
      </c>
      <c r="B179" s="9" t="s">
        <v>2055</v>
      </c>
      <c r="C179" s="53" t="s">
        <v>2056</v>
      </c>
      <c r="D179" s="53"/>
      <c r="E179" s="70" t="s">
        <v>2724</v>
      </c>
      <c r="F179" s="71">
        <v>1.05</v>
      </c>
      <c r="G179">
        <v>1.05</v>
      </c>
      <c r="H179">
        <v>1.1904761904761905</v>
      </c>
      <c r="I179" s="37"/>
      <c r="J179" s="37"/>
      <c r="K179" s="37"/>
      <c r="L179" s="33" t="s">
        <v>2718</v>
      </c>
      <c r="M179" s="34" t="s">
        <v>2741</v>
      </c>
      <c r="N179" s="35" t="s">
        <v>631</v>
      </c>
      <c r="O179" s="37" t="s">
        <v>2689</v>
      </c>
    </row>
    <row r="180" spans="1:15" ht="21" customHeight="1" x14ac:dyDescent="0.2">
      <c r="A180" s="22">
        <v>401205000</v>
      </c>
      <c r="B180" s="9" t="s">
        <v>2057</v>
      </c>
      <c r="C180" s="53" t="s">
        <v>1760</v>
      </c>
      <c r="D180" s="53" t="s">
        <v>2058</v>
      </c>
      <c r="E180" s="70" t="s">
        <v>2737</v>
      </c>
      <c r="F180" s="71">
        <v>1.26</v>
      </c>
      <c r="G180">
        <v>1.56</v>
      </c>
      <c r="H180">
        <v>1.2605094979390701</v>
      </c>
      <c r="I180" s="37"/>
      <c r="J180" s="37"/>
      <c r="K180" s="37">
        <v>1.26</v>
      </c>
      <c r="L180" s="43" t="s">
        <v>2718</v>
      </c>
      <c r="M180" s="42" t="s">
        <v>2742</v>
      </c>
      <c r="N180" s="45" t="s">
        <v>162</v>
      </c>
      <c r="O180" s="76" t="s">
        <v>2753</v>
      </c>
    </row>
    <row r="181" spans="1:15" ht="21" customHeight="1" x14ac:dyDescent="0.2">
      <c r="A181" s="22">
        <v>1002206000</v>
      </c>
      <c r="B181" s="9" t="s">
        <v>2059</v>
      </c>
      <c r="C181" s="53" t="s">
        <v>1912</v>
      </c>
      <c r="D181" s="53" t="s">
        <v>2060</v>
      </c>
      <c r="E181" s="74" t="s">
        <v>2724</v>
      </c>
      <c r="F181" s="71">
        <v>1.2</v>
      </c>
      <c r="G181">
        <v>1.2</v>
      </c>
      <c r="H181">
        <v>1.1904761904761905</v>
      </c>
      <c r="I181" s="37"/>
      <c r="J181" s="37"/>
      <c r="K181" s="37"/>
      <c r="L181" s="33">
        <v>61116010</v>
      </c>
      <c r="M181" s="34" t="s">
        <v>2590</v>
      </c>
      <c r="N181" s="35" t="s">
        <v>2576</v>
      </c>
      <c r="O181" s="37"/>
    </row>
    <row r="182" spans="1:15" ht="21" customHeight="1" x14ac:dyDescent="0.2">
      <c r="A182" s="22">
        <v>1002207000</v>
      </c>
      <c r="B182" s="9" t="s">
        <v>2061</v>
      </c>
      <c r="C182" s="53" t="s">
        <v>1742</v>
      </c>
      <c r="D182" s="53" t="s">
        <v>2062</v>
      </c>
      <c r="E182" s="74" t="s">
        <v>2724</v>
      </c>
      <c r="F182" s="71">
        <v>3.25</v>
      </c>
      <c r="G182">
        <v>3.25</v>
      </c>
      <c r="H182">
        <v>1</v>
      </c>
      <c r="I182" s="37"/>
      <c r="J182" s="37"/>
      <c r="K182" s="37"/>
      <c r="L182" s="33">
        <v>61207010</v>
      </c>
      <c r="M182" s="34" t="s">
        <v>2591</v>
      </c>
      <c r="N182" s="35" t="s">
        <v>2576</v>
      </c>
      <c r="O182" s="37"/>
    </row>
    <row r="183" spans="1:15" ht="21" customHeight="1" x14ac:dyDescent="0.2">
      <c r="A183" s="22">
        <v>2401211000</v>
      </c>
      <c r="B183" s="9" t="s">
        <v>2063</v>
      </c>
      <c r="C183" s="53" t="s">
        <v>1842</v>
      </c>
      <c r="D183" s="53"/>
      <c r="E183" s="74" t="s">
        <v>2724</v>
      </c>
      <c r="F183" s="71">
        <v>1.67</v>
      </c>
      <c r="G183">
        <v>1.67</v>
      </c>
      <c r="H183">
        <v>1</v>
      </c>
      <c r="I183" s="37"/>
      <c r="J183" s="37"/>
      <c r="K183" s="37"/>
      <c r="L183" s="33">
        <v>63126510</v>
      </c>
      <c r="M183" s="34" t="s">
        <v>2592</v>
      </c>
      <c r="N183" s="35" t="s">
        <v>2578</v>
      </c>
      <c r="O183" s="37"/>
    </row>
    <row r="184" spans="1:15" ht="21" customHeight="1" x14ac:dyDescent="0.2">
      <c r="A184" s="22">
        <v>1400213000</v>
      </c>
      <c r="B184" s="9" t="s">
        <v>2064</v>
      </c>
      <c r="C184" s="53" t="s">
        <v>1729</v>
      </c>
      <c r="D184" s="53"/>
      <c r="E184" s="70" t="s">
        <v>2724</v>
      </c>
      <c r="F184" s="71">
        <v>1</v>
      </c>
      <c r="G184">
        <v>1</v>
      </c>
      <c r="H184">
        <v>1</v>
      </c>
      <c r="I184" s="37"/>
      <c r="J184" s="37"/>
      <c r="K184" s="37"/>
      <c r="L184" s="33">
        <v>42109000</v>
      </c>
      <c r="M184" s="34" t="s">
        <v>2593</v>
      </c>
      <c r="N184" s="35" t="s">
        <v>2473</v>
      </c>
      <c r="O184" s="37"/>
    </row>
    <row r="185" spans="1:15" ht="21" customHeight="1" x14ac:dyDescent="0.2">
      <c r="A185" s="22">
        <v>2402215000</v>
      </c>
      <c r="B185" s="9" t="s">
        <v>1551</v>
      </c>
      <c r="C185" s="53" t="s">
        <v>1842</v>
      </c>
      <c r="D185" s="53"/>
      <c r="E185" s="74" t="s">
        <v>2724</v>
      </c>
      <c r="F185" s="71">
        <v>1.45</v>
      </c>
      <c r="G185">
        <v>1.45</v>
      </c>
      <c r="H185">
        <v>1.4492753623188408</v>
      </c>
      <c r="I185" s="37"/>
      <c r="J185" s="37"/>
      <c r="K185" s="37"/>
      <c r="L185" s="33">
        <v>63129010</v>
      </c>
      <c r="M185" s="34" t="s">
        <v>2594</v>
      </c>
      <c r="N185" s="35" t="s">
        <v>2578</v>
      </c>
      <c r="O185" s="37"/>
    </row>
    <row r="186" spans="1:15" ht="21" customHeight="1" x14ac:dyDescent="0.2">
      <c r="A186" s="22">
        <v>2402216000</v>
      </c>
      <c r="B186" s="9" t="s">
        <v>2065</v>
      </c>
      <c r="C186" s="53" t="s">
        <v>2066</v>
      </c>
      <c r="D186" s="53"/>
      <c r="E186" s="70" t="s">
        <v>2737</v>
      </c>
      <c r="F186" s="73">
        <v>5.0423216444981849</v>
      </c>
      <c r="G186">
        <v>4.21</v>
      </c>
      <c r="H186">
        <v>1</v>
      </c>
      <c r="I186" s="37"/>
      <c r="J186" s="37"/>
      <c r="K186" s="37">
        <v>5.0423216444981849</v>
      </c>
      <c r="L186" s="33">
        <v>62114050</v>
      </c>
      <c r="M186" s="34" t="s">
        <v>2065</v>
      </c>
      <c r="N186" s="35" t="s">
        <v>2578</v>
      </c>
      <c r="O186" s="37">
        <v>2402215000</v>
      </c>
    </row>
    <row r="187" spans="1:15" ht="21" customHeight="1" x14ac:dyDescent="0.2">
      <c r="A187" s="22">
        <v>2402217000</v>
      </c>
      <c r="B187" s="9" t="s">
        <v>2067</v>
      </c>
      <c r="C187" s="53" t="s">
        <v>1742</v>
      </c>
      <c r="D187" s="53"/>
      <c r="E187" s="72" t="s">
        <v>878</v>
      </c>
      <c r="F187" s="71">
        <v>1.88</v>
      </c>
      <c r="G187">
        <v>0.57999999999999996</v>
      </c>
      <c r="H187">
        <v>1</v>
      </c>
      <c r="I187" s="37"/>
      <c r="J187" s="37"/>
      <c r="K187" s="37"/>
      <c r="L187" s="33">
        <v>64204010</v>
      </c>
      <c r="M187" s="34" t="s">
        <v>2595</v>
      </c>
      <c r="N187" s="35" t="s">
        <v>2578</v>
      </c>
      <c r="O187" s="37" t="s">
        <v>2689</v>
      </c>
    </row>
    <row r="188" spans="1:15" ht="21" customHeight="1" x14ac:dyDescent="0.2">
      <c r="A188" s="22">
        <v>9500219000</v>
      </c>
      <c r="B188" s="9" t="s">
        <v>2068</v>
      </c>
      <c r="C188" s="53" t="s">
        <v>1943</v>
      </c>
      <c r="D188" s="53"/>
      <c r="E188" s="70" t="s">
        <v>2724</v>
      </c>
      <c r="F188" s="71">
        <v>1</v>
      </c>
      <c r="G188">
        <v>1</v>
      </c>
      <c r="H188">
        <v>1</v>
      </c>
      <c r="I188" s="37"/>
      <c r="J188" s="37"/>
      <c r="K188" s="37"/>
      <c r="L188" s="33">
        <v>91301060</v>
      </c>
      <c r="M188" s="34" t="s">
        <v>2596</v>
      </c>
      <c r="N188" s="35" t="s">
        <v>2471</v>
      </c>
      <c r="O188" s="37"/>
    </row>
    <row r="189" spans="1:15" ht="21" customHeight="1" x14ac:dyDescent="0.2">
      <c r="A189" s="22">
        <v>9500218000</v>
      </c>
      <c r="B189" s="9" t="s">
        <v>2069</v>
      </c>
      <c r="C189" s="53" t="s">
        <v>2070</v>
      </c>
      <c r="D189" s="53"/>
      <c r="E189" s="70" t="s">
        <v>2737</v>
      </c>
      <c r="F189" s="71">
        <v>1.36</v>
      </c>
      <c r="G189">
        <v>1</v>
      </c>
      <c r="H189">
        <v>1</v>
      </c>
      <c r="I189" s="37"/>
      <c r="J189" s="37"/>
      <c r="K189" s="37">
        <v>1.36</v>
      </c>
      <c r="L189" s="33">
        <v>91103010</v>
      </c>
      <c r="M189" s="34" t="s">
        <v>2597</v>
      </c>
      <c r="N189" s="35" t="s">
        <v>2471</v>
      </c>
      <c r="O189" s="76" t="s">
        <v>2755</v>
      </c>
    </row>
    <row r="190" spans="1:15" ht="21" customHeight="1" x14ac:dyDescent="0.2">
      <c r="A190" s="22">
        <v>1901220000</v>
      </c>
      <c r="B190" s="9" t="s">
        <v>2071</v>
      </c>
      <c r="C190" s="53" t="s">
        <v>1782</v>
      </c>
      <c r="D190" s="53" t="s">
        <v>2072</v>
      </c>
      <c r="E190" s="70" t="s">
        <v>594</v>
      </c>
      <c r="F190" s="71">
        <v>1</v>
      </c>
      <c r="H190">
        <v>1</v>
      </c>
      <c r="I190" s="37"/>
      <c r="J190" s="37"/>
      <c r="K190" s="37"/>
      <c r="L190" s="41"/>
      <c r="M190" s="41"/>
      <c r="N190" s="41"/>
      <c r="O190" s="37"/>
    </row>
    <row r="191" spans="1:15" ht="21" customHeight="1" x14ac:dyDescent="0.2">
      <c r="A191" s="22">
        <v>3800221000</v>
      </c>
      <c r="B191" s="9" t="s">
        <v>2073</v>
      </c>
      <c r="C191" s="53" t="s">
        <v>2074</v>
      </c>
      <c r="D191" s="53" t="s">
        <v>2075</v>
      </c>
      <c r="E191" s="70" t="s">
        <v>594</v>
      </c>
      <c r="F191" s="71">
        <v>1</v>
      </c>
      <c r="H191">
        <v>1</v>
      </c>
      <c r="I191" s="37"/>
      <c r="J191" s="37"/>
      <c r="K191" s="37"/>
      <c r="L191" s="41"/>
      <c r="M191" s="41"/>
      <c r="N191" s="41"/>
      <c r="O191" s="37"/>
    </row>
    <row r="192" spans="1:15" ht="21" customHeight="1" x14ac:dyDescent="0.2">
      <c r="A192" s="22">
        <v>3600222000</v>
      </c>
      <c r="B192" s="9" t="s">
        <v>2076</v>
      </c>
      <c r="C192" s="53" t="s">
        <v>2077</v>
      </c>
      <c r="D192" s="53"/>
      <c r="E192" s="70" t="s">
        <v>594</v>
      </c>
      <c r="F192" s="71">
        <v>1</v>
      </c>
      <c r="H192">
        <v>1</v>
      </c>
      <c r="I192" s="37"/>
      <c r="J192" s="37"/>
      <c r="K192" s="37"/>
      <c r="L192" s="41"/>
      <c r="M192" s="41"/>
      <c r="N192" s="41"/>
      <c r="O192" s="37"/>
    </row>
    <row r="193" spans="1:15" ht="21" customHeight="1" x14ac:dyDescent="0.2">
      <c r="A193" s="22">
        <v>3600223000</v>
      </c>
      <c r="B193" s="9" t="s">
        <v>2078</v>
      </c>
      <c r="C193" s="53" t="s">
        <v>2079</v>
      </c>
      <c r="D193" s="53" t="s">
        <v>2080</v>
      </c>
      <c r="E193" s="70" t="s">
        <v>594</v>
      </c>
      <c r="F193" s="71">
        <v>1</v>
      </c>
      <c r="H193">
        <v>1</v>
      </c>
      <c r="I193" s="37"/>
      <c r="J193" s="37"/>
      <c r="K193" s="37"/>
      <c r="L193" s="41"/>
      <c r="M193" s="41"/>
      <c r="N193" s="41"/>
      <c r="O193" s="37"/>
    </row>
    <row r="194" spans="1:15" ht="21" customHeight="1" x14ac:dyDescent="0.2">
      <c r="A194" s="22">
        <v>3600224000</v>
      </c>
      <c r="B194" s="9" t="s">
        <v>2081</v>
      </c>
      <c r="C194" s="53" t="s">
        <v>2082</v>
      </c>
      <c r="D194" s="53"/>
      <c r="E194" s="70" t="s">
        <v>594</v>
      </c>
      <c r="F194" s="71">
        <v>1</v>
      </c>
      <c r="H194">
        <v>1</v>
      </c>
      <c r="I194" s="37"/>
      <c r="J194" s="37"/>
      <c r="K194" s="37"/>
      <c r="L194" s="41"/>
      <c r="M194" s="41"/>
      <c r="N194" s="41"/>
      <c r="O194" s="37"/>
    </row>
    <row r="195" spans="1:15" ht="21" customHeight="1" x14ac:dyDescent="0.2">
      <c r="A195" s="22">
        <v>1500226000</v>
      </c>
      <c r="B195" s="9" t="s">
        <v>2083</v>
      </c>
      <c r="C195" s="53" t="s">
        <v>2084</v>
      </c>
      <c r="D195" s="53"/>
      <c r="E195" s="70" t="s">
        <v>594</v>
      </c>
      <c r="F195" s="71">
        <v>1</v>
      </c>
      <c r="G195">
        <v>0.28899999999999998</v>
      </c>
      <c r="H195">
        <v>1</v>
      </c>
      <c r="I195" s="37"/>
      <c r="J195" s="37"/>
      <c r="K195" s="37"/>
      <c r="L195" s="33">
        <v>56202000</v>
      </c>
      <c r="M195" s="34" t="s">
        <v>2598</v>
      </c>
      <c r="N195" s="35" t="s">
        <v>2517</v>
      </c>
      <c r="O195" s="37"/>
    </row>
    <row r="196" spans="1:15" ht="21" customHeight="1" x14ac:dyDescent="0.2">
      <c r="A196" s="22">
        <v>1303227000</v>
      </c>
      <c r="B196" s="9" t="s">
        <v>2085</v>
      </c>
      <c r="C196" s="53" t="s">
        <v>1877</v>
      </c>
      <c r="D196" s="53" t="s">
        <v>2086</v>
      </c>
      <c r="E196" s="74" t="s">
        <v>2724</v>
      </c>
      <c r="F196" s="71">
        <v>1.04</v>
      </c>
      <c r="G196">
        <v>1.04</v>
      </c>
      <c r="H196">
        <v>1</v>
      </c>
      <c r="I196" s="37"/>
      <c r="J196" s="37"/>
      <c r="K196" s="37"/>
      <c r="L196" s="33">
        <v>63217010</v>
      </c>
      <c r="M196" s="34" t="s">
        <v>2599</v>
      </c>
      <c r="N196" s="35" t="s">
        <v>2507</v>
      </c>
      <c r="O196" s="37"/>
    </row>
    <row r="197" spans="1:15" ht="21" customHeight="1" x14ac:dyDescent="0.2">
      <c r="A197" s="22">
        <v>2100228000</v>
      </c>
      <c r="B197" s="9" t="s">
        <v>736</v>
      </c>
      <c r="C197" s="53" t="s">
        <v>2087</v>
      </c>
      <c r="D197" s="53" t="s">
        <v>2088</v>
      </c>
      <c r="E197" s="74" t="s">
        <v>2724</v>
      </c>
      <c r="F197" s="71">
        <v>1.03</v>
      </c>
      <c r="G197">
        <v>1.03</v>
      </c>
      <c r="H197">
        <v>1.0309278350515465</v>
      </c>
      <c r="I197" s="37"/>
      <c r="J197" s="37"/>
      <c r="K197" s="37"/>
      <c r="L197" s="33">
        <v>75115000</v>
      </c>
      <c r="M197" s="34" t="s">
        <v>2600</v>
      </c>
      <c r="N197" s="35" t="s">
        <v>2481</v>
      </c>
      <c r="O197" s="37"/>
    </row>
    <row r="198" spans="1:15" ht="21" customHeight="1" x14ac:dyDescent="0.2">
      <c r="A198" s="22">
        <v>402229000</v>
      </c>
      <c r="B198" s="9" t="s">
        <v>2089</v>
      </c>
      <c r="C198" s="53" t="s">
        <v>1782</v>
      </c>
      <c r="D198" s="53"/>
      <c r="E198" s="74" t="s">
        <v>2724</v>
      </c>
      <c r="F198" s="71">
        <v>1.08</v>
      </c>
      <c r="G198">
        <v>1.08</v>
      </c>
      <c r="H198">
        <v>1.0752688172043012</v>
      </c>
      <c r="I198" s="37"/>
      <c r="J198" s="37"/>
      <c r="K198" s="37"/>
      <c r="L198" s="33">
        <v>72122100</v>
      </c>
      <c r="M198" s="34" t="s">
        <v>2521</v>
      </c>
      <c r="N198" s="35" t="s">
        <v>2515</v>
      </c>
      <c r="O198" s="37"/>
    </row>
    <row r="199" spans="1:15" ht="21" customHeight="1" x14ac:dyDescent="0.2">
      <c r="A199" s="22">
        <v>1202230000</v>
      </c>
      <c r="B199" s="9" t="s">
        <v>2090</v>
      </c>
      <c r="C199" s="53" t="s">
        <v>2091</v>
      </c>
      <c r="D199" s="53"/>
      <c r="E199" s="74" t="s">
        <v>2724</v>
      </c>
      <c r="F199" s="71">
        <v>1.1000000000000001</v>
      </c>
      <c r="G199">
        <v>1.1000000000000001</v>
      </c>
      <c r="H199">
        <v>1</v>
      </c>
      <c r="I199" s="37"/>
      <c r="J199" s="37"/>
      <c r="K199" s="37"/>
      <c r="L199" s="33">
        <v>63131010</v>
      </c>
      <c r="M199" s="34" t="s">
        <v>2601</v>
      </c>
      <c r="N199" s="35" t="s">
        <v>2468</v>
      </c>
      <c r="O199" s="37"/>
    </row>
    <row r="200" spans="1:15" ht="21" customHeight="1" x14ac:dyDescent="0.2">
      <c r="A200" s="22">
        <v>1500231000</v>
      </c>
      <c r="B200" s="9" t="s">
        <v>2092</v>
      </c>
      <c r="C200" s="53" t="s">
        <v>1774</v>
      </c>
      <c r="D200" s="53"/>
      <c r="E200" s="70" t="s">
        <v>2724</v>
      </c>
      <c r="F200" s="71">
        <v>1</v>
      </c>
      <c r="G200">
        <v>1</v>
      </c>
      <c r="H200">
        <v>1</v>
      </c>
      <c r="I200" s="37"/>
      <c r="J200" s="37"/>
      <c r="K200" s="37"/>
      <c r="L200" s="33">
        <v>57602500</v>
      </c>
      <c r="M200" s="34" t="s">
        <v>2602</v>
      </c>
      <c r="N200" s="35" t="s">
        <v>2603</v>
      </c>
      <c r="O200" s="37" t="s">
        <v>2689</v>
      </c>
    </row>
    <row r="201" spans="1:15" ht="21" customHeight="1" x14ac:dyDescent="0.2">
      <c r="A201" s="32">
        <v>1500232000</v>
      </c>
      <c r="B201" s="9" t="s">
        <v>2093</v>
      </c>
      <c r="C201" s="53" t="s">
        <v>1754</v>
      </c>
      <c r="D201" s="53"/>
      <c r="E201" s="70" t="s">
        <v>2724</v>
      </c>
      <c r="F201" s="71">
        <v>1</v>
      </c>
      <c r="G201">
        <v>1</v>
      </c>
      <c r="H201">
        <v>1</v>
      </c>
      <c r="I201" s="37"/>
      <c r="J201" s="37"/>
      <c r="K201" s="37"/>
      <c r="L201" s="33">
        <v>57602100</v>
      </c>
      <c r="M201" s="34" t="s">
        <v>2604</v>
      </c>
      <c r="N201" s="35" t="s">
        <v>2603</v>
      </c>
      <c r="O201" s="37" t="s">
        <v>2689</v>
      </c>
    </row>
    <row r="202" spans="1:15" ht="21" customHeight="1" x14ac:dyDescent="0.2">
      <c r="A202" s="22">
        <v>1500233000</v>
      </c>
      <c r="B202" s="9" t="s">
        <v>2094</v>
      </c>
      <c r="C202" s="53" t="s">
        <v>2095</v>
      </c>
      <c r="D202" s="53"/>
      <c r="E202" s="72" t="s">
        <v>628</v>
      </c>
      <c r="F202" s="71">
        <v>1</v>
      </c>
      <c r="G202">
        <v>0.16</v>
      </c>
      <c r="H202">
        <v>1.25</v>
      </c>
      <c r="I202" s="37"/>
      <c r="J202" s="37"/>
      <c r="K202" s="37"/>
      <c r="L202" s="44" t="s">
        <v>2699</v>
      </c>
      <c r="M202" s="48" t="s">
        <v>2703</v>
      </c>
      <c r="N202" s="49" t="s">
        <v>2702</v>
      </c>
      <c r="O202" s="37"/>
    </row>
    <row r="203" spans="1:15" ht="21" customHeight="1" x14ac:dyDescent="0.2">
      <c r="A203" s="22">
        <v>802234000</v>
      </c>
      <c r="B203" s="9" t="s">
        <v>2096</v>
      </c>
      <c r="C203" s="53" t="s">
        <v>2097</v>
      </c>
      <c r="D203" s="53"/>
      <c r="E203" s="74" t="s">
        <v>2724</v>
      </c>
      <c r="F203" s="71">
        <v>1.1599999999999999</v>
      </c>
      <c r="G203">
        <v>1.1599999999999999</v>
      </c>
      <c r="H203">
        <v>1.1627906976744187</v>
      </c>
      <c r="I203" s="37"/>
      <c r="J203" s="37"/>
      <c r="K203" s="37"/>
      <c r="L203" s="43" t="s">
        <v>2718</v>
      </c>
      <c r="M203" s="42" t="s">
        <v>2719</v>
      </c>
      <c r="N203" s="45" t="s">
        <v>162</v>
      </c>
      <c r="O203" s="37"/>
    </row>
    <row r="204" spans="1:15" ht="21" customHeight="1" x14ac:dyDescent="0.2">
      <c r="A204" s="22">
        <v>2301235000</v>
      </c>
      <c r="B204" s="9" t="s">
        <v>2098</v>
      </c>
      <c r="C204" s="53" t="s">
        <v>2099</v>
      </c>
      <c r="D204" s="53"/>
      <c r="E204" s="70" t="s">
        <v>2737</v>
      </c>
      <c r="F204" s="71">
        <v>1.163</v>
      </c>
      <c r="G204">
        <v>0.91099999999999992</v>
      </c>
      <c r="H204">
        <v>1</v>
      </c>
      <c r="I204" s="37"/>
      <c r="J204" s="37"/>
      <c r="K204" s="37">
        <f>1/(1-0.14)</f>
        <v>1.1627906976744187</v>
      </c>
      <c r="L204" s="33">
        <v>75510000</v>
      </c>
      <c r="M204" s="34" t="s">
        <v>2605</v>
      </c>
      <c r="N204" s="35" t="s">
        <v>2481</v>
      </c>
      <c r="O204" s="76" t="s">
        <v>2756</v>
      </c>
    </row>
    <row r="205" spans="1:15" ht="21" customHeight="1" x14ac:dyDescent="0.2">
      <c r="A205" s="22">
        <v>2301236000</v>
      </c>
      <c r="B205" s="9" t="s">
        <v>2100</v>
      </c>
      <c r="C205" s="53" t="s">
        <v>1731</v>
      </c>
      <c r="D205" s="53"/>
      <c r="E205" s="70" t="s">
        <v>2724</v>
      </c>
      <c r="F205" s="71">
        <v>1</v>
      </c>
      <c r="G205">
        <v>1</v>
      </c>
      <c r="H205">
        <v>1</v>
      </c>
      <c r="I205" s="37"/>
      <c r="J205" s="37"/>
      <c r="K205" s="37"/>
      <c r="L205" s="33">
        <v>82104000</v>
      </c>
      <c r="M205" s="34" t="s">
        <v>564</v>
      </c>
      <c r="N205" s="35" t="s">
        <v>2548</v>
      </c>
      <c r="O205" s="37" t="s">
        <v>2689</v>
      </c>
    </row>
    <row r="206" spans="1:15" ht="21" customHeight="1" x14ac:dyDescent="0.2">
      <c r="A206" s="22">
        <v>301237000</v>
      </c>
      <c r="B206" s="9" t="s">
        <v>2101</v>
      </c>
      <c r="C206" s="53" t="s">
        <v>2102</v>
      </c>
      <c r="D206" s="53" t="s">
        <v>2103</v>
      </c>
      <c r="E206" s="74" t="s">
        <v>2724</v>
      </c>
      <c r="F206" s="71">
        <v>1.1100000000000001</v>
      </c>
      <c r="G206">
        <v>1.1100000000000001</v>
      </c>
      <c r="H206">
        <v>1.1111111111111112</v>
      </c>
      <c r="I206" s="37"/>
      <c r="J206" s="37"/>
      <c r="K206" s="37"/>
      <c r="L206" s="33">
        <v>75117020</v>
      </c>
      <c r="M206" s="34" t="s">
        <v>2607</v>
      </c>
      <c r="N206" s="35" t="s">
        <v>871</v>
      </c>
      <c r="O206" s="37"/>
    </row>
    <row r="207" spans="1:15" ht="21" customHeight="1" x14ac:dyDescent="0.2">
      <c r="A207" s="22">
        <v>301238000</v>
      </c>
      <c r="B207" s="9" t="s">
        <v>2104</v>
      </c>
      <c r="C207" s="53" t="s">
        <v>2105</v>
      </c>
      <c r="D207" s="53" t="s">
        <v>2103</v>
      </c>
      <c r="E207" s="70" t="s">
        <v>2737</v>
      </c>
      <c r="F207" s="73">
        <v>8.6880000000000006</v>
      </c>
      <c r="H207">
        <v>1</v>
      </c>
      <c r="I207" s="37"/>
      <c r="J207" s="37">
        <v>9.0909090909090917</v>
      </c>
      <c r="K207" s="37">
        <v>8.6880000000000006</v>
      </c>
      <c r="L207" s="33">
        <v>75221100</v>
      </c>
      <c r="M207" s="34" t="s">
        <v>2606</v>
      </c>
      <c r="N207" s="41"/>
      <c r="O207" s="37">
        <v>301237000</v>
      </c>
    </row>
    <row r="208" spans="1:15" ht="21" customHeight="1" x14ac:dyDescent="0.2">
      <c r="A208" s="22">
        <v>302239000</v>
      </c>
      <c r="B208" s="9" t="s">
        <v>2106</v>
      </c>
      <c r="C208" s="53" t="s">
        <v>2107</v>
      </c>
      <c r="D208" s="53" t="s">
        <v>2108</v>
      </c>
      <c r="E208" s="74" t="s">
        <v>2724</v>
      </c>
      <c r="F208" s="71">
        <v>1.04</v>
      </c>
      <c r="G208">
        <v>1.04</v>
      </c>
      <c r="H208">
        <v>1</v>
      </c>
      <c r="I208" s="37"/>
      <c r="J208" s="37"/>
      <c r="K208" s="37"/>
      <c r="L208" s="33">
        <v>75117010</v>
      </c>
      <c r="M208" s="34" t="s">
        <v>2608</v>
      </c>
      <c r="N208" s="35" t="s">
        <v>871</v>
      </c>
      <c r="O208" s="37"/>
    </row>
    <row r="209" spans="1:15" ht="21" customHeight="1" x14ac:dyDescent="0.2">
      <c r="A209" s="22">
        <v>1001240000</v>
      </c>
      <c r="B209" s="9" t="s">
        <v>2109</v>
      </c>
      <c r="C209" s="53" t="s">
        <v>1912</v>
      </c>
      <c r="D209" s="53"/>
      <c r="E209" s="74" t="s">
        <v>2724</v>
      </c>
      <c r="F209" s="71">
        <v>1.37</v>
      </c>
      <c r="G209">
        <v>1.37</v>
      </c>
      <c r="H209">
        <v>1.3698630136986301</v>
      </c>
      <c r="I209" s="37"/>
      <c r="J209" s="37"/>
      <c r="K209" s="37"/>
      <c r="L209" s="33">
        <v>61119010</v>
      </c>
      <c r="M209" s="34" t="s">
        <v>2609</v>
      </c>
      <c r="N209" s="35" t="s">
        <v>1404</v>
      </c>
      <c r="O209" s="37"/>
    </row>
    <row r="210" spans="1:15" ht="21" customHeight="1" x14ac:dyDescent="0.2">
      <c r="A210" s="22">
        <v>1001241000</v>
      </c>
      <c r="B210" s="9" t="s">
        <v>2110</v>
      </c>
      <c r="C210" s="77" t="s">
        <v>1742</v>
      </c>
      <c r="D210" s="53"/>
      <c r="E210" s="70" t="s">
        <v>2724</v>
      </c>
      <c r="F210" s="71">
        <v>2</v>
      </c>
      <c r="G210">
        <v>2</v>
      </c>
      <c r="H210">
        <v>1</v>
      </c>
      <c r="I210" s="37">
        <v>1.111</v>
      </c>
      <c r="J210" s="37"/>
      <c r="K210" s="37"/>
      <c r="L210" s="33">
        <v>61210010</v>
      </c>
      <c r="M210" s="34" t="s">
        <v>2610</v>
      </c>
      <c r="N210" s="35" t="s">
        <v>2612</v>
      </c>
      <c r="O210" s="37">
        <v>1001240000</v>
      </c>
    </row>
    <row r="211" spans="1:15" ht="21" customHeight="1" x14ac:dyDescent="0.2">
      <c r="A211" s="22">
        <v>1001242000</v>
      </c>
      <c r="B211" s="9" t="s">
        <v>2111</v>
      </c>
      <c r="C211" s="53" t="s">
        <v>2052</v>
      </c>
      <c r="D211" s="53"/>
      <c r="E211" s="70" t="s">
        <v>594</v>
      </c>
      <c r="F211" s="71">
        <v>1</v>
      </c>
      <c r="H211">
        <v>1</v>
      </c>
      <c r="I211" s="37"/>
      <c r="J211" s="37"/>
      <c r="K211" s="37"/>
      <c r="L211" s="33">
        <v>61119100</v>
      </c>
      <c r="M211" s="34" t="s">
        <v>2611</v>
      </c>
      <c r="N211" s="41"/>
      <c r="O211" s="37"/>
    </row>
    <row r="212" spans="1:15" ht="21" customHeight="1" x14ac:dyDescent="0.2">
      <c r="A212" s="22">
        <v>2201243000</v>
      </c>
      <c r="B212" s="9" t="s">
        <v>2112</v>
      </c>
      <c r="C212" s="53" t="s">
        <v>2113</v>
      </c>
      <c r="D212" s="53"/>
      <c r="E212" s="70" t="s">
        <v>2724</v>
      </c>
      <c r="F212" s="71">
        <v>1</v>
      </c>
      <c r="G212">
        <v>1</v>
      </c>
      <c r="H212">
        <v>1</v>
      </c>
      <c r="I212" s="37"/>
      <c r="J212" s="37"/>
      <c r="K212" s="37"/>
      <c r="L212" s="33">
        <v>75221160</v>
      </c>
      <c r="M212" s="34" t="s">
        <v>2613</v>
      </c>
      <c r="N212" s="35" t="s">
        <v>2481</v>
      </c>
      <c r="O212" s="37"/>
    </row>
    <row r="213" spans="1:15" ht="21" customHeight="1" x14ac:dyDescent="0.2">
      <c r="A213" s="22">
        <v>9500244000</v>
      </c>
      <c r="B213" s="9" t="s">
        <v>2114</v>
      </c>
      <c r="C213" s="53" t="s">
        <v>1731</v>
      </c>
      <c r="D213" s="53"/>
      <c r="E213" s="70" t="s">
        <v>594</v>
      </c>
      <c r="F213" s="71">
        <v>1</v>
      </c>
      <c r="H213">
        <v>1</v>
      </c>
      <c r="I213" s="37"/>
      <c r="J213" s="37"/>
      <c r="K213" s="37"/>
      <c r="L213" s="41"/>
      <c r="M213" s="41"/>
      <c r="N213" s="41"/>
      <c r="O213" s="37"/>
    </row>
    <row r="214" spans="1:15" ht="21" customHeight="1" x14ac:dyDescent="0.2">
      <c r="A214" s="22">
        <v>2402245000</v>
      </c>
      <c r="B214" s="9" t="s">
        <v>2115</v>
      </c>
      <c r="C214" s="53" t="s">
        <v>2116</v>
      </c>
      <c r="D214" s="53"/>
      <c r="E214" s="74" t="s">
        <v>2724</v>
      </c>
      <c r="F214" s="71">
        <v>1.49</v>
      </c>
      <c r="G214">
        <v>1.49</v>
      </c>
      <c r="H214">
        <v>1.4925373134328359</v>
      </c>
      <c r="I214" s="37"/>
      <c r="J214" s="37"/>
      <c r="K214" s="37"/>
      <c r="L214" s="33">
        <v>63133010</v>
      </c>
      <c r="M214" s="34" t="s">
        <v>2614</v>
      </c>
      <c r="N214" s="35" t="s">
        <v>2578</v>
      </c>
      <c r="O214" s="37"/>
    </row>
    <row r="215" spans="1:15" ht="21" customHeight="1" x14ac:dyDescent="0.2">
      <c r="A215" s="22">
        <v>2402246000</v>
      </c>
      <c r="B215" s="9" t="s">
        <v>2117</v>
      </c>
      <c r="C215" s="53" t="s">
        <v>2066</v>
      </c>
      <c r="D215" s="53"/>
      <c r="E215" s="70" t="s">
        <v>2724</v>
      </c>
      <c r="F215" s="71">
        <v>10.7</v>
      </c>
      <c r="G215">
        <v>10.7</v>
      </c>
      <c r="H215">
        <v>1</v>
      </c>
      <c r="I215" s="37"/>
      <c r="J215" s="37"/>
      <c r="K215" s="37"/>
      <c r="L215" s="33">
        <v>62114110</v>
      </c>
      <c r="M215" s="34" t="s">
        <v>2117</v>
      </c>
      <c r="N215" s="35" t="s">
        <v>2578</v>
      </c>
      <c r="O215" s="37"/>
    </row>
    <row r="216" spans="1:15" ht="21" customHeight="1" x14ac:dyDescent="0.2">
      <c r="A216" s="22">
        <v>2402247000</v>
      </c>
      <c r="B216" s="9" t="s">
        <v>2118</v>
      </c>
      <c r="C216" s="53" t="s">
        <v>1742</v>
      </c>
      <c r="D216" s="53"/>
      <c r="E216" s="70" t="s">
        <v>2724</v>
      </c>
      <c r="F216" s="71">
        <v>1.49</v>
      </c>
      <c r="G216">
        <v>1.49</v>
      </c>
      <c r="H216">
        <v>1</v>
      </c>
      <c r="I216" s="37"/>
      <c r="J216" s="37"/>
      <c r="K216" s="37"/>
      <c r="L216" s="33">
        <v>64120010</v>
      </c>
      <c r="M216" s="34" t="s">
        <v>2615</v>
      </c>
      <c r="N216" s="35" t="s">
        <v>2578</v>
      </c>
      <c r="O216" s="37"/>
    </row>
    <row r="217" spans="1:15" ht="21" customHeight="1" x14ac:dyDescent="0.2">
      <c r="A217" s="22">
        <v>1901249000</v>
      </c>
      <c r="B217" s="9" t="s">
        <v>2119</v>
      </c>
      <c r="C217" s="53" t="s">
        <v>2120</v>
      </c>
      <c r="D217" s="53"/>
      <c r="E217" s="70" t="s">
        <v>2737</v>
      </c>
      <c r="F217" s="73">
        <v>7.6574450772986129</v>
      </c>
      <c r="H217">
        <v>1</v>
      </c>
      <c r="I217" s="37"/>
      <c r="J217" s="37"/>
      <c r="K217" s="37">
        <v>7.6574450772986129</v>
      </c>
      <c r="L217" s="41"/>
      <c r="M217" s="41"/>
      <c r="N217" s="41"/>
      <c r="O217" s="37">
        <v>401248000</v>
      </c>
    </row>
    <row r="218" spans="1:15" ht="21" customHeight="1" x14ac:dyDescent="0.2">
      <c r="A218" s="22">
        <v>401248000</v>
      </c>
      <c r="B218" s="9" t="s">
        <v>2121</v>
      </c>
      <c r="C218" s="53" t="s">
        <v>1782</v>
      </c>
      <c r="D218" s="53"/>
      <c r="E218" s="70" t="s">
        <v>2724</v>
      </c>
      <c r="F218" s="71">
        <v>1.05</v>
      </c>
      <c r="G218">
        <v>1.05</v>
      </c>
      <c r="H218">
        <v>1</v>
      </c>
      <c r="I218" s="37"/>
      <c r="J218" s="37"/>
      <c r="K218" s="37"/>
      <c r="L218" s="33">
        <v>75119000</v>
      </c>
      <c r="M218" s="34" t="s">
        <v>2616</v>
      </c>
      <c r="N218" s="35" t="s">
        <v>2500</v>
      </c>
      <c r="O218" s="37"/>
    </row>
    <row r="219" spans="1:15" ht="21" customHeight="1" x14ac:dyDescent="0.2">
      <c r="A219" s="22">
        <v>101251000</v>
      </c>
      <c r="B219" s="9" t="s">
        <v>2122</v>
      </c>
      <c r="C219" s="53" t="s">
        <v>2123</v>
      </c>
      <c r="D219" s="53"/>
      <c r="E219" s="70" t="s">
        <v>2724</v>
      </c>
      <c r="F219" s="71">
        <v>1.1399999999999999</v>
      </c>
      <c r="G219">
        <v>1.1399999999999999</v>
      </c>
      <c r="H219">
        <v>1</v>
      </c>
      <c r="I219" s="37"/>
      <c r="J219" s="37"/>
      <c r="K219" s="37"/>
      <c r="L219" s="33">
        <v>75222010</v>
      </c>
      <c r="M219" s="34" t="s">
        <v>2617</v>
      </c>
      <c r="N219" s="35" t="s">
        <v>2502</v>
      </c>
      <c r="O219" s="37"/>
    </row>
    <row r="220" spans="1:15" ht="21" customHeight="1" x14ac:dyDescent="0.2">
      <c r="A220" s="22">
        <v>2405252000</v>
      </c>
      <c r="B220" s="9" t="s">
        <v>2124</v>
      </c>
      <c r="C220" s="53" t="s">
        <v>1912</v>
      </c>
      <c r="D220" s="53"/>
      <c r="E220" s="70" t="s">
        <v>2724</v>
      </c>
      <c r="F220" s="71">
        <v>1.28</v>
      </c>
      <c r="G220">
        <v>1.28</v>
      </c>
      <c r="H220">
        <v>1</v>
      </c>
      <c r="I220" s="37"/>
      <c r="J220" s="37"/>
      <c r="K220" s="37"/>
      <c r="L220" s="33">
        <v>63134010</v>
      </c>
      <c r="M220" s="34" t="s">
        <v>2618</v>
      </c>
      <c r="N220" s="35" t="s">
        <v>2578</v>
      </c>
      <c r="O220" s="37"/>
    </row>
    <row r="221" spans="1:15" ht="21" customHeight="1" x14ac:dyDescent="0.2">
      <c r="A221" s="22">
        <v>2405253000</v>
      </c>
      <c r="B221" s="9" t="s">
        <v>2125</v>
      </c>
      <c r="C221" s="53" t="s">
        <v>1742</v>
      </c>
      <c r="D221" s="53"/>
      <c r="E221" s="70" t="s">
        <v>2724</v>
      </c>
      <c r="F221" s="71">
        <v>1.88</v>
      </c>
      <c r="G221">
        <v>1.88</v>
      </c>
      <c r="H221">
        <v>1</v>
      </c>
      <c r="I221" s="37"/>
      <c r="J221" s="37"/>
      <c r="K221" s="37"/>
      <c r="L221" s="33">
        <v>64121000</v>
      </c>
      <c r="M221" s="34" t="s">
        <v>2619</v>
      </c>
      <c r="N221" s="35" t="s">
        <v>2578</v>
      </c>
      <c r="O221" s="37" t="s">
        <v>2689</v>
      </c>
    </row>
    <row r="222" spans="1:15" ht="21" customHeight="1" x14ac:dyDescent="0.2">
      <c r="A222" s="22">
        <v>603256000</v>
      </c>
      <c r="B222" s="9" t="s">
        <v>2126</v>
      </c>
      <c r="C222" s="53" t="s">
        <v>2127</v>
      </c>
      <c r="D222" s="53"/>
      <c r="E222" s="70" t="s">
        <v>594</v>
      </c>
      <c r="F222" s="71">
        <v>1</v>
      </c>
      <c r="H222">
        <v>1</v>
      </c>
      <c r="I222" s="37">
        <v>5</v>
      </c>
      <c r="J222" s="37"/>
      <c r="K222" s="37"/>
      <c r="L222" s="41"/>
      <c r="M222" s="41"/>
      <c r="N222" s="41"/>
      <c r="O222" s="37"/>
    </row>
    <row r="223" spans="1:15" ht="21" customHeight="1" x14ac:dyDescent="0.2">
      <c r="A223" s="22">
        <v>601257000</v>
      </c>
      <c r="B223" s="9" t="s">
        <v>2128</v>
      </c>
      <c r="C223" s="53" t="s">
        <v>2129</v>
      </c>
      <c r="D223" s="53"/>
      <c r="E223" s="70" t="s">
        <v>2724</v>
      </c>
      <c r="F223" s="71">
        <v>1.06</v>
      </c>
      <c r="G223">
        <v>1.06</v>
      </c>
      <c r="H223">
        <v>1</v>
      </c>
      <c r="I223" s="37"/>
      <c r="J223" s="37"/>
      <c r="K223" s="37"/>
      <c r="L223" s="43" t="s">
        <v>2718</v>
      </c>
      <c r="M223" s="42" t="s">
        <v>2720</v>
      </c>
      <c r="N223" s="45" t="s">
        <v>162</v>
      </c>
      <c r="O223" s="37" t="s">
        <v>2689</v>
      </c>
    </row>
    <row r="224" spans="1:15" ht="21" customHeight="1" x14ac:dyDescent="0.2">
      <c r="A224" s="22">
        <v>603258000</v>
      </c>
      <c r="B224" s="9" t="s">
        <v>2130</v>
      </c>
      <c r="C224" s="53" t="s">
        <v>2127</v>
      </c>
      <c r="D224" s="53"/>
      <c r="E224" s="70" t="s">
        <v>594</v>
      </c>
      <c r="F224" s="71">
        <v>1</v>
      </c>
      <c r="G224">
        <v>0.318</v>
      </c>
      <c r="H224">
        <v>1</v>
      </c>
      <c r="I224" s="37"/>
      <c r="J224" s="37"/>
      <c r="K224" s="37"/>
      <c r="L224" s="33">
        <v>75225011</v>
      </c>
      <c r="M224" s="34" t="s">
        <v>2622</v>
      </c>
      <c r="N224" s="35" t="s">
        <v>2481</v>
      </c>
      <c r="O224" s="37"/>
    </row>
    <row r="225" spans="1:15" ht="21" customHeight="1" x14ac:dyDescent="0.2">
      <c r="A225" s="22">
        <v>602259000</v>
      </c>
      <c r="B225" s="9" t="s">
        <v>2131</v>
      </c>
      <c r="C225" s="53" t="s">
        <v>2132</v>
      </c>
      <c r="D225" s="53" t="s">
        <v>2133</v>
      </c>
      <c r="E225" s="70" t="s">
        <v>594</v>
      </c>
      <c r="F225" s="71">
        <v>1</v>
      </c>
      <c r="H225">
        <v>1</v>
      </c>
      <c r="I225" s="37"/>
      <c r="J225" s="37"/>
      <c r="K225" s="37"/>
      <c r="L225" s="41"/>
      <c r="M225" s="41"/>
      <c r="N225" s="41"/>
      <c r="O225" s="37"/>
    </row>
    <row r="226" spans="1:15" ht="21" customHeight="1" x14ac:dyDescent="0.2">
      <c r="A226" s="22">
        <v>602255000</v>
      </c>
      <c r="B226" s="9" t="s">
        <v>2134</v>
      </c>
      <c r="C226" s="53" t="s">
        <v>2135</v>
      </c>
      <c r="D226" s="53"/>
      <c r="E226" s="72" t="s">
        <v>628</v>
      </c>
      <c r="F226" s="71">
        <v>1</v>
      </c>
      <c r="G226">
        <v>2.63</v>
      </c>
      <c r="H226">
        <v>1</v>
      </c>
      <c r="I226" s="37"/>
      <c r="J226" s="37"/>
      <c r="K226" s="37"/>
      <c r="L226" s="33">
        <v>75120000</v>
      </c>
      <c r="M226" s="34" t="s">
        <v>2620</v>
      </c>
      <c r="N226" s="35" t="s">
        <v>2621</v>
      </c>
      <c r="O226" s="76" t="s">
        <v>2757</v>
      </c>
    </row>
    <row r="227" spans="1:15" ht="21" customHeight="1" x14ac:dyDescent="0.2">
      <c r="A227" s="22">
        <v>1202260000</v>
      </c>
      <c r="B227" s="9" t="s">
        <v>2136</v>
      </c>
      <c r="C227" s="53" t="s">
        <v>1748</v>
      </c>
      <c r="D227" s="53"/>
      <c r="E227" s="70" t="s">
        <v>2724</v>
      </c>
      <c r="F227" s="71">
        <v>1.04</v>
      </c>
      <c r="G227">
        <v>1.04</v>
      </c>
      <c r="H227">
        <v>1.0752688172043012</v>
      </c>
      <c r="I227" s="37"/>
      <c r="J227" s="37"/>
      <c r="K227" s="37"/>
      <c r="L227" s="33">
        <v>63135010</v>
      </c>
      <c r="M227" s="34" t="s">
        <v>2623</v>
      </c>
      <c r="N227" s="35" t="s">
        <v>2468</v>
      </c>
      <c r="O227" s="37"/>
    </row>
    <row r="228" spans="1:15" ht="21" customHeight="1" x14ac:dyDescent="0.2">
      <c r="A228" s="22">
        <v>1202261000</v>
      </c>
      <c r="B228" s="9" t="s">
        <v>2137</v>
      </c>
      <c r="C228" s="53" t="s">
        <v>2138</v>
      </c>
      <c r="D228" s="53"/>
      <c r="E228" s="70" t="s">
        <v>2724</v>
      </c>
      <c r="F228" s="71">
        <v>6.38</v>
      </c>
      <c r="G228">
        <v>6.38</v>
      </c>
      <c r="H228">
        <v>1</v>
      </c>
      <c r="I228" s="37"/>
      <c r="J228" s="37">
        <v>6.0149999999999961</v>
      </c>
      <c r="K228" s="37"/>
      <c r="L228" s="33">
        <v>62116100</v>
      </c>
      <c r="M228" s="34" t="s">
        <v>2624</v>
      </c>
      <c r="N228" s="35" t="s">
        <v>2468</v>
      </c>
      <c r="O228" s="37">
        <v>1202260000</v>
      </c>
    </row>
    <row r="229" spans="1:15" ht="21" customHeight="1" x14ac:dyDescent="0.2">
      <c r="A229" s="22">
        <v>1202262000</v>
      </c>
      <c r="B229" s="9" t="s">
        <v>2139</v>
      </c>
      <c r="C229" s="53" t="s">
        <v>1742</v>
      </c>
      <c r="D229" s="53"/>
      <c r="E229" s="72" t="s">
        <v>2750</v>
      </c>
      <c r="F229" s="71">
        <v>1.63</v>
      </c>
      <c r="G229">
        <v>0.41600000000000004</v>
      </c>
      <c r="H229">
        <v>1</v>
      </c>
      <c r="I229" s="37"/>
      <c r="J229" s="37"/>
      <c r="K229" s="37"/>
      <c r="L229" s="33">
        <v>64205010</v>
      </c>
      <c r="M229" s="34" t="s">
        <v>2625</v>
      </c>
      <c r="N229" s="35" t="s">
        <v>2468</v>
      </c>
      <c r="O229" s="37" t="s">
        <v>2689</v>
      </c>
    </row>
    <row r="230" spans="1:15" ht="21" customHeight="1" x14ac:dyDescent="0.2">
      <c r="A230" s="22">
        <v>9500263000</v>
      </c>
      <c r="B230" s="9" t="s">
        <v>2140</v>
      </c>
      <c r="C230" s="53" t="s">
        <v>2141</v>
      </c>
      <c r="D230" s="53"/>
      <c r="E230" s="70" t="s">
        <v>2724</v>
      </c>
      <c r="F230" s="71">
        <v>1</v>
      </c>
      <c r="G230">
        <v>1</v>
      </c>
      <c r="H230">
        <v>1</v>
      </c>
      <c r="I230" s="37"/>
      <c r="J230" s="37"/>
      <c r="K230" s="37"/>
      <c r="L230" s="43" t="s">
        <v>2704</v>
      </c>
      <c r="M230" s="42" t="s">
        <v>2705</v>
      </c>
      <c r="N230" s="35" t="s">
        <v>1159</v>
      </c>
      <c r="O230" s="37"/>
    </row>
    <row r="231" spans="1:15" ht="21" customHeight="1" x14ac:dyDescent="0.2">
      <c r="A231" s="22">
        <v>9500264000</v>
      </c>
      <c r="B231" s="9" t="s">
        <v>2142</v>
      </c>
      <c r="C231" s="53" t="s">
        <v>2143</v>
      </c>
      <c r="D231" s="53"/>
      <c r="E231" s="72" t="s">
        <v>628</v>
      </c>
      <c r="F231" s="71">
        <v>1</v>
      </c>
      <c r="G231">
        <v>1.05</v>
      </c>
      <c r="H231">
        <v>1</v>
      </c>
      <c r="I231" s="37"/>
      <c r="J231" s="37"/>
      <c r="K231" s="37"/>
      <c r="L231" s="33">
        <v>42202000</v>
      </c>
      <c r="M231" s="34" t="s">
        <v>1318</v>
      </c>
      <c r="N231" s="35" t="s">
        <v>1159</v>
      </c>
      <c r="O231" s="37"/>
    </row>
    <row r="232" spans="1:15" ht="21" customHeight="1" x14ac:dyDescent="0.2">
      <c r="A232" s="22">
        <v>9500265000</v>
      </c>
      <c r="B232" s="9" t="s">
        <v>2144</v>
      </c>
      <c r="C232" s="53" t="s">
        <v>1731</v>
      </c>
      <c r="D232" s="53"/>
      <c r="E232" s="72" t="s">
        <v>628</v>
      </c>
      <c r="F232" s="73">
        <v>1</v>
      </c>
      <c r="G232">
        <v>1</v>
      </c>
      <c r="H232">
        <v>1</v>
      </c>
      <c r="I232" s="37">
        <v>3.2260638297872339</v>
      </c>
      <c r="J232" s="37"/>
      <c r="K232" s="37"/>
      <c r="L232" s="33">
        <v>82105000</v>
      </c>
      <c r="M232" s="34" t="s">
        <v>2626</v>
      </c>
      <c r="N232" s="35" t="s">
        <v>2548</v>
      </c>
      <c r="O232" s="37"/>
    </row>
    <row r="233" spans="1:15" ht="21" customHeight="1" x14ac:dyDescent="0.2">
      <c r="A233" s="22">
        <v>1100266000</v>
      </c>
      <c r="B233" s="9" t="s">
        <v>2145</v>
      </c>
      <c r="C233" s="53" t="s">
        <v>2146</v>
      </c>
      <c r="D233" s="53" t="s">
        <v>2147</v>
      </c>
      <c r="E233" s="74" t="s">
        <v>2724</v>
      </c>
      <c r="F233" s="71">
        <v>1.1100000000000001</v>
      </c>
      <c r="G233">
        <v>1.1100000000000001</v>
      </c>
      <c r="H233">
        <v>1.1111111111111112</v>
      </c>
      <c r="I233" s="37"/>
      <c r="J233" s="37"/>
      <c r="K233" s="37"/>
      <c r="L233" s="33">
        <v>63137010</v>
      </c>
      <c r="M233" s="34" t="s">
        <v>2486</v>
      </c>
      <c r="N233" s="35" t="s">
        <v>2487</v>
      </c>
      <c r="O233" s="37"/>
    </row>
    <row r="234" spans="1:15" ht="21" customHeight="1" x14ac:dyDescent="0.2">
      <c r="A234" s="22">
        <v>1100267000</v>
      </c>
      <c r="B234" s="9" t="s">
        <v>2148</v>
      </c>
      <c r="C234" s="53" t="s">
        <v>2149</v>
      </c>
      <c r="D234" s="53" t="s">
        <v>2147</v>
      </c>
      <c r="E234" s="70" t="s">
        <v>2724</v>
      </c>
      <c r="F234" s="71">
        <v>5</v>
      </c>
      <c r="G234">
        <v>5</v>
      </c>
      <c r="H234">
        <v>1</v>
      </c>
      <c r="I234" s="37"/>
      <c r="J234" s="37">
        <v>6.3099999999999978</v>
      </c>
      <c r="K234" s="37"/>
      <c r="L234" s="33">
        <v>62119100</v>
      </c>
      <c r="M234" s="34" t="s">
        <v>2488</v>
      </c>
      <c r="N234" s="35" t="s">
        <v>2487</v>
      </c>
      <c r="O234" s="37">
        <v>1100266000</v>
      </c>
    </row>
    <row r="235" spans="1:15" ht="21" customHeight="1" x14ac:dyDescent="0.2">
      <c r="A235" s="22">
        <v>1100268000</v>
      </c>
      <c r="B235" s="9" t="s">
        <v>2150</v>
      </c>
      <c r="C235" s="53" t="s">
        <v>1742</v>
      </c>
      <c r="D235" s="53" t="s">
        <v>2147</v>
      </c>
      <c r="E235" s="72" t="s">
        <v>2754</v>
      </c>
      <c r="F235" s="71">
        <v>1.5</v>
      </c>
      <c r="G235">
        <v>0.44400000000000001</v>
      </c>
      <c r="H235">
        <v>1</v>
      </c>
      <c r="I235" s="37"/>
      <c r="J235" s="37"/>
      <c r="K235" s="37"/>
      <c r="L235" s="33">
        <v>64215010</v>
      </c>
      <c r="M235" s="34" t="s">
        <v>2489</v>
      </c>
      <c r="N235" s="35" t="s">
        <v>2487</v>
      </c>
      <c r="O235" s="37" t="s">
        <v>2689</v>
      </c>
    </row>
    <row r="236" spans="1:15" ht="21" customHeight="1" x14ac:dyDescent="0.2">
      <c r="A236" s="22">
        <v>1400269000</v>
      </c>
      <c r="B236" s="9" t="s">
        <v>2151</v>
      </c>
      <c r="C236" s="53" t="s">
        <v>1729</v>
      </c>
      <c r="D236" s="53"/>
      <c r="E236" s="70" t="s">
        <v>2724</v>
      </c>
      <c r="F236" s="71">
        <v>1</v>
      </c>
      <c r="G236">
        <v>1</v>
      </c>
      <c r="H236">
        <v>1</v>
      </c>
      <c r="I236" s="37"/>
      <c r="J236" s="37"/>
      <c r="K236" s="37"/>
      <c r="L236" s="33">
        <v>42112000</v>
      </c>
      <c r="M236" s="34" t="s">
        <v>2427</v>
      </c>
      <c r="N236" s="35" t="s">
        <v>2473</v>
      </c>
      <c r="O236" s="76" t="s">
        <v>2759</v>
      </c>
    </row>
    <row r="237" spans="1:15" ht="21" customHeight="1" x14ac:dyDescent="0.2">
      <c r="A237" s="22">
        <v>802270000</v>
      </c>
      <c r="B237" s="9" t="s">
        <v>2152</v>
      </c>
      <c r="C237" s="53" t="s">
        <v>2153</v>
      </c>
      <c r="D237" s="53" t="s">
        <v>2154</v>
      </c>
      <c r="E237" s="74" t="s">
        <v>2724</v>
      </c>
      <c r="F237" s="71">
        <v>1.22</v>
      </c>
      <c r="G237">
        <v>1.22</v>
      </c>
      <c r="H237">
        <v>1.2195121951219512</v>
      </c>
      <c r="I237" s="37"/>
      <c r="J237" s="37"/>
      <c r="K237" s="37"/>
      <c r="L237" s="33">
        <v>75122000</v>
      </c>
      <c r="M237" s="34" t="s">
        <v>2627</v>
      </c>
      <c r="N237" s="35" t="s">
        <v>2628</v>
      </c>
      <c r="O237" s="37"/>
    </row>
    <row r="238" spans="1:15" ht="21" customHeight="1" x14ac:dyDescent="0.2">
      <c r="A238" s="22">
        <v>802271000</v>
      </c>
      <c r="B238" s="9" t="s">
        <v>2155</v>
      </c>
      <c r="C238" s="53" t="s">
        <v>2156</v>
      </c>
      <c r="D238" s="53" t="s">
        <v>2154</v>
      </c>
      <c r="E238" s="70" t="s">
        <v>2737</v>
      </c>
      <c r="F238" s="73">
        <v>12.198</v>
      </c>
      <c r="H238">
        <v>1</v>
      </c>
      <c r="I238" s="37">
        <v>20.399999999999999</v>
      </c>
      <c r="J238" s="37"/>
      <c r="K238" s="37">
        <v>12.198</v>
      </c>
      <c r="L238" s="41"/>
      <c r="M238" s="41"/>
      <c r="N238" s="41"/>
      <c r="O238" s="37"/>
    </row>
    <row r="239" spans="1:15" ht="21" customHeight="1" x14ac:dyDescent="0.2">
      <c r="A239" s="22">
        <v>1902274000</v>
      </c>
      <c r="B239" s="9" t="s">
        <v>2157</v>
      </c>
      <c r="C239" s="53" t="s">
        <v>2158</v>
      </c>
      <c r="D239" s="53"/>
      <c r="E239" s="70" t="s">
        <v>594</v>
      </c>
      <c r="F239" s="71">
        <v>1</v>
      </c>
      <c r="H239">
        <v>1</v>
      </c>
      <c r="I239" s="37"/>
      <c r="J239" s="37"/>
      <c r="K239" s="37"/>
      <c r="L239" s="41"/>
      <c r="M239" s="41"/>
      <c r="N239" s="41"/>
      <c r="O239" s="37"/>
    </row>
    <row r="240" spans="1:15" ht="21" customHeight="1" x14ac:dyDescent="0.2">
      <c r="A240" s="22">
        <v>802272000</v>
      </c>
      <c r="B240" s="9" t="s">
        <v>2159</v>
      </c>
      <c r="C240" s="53" t="s">
        <v>2160</v>
      </c>
      <c r="D240" s="53"/>
      <c r="E240" s="70" t="s">
        <v>2724</v>
      </c>
      <c r="F240" s="71">
        <v>1.21</v>
      </c>
      <c r="G240">
        <v>1.21</v>
      </c>
      <c r="H240">
        <v>1</v>
      </c>
      <c r="I240" s="37"/>
      <c r="J240" s="37"/>
      <c r="K240" s="37"/>
      <c r="L240" s="33">
        <v>75121000</v>
      </c>
      <c r="M240" s="34" t="s">
        <v>2743</v>
      </c>
      <c r="N240" s="35" t="s">
        <v>2628</v>
      </c>
      <c r="O240" s="37"/>
    </row>
    <row r="241" spans="1:15" ht="21" customHeight="1" x14ac:dyDescent="0.2">
      <c r="A241" s="22">
        <v>802273000</v>
      </c>
      <c r="B241" s="9" t="s">
        <v>2161</v>
      </c>
      <c r="C241" s="53" t="s">
        <v>2162</v>
      </c>
      <c r="D241" s="53"/>
      <c r="E241" s="70" t="s">
        <v>2737</v>
      </c>
      <c r="F241" s="71">
        <v>10.145</v>
      </c>
      <c r="H241">
        <v>1</v>
      </c>
      <c r="I241" s="37"/>
      <c r="J241" s="37"/>
      <c r="K241" s="37">
        <v>10.145</v>
      </c>
      <c r="L241" s="41"/>
      <c r="M241" s="41"/>
      <c r="N241" s="41"/>
      <c r="O241" s="37"/>
    </row>
    <row r="242" spans="1:15" ht="21" customHeight="1" x14ac:dyDescent="0.2">
      <c r="A242" s="22">
        <v>9500275000</v>
      </c>
      <c r="B242" s="9" t="s">
        <v>2163</v>
      </c>
      <c r="C242" s="53" t="s">
        <v>1782</v>
      </c>
      <c r="D242" s="53" t="s">
        <v>2164</v>
      </c>
      <c r="E242" s="70" t="s">
        <v>594</v>
      </c>
      <c r="F242" s="71">
        <v>1</v>
      </c>
      <c r="H242">
        <v>1</v>
      </c>
      <c r="I242" s="37"/>
      <c r="J242" s="37"/>
      <c r="K242" s="37"/>
      <c r="L242" s="41"/>
      <c r="M242" s="41"/>
      <c r="N242" s="41"/>
      <c r="O242" s="37"/>
    </row>
    <row r="243" spans="1:15" ht="21" customHeight="1" x14ac:dyDescent="0.2">
      <c r="A243" s="22">
        <v>9500276000</v>
      </c>
      <c r="B243" s="9" t="s">
        <v>2165</v>
      </c>
      <c r="C243" s="53" t="s">
        <v>1731</v>
      </c>
      <c r="D243" s="53"/>
      <c r="E243" s="70" t="s">
        <v>594</v>
      </c>
      <c r="F243" s="71">
        <v>1</v>
      </c>
      <c r="H243">
        <v>1</v>
      </c>
      <c r="I243" s="37"/>
      <c r="J243" s="37"/>
      <c r="K243" s="37"/>
      <c r="L243" s="41"/>
      <c r="M243" s="41"/>
      <c r="N243" s="41"/>
      <c r="O243" s="37"/>
    </row>
    <row r="244" spans="1:15" ht="21" customHeight="1" x14ac:dyDescent="0.2">
      <c r="A244" s="22">
        <v>2402277000</v>
      </c>
      <c r="B244" s="9" t="s">
        <v>2166</v>
      </c>
      <c r="C244" s="53" t="s">
        <v>2167</v>
      </c>
      <c r="D244" s="53"/>
      <c r="E244" s="74" t="s">
        <v>2724</v>
      </c>
      <c r="F244" s="71">
        <v>1.19</v>
      </c>
      <c r="G244">
        <v>1.19</v>
      </c>
      <c r="H244">
        <v>1</v>
      </c>
      <c r="I244" s="37"/>
      <c r="J244" s="37"/>
      <c r="K244" s="37"/>
      <c r="L244" s="33">
        <v>63139010</v>
      </c>
      <c r="M244" s="34" t="s">
        <v>2629</v>
      </c>
      <c r="N244" s="35" t="s">
        <v>2487</v>
      </c>
      <c r="O244" s="37"/>
    </row>
    <row r="245" spans="1:15" ht="21" customHeight="1" x14ac:dyDescent="0.2">
      <c r="A245" s="22">
        <v>1400278000</v>
      </c>
      <c r="B245" s="9" t="s">
        <v>2168</v>
      </c>
      <c r="C245" s="53" t="s">
        <v>1729</v>
      </c>
      <c r="D245" s="53" t="s">
        <v>2169</v>
      </c>
      <c r="E245" s="70" t="s">
        <v>2724</v>
      </c>
      <c r="F245" s="71">
        <v>1</v>
      </c>
      <c r="G245">
        <v>1</v>
      </c>
      <c r="H245">
        <v>1</v>
      </c>
      <c r="I245" s="37"/>
      <c r="J245" s="37"/>
      <c r="K245" s="37"/>
      <c r="L245" s="33">
        <v>42113000</v>
      </c>
      <c r="M245" s="34" t="s">
        <v>2630</v>
      </c>
      <c r="N245" s="35" t="s">
        <v>2473</v>
      </c>
      <c r="O245" s="37"/>
    </row>
    <row r="246" spans="1:15" ht="21" customHeight="1" x14ac:dyDescent="0.2">
      <c r="A246" s="22">
        <v>2403279000</v>
      </c>
      <c r="B246" s="9" t="s">
        <v>480</v>
      </c>
      <c r="C246" s="53" t="s">
        <v>2170</v>
      </c>
      <c r="D246" s="53"/>
      <c r="E246" s="74" t="s">
        <v>2724</v>
      </c>
      <c r="F246" s="71">
        <v>1.96</v>
      </c>
      <c r="G246">
        <v>1.96</v>
      </c>
      <c r="H246">
        <v>1.9607843137254901</v>
      </c>
      <c r="I246" s="37"/>
      <c r="J246" s="37"/>
      <c r="K246" s="37"/>
      <c r="L246" s="33">
        <v>63141010</v>
      </c>
      <c r="M246" s="34" t="s">
        <v>2631</v>
      </c>
      <c r="N246" s="35" t="s">
        <v>2578</v>
      </c>
      <c r="O246" s="37"/>
    </row>
    <row r="247" spans="1:15" ht="21" customHeight="1" x14ac:dyDescent="0.2">
      <c r="A247" s="22">
        <v>2403280000</v>
      </c>
      <c r="B247" s="9" t="s">
        <v>2171</v>
      </c>
      <c r="C247" s="53" t="s">
        <v>2172</v>
      </c>
      <c r="D247" s="53"/>
      <c r="E247" s="70" t="s">
        <v>2724</v>
      </c>
      <c r="F247" s="71">
        <v>9.6999999999999993</v>
      </c>
      <c r="G247">
        <v>9.6999999999999993</v>
      </c>
      <c r="H247">
        <v>1</v>
      </c>
      <c r="I247" s="37"/>
      <c r="J247" s="37"/>
      <c r="K247" s="37"/>
      <c r="L247" s="33">
        <v>62120100</v>
      </c>
      <c r="M247" s="34" t="s">
        <v>2171</v>
      </c>
      <c r="N247" s="35" t="s">
        <v>2578</v>
      </c>
      <c r="O247" s="37" t="s">
        <v>2689</v>
      </c>
    </row>
    <row r="248" spans="1:15" ht="21" customHeight="1" x14ac:dyDescent="0.2">
      <c r="A248" s="22">
        <v>2403281000</v>
      </c>
      <c r="B248" s="9" t="s">
        <v>2173</v>
      </c>
      <c r="C248" s="53" t="s">
        <v>1742</v>
      </c>
      <c r="D248" s="53"/>
      <c r="E248" s="70" t="s">
        <v>2724</v>
      </c>
      <c r="F248" s="71">
        <v>1.88</v>
      </c>
      <c r="G248">
        <v>1.88</v>
      </c>
      <c r="H248">
        <v>1</v>
      </c>
      <c r="I248" s="37"/>
      <c r="J248" s="37">
        <v>1.7045454545454535</v>
      </c>
      <c r="K248" s="37"/>
      <c r="L248" s="33">
        <v>64124020</v>
      </c>
      <c r="M248" s="34" t="s">
        <v>2424</v>
      </c>
      <c r="N248" s="35" t="s">
        <v>2578</v>
      </c>
      <c r="O248" s="37">
        <v>2403279000</v>
      </c>
    </row>
    <row r="249" spans="1:15" ht="21" customHeight="1" x14ac:dyDescent="0.2">
      <c r="A249" s="22">
        <v>1400282000</v>
      </c>
      <c r="B249" s="9" t="s">
        <v>1463</v>
      </c>
      <c r="C249" s="53" t="s">
        <v>1729</v>
      </c>
      <c r="D249" s="53"/>
      <c r="E249" s="70" t="s">
        <v>2724</v>
      </c>
      <c r="F249" s="71">
        <v>1.03</v>
      </c>
      <c r="G249">
        <v>1.03</v>
      </c>
      <c r="H249">
        <v>1</v>
      </c>
      <c r="I249" s="37"/>
      <c r="J249" s="37"/>
      <c r="K249" s="37"/>
      <c r="L249" s="33">
        <v>42114130</v>
      </c>
      <c r="M249" s="34" t="s">
        <v>2632</v>
      </c>
      <c r="N249" s="35" t="s">
        <v>2473</v>
      </c>
      <c r="O249" s="37"/>
    </row>
    <row r="250" spans="1:15" ht="21" customHeight="1" x14ac:dyDescent="0.2">
      <c r="A250" s="22">
        <v>2402283000</v>
      </c>
      <c r="B250" s="9" t="s">
        <v>2174</v>
      </c>
      <c r="C250" s="53" t="s">
        <v>2175</v>
      </c>
      <c r="D250" s="53"/>
      <c r="E250" s="70" t="s">
        <v>2724</v>
      </c>
      <c r="F250" s="71">
        <v>1.54</v>
      </c>
      <c r="G250">
        <v>1.54</v>
      </c>
      <c r="H250">
        <v>1</v>
      </c>
      <c r="I250" s="37"/>
      <c r="J250" s="37"/>
      <c r="K250" s="37"/>
      <c r="L250" s="33">
        <v>71905000</v>
      </c>
      <c r="M250" s="34" t="s">
        <v>2633</v>
      </c>
      <c r="N250" s="35" t="s">
        <v>237</v>
      </c>
      <c r="O250" s="37"/>
    </row>
    <row r="251" spans="1:15" ht="21" customHeight="1" x14ac:dyDescent="0.2">
      <c r="A251" s="22">
        <v>2402284000</v>
      </c>
      <c r="B251" s="9" t="s">
        <v>2176</v>
      </c>
      <c r="C251" s="53" t="s">
        <v>2172</v>
      </c>
      <c r="D251" s="53"/>
      <c r="E251" s="70" t="s">
        <v>2724</v>
      </c>
      <c r="F251" s="71">
        <v>3.157</v>
      </c>
      <c r="G251">
        <v>3.157</v>
      </c>
      <c r="H251">
        <v>1</v>
      </c>
      <c r="I251" s="37"/>
      <c r="J251" s="37"/>
      <c r="K251" s="37">
        <v>2.8199884792626726</v>
      </c>
      <c r="L251" s="33">
        <v>71905410</v>
      </c>
      <c r="M251" s="34" t="s">
        <v>2634</v>
      </c>
      <c r="N251" s="35" t="s">
        <v>237</v>
      </c>
      <c r="O251" s="37">
        <v>2402283000</v>
      </c>
    </row>
    <row r="252" spans="1:15" ht="21" customHeight="1" x14ac:dyDescent="0.2">
      <c r="A252" s="22">
        <v>1203285000</v>
      </c>
      <c r="B252" s="9" t="s">
        <v>2177</v>
      </c>
      <c r="C252" s="53" t="s">
        <v>2178</v>
      </c>
      <c r="D252" s="53" t="s">
        <v>2179</v>
      </c>
      <c r="E252" s="74" t="s">
        <v>2724</v>
      </c>
      <c r="F252" s="71">
        <v>1.06</v>
      </c>
      <c r="G252">
        <v>1.06</v>
      </c>
      <c r="H252">
        <v>1.0638297872340425</v>
      </c>
      <c r="I252" s="37"/>
      <c r="J252" s="37"/>
      <c r="K252" s="37"/>
      <c r="L252" s="33">
        <v>63143010</v>
      </c>
      <c r="M252" s="34" t="s">
        <v>2635</v>
      </c>
      <c r="N252" s="35" t="s">
        <v>2468</v>
      </c>
      <c r="O252" s="37"/>
    </row>
    <row r="253" spans="1:15" ht="21" customHeight="1" x14ac:dyDescent="0.2">
      <c r="A253" s="22">
        <v>1203287000</v>
      </c>
      <c r="B253" s="9" t="s">
        <v>2180</v>
      </c>
      <c r="C253" s="53" t="s">
        <v>2181</v>
      </c>
      <c r="D253" s="53"/>
      <c r="E253" s="70" t="s">
        <v>2724</v>
      </c>
      <c r="F253" s="71">
        <v>5.73</v>
      </c>
      <c r="G253">
        <v>5.73</v>
      </c>
      <c r="H253">
        <v>1</v>
      </c>
      <c r="I253" s="37"/>
      <c r="J253" s="37"/>
      <c r="K253" s="37">
        <v>5.4095536413469079</v>
      </c>
      <c r="L253" s="33">
        <v>62122100</v>
      </c>
      <c r="M253" s="34" t="s">
        <v>2636</v>
      </c>
      <c r="N253" s="35" t="s">
        <v>2468</v>
      </c>
      <c r="O253" s="37">
        <v>1203285000</v>
      </c>
    </row>
    <row r="254" spans="1:15" ht="21" customHeight="1" x14ac:dyDescent="0.2">
      <c r="A254" s="22">
        <v>1203286000</v>
      </c>
      <c r="B254" s="9" t="s">
        <v>2182</v>
      </c>
      <c r="C254" s="53" t="s">
        <v>2183</v>
      </c>
      <c r="D254" s="53"/>
      <c r="E254" s="74" t="s">
        <v>2724</v>
      </c>
      <c r="F254" s="71">
        <v>1.06</v>
      </c>
      <c r="G254">
        <v>1.06</v>
      </c>
      <c r="H254">
        <v>1.0638297872340425</v>
      </c>
      <c r="I254" s="37"/>
      <c r="J254" s="37"/>
      <c r="K254" s="37"/>
      <c r="L254" s="33">
        <v>63143010</v>
      </c>
      <c r="M254" s="34" t="s">
        <v>2635</v>
      </c>
      <c r="N254" s="35" t="s">
        <v>2468</v>
      </c>
      <c r="O254" s="37"/>
    </row>
    <row r="255" spans="1:15" ht="21" customHeight="1" x14ac:dyDescent="0.2">
      <c r="A255" s="22">
        <v>1203288000</v>
      </c>
      <c r="B255" s="9" t="s">
        <v>2184</v>
      </c>
      <c r="C255" s="53" t="s">
        <v>1742</v>
      </c>
      <c r="D255" s="53"/>
      <c r="E255" s="70" t="s">
        <v>2724</v>
      </c>
      <c r="F255" s="71">
        <v>1.63</v>
      </c>
      <c r="G255">
        <v>1.63</v>
      </c>
      <c r="H255">
        <v>1</v>
      </c>
      <c r="I255" s="37">
        <v>2.5</v>
      </c>
      <c r="J255" s="37"/>
      <c r="K255" s="37"/>
      <c r="L255" s="33">
        <v>64132010</v>
      </c>
      <c r="M255" s="34" t="s">
        <v>2425</v>
      </c>
      <c r="N255" s="35" t="s">
        <v>2468</v>
      </c>
      <c r="O255" s="37">
        <v>1203286000</v>
      </c>
    </row>
    <row r="256" spans="1:15" ht="21" customHeight="1" x14ac:dyDescent="0.2">
      <c r="A256" s="22">
        <v>2402289000</v>
      </c>
      <c r="B256" s="9" t="s">
        <v>2185</v>
      </c>
      <c r="C256" s="53" t="s">
        <v>2116</v>
      </c>
      <c r="D256" s="53" t="s">
        <v>2186</v>
      </c>
      <c r="E256" s="70" t="s">
        <v>2724</v>
      </c>
      <c r="F256" s="71">
        <v>1.79</v>
      </c>
      <c r="G256">
        <v>1.79</v>
      </c>
      <c r="H256">
        <v>1</v>
      </c>
      <c r="I256" s="37"/>
      <c r="J256" s="37"/>
      <c r="K256" s="37"/>
      <c r="L256" s="33">
        <v>63145010</v>
      </c>
      <c r="M256" s="34" t="s">
        <v>2637</v>
      </c>
      <c r="N256" s="35" t="s">
        <v>2487</v>
      </c>
      <c r="O256" s="37"/>
    </row>
    <row r="257" spans="1:15" ht="21" customHeight="1" x14ac:dyDescent="0.2">
      <c r="A257" s="22">
        <v>2402290000</v>
      </c>
      <c r="B257" s="9" t="s">
        <v>2187</v>
      </c>
      <c r="C257" s="53" t="s">
        <v>1808</v>
      </c>
      <c r="D257" s="53" t="s">
        <v>1809</v>
      </c>
      <c r="E257" s="70" t="s">
        <v>2724</v>
      </c>
      <c r="F257" s="71">
        <v>3.58</v>
      </c>
      <c r="G257">
        <v>3.58</v>
      </c>
      <c r="H257">
        <v>1</v>
      </c>
      <c r="I257" s="37"/>
      <c r="J257" s="37"/>
      <c r="K257" s="37"/>
      <c r="L257" s="33">
        <v>64126000</v>
      </c>
      <c r="M257" s="34" t="s">
        <v>2638</v>
      </c>
      <c r="N257" s="35" t="s">
        <v>2487</v>
      </c>
      <c r="O257" s="37"/>
    </row>
    <row r="258" spans="1:15" ht="21" customHeight="1" x14ac:dyDescent="0.2">
      <c r="A258" s="22">
        <v>3400293000</v>
      </c>
      <c r="B258" s="9" t="s">
        <v>2188</v>
      </c>
      <c r="C258" s="53" t="s">
        <v>2189</v>
      </c>
      <c r="D258" s="53"/>
      <c r="E258" s="70" t="s">
        <v>594</v>
      </c>
      <c r="F258" s="71">
        <v>1</v>
      </c>
      <c r="H258">
        <v>1</v>
      </c>
      <c r="I258" s="37"/>
      <c r="J258" s="37"/>
      <c r="K258" s="37"/>
      <c r="L258" s="41"/>
      <c r="M258" s="41"/>
      <c r="N258" s="41"/>
      <c r="O258" s="37"/>
    </row>
    <row r="259" spans="1:15" ht="21" customHeight="1" x14ac:dyDescent="0.2">
      <c r="A259" s="22">
        <v>3400295000</v>
      </c>
      <c r="B259" s="9" t="s">
        <v>2190</v>
      </c>
      <c r="C259" s="53" t="s">
        <v>1813</v>
      </c>
      <c r="D259" s="53"/>
      <c r="E259" s="70" t="s">
        <v>594</v>
      </c>
      <c r="F259" s="71">
        <v>1</v>
      </c>
      <c r="H259">
        <v>1</v>
      </c>
      <c r="I259" s="37"/>
      <c r="J259" s="37"/>
      <c r="K259" s="37"/>
      <c r="L259" s="41"/>
      <c r="M259" s="41"/>
      <c r="N259" s="41"/>
      <c r="O259" s="37"/>
    </row>
    <row r="260" spans="1:15" ht="21" customHeight="1" x14ac:dyDescent="0.2">
      <c r="A260" s="22">
        <v>3400290000</v>
      </c>
      <c r="B260" s="9" t="s">
        <v>2191</v>
      </c>
      <c r="C260" s="53" t="s">
        <v>2007</v>
      </c>
      <c r="D260" s="53"/>
      <c r="E260" s="70" t="s">
        <v>594</v>
      </c>
      <c r="F260" s="71">
        <v>1</v>
      </c>
      <c r="H260">
        <v>1</v>
      </c>
      <c r="I260" s="37"/>
      <c r="J260" s="37"/>
      <c r="K260" s="37"/>
      <c r="L260" s="41"/>
      <c r="M260" s="41"/>
      <c r="N260" s="41"/>
      <c r="O260" s="37"/>
    </row>
    <row r="261" spans="1:15" ht="21" customHeight="1" x14ac:dyDescent="0.2">
      <c r="A261" s="22">
        <v>3400292000</v>
      </c>
      <c r="B261" s="9" t="s">
        <v>2192</v>
      </c>
      <c r="C261" s="53" t="s">
        <v>2193</v>
      </c>
      <c r="D261" s="53" t="s">
        <v>2194</v>
      </c>
      <c r="E261" s="70" t="s">
        <v>594</v>
      </c>
      <c r="F261" s="71">
        <v>1</v>
      </c>
      <c r="H261">
        <v>1</v>
      </c>
      <c r="I261" s="37"/>
      <c r="J261" s="37"/>
      <c r="K261" s="37"/>
      <c r="L261" s="41"/>
      <c r="M261" s="41"/>
      <c r="N261" s="41"/>
      <c r="O261" s="37"/>
    </row>
    <row r="262" spans="1:15" ht="21" customHeight="1" x14ac:dyDescent="0.2">
      <c r="A262" s="22">
        <v>3400291000</v>
      </c>
      <c r="B262" s="9" t="s">
        <v>2195</v>
      </c>
      <c r="C262" s="53" t="s">
        <v>2196</v>
      </c>
      <c r="D262" s="53" t="s">
        <v>2197</v>
      </c>
      <c r="E262" s="70" t="s">
        <v>594</v>
      </c>
      <c r="F262" s="71">
        <v>1</v>
      </c>
      <c r="H262">
        <v>1</v>
      </c>
      <c r="I262" s="37"/>
      <c r="J262" s="37"/>
      <c r="K262" s="37"/>
      <c r="L262" s="41"/>
      <c r="M262" s="41"/>
      <c r="N262" s="41"/>
      <c r="O262" s="37"/>
    </row>
    <row r="263" spans="1:15" ht="21" customHeight="1" x14ac:dyDescent="0.2">
      <c r="A263" s="22">
        <v>103296000</v>
      </c>
      <c r="B263" s="9" t="s">
        <v>2198</v>
      </c>
      <c r="C263" s="54" t="s">
        <v>2199</v>
      </c>
      <c r="D263" s="53"/>
      <c r="E263" s="72" t="s">
        <v>628</v>
      </c>
      <c r="F263" s="71">
        <v>1</v>
      </c>
      <c r="G263">
        <v>3.9289999999999998</v>
      </c>
      <c r="H263">
        <v>1</v>
      </c>
      <c r="I263" s="37">
        <v>3</v>
      </c>
      <c r="J263" s="37"/>
      <c r="K263" s="37"/>
      <c r="L263" s="33">
        <v>71201010</v>
      </c>
      <c r="M263" s="34" t="s">
        <v>2639</v>
      </c>
      <c r="N263" s="35" t="s">
        <v>503</v>
      </c>
      <c r="O263" s="37"/>
    </row>
    <row r="264" spans="1:15" ht="21" customHeight="1" x14ac:dyDescent="0.2">
      <c r="A264" s="22">
        <v>103297000</v>
      </c>
      <c r="B264" s="9" t="s">
        <v>2200</v>
      </c>
      <c r="C264" s="53" t="s">
        <v>2201</v>
      </c>
      <c r="D264" s="53"/>
      <c r="E264" s="70" t="s">
        <v>2724</v>
      </c>
      <c r="F264" s="71">
        <v>6.02</v>
      </c>
      <c r="G264">
        <v>6.02</v>
      </c>
      <c r="H264">
        <v>1</v>
      </c>
      <c r="I264" s="37">
        <v>6.5</v>
      </c>
      <c r="J264" s="37"/>
      <c r="K264" s="37"/>
      <c r="L264" s="44" t="s">
        <v>2722</v>
      </c>
      <c r="M264" s="38" t="s">
        <v>2723</v>
      </c>
      <c r="N264" s="67" t="s">
        <v>503</v>
      </c>
      <c r="O264" s="37"/>
    </row>
    <row r="265" spans="1:15" ht="21" customHeight="1" x14ac:dyDescent="0.2">
      <c r="A265" s="22">
        <v>103298000</v>
      </c>
      <c r="B265" s="9" t="s">
        <v>2202</v>
      </c>
      <c r="C265" s="53" t="s">
        <v>2203</v>
      </c>
      <c r="D265" s="53"/>
      <c r="E265" s="72" t="s">
        <v>628</v>
      </c>
      <c r="F265" s="71">
        <v>1</v>
      </c>
      <c r="G265">
        <v>6.01</v>
      </c>
      <c r="H265">
        <v>1</v>
      </c>
      <c r="I265" s="37">
        <v>9</v>
      </c>
      <c r="J265" s="37"/>
      <c r="K265" s="37"/>
      <c r="L265" s="44" t="s">
        <v>2722</v>
      </c>
      <c r="M265" s="38" t="s">
        <v>2723</v>
      </c>
      <c r="N265" s="67" t="s">
        <v>503</v>
      </c>
      <c r="O265" s="37"/>
    </row>
    <row r="266" spans="1:15" ht="21" customHeight="1" x14ac:dyDescent="0.2">
      <c r="A266" s="22">
        <v>103300000</v>
      </c>
      <c r="B266" s="9" t="s">
        <v>2204</v>
      </c>
      <c r="C266" s="53" t="s">
        <v>2205</v>
      </c>
      <c r="D266" s="53"/>
      <c r="E266" s="70" t="s">
        <v>2724</v>
      </c>
      <c r="F266" s="71">
        <v>1.33</v>
      </c>
      <c r="G266">
        <v>1.33</v>
      </c>
      <c r="H266">
        <v>1.1111111111111112</v>
      </c>
      <c r="I266" s="37"/>
      <c r="J266" s="37"/>
      <c r="K266" s="37"/>
      <c r="L266" s="33">
        <v>71001000</v>
      </c>
      <c r="M266" s="34" t="s">
        <v>2640</v>
      </c>
      <c r="N266" s="35" t="s">
        <v>503</v>
      </c>
      <c r="O266" s="37"/>
    </row>
    <row r="267" spans="1:15" ht="21" customHeight="1" x14ac:dyDescent="0.2">
      <c r="A267" s="22">
        <v>103299000</v>
      </c>
      <c r="B267" s="9" t="s">
        <v>2206</v>
      </c>
      <c r="C267" s="53" t="s">
        <v>2207</v>
      </c>
      <c r="D267" s="53"/>
      <c r="E267" s="72" t="s">
        <v>628</v>
      </c>
      <c r="F267" s="71">
        <v>1</v>
      </c>
      <c r="G267">
        <v>1.33</v>
      </c>
      <c r="H267">
        <v>1</v>
      </c>
      <c r="I267" s="37"/>
      <c r="J267" s="37"/>
      <c r="K267" s="37"/>
      <c r="L267" s="33">
        <v>71001000</v>
      </c>
      <c r="M267" s="34" t="s">
        <v>2640</v>
      </c>
      <c r="N267" s="35" t="s">
        <v>503</v>
      </c>
      <c r="O267" s="37"/>
    </row>
    <row r="268" spans="1:15" ht="21" customHeight="1" x14ac:dyDescent="0.2">
      <c r="A268" s="22">
        <v>6000304000</v>
      </c>
      <c r="B268" s="9" t="s">
        <v>2208</v>
      </c>
      <c r="C268" s="53" t="s">
        <v>2209</v>
      </c>
      <c r="D268" s="53" t="s">
        <v>2210</v>
      </c>
      <c r="E268" s="70" t="s">
        <v>594</v>
      </c>
      <c r="F268" s="71">
        <v>1</v>
      </c>
      <c r="H268">
        <v>1</v>
      </c>
      <c r="I268" s="37"/>
      <c r="J268" s="37"/>
      <c r="K268" s="37"/>
      <c r="L268" s="41"/>
      <c r="M268" s="41"/>
      <c r="N268" s="41"/>
      <c r="O268" s="37"/>
    </row>
    <row r="269" spans="1:15" ht="21" customHeight="1" x14ac:dyDescent="0.2">
      <c r="A269" s="22">
        <v>6000302000</v>
      </c>
      <c r="B269" s="9" t="s">
        <v>2211</v>
      </c>
      <c r="C269" s="53" t="s">
        <v>2212</v>
      </c>
      <c r="D269" s="53" t="s">
        <v>2210</v>
      </c>
      <c r="E269" s="70" t="s">
        <v>594</v>
      </c>
      <c r="F269" s="71">
        <v>1</v>
      </c>
      <c r="H269">
        <v>1</v>
      </c>
      <c r="I269" s="37"/>
      <c r="J269" s="37"/>
      <c r="K269" s="37"/>
      <c r="L269" s="41"/>
      <c r="M269" s="41"/>
      <c r="N269" s="41"/>
      <c r="O269" s="37"/>
    </row>
    <row r="270" spans="1:15" ht="21" customHeight="1" x14ac:dyDescent="0.2">
      <c r="A270" s="22">
        <v>6000301000</v>
      </c>
      <c r="B270" s="9" t="s">
        <v>2213</v>
      </c>
      <c r="C270" s="53" t="s">
        <v>2214</v>
      </c>
      <c r="D270" s="53" t="s">
        <v>2210</v>
      </c>
      <c r="E270" s="70" t="s">
        <v>594</v>
      </c>
      <c r="F270" s="71">
        <v>1</v>
      </c>
      <c r="H270">
        <v>1</v>
      </c>
      <c r="I270" s="37"/>
      <c r="J270" s="37"/>
      <c r="K270" s="37"/>
      <c r="L270" s="41"/>
      <c r="M270" s="41"/>
      <c r="N270" s="41"/>
      <c r="O270" s="37"/>
    </row>
    <row r="271" spans="1:15" ht="21" customHeight="1" x14ac:dyDescent="0.2">
      <c r="A271" s="22">
        <v>6000303000</v>
      </c>
      <c r="B271" s="9" t="s">
        <v>2215</v>
      </c>
      <c r="C271" s="53" t="s">
        <v>2216</v>
      </c>
      <c r="D271" s="53" t="s">
        <v>2217</v>
      </c>
      <c r="E271" s="70" t="s">
        <v>594</v>
      </c>
      <c r="F271" s="71">
        <v>1</v>
      </c>
      <c r="H271">
        <v>1</v>
      </c>
      <c r="I271" s="37"/>
      <c r="J271" s="37"/>
      <c r="K271" s="37"/>
      <c r="L271" s="41"/>
      <c r="M271" s="41"/>
      <c r="N271" s="41"/>
      <c r="O271" s="37"/>
    </row>
    <row r="272" spans="1:15" ht="21" customHeight="1" x14ac:dyDescent="0.2">
      <c r="A272" s="22">
        <v>6000305000</v>
      </c>
      <c r="B272" s="9" t="s">
        <v>2218</v>
      </c>
      <c r="C272" s="53" t="s">
        <v>2209</v>
      </c>
      <c r="D272" s="53" t="s">
        <v>2210</v>
      </c>
      <c r="E272" s="70" t="s">
        <v>594</v>
      </c>
      <c r="F272" s="71">
        <v>1</v>
      </c>
      <c r="H272">
        <v>1</v>
      </c>
      <c r="I272" s="37"/>
      <c r="J272" s="37"/>
      <c r="K272" s="37"/>
      <c r="L272" s="41"/>
      <c r="M272" s="41"/>
      <c r="N272" s="41"/>
      <c r="O272" s="37"/>
    </row>
    <row r="273" spans="1:15" ht="21" customHeight="1" x14ac:dyDescent="0.2">
      <c r="A273" s="22">
        <v>9500306000</v>
      </c>
      <c r="B273" s="9" t="s">
        <v>2219</v>
      </c>
      <c r="C273" s="53" t="s">
        <v>2220</v>
      </c>
      <c r="D273" s="53"/>
      <c r="E273" s="70" t="s">
        <v>594</v>
      </c>
      <c r="F273" s="71">
        <v>1</v>
      </c>
      <c r="H273">
        <v>1</v>
      </c>
      <c r="I273" s="37"/>
      <c r="J273" s="37"/>
      <c r="K273" s="37"/>
      <c r="L273" s="33">
        <v>43105200</v>
      </c>
      <c r="M273" s="34" t="s">
        <v>2641</v>
      </c>
      <c r="N273" s="41"/>
      <c r="O273" s="37"/>
    </row>
    <row r="274" spans="1:15" ht="21" customHeight="1" x14ac:dyDescent="0.2">
      <c r="A274" s="22">
        <v>902308000</v>
      </c>
      <c r="B274" s="9" t="s">
        <v>2221</v>
      </c>
      <c r="C274" s="53" t="s">
        <v>2023</v>
      </c>
      <c r="D274" s="53"/>
      <c r="E274" s="74" t="s">
        <v>2724</v>
      </c>
      <c r="F274" s="71">
        <v>1.43</v>
      </c>
      <c r="G274">
        <v>1.43</v>
      </c>
      <c r="H274">
        <v>1.4285714285714286</v>
      </c>
      <c r="I274" s="37"/>
      <c r="J274" s="37"/>
      <c r="K274" s="37"/>
      <c r="L274" s="43" t="s">
        <v>2724</v>
      </c>
      <c r="M274" s="42" t="s">
        <v>2725</v>
      </c>
      <c r="N274" s="45" t="s">
        <v>162</v>
      </c>
      <c r="O274" s="37"/>
    </row>
    <row r="275" spans="1:15" ht="21" customHeight="1" x14ac:dyDescent="0.2">
      <c r="A275" s="22">
        <v>902309000</v>
      </c>
      <c r="B275" s="9" t="s">
        <v>2222</v>
      </c>
      <c r="C275" s="53" t="s">
        <v>2223</v>
      </c>
      <c r="D275" s="53"/>
      <c r="E275" s="70" t="s">
        <v>594</v>
      </c>
      <c r="F275" s="71">
        <v>1</v>
      </c>
      <c r="H275">
        <v>1</v>
      </c>
      <c r="I275" s="37"/>
      <c r="J275" s="37"/>
      <c r="K275" s="37"/>
      <c r="L275" s="33">
        <v>43101000</v>
      </c>
      <c r="M275" s="34" t="s">
        <v>2642</v>
      </c>
      <c r="N275" s="41"/>
      <c r="O275" s="37"/>
    </row>
    <row r="276" spans="1:15" ht="21" customHeight="1" x14ac:dyDescent="0.2">
      <c r="A276" s="22">
        <v>3900312000</v>
      </c>
      <c r="B276" s="9" t="s">
        <v>2224</v>
      </c>
      <c r="C276" s="53" t="s">
        <v>2074</v>
      </c>
      <c r="D276" s="53"/>
      <c r="E276" s="70" t="s">
        <v>594</v>
      </c>
      <c r="F276" s="71">
        <v>1</v>
      </c>
      <c r="G276">
        <v>1.6130000000000002</v>
      </c>
      <c r="H276">
        <v>1</v>
      </c>
      <c r="I276" s="37"/>
      <c r="J276" s="37"/>
      <c r="K276" s="37"/>
      <c r="L276" s="33">
        <v>23310000</v>
      </c>
      <c r="M276" s="34" t="s">
        <v>2643</v>
      </c>
      <c r="N276" s="35" t="s">
        <v>2644</v>
      </c>
      <c r="O276" s="37"/>
    </row>
    <row r="277" spans="1:15" ht="21" customHeight="1" x14ac:dyDescent="0.2">
      <c r="A277" s="22">
        <v>401313000</v>
      </c>
      <c r="B277" s="9" t="s">
        <v>2225</v>
      </c>
      <c r="C277" s="53" t="s">
        <v>1760</v>
      </c>
      <c r="D277" s="53"/>
      <c r="E277" s="70" t="s">
        <v>2724</v>
      </c>
      <c r="F277" s="71">
        <v>1.1000000000000001</v>
      </c>
      <c r="G277">
        <v>1.1000000000000001</v>
      </c>
      <c r="H277">
        <v>1</v>
      </c>
      <c r="I277" s="37"/>
      <c r="J277" s="37"/>
      <c r="K277" s="37"/>
      <c r="L277" s="33">
        <v>72124100</v>
      </c>
      <c r="M277" s="34" t="s">
        <v>2645</v>
      </c>
      <c r="N277" s="35" t="s">
        <v>2481</v>
      </c>
      <c r="O277" s="37"/>
    </row>
    <row r="278" spans="1:15" ht="21" customHeight="1" x14ac:dyDescent="0.2">
      <c r="A278" s="22">
        <v>101316000</v>
      </c>
      <c r="B278" s="9" t="s">
        <v>2226</v>
      </c>
      <c r="C278" s="53" t="s">
        <v>1851</v>
      </c>
      <c r="D278" s="53"/>
      <c r="E278" s="70" t="s">
        <v>2724</v>
      </c>
      <c r="F278" s="71">
        <v>1.27</v>
      </c>
      <c r="G278">
        <v>1.27</v>
      </c>
      <c r="H278">
        <v>1</v>
      </c>
      <c r="I278" s="37"/>
      <c r="J278" s="37"/>
      <c r="K278" s="37"/>
      <c r="L278" s="43" t="s">
        <v>2722</v>
      </c>
      <c r="M278" s="42" t="s">
        <v>2726</v>
      </c>
      <c r="N278" s="45" t="s">
        <v>162</v>
      </c>
      <c r="O278" s="37"/>
    </row>
    <row r="279" spans="1:15" ht="21" customHeight="1" x14ac:dyDescent="0.2">
      <c r="A279" s="22">
        <v>101314000</v>
      </c>
      <c r="B279" s="9" t="s">
        <v>2227</v>
      </c>
      <c r="C279" s="53" t="s">
        <v>1851</v>
      </c>
      <c r="D279" s="53"/>
      <c r="E279" s="74" t="s">
        <v>2724</v>
      </c>
      <c r="F279" s="71">
        <v>1.1100000000000001</v>
      </c>
      <c r="G279">
        <v>1.1100000000000001</v>
      </c>
      <c r="H279">
        <v>1.1111111111111112</v>
      </c>
      <c r="I279" s="37"/>
      <c r="J279" s="37"/>
      <c r="K279" s="37"/>
      <c r="L279" s="43" t="s">
        <v>2722</v>
      </c>
      <c r="M279" s="42" t="s">
        <v>2726</v>
      </c>
      <c r="N279" s="45" t="s">
        <v>162</v>
      </c>
      <c r="O279" s="37"/>
    </row>
    <row r="280" spans="1:15" ht="21" customHeight="1" x14ac:dyDescent="0.2">
      <c r="A280" s="22">
        <v>2001319000</v>
      </c>
      <c r="B280" s="9" t="s">
        <v>2228</v>
      </c>
      <c r="C280" s="53" t="s">
        <v>1731</v>
      </c>
      <c r="D280" s="53" t="s">
        <v>2229</v>
      </c>
      <c r="E280" s="70" t="s">
        <v>2724</v>
      </c>
      <c r="F280" s="71">
        <v>1</v>
      </c>
      <c r="G280">
        <v>1</v>
      </c>
      <c r="H280">
        <v>1</v>
      </c>
      <c r="I280" s="37"/>
      <c r="J280" s="37"/>
      <c r="K280" s="37"/>
      <c r="L280" s="33">
        <v>82105500</v>
      </c>
      <c r="M280" s="34" t="s">
        <v>2646</v>
      </c>
      <c r="N280" s="35" t="s">
        <v>2548</v>
      </c>
      <c r="O280" s="37"/>
    </row>
    <row r="281" spans="1:15" ht="21" customHeight="1" x14ac:dyDescent="0.2">
      <c r="A281" s="22">
        <v>1301320000</v>
      </c>
      <c r="B281" s="9" t="s">
        <v>2230</v>
      </c>
      <c r="C281" s="53" t="s">
        <v>1834</v>
      </c>
      <c r="D281" s="53" t="s">
        <v>2231</v>
      </c>
      <c r="E281" s="74" t="s">
        <v>2724</v>
      </c>
      <c r="F281" s="71">
        <v>1.04</v>
      </c>
      <c r="G281">
        <v>1.04</v>
      </c>
      <c r="H281">
        <v>1.0416666666666667</v>
      </c>
      <c r="I281" s="37"/>
      <c r="J281" s="37"/>
      <c r="K281" s="37"/>
      <c r="L281" s="33">
        <v>63219010</v>
      </c>
      <c r="M281" s="34" t="s">
        <v>2647</v>
      </c>
      <c r="N281" s="35" t="s">
        <v>2507</v>
      </c>
      <c r="O281" s="37"/>
    </row>
    <row r="282" spans="1:15" ht="21" customHeight="1" x14ac:dyDescent="0.2">
      <c r="A282" s="22">
        <v>1301321000</v>
      </c>
      <c r="B282" s="9" t="s">
        <v>2232</v>
      </c>
      <c r="C282" s="53" t="s">
        <v>1742</v>
      </c>
      <c r="D282" s="53" t="s">
        <v>2231</v>
      </c>
      <c r="E282" s="70" t="s">
        <v>594</v>
      </c>
      <c r="F282" s="71">
        <v>1</v>
      </c>
      <c r="H282">
        <v>1</v>
      </c>
      <c r="I282" s="37"/>
      <c r="J282" s="37"/>
      <c r="K282" s="37"/>
      <c r="L282" s="33"/>
      <c r="M282" s="41"/>
      <c r="N282" s="41"/>
      <c r="O282" s="37" t="s">
        <v>2689</v>
      </c>
    </row>
    <row r="283" spans="1:15" ht="21" customHeight="1" x14ac:dyDescent="0.2">
      <c r="A283" s="22">
        <v>2202322000</v>
      </c>
      <c r="B283" s="9" t="s">
        <v>2233</v>
      </c>
      <c r="C283" s="53" t="s">
        <v>2234</v>
      </c>
      <c r="D283" s="53"/>
      <c r="E283" s="70" t="s">
        <v>2724</v>
      </c>
      <c r="F283" s="71">
        <v>1.33</v>
      </c>
      <c r="G283">
        <v>1.33</v>
      </c>
      <c r="H283">
        <v>1</v>
      </c>
      <c r="I283" s="37"/>
      <c r="J283" s="37"/>
      <c r="K283" s="37"/>
      <c r="L283" s="33">
        <v>63147010</v>
      </c>
      <c r="M283" s="34" t="s">
        <v>2648</v>
      </c>
      <c r="N283" s="35" t="s">
        <v>2487</v>
      </c>
      <c r="O283" s="37"/>
    </row>
    <row r="284" spans="1:15" ht="21" customHeight="1" x14ac:dyDescent="0.2">
      <c r="A284" s="22">
        <v>1500326000</v>
      </c>
      <c r="B284" s="9" t="s">
        <v>2235</v>
      </c>
      <c r="C284" s="53" t="s">
        <v>1774</v>
      </c>
      <c r="D284" s="53"/>
      <c r="E284" s="70" t="s">
        <v>594</v>
      </c>
      <c r="F284" s="71">
        <v>1</v>
      </c>
      <c r="H284">
        <v>1</v>
      </c>
      <c r="I284" s="37"/>
      <c r="J284" s="37"/>
      <c r="K284" s="37"/>
      <c r="L284" s="41"/>
      <c r="M284" s="41"/>
      <c r="N284" s="41"/>
      <c r="O284" s="37"/>
    </row>
    <row r="285" spans="1:15" ht="21" customHeight="1" x14ac:dyDescent="0.2">
      <c r="A285" s="22">
        <v>1500324000</v>
      </c>
      <c r="B285" s="9" t="s">
        <v>2236</v>
      </c>
      <c r="C285" s="53" t="s">
        <v>2237</v>
      </c>
      <c r="D285" s="53"/>
      <c r="E285" s="70" t="s">
        <v>594</v>
      </c>
      <c r="F285" s="71">
        <v>1</v>
      </c>
      <c r="G285">
        <v>0.36</v>
      </c>
      <c r="H285">
        <v>1</v>
      </c>
      <c r="I285" s="37"/>
      <c r="J285" s="37"/>
      <c r="K285" s="37"/>
      <c r="L285" s="33">
        <v>56205110</v>
      </c>
      <c r="M285" s="34" t="s">
        <v>2649</v>
      </c>
      <c r="N285" s="35" t="s">
        <v>2650</v>
      </c>
      <c r="O285" s="37"/>
    </row>
    <row r="286" spans="1:15" ht="21" customHeight="1" x14ac:dyDescent="0.2">
      <c r="A286" s="22">
        <v>1500325000</v>
      </c>
      <c r="B286" s="9" t="s">
        <v>2238</v>
      </c>
      <c r="C286" s="53" t="s">
        <v>1754</v>
      </c>
      <c r="D286" s="53"/>
      <c r="E286" s="70" t="s">
        <v>594</v>
      </c>
      <c r="F286" s="71">
        <v>1</v>
      </c>
      <c r="H286">
        <v>1</v>
      </c>
      <c r="I286" s="37"/>
      <c r="J286" s="37"/>
      <c r="K286" s="37"/>
      <c r="L286" s="41"/>
      <c r="M286" s="41"/>
      <c r="N286" s="41"/>
      <c r="O286" s="37" t="s">
        <v>2689</v>
      </c>
    </row>
    <row r="287" spans="1:15" ht="21" customHeight="1" x14ac:dyDescent="0.2">
      <c r="A287" s="22">
        <v>1500323000</v>
      </c>
      <c r="B287" s="9" t="s">
        <v>2239</v>
      </c>
      <c r="C287" s="53" t="s">
        <v>2084</v>
      </c>
      <c r="D287" s="53"/>
      <c r="E287" s="70" t="s">
        <v>594</v>
      </c>
      <c r="F287" s="71">
        <v>1</v>
      </c>
      <c r="G287">
        <v>0.36</v>
      </c>
      <c r="H287">
        <v>1</v>
      </c>
      <c r="I287" s="37"/>
      <c r="J287" s="37"/>
      <c r="K287" s="37"/>
      <c r="L287" s="33">
        <v>56205010</v>
      </c>
      <c r="M287" s="34" t="s">
        <v>2651</v>
      </c>
      <c r="N287" s="35" t="s">
        <v>2650</v>
      </c>
      <c r="O287" s="37"/>
    </row>
    <row r="288" spans="1:15" ht="21" customHeight="1" x14ac:dyDescent="0.2">
      <c r="A288" s="22">
        <v>101327000</v>
      </c>
      <c r="B288" s="9" t="s">
        <v>2240</v>
      </c>
      <c r="C288" s="53" t="s">
        <v>2241</v>
      </c>
      <c r="D288" s="53"/>
      <c r="E288" s="70" t="s">
        <v>2724</v>
      </c>
      <c r="F288" s="71">
        <v>1.18</v>
      </c>
      <c r="G288">
        <v>1.18</v>
      </c>
      <c r="H288">
        <v>1</v>
      </c>
      <c r="I288" s="37"/>
      <c r="J288" s="37"/>
      <c r="K288" s="37"/>
      <c r="L288" s="33">
        <v>75127000</v>
      </c>
      <c r="M288" s="34" t="s">
        <v>2652</v>
      </c>
      <c r="N288" s="35" t="s">
        <v>2515</v>
      </c>
      <c r="O288" s="37"/>
    </row>
    <row r="289" spans="1:15" ht="21" customHeight="1" x14ac:dyDescent="0.2">
      <c r="A289" s="22">
        <v>1500329000</v>
      </c>
      <c r="B289" s="9" t="s">
        <v>2242</v>
      </c>
      <c r="C289" s="53" t="s">
        <v>1754</v>
      </c>
      <c r="D289" s="53"/>
      <c r="E289" s="70" t="s">
        <v>594</v>
      </c>
      <c r="F289" s="71">
        <v>1</v>
      </c>
      <c r="H289">
        <v>1</v>
      </c>
      <c r="I289" s="37"/>
      <c r="J289" s="37"/>
      <c r="K289" s="37"/>
      <c r="L289" s="41"/>
      <c r="M289" s="41"/>
      <c r="N289" s="41"/>
      <c r="O289" s="37"/>
    </row>
    <row r="290" spans="1:15" ht="21" customHeight="1" x14ac:dyDescent="0.2">
      <c r="A290" s="22">
        <v>1500328000</v>
      </c>
      <c r="B290" s="9" t="s">
        <v>2243</v>
      </c>
      <c r="C290" s="53" t="s">
        <v>2244</v>
      </c>
      <c r="D290" s="53"/>
      <c r="E290" s="70" t="s">
        <v>594</v>
      </c>
      <c r="F290" s="71">
        <v>1</v>
      </c>
      <c r="H290">
        <v>1</v>
      </c>
      <c r="I290" s="37"/>
      <c r="J290" s="37"/>
      <c r="K290" s="37"/>
      <c r="L290" s="41"/>
      <c r="M290" s="41"/>
      <c r="N290" s="41"/>
      <c r="O290" s="37"/>
    </row>
    <row r="291" spans="1:15" ht="21" customHeight="1" x14ac:dyDescent="0.2">
      <c r="A291" s="22">
        <v>2002330000</v>
      </c>
      <c r="B291" s="9" t="s">
        <v>2245</v>
      </c>
      <c r="C291" s="53" t="s">
        <v>1731</v>
      </c>
      <c r="D291" s="53"/>
      <c r="E291" s="70" t="s">
        <v>2724</v>
      </c>
      <c r="F291" s="71">
        <v>1</v>
      </c>
      <c r="G291">
        <v>1</v>
      </c>
      <c r="H291">
        <v>1</v>
      </c>
      <c r="I291" s="37">
        <v>2.6310160427807485</v>
      </c>
      <c r="J291" s="37"/>
      <c r="K291" s="37"/>
      <c r="L291" s="33">
        <v>82106000</v>
      </c>
      <c r="M291" s="34" t="s">
        <v>2653</v>
      </c>
      <c r="N291" s="35" t="s">
        <v>2548</v>
      </c>
      <c r="O291" s="37"/>
    </row>
    <row r="292" spans="1:15" ht="21" customHeight="1" x14ac:dyDescent="0.2">
      <c r="A292" s="22">
        <v>1901334000</v>
      </c>
      <c r="B292" s="9" t="s">
        <v>2246</v>
      </c>
      <c r="C292" s="53" t="s">
        <v>2247</v>
      </c>
      <c r="D292" s="53" t="s">
        <v>2248</v>
      </c>
      <c r="E292" s="70" t="s">
        <v>594</v>
      </c>
      <c r="F292" s="71">
        <v>1</v>
      </c>
      <c r="H292">
        <v>1</v>
      </c>
      <c r="I292" s="37"/>
      <c r="J292" s="37"/>
      <c r="K292" s="37"/>
      <c r="L292" s="41"/>
      <c r="M292" s="41"/>
      <c r="N292" s="41"/>
      <c r="O292" s="37"/>
    </row>
    <row r="293" spans="1:15" ht="21" customHeight="1" x14ac:dyDescent="0.2">
      <c r="A293" s="22">
        <v>9500335000</v>
      </c>
      <c r="B293" s="9" t="s">
        <v>2249</v>
      </c>
      <c r="C293" s="53" t="s">
        <v>2250</v>
      </c>
      <c r="D293" s="53" t="s">
        <v>2251</v>
      </c>
      <c r="E293" s="70" t="s">
        <v>2724</v>
      </c>
      <c r="F293" s="71">
        <v>1</v>
      </c>
      <c r="G293">
        <v>1</v>
      </c>
      <c r="H293">
        <v>1</v>
      </c>
      <c r="I293" s="37"/>
      <c r="J293" s="37"/>
      <c r="K293" s="37"/>
      <c r="L293" s="33">
        <v>75127500</v>
      </c>
      <c r="M293" s="34" t="s">
        <v>2654</v>
      </c>
      <c r="N293" s="35" t="s">
        <v>2481</v>
      </c>
      <c r="O293" s="37"/>
    </row>
    <row r="294" spans="1:15" ht="21" customHeight="1" x14ac:dyDescent="0.2">
      <c r="A294" s="22">
        <v>2001337000</v>
      </c>
      <c r="B294" s="9" t="s">
        <v>2252</v>
      </c>
      <c r="C294" s="53" t="s">
        <v>1731</v>
      </c>
      <c r="D294" s="53"/>
      <c r="E294" s="70" t="s">
        <v>2724</v>
      </c>
      <c r="F294" s="71">
        <v>1</v>
      </c>
      <c r="G294">
        <v>1</v>
      </c>
      <c r="H294">
        <v>1</v>
      </c>
      <c r="I294" s="37"/>
      <c r="J294" s="37"/>
      <c r="K294" s="37"/>
      <c r="L294" s="33">
        <v>82107000</v>
      </c>
      <c r="M294" s="34" t="s">
        <v>2655</v>
      </c>
      <c r="N294" s="35" t="s">
        <v>2548</v>
      </c>
      <c r="O294" s="37"/>
    </row>
    <row r="295" spans="1:15" ht="21" customHeight="1" x14ac:dyDescent="0.2">
      <c r="A295" s="22">
        <v>2001336000</v>
      </c>
      <c r="B295" s="9" t="s">
        <v>2253</v>
      </c>
      <c r="C295" s="53" t="s">
        <v>1965</v>
      </c>
      <c r="D295" s="53"/>
      <c r="E295" s="70" t="s">
        <v>594</v>
      </c>
      <c r="F295" s="71">
        <v>1</v>
      </c>
      <c r="H295">
        <v>1</v>
      </c>
      <c r="I295" s="37"/>
      <c r="J295" s="37"/>
      <c r="K295" s="37"/>
      <c r="L295" s="33">
        <v>43103050</v>
      </c>
      <c r="M295" s="34" t="s">
        <v>2656</v>
      </c>
      <c r="N295" s="41"/>
      <c r="O295" s="37"/>
    </row>
    <row r="296" spans="1:15" ht="21" customHeight="1" x14ac:dyDescent="0.2">
      <c r="A296" s="22">
        <v>301338000</v>
      </c>
      <c r="B296" s="9" t="s">
        <v>2254</v>
      </c>
      <c r="C296" s="53" t="s">
        <v>2255</v>
      </c>
      <c r="D296" s="53"/>
      <c r="E296" s="72" t="s">
        <v>2737</v>
      </c>
      <c r="F296" s="71">
        <v>1.1359999999999999</v>
      </c>
      <c r="H296">
        <v>1</v>
      </c>
      <c r="I296" s="37"/>
      <c r="J296" s="37"/>
      <c r="K296" s="37">
        <v>1.1359999999999999</v>
      </c>
      <c r="L296" s="41"/>
      <c r="M296" s="41"/>
      <c r="N296" s="41"/>
      <c r="O296" s="37"/>
    </row>
    <row r="297" spans="1:15" ht="21" customHeight="1" x14ac:dyDescent="0.2">
      <c r="A297" s="22">
        <v>3500341000</v>
      </c>
      <c r="B297" s="9" t="s">
        <v>2256</v>
      </c>
      <c r="C297" s="53" t="s">
        <v>2257</v>
      </c>
      <c r="D297" s="53"/>
      <c r="E297" s="70" t="s">
        <v>594</v>
      </c>
      <c r="F297" s="71">
        <v>1</v>
      </c>
      <c r="H297">
        <v>1</v>
      </c>
      <c r="I297" s="37"/>
      <c r="J297" s="37"/>
      <c r="K297" s="37"/>
      <c r="L297" s="41"/>
      <c r="M297" s="41"/>
      <c r="N297" s="41"/>
      <c r="O297" s="37"/>
    </row>
    <row r="298" spans="1:15" ht="21" customHeight="1" x14ac:dyDescent="0.2">
      <c r="A298" s="22">
        <v>3500343000</v>
      </c>
      <c r="B298" s="9" t="s">
        <v>2258</v>
      </c>
      <c r="C298" s="53" t="s">
        <v>2212</v>
      </c>
      <c r="D298" s="53"/>
      <c r="E298" s="70" t="s">
        <v>594</v>
      </c>
      <c r="F298" s="71">
        <v>1</v>
      </c>
      <c r="H298">
        <v>1</v>
      </c>
      <c r="I298" s="37"/>
      <c r="J298" s="37"/>
      <c r="K298" s="37"/>
      <c r="L298" s="41"/>
      <c r="M298" s="41"/>
      <c r="N298" s="41"/>
      <c r="O298" s="37"/>
    </row>
    <row r="299" spans="1:15" ht="21" customHeight="1" x14ac:dyDescent="0.2">
      <c r="A299" s="22">
        <v>3500339000</v>
      </c>
      <c r="B299" s="9" t="s">
        <v>2259</v>
      </c>
      <c r="C299" s="53" t="s">
        <v>2260</v>
      </c>
      <c r="D299" s="53"/>
      <c r="E299" s="70" t="s">
        <v>594</v>
      </c>
      <c r="F299" s="71">
        <v>1</v>
      </c>
      <c r="H299">
        <v>1</v>
      </c>
      <c r="I299" s="37"/>
      <c r="J299" s="37"/>
      <c r="K299" s="37"/>
      <c r="L299" s="41"/>
      <c r="M299" s="41"/>
      <c r="N299" s="41"/>
      <c r="O299" s="37"/>
    </row>
    <row r="300" spans="1:15" ht="21" customHeight="1" x14ac:dyDescent="0.2">
      <c r="A300" s="22">
        <v>3500340000</v>
      </c>
      <c r="B300" s="9" t="s">
        <v>2261</v>
      </c>
      <c r="C300" s="53" t="s">
        <v>2262</v>
      </c>
      <c r="D300" s="53" t="s">
        <v>2263</v>
      </c>
      <c r="E300" s="70" t="s">
        <v>594</v>
      </c>
      <c r="F300" s="71">
        <v>1</v>
      </c>
      <c r="H300">
        <v>1</v>
      </c>
      <c r="I300" s="37"/>
      <c r="J300" s="37"/>
      <c r="K300" s="37"/>
      <c r="L300" s="41"/>
      <c r="M300" s="41"/>
      <c r="N300" s="41"/>
      <c r="O300" s="37"/>
    </row>
    <row r="301" spans="1:15" ht="21" customHeight="1" x14ac:dyDescent="0.2">
      <c r="A301" s="22">
        <v>1500345000</v>
      </c>
      <c r="B301" s="9" t="s">
        <v>2264</v>
      </c>
      <c r="C301" s="53" t="s">
        <v>1943</v>
      </c>
      <c r="D301" s="53"/>
      <c r="E301" s="70" t="s">
        <v>2724</v>
      </c>
      <c r="F301" s="71">
        <v>1</v>
      </c>
      <c r="G301">
        <v>1</v>
      </c>
      <c r="H301">
        <v>1</v>
      </c>
      <c r="I301" s="37"/>
      <c r="J301" s="37"/>
      <c r="K301" s="37"/>
      <c r="L301" s="33">
        <v>91301090</v>
      </c>
      <c r="M301" s="34" t="s">
        <v>2657</v>
      </c>
      <c r="N301" s="35" t="s">
        <v>2471</v>
      </c>
      <c r="O301" s="37"/>
    </row>
    <row r="302" spans="1:15" ht="21" customHeight="1" x14ac:dyDescent="0.2">
      <c r="A302" s="22">
        <v>2403346000</v>
      </c>
      <c r="B302" s="9" t="s">
        <v>2265</v>
      </c>
      <c r="C302" s="53" t="s">
        <v>1842</v>
      </c>
      <c r="D302" s="53"/>
      <c r="E302" s="74" t="s">
        <v>2724</v>
      </c>
      <c r="F302" s="71">
        <v>1.49</v>
      </c>
      <c r="G302">
        <v>1.49</v>
      </c>
      <c r="H302">
        <v>1</v>
      </c>
      <c r="I302" s="37"/>
      <c r="J302" s="37"/>
      <c r="K302" s="37"/>
      <c r="L302" s="43" t="s">
        <v>2697</v>
      </c>
      <c r="M302" s="42" t="s">
        <v>2698</v>
      </c>
      <c r="N302" s="45" t="s">
        <v>2578</v>
      </c>
      <c r="O302" s="37"/>
    </row>
    <row r="303" spans="1:15" ht="21" customHeight="1" x14ac:dyDescent="0.2">
      <c r="A303" s="22">
        <v>600348000</v>
      </c>
      <c r="B303" s="23" t="s">
        <v>2266</v>
      </c>
      <c r="C303" s="54" t="s">
        <v>2267</v>
      </c>
      <c r="D303" s="53"/>
      <c r="E303" s="70" t="s">
        <v>2724</v>
      </c>
      <c r="F303" s="70">
        <v>1</v>
      </c>
      <c r="G303">
        <v>1</v>
      </c>
      <c r="H303">
        <v>1</v>
      </c>
      <c r="I303" s="40">
        <v>1.1000000000000001</v>
      </c>
      <c r="J303" s="40"/>
      <c r="K303" s="40"/>
      <c r="L303" s="43" t="s">
        <v>2722</v>
      </c>
      <c r="M303" s="42" t="s">
        <v>2727</v>
      </c>
      <c r="N303" s="45" t="s">
        <v>162</v>
      </c>
      <c r="O303" s="40"/>
    </row>
    <row r="304" spans="1:15" ht="21" customHeight="1" x14ac:dyDescent="0.2">
      <c r="A304" s="22">
        <v>600350000</v>
      </c>
      <c r="B304" s="30" t="s">
        <v>2268</v>
      </c>
      <c r="C304" s="53" t="s">
        <v>1731</v>
      </c>
      <c r="D304" s="53" t="s">
        <v>2269</v>
      </c>
      <c r="E304" s="72" t="s">
        <v>628</v>
      </c>
      <c r="F304" s="73">
        <v>1</v>
      </c>
      <c r="G304">
        <v>1</v>
      </c>
      <c r="H304">
        <v>1</v>
      </c>
      <c r="I304" s="38">
        <v>5.3983739837398375</v>
      </c>
      <c r="J304" s="38"/>
      <c r="K304" s="38"/>
      <c r="L304" s="33">
        <v>82108000</v>
      </c>
      <c r="M304" s="34" t="s">
        <v>2658</v>
      </c>
      <c r="N304" s="35" t="s">
        <v>2548</v>
      </c>
      <c r="O304" s="38"/>
    </row>
    <row r="305" spans="1:15" ht="21" customHeight="1" x14ac:dyDescent="0.2">
      <c r="A305" s="22">
        <v>600347000</v>
      </c>
      <c r="B305" s="30" t="s">
        <v>2270</v>
      </c>
      <c r="C305" s="53" t="s">
        <v>2271</v>
      </c>
      <c r="D305" s="53"/>
      <c r="E305" s="70" t="s">
        <v>594</v>
      </c>
      <c r="F305" s="71">
        <v>1</v>
      </c>
      <c r="H305">
        <v>1</v>
      </c>
      <c r="I305" s="38"/>
      <c r="J305" s="38"/>
      <c r="K305" s="38"/>
      <c r="L305" s="41"/>
      <c r="M305" s="41"/>
      <c r="N305" s="41"/>
      <c r="O305" s="38"/>
    </row>
    <row r="306" spans="1:15" ht="21" customHeight="1" x14ac:dyDescent="0.2">
      <c r="A306" s="22">
        <v>600349000</v>
      </c>
      <c r="B306" s="9" t="s">
        <v>2272</v>
      </c>
      <c r="C306" s="53" t="s">
        <v>2273</v>
      </c>
      <c r="D306" s="53"/>
      <c r="E306" s="70" t="s">
        <v>594</v>
      </c>
      <c r="F306" s="71">
        <v>1</v>
      </c>
      <c r="G306">
        <v>0.17</v>
      </c>
      <c r="H306">
        <v>1</v>
      </c>
      <c r="I306" s="37"/>
      <c r="J306" s="37"/>
      <c r="K306" s="37"/>
      <c r="L306" s="33">
        <v>11320000</v>
      </c>
      <c r="M306" s="34" t="s">
        <v>2659</v>
      </c>
      <c r="N306" s="35" t="s">
        <v>2481</v>
      </c>
      <c r="O306" s="37"/>
    </row>
    <row r="307" spans="1:15" ht="21" customHeight="1" x14ac:dyDescent="0.2">
      <c r="A307" s="22">
        <v>1902354000</v>
      </c>
      <c r="B307" s="9" t="s">
        <v>2274</v>
      </c>
      <c r="C307" s="53" t="s">
        <v>2095</v>
      </c>
      <c r="D307" s="56" t="s">
        <v>2275</v>
      </c>
      <c r="E307" s="72" t="s">
        <v>594</v>
      </c>
      <c r="F307" s="71">
        <v>1</v>
      </c>
      <c r="H307">
        <v>1</v>
      </c>
      <c r="I307" s="37"/>
      <c r="J307" s="37"/>
      <c r="K307" s="37"/>
      <c r="L307" s="41"/>
      <c r="M307" s="41"/>
      <c r="N307" s="41"/>
      <c r="O307" s="37"/>
    </row>
    <row r="308" spans="1:15" ht="21" customHeight="1" x14ac:dyDescent="0.2">
      <c r="A308" s="22">
        <v>401355000</v>
      </c>
      <c r="B308" s="9" t="s">
        <v>892</v>
      </c>
      <c r="C308" s="53" t="s">
        <v>2056</v>
      </c>
      <c r="D308" s="53"/>
      <c r="E308" s="74" t="s">
        <v>2724</v>
      </c>
      <c r="F308" s="71">
        <v>1.39</v>
      </c>
      <c r="G308">
        <v>1.39</v>
      </c>
      <c r="H308">
        <v>1.3888888888888888</v>
      </c>
      <c r="I308" s="37"/>
      <c r="J308" s="37"/>
      <c r="K308" s="37"/>
      <c r="L308" s="33">
        <v>72125100</v>
      </c>
      <c r="M308" s="34" t="s">
        <v>2660</v>
      </c>
      <c r="N308" s="35" t="s">
        <v>2500</v>
      </c>
      <c r="O308" s="37"/>
    </row>
    <row r="309" spans="1:15" ht="21" customHeight="1" x14ac:dyDescent="0.2">
      <c r="A309" s="22">
        <v>902356000</v>
      </c>
      <c r="B309" s="9" t="s">
        <v>2276</v>
      </c>
      <c r="C309" s="53" t="s">
        <v>2277</v>
      </c>
      <c r="D309" s="53" t="s">
        <v>2278</v>
      </c>
      <c r="E309" s="70" t="s">
        <v>2724</v>
      </c>
      <c r="F309" s="71">
        <v>1.05</v>
      </c>
      <c r="G309">
        <v>1.05</v>
      </c>
      <c r="H309">
        <v>1.2048192771084338</v>
      </c>
      <c r="I309" s="37"/>
      <c r="J309" s="37"/>
      <c r="K309" s="37"/>
      <c r="L309" s="33">
        <v>75128000</v>
      </c>
      <c r="M309" s="34" t="s">
        <v>2661</v>
      </c>
      <c r="N309" s="35" t="s">
        <v>2481</v>
      </c>
      <c r="O309" s="37"/>
    </row>
    <row r="310" spans="1:15" ht="21" customHeight="1" x14ac:dyDescent="0.2">
      <c r="A310" s="22">
        <v>902357000</v>
      </c>
      <c r="B310" s="9" t="s">
        <v>2279</v>
      </c>
      <c r="C310" s="53" t="s">
        <v>2280</v>
      </c>
      <c r="D310" s="53" t="s">
        <v>2281</v>
      </c>
      <c r="E310" s="70" t="s">
        <v>2724</v>
      </c>
      <c r="F310" s="71">
        <v>1.41</v>
      </c>
      <c r="G310">
        <v>1.41</v>
      </c>
      <c r="H310">
        <v>1.2048192771084338</v>
      </c>
      <c r="I310" s="37"/>
      <c r="J310" s="37"/>
      <c r="K310" s="37"/>
      <c r="L310" s="33">
        <v>73302010</v>
      </c>
      <c r="M310" s="34" t="s">
        <v>2662</v>
      </c>
      <c r="N310" s="35" t="s">
        <v>2481</v>
      </c>
      <c r="O310" s="37"/>
    </row>
    <row r="311" spans="1:15" ht="21" customHeight="1" x14ac:dyDescent="0.2">
      <c r="A311" s="22">
        <v>1307359000</v>
      </c>
      <c r="B311" s="9" t="s">
        <v>2282</v>
      </c>
      <c r="C311" s="53" t="s">
        <v>2283</v>
      </c>
      <c r="D311" s="53"/>
      <c r="E311" s="74" t="s">
        <v>2724</v>
      </c>
      <c r="F311" s="71">
        <v>1.06</v>
      </c>
      <c r="G311">
        <v>1.06</v>
      </c>
      <c r="H311">
        <v>1.0638297872340425</v>
      </c>
      <c r="I311" s="37"/>
      <c r="J311" s="37"/>
      <c r="K311" s="37"/>
      <c r="L311" s="33">
        <v>63223020</v>
      </c>
      <c r="M311" s="34" t="s">
        <v>2663</v>
      </c>
      <c r="N311" s="35" t="s">
        <v>2507</v>
      </c>
      <c r="O311" s="37"/>
    </row>
    <row r="312" spans="1:15" ht="21" customHeight="1" x14ac:dyDescent="0.2">
      <c r="A312" s="22">
        <v>1307360000</v>
      </c>
      <c r="B312" s="9" t="s">
        <v>2284</v>
      </c>
      <c r="C312" s="53" t="s">
        <v>1742</v>
      </c>
      <c r="D312" s="53"/>
      <c r="E312" s="70" t="s">
        <v>2724</v>
      </c>
      <c r="F312" s="71">
        <v>1.3</v>
      </c>
      <c r="G312">
        <v>1.3</v>
      </c>
      <c r="H312">
        <v>1</v>
      </c>
      <c r="I312" s="37"/>
      <c r="J312" s="37"/>
      <c r="K312" s="37"/>
      <c r="L312" s="33">
        <v>64132500</v>
      </c>
      <c r="M312" s="34" t="s">
        <v>2664</v>
      </c>
      <c r="N312" s="35" t="s">
        <v>2507</v>
      </c>
      <c r="O312" s="37" t="s">
        <v>2689</v>
      </c>
    </row>
    <row r="313" spans="1:15" ht="21" customHeight="1" x14ac:dyDescent="0.2">
      <c r="A313" s="22">
        <v>9500363000</v>
      </c>
      <c r="B313" s="30" t="s">
        <v>2285</v>
      </c>
      <c r="C313" s="53" t="s">
        <v>1830</v>
      </c>
      <c r="D313" s="53" t="s">
        <v>2286</v>
      </c>
      <c r="E313" s="72" t="s">
        <v>594</v>
      </c>
      <c r="F313" s="71">
        <v>1</v>
      </c>
      <c r="H313">
        <v>1</v>
      </c>
      <c r="I313" s="38"/>
      <c r="J313" s="38"/>
      <c r="K313" s="38"/>
      <c r="L313" s="41"/>
      <c r="M313" s="41"/>
      <c r="N313" s="41"/>
      <c r="O313" s="38" t="s">
        <v>2689</v>
      </c>
    </row>
    <row r="314" spans="1:15" ht="21" customHeight="1" x14ac:dyDescent="0.2">
      <c r="A314" s="22">
        <v>9500362000</v>
      </c>
      <c r="B314" s="30" t="s">
        <v>2287</v>
      </c>
      <c r="C314" s="53" t="s">
        <v>2288</v>
      </c>
      <c r="D314" s="53" t="s">
        <v>1828</v>
      </c>
      <c r="E314" s="72" t="s">
        <v>594</v>
      </c>
      <c r="F314" s="71">
        <v>1</v>
      </c>
      <c r="H314">
        <v>1</v>
      </c>
      <c r="I314" s="38"/>
      <c r="J314" s="38"/>
      <c r="K314" s="38"/>
      <c r="L314" s="41"/>
      <c r="M314" s="41"/>
      <c r="N314" s="41"/>
      <c r="O314" s="38"/>
    </row>
    <row r="315" spans="1:15" ht="21" customHeight="1" x14ac:dyDescent="0.2">
      <c r="A315" s="22">
        <v>2002365000</v>
      </c>
      <c r="B315" s="9" t="s">
        <v>2289</v>
      </c>
      <c r="C315" s="53" t="s">
        <v>1731</v>
      </c>
      <c r="D315" s="53"/>
      <c r="E315" s="72" t="s">
        <v>628</v>
      </c>
      <c r="F315" s="73">
        <v>1</v>
      </c>
      <c r="G315">
        <v>1</v>
      </c>
      <c r="H315">
        <v>1</v>
      </c>
      <c r="I315" s="37">
        <v>2.4688796680497926</v>
      </c>
      <c r="J315" s="37"/>
      <c r="K315" s="37"/>
      <c r="L315" s="33">
        <v>82108500</v>
      </c>
      <c r="M315" s="34" t="s">
        <v>2665</v>
      </c>
      <c r="N315" s="35" t="s">
        <v>2548</v>
      </c>
      <c r="O315" s="37"/>
    </row>
    <row r="316" spans="1:15" ht="21" customHeight="1" x14ac:dyDescent="0.2">
      <c r="A316" s="22">
        <v>2002364000</v>
      </c>
      <c r="B316" s="9" t="s">
        <v>2290</v>
      </c>
      <c r="C316" s="53" t="s">
        <v>2291</v>
      </c>
      <c r="D316" s="53"/>
      <c r="E316" s="70" t="s">
        <v>594</v>
      </c>
      <c r="F316" s="71">
        <v>1</v>
      </c>
      <c r="H316">
        <v>1</v>
      </c>
      <c r="I316" s="37"/>
      <c r="J316" s="37"/>
      <c r="K316" s="37"/>
      <c r="L316" s="33">
        <v>43102000</v>
      </c>
      <c r="M316" s="34" t="s">
        <v>2666</v>
      </c>
      <c r="N316" s="41"/>
      <c r="O316" s="37" t="s">
        <v>2689</v>
      </c>
    </row>
    <row r="317" spans="1:15" ht="21" customHeight="1" x14ac:dyDescent="0.2">
      <c r="A317" s="22">
        <v>103366000</v>
      </c>
      <c r="B317" s="9" t="s">
        <v>2292</v>
      </c>
      <c r="C317" s="53" t="s">
        <v>2293</v>
      </c>
      <c r="D317" s="53"/>
      <c r="E317" s="74" t="s">
        <v>2724</v>
      </c>
      <c r="F317" s="71">
        <v>1.39</v>
      </c>
      <c r="G317">
        <v>1.39</v>
      </c>
      <c r="H317">
        <v>1.3888888888888888</v>
      </c>
      <c r="I317" s="37"/>
      <c r="J317" s="37"/>
      <c r="K317" s="37"/>
      <c r="L317" s="43" t="s">
        <v>2722</v>
      </c>
      <c r="M317" s="42" t="s">
        <v>2728</v>
      </c>
      <c r="N317" s="45" t="s">
        <v>162</v>
      </c>
      <c r="O317" s="37"/>
    </row>
    <row r="318" spans="1:15" ht="21" customHeight="1" x14ac:dyDescent="0.2">
      <c r="A318" s="22">
        <v>401367000</v>
      </c>
      <c r="B318" s="9" t="s">
        <v>2294</v>
      </c>
      <c r="C318" s="53" t="s">
        <v>2295</v>
      </c>
      <c r="D318" s="53"/>
      <c r="E318" s="70" t="s">
        <v>2724</v>
      </c>
      <c r="F318" s="71">
        <v>1.0900000000000001</v>
      </c>
      <c r="G318">
        <v>1.0900000000000001</v>
      </c>
      <c r="H318">
        <v>1</v>
      </c>
      <c r="I318" s="37"/>
      <c r="J318" s="37"/>
      <c r="K318" s="37"/>
      <c r="L318" s="33">
        <v>72104100</v>
      </c>
      <c r="M318" s="34" t="s">
        <v>2667</v>
      </c>
      <c r="N318" s="35" t="s">
        <v>2500</v>
      </c>
      <c r="O318" s="37"/>
    </row>
    <row r="319" spans="1:15" ht="21" customHeight="1" x14ac:dyDescent="0.2">
      <c r="A319" s="22">
        <v>2302368000</v>
      </c>
      <c r="B319" s="9" t="s">
        <v>2296</v>
      </c>
      <c r="C319" s="53" t="s">
        <v>2297</v>
      </c>
      <c r="D319" s="53"/>
      <c r="E319" s="70" t="s">
        <v>2724</v>
      </c>
      <c r="F319" s="71">
        <v>2.94</v>
      </c>
      <c r="G319">
        <v>2.94</v>
      </c>
      <c r="H319">
        <v>1</v>
      </c>
      <c r="I319" s="37"/>
      <c r="J319" s="37"/>
      <c r="K319" s="37"/>
      <c r="L319" s="33">
        <v>63148750</v>
      </c>
      <c r="M319" s="34" t="s">
        <v>2668</v>
      </c>
      <c r="N319" s="35" t="s">
        <v>2487</v>
      </c>
      <c r="O319" s="37"/>
    </row>
    <row r="320" spans="1:15" ht="21" customHeight="1" x14ac:dyDescent="0.2">
      <c r="A320" s="22">
        <v>1001369000</v>
      </c>
      <c r="B320" s="9" t="s">
        <v>2298</v>
      </c>
      <c r="C320" s="53" t="s">
        <v>1912</v>
      </c>
      <c r="D320" s="53" t="s">
        <v>2299</v>
      </c>
      <c r="E320" s="74" t="s">
        <v>2724</v>
      </c>
      <c r="F320" s="71">
        <v>1.35</v>
      </c>
      <c r="G320">
        <v>1.35</v>
      </c>
      <c r="H320">
        <v>1.3513513513513513</v>
      </c>
      <c r="I320" s="37"/>
      <c r="J320" s="37"/>
      <c r="K320" s="37"/>
      <c r="L320" s="33">
        <v>61125010</v>
      </c>
      <c r="M320" s="34" t="s">
        <v>2669</v>
      </c>
      <c r="N320" s="35" t="s">
        <v>2576</v>
      </c>
      <c r="O320" s="37"/>
    </row>
    <row r="321" spans="1:15" ht="21" customHeight="1" x14ac:dyDescent="0.2">
      <c r="A321" s="22">
        <v>1001370000</v>
      </c>
      <c r="B321" s="9" t="s">
        <v>2300</v>
      </c>
      <c r="C321" s="53" t="s">
        <v>1742</v>
      </c>
      <c r="D321" s="53" t="s">
        <v>2301</v>
      </c>
      <c r="E321" s="70" t="s">
        <v>2724</v>
      </c>
      <c r="F321" s="71">
        <v>2</v>
      </c>
      <c r="G321">
        <v>2</v>
      </c>
      <c r="H321">
        <v>1</v>
      </c>
      <c r="I321" s="37"/>
      <c r="J321" s="37"/>
      <c r="K321" s="37"/>
      <c r="L321" s="33">
        <v>61213000</v>
      </c>
      <c r="M321" s="34" t="s">
        <v>2670</v>
      </c>
      <c r="N321" s="35" t="s">
        <v>2576</v>
      </c>
      <c r="O321" s="37" t="s">
        <v>2689</v>
      </c>
    </row>
    <row r="322" spans="1:15" ht="21" customHeight="1" x14ac:dyDescent="0.2">
      <c r="A322" s="22">
        <v>103371000</v>
      </c>
      <c r="B322" s="9" t="s">
        <v>2302</v>
      </c>
      <c r="C322" s="53" t="s">
        <v>2303</v>
      </c>
      <c r="D322" s="53" t="s">
        <v>2304</v>
      </c>
      <c r="E322" s="70" t="s">
        <v>594</v>
      </c>
      <c r="F322" s="71">
        <v>1</v>
      </c>
      <c r="G322" s="69">
        <v>1.581</v>
      </c>
      <c r="H322">
        <v>1</v>
      </c>
      <c r="I322" s="37"/>
      <c r="J322" s="37"/>
      <c r="K322" s="37"/>
      <c r="L322" s="33">
        <v>71950010</v>
      </c>
      <c r="M322" s="34" t="s">
        <v>2671</v>
      </c>
      <c r="N322" s="35" t="s">
        <v>2502</v>
      </c>
      <c r="O322" s="37"/>
    </row>
    <row r="323" spans="1:15" ht="21" customHeight="1" x14ac:dyDescent="0.2">
      <c r="A323" s="22">
        <v>9500372000</v>
      </c>
      <c r="B323" s="9" t="s">
        <v>2305</v>
      </c>
      <c r="C323" s="53" t="s">
        <v>2306</v>
      </c>
      <c r="D323" s="53"/>
      <c r="E323" s="70" t="s">
        <v>594</v>
      </c>
      <c r="F323" s="71">
        <v>1</v>
      </c>
      <c r="H323">
        <v>1</v>
      </c>
      <c r="I323" s="37"/>
      <c r="J323" s="37"/>
      <c r="K323" s="37"/>
      <c r="L323" s="33">
        <v>92302000</v>
      </c>
      <c r="M323" s="34" t="s">
        <v>2673</v>
      </c>
      <c r="N323" s="41"/>
      <c r="O323" s="37"/>
    </row>
    <row r="324" spans="1:15" ht="21" customHeight="1" x14ac:dyDescent="0.2">
      <c r="A324" s="22">
        <v>9500373000</v>
      </c>
      <c r="B324" s="9" t="s">
        <v>2307</v>
      </c>
      <c r="C324" s="53" t="s">
        <v>2308</v>
      </c>
      <c r="D324" s="53"/>
      <c r="E324" s="72" t="s">
        <v>628</v>
      </c>
      <c r="F324" s="73">
        <v>1</v>
      </c>
      <c r="H324">
        <v>1</v>
      </c>
      <c r="I324" s="37">
        <v>2.2466861379465288</v>
      </c>
      <c r="J324" s="37"/>
      <c r="K324" s="37"/>
      <c r="L324" s="33">
        <v>92307000</v>
      </c>
      <c r="M324" s="34" t="s">
        <v>2672</v>
      </c>
      <c r="N324" s="41"/>
      <c r="O324" s="37">
        <v>9500372000</v>
      </c>
    </row>
    <row r="325" spans="1:15" ht="21" customHeight="1" x14ac:dyDescent="0.2">
      <c r="A325" s="22">
        <v>801374000</v>
      </c>
      <c r="B325" s="9" t="s">
        <v>2309</v>
      </c>
      <c r="C325" s="53" t="s">
        <v>2310</v>
      </c>
      <c r="D325" s="57"/>
      <c r="E325" s="78" t="s">
        <v>839</v>
      </c>
      <c r="F325" s="71">
        <v>1.1000000000000001</v>
      </c>
      <c r="H325">
        <v>1</v>
      </c>
      <c r="I325" s="37"/>
      <c r="J325" s="37"/>
      <c r="K325" s="37"/>
      <c r="L325" s="41"/>
      <c r="M325" s="41"/>
      <c r="N325" s="41"/>
      <c r="O325" s="37"/>
    </row>
    <row r="326" spans="1:15" ht="21" customHeight="1" x14ac:dyDescent="0.2">
      <c r="A326" s="22">
        <v>801375000</v>
      </c>
      <c r="B326" s="9" t="s">
        <v>2311</v>
      </c>
      <c r="C326" s="53" t="s">
        <v>2312</v>
      </c>
      <c r="D326" s="57"/>
      <c r="E326" s="74" t="s">
        <v>2724</v>
      </c>
      <c r="F326" s="71">
        <v>1.1000000000000001</v>
      </c>
      <c r="G326">
        <v>1.1000000000000001</v>
      </c>
      <c r="H326">
        <v>1.0989010989010988</v>
      </c>
      <c r="I326" s="37"/>
      <c r="J326" s="37"/>
      <c r="K326" s="37"/>
      <c r="L326" s="33">
        <v>74101000</v>
      </c>
      <c r="M326" s="34" t="s">
        <v>2674</v>
      </c>
      <c r="N326" s="35" t="s">
        <v>163</v>
      </c>
      <c r="O326" s="37"/>
    </row>
    <row r="327" spans="1:15" ht="21" customHeight="1" x14ac:dyDescent="0.2">
      <c r="A327" s="22">
        <v>801378000</v>
      </c>
      <c r="B327" s="9" t="s">
        <v>2313</v>
      </c>
      <c r="C327" s="53" t="s">
        <v>2314</v>
      </c>
      <c r="D327" s="57"/>
      <c r="E327" s="79" t="s">
        <v>2724</v>
      </c>
      <c r="F327" s="71">
        <v>17.079999999999998</v>
      </c>
      <c r="G327">
        <v>17.079999999999998</v>
      </c>
      <c r="H327">
        <v>1</v>
      </c>
      <c r="I327" s="37"/>
      <c r="J327" s="37"/>
      <c r="K327" s="37">
        <v>15.591240875912398</v>
      </c>
      <c r="L327" s="33">
        <v>74206000</v>
      </c>
      <c r="M327" s="34" t="s">
        <v>2675</v>
      </c>
      <c r="N327" s="35" t="s">
        <v>163</v>
      </c>
      <c r="O327" s="37">
        <v>801375000</v>
      </c>
    </row>
    <row r="328" spans="1:15" ht="21" customHeight="1" x14ac:dyDescent="0.2">
      <c r="A328" s="22">
        <v>801379000</v>
      </c>
      <c r="B328" s="9" t="s">
        <v>2315</v>
      </c>
      <c r="C328" s="53" t="s">
        <v>1742</v>
      </c>
      <c r="D328" s="57"/>
      <c r="E328" s="79" t="s">
        <v>2724</v>
      </c>
      <c r="F328" s="71">
        <v>1.53</v>
      </c>
      <c r="G328">
        <v>1.53</v>
      </c>
      <c r="H328">
        <v>1</v>
      </c>
      <c r="I328" s="37">
        <v>0</v>
      </c>
      <c r="J328" s="37"/>
      <c r="K328" s="37"/>
      <c r="L328" s="33">
        <v>74301100</v>
      </c>
      <c r="M328" s="34" t="s">
        <v>2433</v>
      </c>
      <c r="N328" s="35" t="s">
        <v>163</v>
      </c>
      <c r="O328" s="37">
        <v>801375000</v>
      </c>
    </row>
    <row r="329" spans="1:15" ht="21" customHeight="1" x14ac:dyDescent="0.2">
      <c r="A329" s="22">
        <v>801376000</v>
      </c>
      <c r="B329" s="9" t="s">
        <v>2316</v>
      </c>
      <c r="C329" s="53" t="s">
        <v>2317</v>
      </c>
      <c r="D329" s="57"/>
      <c r="E329" s="78" t="s">
        <v>628</v>
      </c>
      <c r="F329" s="71">
        <v>1</v>
      </c>
      <c r="G329">
        <v>5.3</v>
      </c>
      <c r="H329">
        <v>1</v>
      </c>
      <c r="I329" s="37">
        <v>1.7</v>
      </c>
      <c r="J329" s="37"/>
      <c r="K329" s="37"/>
      <c r="L329" s="33">
        <v>74403110</v>
      </c>
      <c r="M329" s="34" t="s">
        <v>2434</v>
      </c>
      <c r="N329" s="35" t="s">
        <v>163</v>
      </c>
      <c r="O329" s="37">
        <v>801375000</v>
      </c>
    </row>
    <row r="330" spans="1:15" ht="21" customHeight="1" x14ac:dyDescent="0.2">
      <c r="A330" s="22">
        <v>801377000</v>
      </c>
      <c r="B330" s="9" t="s">
        <v>2318</v>
      </c>
      <c r="C330" s="53" t="s">
        <v>2319</v>
      </c>
      <c r="D330" s="57"/>
      <c r="E330" s="78" t="s">
        <v>628</v>
      </c>
      <c r="F330" s="71">
        <v>1</v>
      </c>
      <c r="G330">
        <v>2.42</v>
      </c>
      <c r="H330">
        <v>1</v>
      </c>
      <c r="I330" s="37">
        <v>1.1200000000000001</v>
      </c>
      <c r="J330" s="37"/>
      <c r="K330" s="37"/>
      <c r="L330" s="33">
        <v>74403120</v>
      </c>
      <c r="M330" s="34" t="s">
        <v>174</v>
      </c>
      <c r="N330" s="35" t="s">
        <v>163</v>
      </c>
      <c r="O330" s="37">
        <v>801375000</v>
      </c>
    </row>
    <row r="331" spans="1:15" ht="21" customHeight="1" x14ac:dyDescent="0.2">
      <c r="A331" s="22">
        <v>1500381000</v>
      </c>
      <c r="B331" s="9" t="s">
        <v>2320</v>
      </c>
      <c r="C331" s="53" t="s">
        <v>1754</v>
      </c>
      <c r="D331" s="53"/>
      <c r="E331" s="70" t="s">
        <v>594</v>
      </c>
      <c r="F331" s="71">
        <v>1</v>
      </c>
      <c r="H331">
        <v>1</v>
      </c>
      <c r="I331" s="37"/>
      <c r="J331" s="37"/>
      <c r="K331" s="37"/>
      <c r="L331" s="41"/>
      <c r="M331" s="41"/>
      <c r="N331" s="41"/>
      <c r="O331" s="37"/>
    </row>
    <row r="332" spans="1:15" ht="21" customHeight="1" x14ac:dyDescent="0.2">
      <c r="A332" s="22">
        <v>5000385000</v>
      </c>
      <c r="B332" s="9" t="s">
        <v>2321</v>
      </c>
      <c r="C332" s="53" t="s">
        <v>2322</v>
      </c>
      <c r="D332" s="53"/>
      <c r="E332" s="70" t="s">
        <v>594</v>
      </c>
      <c r="F332" s="71">
        <v>1</v>
      </c>
      <c r="H332">
        <v>1</v>
      </c>
      <c r="I332" s="37"/>
      <c r="J332" s="37"/>
      <c r="K332" s="37"/>
      <c r="L332" s="41"/>
      <c r="M332" s="41"/>
      <c r="N332" s="41"/>
      <c r="O332" s="37"/>
    </row>
    <row r="333" spans="1:15" ht="21" customHeight="1" x14ac:dyDescent="0.2">
      <c r="A333" s="22">
        <v>5000383000</v>
      </c>
      <c r="B333" s="9" t="s">
        <v>2323</v>
      </c>
      <c r="C333" s="53" t="s">
        <v>2212</v>
      </c>
      <c r="D333" s="53"/>
      <c r="E333" s="70" t="s">
        <v>594</v>
      </c>
      <c r="F333" s="71">
        <v>1</v>
      </c>
      <c r="H333">
        <v>1</v>
      </c>
      <c r="I333" s="37"/>
      <c r="J333" s="37"/>
      <c r="K333" s="37"/>
      <c r="L333" s="41"/>
      <c r="M333" s="41"/>
      <c r="N333" s="41"/>
      <c r="O333" s="37"/>
    </row>
    <row r="334" spans="1:15" ht="21" customHeight="1" x14ac:dyDescent="0.2">
      <c r="A334" s="22">
        <v>5000382000</v>
      </c>
      <c r="B334" s="9" t="s">
        <v>2324</v>
      </c>
      <c r="C334" s="53" t="s">
        <v>2325</v>
      </c>
      <c r="D334" s="53"/>
      <c r="E334" s="70" t="s">
        <v>594</v>
      </c>
      <c r="F334" s="71">
        <v>1</v>
      </c>
      <c r="H334">
        <v>1</v>
      </c>
      <c r="I334" s="37"/>
      <c r="J334" s="37"/>
      <c r="K334" s="37"/>
      <c r="L334" s="41"/>
      <c r="M334" s="41"/>
      <c r="N334" s="41"/>
      <c r="O334" s="37"/>
    </row>
    <row r="335" spans="1:15" ht="21" customHeight="1" x14ac:dyDescent="0.2">
      <c r="A335" s="22">
        <v>5000384000</v>
      </c>
      <c r="B335" s="9" t="s">
        <v>2326</v>
      </c>
      <c r="C335" s="53" t="s">
        <v>2327</v>
      </c>
      <c r="D335" s="53" t="s">
        <v>2328</v>
      </c>
      <c r="E335" s="70" t="s">
        <v>594</v>
      </c>
      <c r="F335" s="71">
        <v>1</v>
      </c>
      <c r="H335">
        <v>1</v>
      </c>
      <c r="I335" s="37"/>
      <c r="J335" s="37"/>
      <c r="K335" s="37"/>
      <c r="L335" s="41"/>
      <c r="M335" s="41"/>
      <c r="N335" s="41"/>
      <c r="O335" s="37"/>
    </row>
    <row r="336" spans="1:15" ht="21" customHeight="1" x14ac:dyDescent="0.2">
      <c r="A336" s="22">
        <v>5000386000</v>
      </c>
      <c r="B336" s="9" t="s">
        <v>2329</v>
      </c>
      <c r="C336" s="53" t="s">
        <v>1895</v>
      </c>
      <c r="D336" s="53"/>
      <c r="E336" s="70" t="s">
        <v>594</v>
      </c>
      <c r="F336" s="71">
        <v>1</v>
      </c>
      <c r="H336">
        <v>1</v>
      </c>
      <c r="I336" s="37"/>
      <c r="J336" s="37"/>
      <c r="K336" s="37"/>
      <c r="L336" s="41"/>
      <c r="M336" s="41"/>
      <c r="N336" s="41"/>
      <c r="O336" s="37"/>
    </row>
    <row r="337" spans="1:15" ht="21" customHeight="1" x14ac:dyDescent="0.2">
      <c r="A337" s="22">
        <v>103387000</v>
      </c>
      <c r="B337" s="9" t="s">
        <v>2330</v>
      </c>
      <c r="C337" s="53" t="s">
        <v>1851</v>
      </c>
      <c r="D337" s="53"/>
      <c r="E337" s="70" t="s">
        <v>594</v>
      </c>
      <c r="F337" s="71">
        <v>1</v>
      </c>
      <c r="H337">
        <v>1</v>
      </c>
      <c r="I337" s="37"/>
      <c r="J337" s="37"/>
      <c r="K337" s="37"/>
      <c r="L337" s="41"/>
      <c r="M337" s="41"/>
      <c r="N337" s="41"/>
      <c r="O337" s="37"/>
    </row>
    <row r="338" spans="1:15" ht="21" customHeight="1" x14ac:dyDescent="0.2">
      <c r="A338" s="22">
        <v>402389000</v>
      </c>
      <c r="B338" s="9" t="s">
        <v>2331</v>
      </c>
      <c r="C338" s="53" t="s">
        <v>1760</v>
      </c>
      <c r="D338" s="53"/>
      <c r="E338" s="70" t="s">
        <v>2735</v>
      </c>
      <c r="F338" s="71">
        <v>1.4285714285714286</v>
      </c>
      <c r="G338">
        <v>0.93400000000000005</v>
      </c>
      <c r="H338">
        <v>1.4285714285714286</v>
      </c>
      <c r="I338" s="37"/>
      <c r="J338" s="37"/>
      <c r="K338" s="37"/>
      <c r="L338" s="33">
        <v>72128211</v>
      </c>
      <c r="M338" s="34" t="s">
        <v>2676</v>
      </c>
      <c r="N338" s="35" t="s">
        <v>2515</v>
      </c>
      <c r="O338" s="37"/>
    </row>
    <row r="339" spans="1:15" ht="21" customHeight="1" x14ac:dyDescent="0.2">
      <c r="A339" s="22">
        <v>101388000</v>
      </c>
      <c r="B339" s="9" t="s">
        <v>2332</v>
      </c>
      <c r="C339" s="53" t="s">
        <v>1851</v>
      </c>
      <c r="D339" s="53"/>
      <c r="E339" s="70" t="s">
        <v>2724</v>
      </c>
      <c r="F339" s="71">
        <v>1.23</v>
      </c>
      <c r="G339">
        <v>1.23</v>
      </c>
      <c r="H339">
        <v>1</v>
      </c>
      <c r="I339" s="37"/>
      <c r="J339" s="37"/>
      <c r="K339" s="37"/>
      <c r="L339" s="33">
        <v>75129000</v>
      </c>
      <c r="M339" s="34" t="s">
        <v>2677</v>
      </c>
      <c r="N339" s="35" t="s">
        <v>2515</v>
      </c>
      <c r="O339" s="37"/>
    </row>
    <row r="340" spans="1:15" ht="21" customHeight="1" x14ac:dyDescent="0.2">
      <c r="A340" s="22">
        <v>9500390000</v>
      </c>
      <c r="B340" s="9" t="s">
        <v>2333</v>
      </c>
      <c r="C340" s="53" t="s">
        <v>2334</v>
      </c>
      <c r="D340" s="53"/>
      <c r="E340" s="70" t="s">
        <v>594</v>
      </c>
      <c r="F340" s="71">
        <v>1</v>
      </c>
      <c r="H340">
        <v>1</v>
      </c>
      <c r="I340" s="37"/>
      <c r="J340" s="37"/>
      <c r="K340" s="37"/>
      <c r="L340" s="33">
        <v>64401000</v>
      </c>
      <c r="M340" s="34" t="s">
        <v>2333</v>
      </c>
      <c r="N340" s="41"/>
      <c r="O340" s="37"/>
    </row>
    <row r="341" spans="1:15" ht="21" customHeight="1" x14ac:dyDescent="0.2">
      <c r="A341" s="22">
        <v>1400391000</v>
      </c>
      <c r="B341" s="9" t="s">
        <v>2335</v>
      </c>
      <c r="C341" s="53" t="s">
        <v>1729</v>
      </c>
      <c r="D341" s="53"/>
      <c r="E341" s="70" t="s">
        <v>2724</v>
      </c>
      <c r="F341" s="71">
        <v>1</v>
      </c>
      <c r="G341">
        <v>1</v>
      </c>
      <c r="H341">
        <v>1</v>
      </c>
      <c r="I341" s="37"/>
      <c r="J341" s="37"/>
      <c r="K341" s="37"/>
      <c r="L341" s="33">
        <v>42116000</v>
      </c>
      <c r="M341" s="34" t="s">
        <v>818</v>
      </c>
      <c r="N341" s="35" t="s">
        <v>2473</v>
      </c>
      <c r="O341" s="37"/>
    </row>
    <row r="342" spans="1:15" ht="21" customHeight="1" x14ac:dyDescent="0.2">
      <c r="A342" s="22">
        <v>9500397000</v>
      </c>
      <c r="B342" s="9" t="s">
        <v>2336</v>
      </c>
      <c r="C342" s="53" t="s">
        <v>2337</v>
      </c>
      <c r="D342" s="53"/>
      <c r="E342" s="70" t="s">
        <v>2724</v>
      </c>
      <c r="F342" s="71">
        <v>1.3</v>
      </c>
      <c r="G342">
        <v>1.3</v>
      </c>
      <c r="H342">
        <v>1</v>
      </c>
      <c r="I342" s="37"/>
      <c r="J342" s="37"/>
      <c r="K342" s="37"/>
      <c r="L342" s="33" t="s">
        <v>2729</v>
      </c>
      <c r="M342" s="34" t="s">
        <v>2740</v>
      </c>
      <c r="N342" s="35" t="s">
        <v>2481</v>
      </c>
      <c r="O342" s="37"/>
    </row>
    <row r="343" spans="1:15" ht="21" customHeight="1" x14ac:dyDescent="0.2">
      <c r="A343" s="22">
        <v>8601200000</v>
      </c>
      <c r="B343" s="31" t="s">
        <v>2338</v>
      </c>
      <c r="C343" s="53">
        <v>0</v>
      </c>
      <c r="D343" s="53"/>
      <c r="E343" s="70" t="s">
        <v>594</v>
      </c>
      <c r="F343" s="71">
        <v>1</v>
      </c>
      <c r="H343">
        <v>1</v>
      </c>
      <c r="I343" s="37"/>
      <c r="J343" s="37"/>
      <c r="K343" s="37"/>
      <c r="L343" s="33">
        <v>94100100</v>
      </c>
      <c r="M343" s="34" t="s">
        <v>2678</v>
      </c>
      <c r="N343" s="41"/>
      <c r="O343" s="37"/>
    </row>
    <row r="344" spans="1:15" ht="21" customHeight="1" x14ac:dyDescent="0.2">
      <c r="A344" s="22">
        <v>8601100000</v>
      </c>
      <c r="B344" s="31" t="s">
        <v>2339</v>
      </c>
      <c r="C344" s="53">
        <v>0</v>
      </c>
      <c r="D344" s="53"/>
      <c r="E344" s="70" t="s">
        <v>594</v>
      </c>
      <c r="F344" s="71">
        <v>1</v>
      </c>
      <c r="H344">
        <v>1</v>
      </c>
      <c r="I344" s="37"/>
      <c r="J344" s="37"/>
      <c r="K344" s="37"/>
      <c r="L344" s="33">
        <v>94000100</v>
      </c>
      <c r="M344" s="34" t="s">
        <v>2679</v>
      </c>
      <c r="N344" s="41"/>
      <c r="O344" s="37"/>
    </row>
    <row r="345" spans="1:15" ht="21" customHeight="1" x14ac:dyDescent="0.2">
      <c r="A345" s="22">
        <v>8602000000</v>
      </c>
      <c r="B345" s="31" t="s">
        <v>2340</v>
      </c>
      <c r="C345" s="53">
        <v>0</v>
      </c>
      <c r="D345" s="53"/>
      <c r="E345" s="70" t="s">
        <v>594</v>
      </c>
      <c r="F345" s="71">
        <v>1</v>
      </c>
      <c r="H345">
        <v>1</v>
      </c>
      <c r="I345" s="37"/>
      <c r="J345" s="37"/>
      <c r="K345" s="37"/>
      <c r="L345" s="41"/>
      <c r="M345" s="41"/>
      <c r="N345" s="41"/>
      <c r="O345" s="37"/>
    </row>
    <row r="346" spans="1:15" ht="21" customHeight="1" x14ac:dyDescent="0.2">
      <c r="A346" s="22">
        <v>402398000</v>
      </c>
      <c r="B346" s="9" t="s">
        <v>2341</v>
      </c>
      <c r="C346" s="53" t="s">
        <v>2342</v>
      </c>
      <c r="D346" s="53"/>
      <c r="E346" s="70" t="s">
        <v>2724</v>
      </c>
      <c r="F346" s="71">
        <v>1.0900000000000001</v>
      </c>
      <c r="G346">
        <v>1.0900000000000001</v>
      </c>
      <c r="H346">
        <v>1</v>
      </c>
      <c r="I346" s="37"/>
      <c r="J346" s="37"/>
      <c r="K346" s="37"/>
      <c r="L346" s="33">
        <v>72130100</v>
      </c>
      <c r="M346" s="34" t="s">
        <v>2680</v>
      </c>
      <c r="N346" s="35" t="s">
        <v>2515</v>
      </c>
      <c r="O346" s="37"/>
    </row>
    <row r="347" spans="1:15" ht="21" customHeight="1" x14ac:dyDescent="0.2">
      <c r="A347" s="22">
        <v>901399000</v>
      </c>
      <c r="B347" s="9" t="s">
        <v>2343</v>
      </c>
      <c r="C347" s="53" t="s">
        <v>2344</v>
      </c>
      <c r="D347" s="53" t="s">
        <v>2345</v>
      </c>
      <c r="E347" s="74" t="s">
        <v>2724</v>
      </c>
      <c r="F347" s="71">
        <v>1.92</v>
      </c>
      <c r="G347">
        <v>1.92</v>
      </c>
      <c r="H347">
        <v>1.9230769230769229</v>
      </c>
      <c r="I347" s="37"/>
      <c r="J347" s="37"/>
      <c r="K347" s="37"/>
      <c r="L347" s="33">
        <v>63149010</v>
      </c>
      <c r="M347" s="34" t="s">
        <v>2681</v>
      </c>
      <c r="N347" s="35" t="s">
        <v>2524</v>
      </c>
      <c r="O347" s="37"/>
    </row>
    <row r="348" spans="1:15" ht="21" customHeight="1" x14ac:dyDescent="0.2">
      <c r="A348" s="22">
        <v>901400000</v>
      </c>
      <c r="B348" s="9" t="s">
        <v>2346</v>
      </c>
      <c r="C348" s="53" t="s">
        <v>1742</v>
      </c>
      <c r="D348" s="53"/>
      <c r="E348" s="70" t="s">
        <v>2724</v>
      </c>
      <c r="F348" s="71">
        <v>1.92</v>
      </c>
      <c r="G348">
        <v>1.92</v>
      </c>
      <c r="H348">
        <v>1</v>
      </c>
      <c r="I348" s="37"/>
      <c r="J348" s="37"/>
      <c r="K348" s="37"/>
      <c r="L348" s="33">
        <v>64133100</v>
      </c>
      <c r="M348" s="34" t="s">
        <v>2682</v>
      </c>
      <c r="N348" s="35" t="s">
        <v>2524</v>
      </c>
      <c r="O348" s="37"/>
    </row>
    <row r="349" spans="1:15" ht="21" customHeight="1" x14ac:dyDescent="0.2">
      <c r="A349" s="22">
        <v>1500404000</v>
      </c>
      <c r="B349" s="9" t="s">
        <v>2347</v>
      </c>
      <c r="C349" s="53" t="s">
        <v>1774</v>
      </c>
      <c r="D349" s="53"/>
      <c r="E349" s="70" t="s">
        <v>2724</v>
      </c>
      <c r="F349" s="71">
        <v>1</v>
      </c>
      <c r="G349">
        <v>1</v>
      </c>
      <c r="H349">
        <v>1</v>
      </c>
      <c r="I349" s="37"/>
      <c r="J349" s="37"/>
      <c r="K349" s="37"/>
      <c r="L349" s="33">
        <v>57601100</v>
      </c>
      <c r="M349" s="34" t="s">
        <v>2683</v>
      </c>
      <c r="N349" s="35" t="s">
        <v>2684</v>
      </c>
      <c r="O349" s="37"/>
    </row>
    <row r="350" spans="1:15" ht="21" customHeight="1" x14ac:dyDescent="0.2">
      <c r="A350" s="22">
        <v>1500402000</v>
      </c>
      <c r="B350" s="9" t="s">
        <v>2348</v>
      </c>
      <c r="C350" s="53" t="s">
        <v>1754</v>
      </c>
      <c r="D350" s="53"/>
      <c r="E350" s="70" t="s">
        <v>594</v>
      </c>
      <c r="F350" s="71">
        <v>1</v>
      </c>
      <c r="H350">
        <v>1</v>
      </c>
      <c r="I350" s="37"/>
      <c r="J350" s="37"/>
      <c r="K350" s="37"/>
      <c r="L350" s="41"/>
      <c r="M350" s="41"/>
      <c r="N350" s="41"/>
      <c r="O350" s="37"/>
    </row>
    <row r="351" spans="1:15" ht="21" customHeight="1" x14ac:dyDescent="0.2">
      <c r="A351" s="22">
        <v>1500403000</v>
      </c>
      <c r="B351" s="9" t="s">
        <v>2349</v>
      </c>
      <c r="C351" s="53" t="s">
        <v>2350</v>
      </c>
      <c r="D351" s="53"/>
      <c r="E351" s="70" t="s">
        <v>2724</v>
      </c>
      <c r="F351" s="71">
        <v>1</v>
      </c>
      <c r="G351">
        <v>1</v>
      </c>
      <c r="H351">
        <v>1</v>
      </c>
      <c r="I351" s="37"/>
      <c r="J351" s="37"/>
      <c r="K351" s="37"/>
      <c r="L351" s="33">
        <v>57412000</v>
      </c>
      <c r="M351" s="34" t="s">
        <v>2685</v>
      </c>
      <c r="N351" s="35" t="s">
        <v>2684</v>
      </c>
      <c r="O351" s="37"/>
    </row>
    <row r="352" spans="1:15" ht="21" customHeight="1" x14ac:dyDescent="0.2">
      <c r="A352" s="22">
        <v>1500401000</v>
      </c>
      <c r="B352" s="9" t="s">
        <v>2351</v>
      </c>
      <c r="C352" s="53" t="s">
        <v>2084</v>
      </c>
      <c r="D352" s="53" t="s">
        <v>2352</v>
      </c>
      <c r="E352" s="70" t="s">
        <v>2724</v>
      </c>
      <c r="F352" s="71">
        <v>1</v>
      </c>
      <c r="G352">
        <v>1</v>
      </c>
      <c r="H352">
        <v>1</v>
      </c>
      <c r="I352" s="37"/>
      <c r="J352" s="37"/>
      <c r="K352" s="37"/>
      <c r="L352" s="33">
        <v>57604100</v>
      </c>
      <c r="M352" s="34" t="s">
        <v>2686</v>
      </c>
      <c r="N352" s="35" t="s">
        <v>2684</v>
      </c>
      <c r="O352" s="37"/>
    </row>
    <row r="353" spans="1:15" ht="21" customHeight="1" x14ac:dyDescent="0.2">
      <c r="A353" s="22">
        <v>1500405000</v>
      </c>
      <c r="B353" s="9" t="s">
        <v>2353</v>
      </c>
      <c r="C353" s="53" t="s">
        <v>2084</v>
      </c>
      <c r="D353" s="53"/>
      <c r="E353" s="70" t="s">
        <v>594</v>
      </c>
      <c r="F353" s="71">
        <v>1</v>
      </c>
      <c r="G353">
        <v>0.36</v>
      </c>
      <c r="H353">
        <v>1</v>
      </c>
      <c r="I353" s="37"/>
      <c r="J353" s="37"/>
      <c r="K353" s="37"/>
      <c r="L353" s="33">
        <v>56205210</v>
      </c>
      <c r="M353" s="34" t="s">
        <v>2687</v>
      </c>
      <c r="N353" s="35" t="s">
        <v>2650</v>
      </c>
      <c r="O353" s="37"/>
    </row>
    <row r="354" spans="1:15" ht="21" customHeight="1" x14ac:dyDescent="0.2">
      <c r="A354" s="22">
        <v>103407000</v>
      </c>
      <c r="B354" s="9" t="s">
        <v>2354</v>
      </c>
      <c r="C354" s="53" t="s">
        <v>1851</v>
      </c>
      <c r="D354" s="53" t="s">
        <v>2355</v>
      </c>
      <c r="E354" s="70" t="s">
        <v>2724</v>
      </c>
      <c r="F354" s="71">
        <v>1.0900000000000001</v>
      </c>
      <c r="G354">
        <v>1.0900000000000001</v>
      </c>
      <c r="H354">
        <v>1</v>
      </c>
      <c r="I354" s="37"/>
      <c r="J354" s="37"/>
      <c r="K354" s="37"/>
      <c r="L354" s="33">
        <v>75111800</v>
      </c>
      <c r="M354" s="34" t="s">
        <v>2688</v>
      </c>
      <c r="N354" s="35" t="s">
        <v>2502</v>
      </c>
      <c r="O354" s="37"/>
    </row>
    <row r="355" spans="1:15" ht="21" customHeight="1" thickBot="1" x14ac:dyDescent="0.25">
      <c r="A355" s="26">
        <v>103406000</v>
      </c>
      <c r="B355" s="27" t="s">
        <v>2356</v>
      </c>
      <c r="C355" s="58" t="s">
        <v>1851</v>
      </c>
      <c r="D355" s="58"/>
      <c r="E355" s="70" t="s">
        <v>2724</v>
      </c>
      <c r="F355" s="71">
        <v>1.1599999999999999</v>
      </c>
      <c r="G355">
        <v>1.1599999999999999</v>
      </c>
      <c r="H355">
        <v>1</v>
      </c>
      <c r="I355" s="37"/>
      <c r="J355" s="37"/>
      <c r="K355" s="37"/>
      <c r="L355" s="44" t="s">
        <v>2729</v>
      </c>
      <c r="M355" s="46" t="s">
        <v>2730</v>
      </c>
      <c r="N355" s="47" t="s">
        <v>162</v>
      </c>
      <c r="O355" s="37"/>
    </row>
    <row r="356" spans="1:15" ht="21" customHeight="1" x14ac:dyDescent="0.2">
      <c r="A356" s="5"/>
      <c r="B356" s="5"/>
      <c r="C356" s="59"/>
      <c r="D356" s="59" t="s">
        <v>2724</v>
      </c>
      <c r="E356" s="63">
        <f>COUNTIF($E$2:$E$355,D356)</f>
        <v>168</v>
      </c>
      <c r="F356" s="68">
        <f>E356/$E$361</f>
        <v>0.48414985590778098</v>
      </c>
      <c r="I356" s="5"/>
      <c r="J356" s="5"/>
      <c r="K356" s="5"/>
      <c r="L356" s="36"/>
      <c r="O356" s="5"/>
    </row>
    <row r="357" spans="1:15" ht="21" customHeight="1" x14ac:dyDescent="0.2">
      <c r="A357" s="5"/>
      <c r="B357" s="5"/>
      <c r="C357" s="59"/>
      <c r="D357" s="59" t="s">
        <v>594</v>
      </c>
      <c r="E357" s="63">
        <f t="shared" ref="E357:E360" si="0">COUNTIF($E$2:$E$355,D357)</f>
        <v>157</v>
      </c>
      <c r="F357" s="68">
        <f t="shared" ref="F357:F361" si="1">E357/$E$361</f>
        <v>0.45244956772334294</v>
      </c>
      <c r="I357" s="5"/>
      <c r="J357" s="5"/>
      <c r="K357" s="5"/>
      <c r="O357" s="5"/>
    </row>
    <row r="358" spans="1:15" ht="21" customHeight="1" x14ac:dyDescent="0.2">
      <c r="A358" s="5"/>
      <c r="B358" s="5"/>
      <c r="C358" s="59"/>
      <c r="D358" s="59" t="s">
        <v>2736</v>
      </c>
      <c r="E358" s="63">
        <f t="shared" si="0"/>
        <v>1</v>
      </c>
      <c r="F358" s="68">
        <f t="shared" si="1"/>
        <v>2.881844380403458E-3</v>
      </c>
      <c r="I358" s="5"/>
      <c r="J358" s="5"/>
      <c r="K358" s="5"/>
      <c r="O358" s="5"/>
    </row>
    <row r="359" spans="1:15" ht="21" customHeight="1" x14ac:dyDescent="0.2">
      <c r="A359" s="5"/>
      <c r="B359" s="5"/>
      <c r="C359" s="59"/>
      <c r="D359" s="59" t="s">
        <v>2737</v>
      </c>
      <c r="E359" s="63">
        <f t="shared" si="0"/>
        <v>17</v>
      </c>
      <c r="F359" s="68">
        <f t="shared" si="1"/>
        <v>4.8991354466858789E-2</v>
      </c>
      <c r="I359" s="5"/>
      <c r="J359" s="5"/>
      <c r="K359" s="5"/>
      <c r="O359" s="5"/>
    </row>
    <row r="360" spans="1:15" ht="21" customHeight="1" x14ac:dyDescent="0.2">
      <c r="A360" s="5"/>
      <c r="B360" s="5"/>
      <c r="C360" s="59"/>
      <c r="D360" s="59" t="s">
        <v>2735</v>
      </c>
      <c r="E360" s="63">
        <f t="shared" si="0"/>
        <v>4</v>
      </c>
      <c r="F360" s="68">
        <f t="shared" si="1"/>
        <v>1.1527377521613832E-2</v>
      </c>
      <c r="I360" s="5"/>
      <c r="J360" s="5"/>
      <c r="K360" s="5"/>
      <c r="O360" s="5"/>
    </row>
    <row r="361" spans="1:15" ht="21" customHeight="1" x14ac:dyDescent="0.2">
      <c r="A361" s="5"/>
      <c r="B361" s="5"/>
      <c r="C361" s="59"/>
      <c r="D361" s="59"/>
      <c r="E361" s="63">
        <f>SUM(E356:E360)</f>
        <v>347</v>
      </c>
      <c r="F361" s="68">
        <f t="shared" si="1"/>
        <v>1</v>
      </c>
      <c r="I361" s="5"/>
      <c r="J361" s="5"/>
      <c r="K361" s="5"/>
      <c r="O361" s="5"/>
    </row>
    <row r="362" spans="1:15" ht="21" customHeight="1" x14ac:dyDescent="0.2">
      <c r="A362" s="5"/>
      <c r="B362" s="5"/>
      <c r="C362" s="59"/>
      <c r="D362" s="59"/>
      <c r="E362" s="63"/>
      <c r="F362" s="59"/>
      <c r="I362" s="5"/>
      <c r="J362" s="5"/>
      <c r="K362" s="5"/>
      <c r="O362" s="5"/>
    </row>
    <row r="363" spans="1:15" ht="21" customHeight="1" x14ac:dyDescent="0.2">
      <c r="A363" s="5"/>
      <c r="B363" s="5"/>
      <c r="C363" s="59"/>
      <c r="D363" s="59"/>
      <c r="E363" s="63"/>
      <c r="F363" s="59"/>
      <c r="I363" s="5"/>
      <c r="J363" s="5"/>
      <c r="K363" s="5"/>
      <c r="O363" s="5"/>
    </row>
    <row r="364" spans="1:15" ht="21" customHeight="1" x14ac:dyDescent="0.2">
      <c r="A364" s="5"/>
      <c r="B364" s="5"/>
      <c r="C364" s="59"/>
      <c r="D364" s="59"/>
      <c r="E364" s="63"/>
      <c r="F364" s="59"/>
      <c r="I364" s="5"/>
      <c r="J364" s="5"/>
      <c r="K364" s="5"/>
      <c r="O364" s="5"/>
    </row>
    <row r="365" spans="1:15" ht="21" customHeight="1" x14ac:dyDescent="0.2">
      <c r="A365" s="5"/>
      <c r="B365" s="5"/>
      <c r="C365" s="59"/>
      <c r="D365" s="59"/>
      <c r="E365" s="63"/>
      <c r="F365" s="59"/>
      <c r="I365" s="5"/>
      <c r="J365" s="5"/>
      <c r="K365" s="5"/>
      <c r="O365" s="5"/>
    </row>
    <row r="366" spans="1:15" ht="21" customHeight="1" x14ac:dyDescent="0.2">
      <c r="A366" s="5"/>
      <c r="B366" s="5"/>
      <c r="C366" s="59"/>
      <c r="D366" s="59"/>
      <c r="E366" s="63"/>
      <c r="F366" s="59"/>
      <c r="I366" s="5"/>
      <c r="J366" s="5"/>
      <c r="K366" s="5"/>
      <c r="O366" s="5"/>
    </row>
    <row r="367" spans="1:15" ht="21" customHeight="1" x14ac:dyDescent="0.2">
      <c r="A367" s="5"/>
      <c r="B367" s="5"/>
      <c r="C367" s="59"/>
      <c r="D367" s="59"/>
      <c r="E367" s="63"/>
      <c r="F367" s="59"/>
      <c r="I367" s="5"/>
      <c r="J367" s="5"/>
      <c r="K367" s="5"/>
      <c r="O367" s="5"/>
    </row>
    <row r="368" spans="1:15" ht="21" customHeight="1" x14ac:dyDescent="0.2">
      <c r="A368" s="5"/>
      <c r="B368" s="5"/>
      <c r="C368" s="59"/>
      <c r="D368" s="59"/>
      <c r="E368" s="63"/>
      <c r="F368" s="59"/>
      <c r="I368" s="5"/>
      <c r="J368" s="5"/>
      <c r="K368" s="5"/>
      <c r="O368" s="5"/>
    </row>
    <row r="369" spans="1:15" ht="21" customHeight="1" x14ac:dyDescent="0.2">
      <c r="A369" s="5"/>
      <c r="B369" s="5"/>
      <c r="C369" s="59"/>
      <c r="D369" s="59"/>
      <c r="E369" s="63"/>
      <c r="F369" s="59"/>
      <c r="I369" s="5"/>
      <c r="J369" s="5"/>
      <c r="K369" s="5"/>
      <c r="O369" s="5"/>
    </row>
    <row r="370" spans="1:15" ht="21" customHeight="1" x14ac:dyDescent="0.2">
      <c r="A370" s="5"/>
      <c r="B370" s="5"/>
      <c r="C370" s="59"/>
      <c r="D370" s="59"/>
      <c r="E370" s="63"/>
      <c r="F370" s="59"/>
      <c r="I370" s="5"/>
      <c r="J370" s="5"/>
      <c r="K370" s="5"/>
      <c r="O370" s="5"/>
    </row>
    <row r="371" spans="1:15" ht="21" customHeight="1" x14ac:dyDescent="0.2">
      <c r="A371" s="5"/>
      <c r="B371" s="5"/>
      <c r="C371" s="59"/>
      <c r="D371" s="59"/>
      <c r="E371" s="63"/>
      <c r="F371" s="59"/>
      <c r="I371" s="5"/>
      <c r="J371" s="5"/>
      <c r="K371" s="5"/>
      <c r="O371" s="5"/>
    </row>
    <row r="372" spans="1:15" ht="21" customHeight="1" x14ac:dyDescent="0.2">
      <c r="A372" s="5"/>
      <c r="B372" s="5"/>
      <c r="C372" s="59"/>
      <c r="D372" s="59"/>
      <c r="E372" s="63"/>
      <c r="F372" s="59"/>
      <c r="I372" s="5"/>
      <c r="J372" s="5"/>
      <c r="K372" s="5"/>
      <c r="O372" s="5"/>
    </row>
    <row r="373" spans="1:15" ht="21" customHeight="1" x14ac:dyDescent="0.2">
      <c r="A373" s="5"/>
      <c r="B373" s="5"/>
      <c r="C373" s="59"/>
      <c r="D373" s="59"/>
      <c r="E373" s="63"/>
      <c r="F373" s="59"/>
      <c r="I373" s="5"/>
      <c r="J373" s="5"/>
      <c r="K373" s="5"/>
      <c r="O373" s="5"/>
    </row>
    <row r="374" spans="1:15" ht="21" customHeight="1" x14ac:dyDescent="0.2">
      <c r="A374" s="5"/>
      <c r="B374" s="5"/>
      <c r="C374" s="59"/>
      <c r="D374" s="59"/>
      <c r="E374" s="63"/>
      <c r="F374" s="59"/>
      <c r="I374" s="5"/>
      <c r="J374" s="5"/>
      <c r="K374" s="5"/>
      <c r="O374" s="5"/>
    </row>
    <row r="375" spans="1:15" ht="21" customHeight="1" x14ac:dyDescent="0.2">
      <c r="A375" s="5"/>
      <c r="B375" s="5"/>
      <c r="C375" s="59"/>
      <c r="D375" s="59"/>
      <c r="E375" s="63"/>
      <c r="F375" s="59"/>
      <c r="I375" s="5"/>
      <c r="J375" s="5"/>
      <c r="K375" s="5"/>
      <c r="O375" s="5"/>
    </row>
    <row r="376" spans="1:15" ht="21" customHeight="1" x14ac:dyDescent="0.2">
      <c r="A376" s="5"/>
      <c r="B376" s="5"/>
      <c r="C376" s="59"/>
      <c r="D376" s="59"/>
      <c r="E376" s="63"/>
      <c r="F376" s="59"/>
      <c r="I376" s="5"/>
      <c r="J376" s="5"/>
      <c r="K376" s="5"/>
      <c r="O376" s="5"/>
    </row>
    <row r="377" spans="1:15" ht="21" customHeight="1" x14ac:dyDescent="0.2">
      <c r="A377" s="5"/>
      <c r="B377" s="5"/>
      <c r="C377" s="59"/>
      <c r="D377" s="59"/>
      <c r="E377" s="63"/>
      <c r="F377" s="59"/>
      <c r="I377" s="5"/>
      <c r="J377" s="5"/>
      <c r="K377" s="5"/>
      <c r="O377" s="5"/>
    </row>
    <row r="378" spans="1:15" ht="21" customHeight="1" x14ac:dyDescent="0.2">
      <c r="A378" s="5"/>
      <c r="B378" s="5"/>
      <c r="C378" s="59"/>
      <c r="D378" s="59"/>
      <c r="E378" s="63"/>
      <c r="F378" s="59"/>
      <c r="I378" s="5"/>
      <c r="J378" s="5"/>
      <c r="K378" s="5"/>
      <c r="O378" s="5"/>
    </row>
    <row r="379" spans="1:15" ht="21" customHeight="1" x14ac:dyDescent="0.2">
      <c r="A379" s="5"/>
      <c r="B379" s="5"/>
      <c r="C379" s="59"/>
      <c r="D379" s="59"/>
      <c r="E379" s="63"/>
      <c r="F379" s="59"/>
      <c r="I379" s="5"/>
      <c r="J379" s="5"/>
      <c r="K379" s="5"/>
      <c r="O379" s="5"/>
    </row>
    <row r="380" spans="1:15" ht="21" customHeight="1" x14ac:dyDescent="0.2">
      <c r="A380" s="5"/>
      <c r="B380" s="5"/>
      <c r="C380" s="59"/>
      <c r="D380" s="59"/>
      <c r="E380" s="63"/>
      <c r="F380" s="59"/>
      <c r="I380" s="5"/>
      <c r="J380" s="5"/>
      <c r="K380" s="5"/>
      <c r="O380" s="5"/>
    </row>
    <row r="381" spans="1:15" ht="21" customHeight="1" x14ac:dyDescent="0.2">
      <c r="A381" s="5"/>
      <c r="B381" s="5"/>
      <c r="C381" s="59"/>
      <c r="D381" s="59"/>
      <c r="E381" s="63"/>
      <c r="F381" s="59"/>
      <c r="I381" s="5"/>
      <c r="J381" s="5"/>
      <c r="K381" s="5"/>
      <c r="O381" s="5"/>
    </row>
    <row r="382" spans="1:15" ht="21" customHeight="1" x14ac:dyDescent="0.2">
      <c r="A382" s="5"/>
      <c r="B382" s="5"/>
      <c r="C382" s="59"/>
      <c r="D382" s="59"/>
      <c r="E382" s="63"/>
      <c r="F382" s="59"/>
      <c r="I382" s="5"/>
      <c r="J382" s="5"/>
      <c r="K382" s="5"/>
      <c r="O382" s="5"/>
    </row>
    <row r="383" spans="1:15" ht="21" customHeight="1" x14ac:dyDescent="0.2">
      <c r="A383" s="5"/>
      <c r="B383" s="5"/>
      <c r="C383" s="59"/>
      <c r="D383" s="59"/>
      <c r="E383" s="63"/>
      <c r="F383" s="59"/>
      <c r="I383" s="5"/>
      <c r="J383" s="5"/>
      <c r="K383" s="5"/>
      <c r="O383" s="5"/>
    </row>
    <row r="384" spans="1:15" ht="21" customHeight="1" x14ac:dyDescent="0.2">
      <c r="A384" s="5"/>
      <c r="B384" s="5"/>
      <c r="C384" s="59"/>
      <c r="D384" s="59"/>
      <c r="E384" s="63"/>
      <c r="F384" s="59"/>
      <c r="I384" s="5"/>
      <c r="J384" s="5"/>
      <c r="K384" s="5"/>
      <c r="O384" s="5"/>
    </row>
    <row r="385" spans="1:15" ht="21" customHeight="1" x14ac:dyDescent="0.2">
      <c r="A385" s="5"/>
      <c r="B385" s="5"/>
      <c r="C385" s="59"/>
      <c r="D385" s="59"/>
      <c r="E385" s="63"/>
      <c r="F385" s="59"/>
      <c r="I385" s="5"/>
      <c r="J385" s="5"/>
      <c r="K385" s="5"/>
      <c r="O385" s="5"/>
    </row>
    <row r="386" spans="1:15" ht="21" customHeight="1" x14ac:dyDescent="0.2">
      <c r="A386" s="5"/>
      <c r="B386" s="5"/>
      <c r="C386" s="59"/>
      <c r="D386" s="59"/>
      <c r="E386" s="63"/>
      <c r="F386" s="59"/>
      <c r="I386" s="5"/>
      <c r="J386" s="5"/>
      <c r="K386" s="5"/>
      <c r="O386" s="5"/>
    </row>
    <row r="387" spans="1:15" ht="21" customHeight="1" x14ac:dyDescent="0.2">
      <c r="A387" s="5"/>
      <c r="B387" s="5"/>
      <c r="C387" s="59"/>
      <c r="D387" s="59"/>
      <c r="E387" s="63"/>
      <c r="F387" s="59"/>
      <c r="I387" s="5"/>
      <c r="J387" s="5"/>
      <c r="K387" s="5"/>
      <c r="O387" s="5"/>
    </row>
    <row r="388" spans="1:15" ht="21" customHeight="1" x14ac:dyDescent="0.2">
      <c r="A388" s="5"/>
      <c r="B388" s="5"/>
      <c r="C388" s="59"/>
      <c r="D388" s="59"/>
      <c r="E388" s="63"/>
      <c r="F388" s="59"/>
      <c r="I388" s="5"/>
      <c r="J388" s="5"/>
      <c r="K388" s="5"/>
      <c r="O388" s="5"/>
    </row>
    <row r="389" spans="1:15" ht="21" customHeight="1" x14ac:dyDescent="0.2">
      <c r="A389" s="5"/>
      <c r="B389" s="5"/>
      <c r="C389" s="59"/>
      <c r="D389" s="59"/>
      <c r="E389" s="63"/>
      <c r="F389" s="59"/>
      <c r="I389" s="5"/>
      <c r="J389" s="5"/>
      <c r="K389" s="5"/>
      <c r="O389" s="5"/>
    </row>
    <row r="390" spans="1:15" ht="21" customHeight="1" x14ac:dyDescent="0.2">
      <c r="A390" s="5"/>
      <c r="B390" s="5"/>
      <c r="C390" s="59"/>
      <c r="D390" s="59"/>
      <c r="E390" s="63"/>
      <c r="F390" s="59"/>
      <c r="I390" s="5"/>
      <c r="J390" s="5"/>
      <c r="K390" s="5"/>
      <c r="O390" s="5"/>
    </row>
    <row r="391" spans="1:15" ht="21" customHeight="1" x14ac:dyDescent="0.2">
      <c r="A391" s="5"/>
      <c r="B391" s="5"/>
      <c r="C391" s="59"/>
      <c r="D391" s="59"/>
      <c r="E391" s="63"/>
      <c r="F391" s="59"/>
      <c r="I391" s="5"/>
      <c r="J391" s="5"/>
      <c r="K391" s="5"/>
      <c r="O391" s="5"/>
    </row>
    <row r="392" spans="1:15" ht="21" customHeight="1" x14ac:dyDescent="0.2">
      <c r="A392" s="5"/>
      <c r="B392" s="5"/>
      <c r="C392" s="59"/>
      <c r="D392" s="59"/>
      <c r="E392" s="63"/>
      <c r="F392" s="59"/>
      <c r="I392" s="5"/>
      <c r="J392" s="5"/>
      <c r="K392" s="5"/>
      <c r="O392" s="5"/>
    </row>
    <row r="393" spans="1:15" ht="21" customHeight="1" x14ac:dyDescent="0.2">
      <c r="A393" s="5"/>
      <c r="B393" s="5"/>
      <c r="C393" s="59"/>
      <c r="D393" s="59"/>
      <c r="E393" s="63"/>
      <c r="F393" s="59"/>
      <c r="I393" s="5"/>
      <c r="J393" s="5"/>
      <c r="K393" s="5"/>
      <c r="O393" s="5"/>
    </row>
    <row r="394" spans="1:15" ht="21" customHeight="1" x14ac:dyDescent="0.2">
      <c r="A394" s="5"/>
      <c r="B394" s="5"/>
      <c r="C394" s="59"/>
      <c r="D394" s="59"/>
      <c r="E394" s="63"/>
      <c r="F394" s="59"/>
      <c r="I394" s="5"/>
      <c r="J394" s="5"/>
      <c r="K394" s="5"/>
      <c r="O394" s="5"/>
    </row>
    <row r="395" spans="1:15" ht="21" customHeight="1" x14ac:dyDescent="0.2">
      <c r="A395" s="5"/>
      <c r="B395" s="5"/>
      <c r="C395" s="59"/>
      <c r="D395" s="59"/>
      <c r="E395" s="63"/>
      <c r="F395" s="59"/>
      <c r="I395" s="5"/>
      <c r="J395" s="5"/>
      <c r="K395" s="5"/>
      <c r="O395" s="5"/>
    </row>
    <row r="396" spans="1:15" ht="21" customHeight="1" x14ac:dyDescent="0.2">
      <c r="A396" s="5"/>
      <c r="B396" s="5"/>
      <c r="C396" s="59"/>
      <c r="D396" s="59"/>
      <c r="E396" s="63"/>
      <c r="F396" s="59"/>
      <c r="I396" s="5"/>
      <c r="J396" s="5"/>
      <c r="K396" s="5"/>
      <c r="O396" s="5"/>
    </row>
    <row r="397" spans="1:15" ht="21" customHeight="1" x14ac:dyDescent="0.2">
      <c r="A397" s="5"/>
      <c r="B397" s="5"/>
      <c r="C397" s="59"/>
      <c r="D397" s="59"/>
      <c r="E397" s="63"/>
      <c r="F397" s="59"/>
      <c r="I397" s="5"/>
      <c r="J397" s="5"/>
      <c r="K397" s="5"/>
      <c r="O397" s="5"/>
    </row>
    <row r="398" spans="1:15" ht="21" customHeight="1" x14ac:dyDescent="0.2">
      <c r="A398" s="5"/>
      <c r="B398" s="5"/>
      <c r="C398" s="59"/>
      <c r="D398" s="59"/>
      <c r="E398" s="63"/>
      <c r="F398" s="59"/>
      <c r="I398" s="5"/>
      <c r="J398" s="5"/>
      <c r="K398" s="5"/>
      <c r="O398" s="5"/>
    </row>
    <row r="399" spans="1:15" ht="21" customHeight="1" x14ac:dyDescent="0.2">
      <c r="A399" s="5"/>
      <c r="B399" s="5"/>
      <c r="C399" s="59"/>
      <c r="D399" s="59"/>
      <c r="E399" s="63"/>
      <c r="F399" s="59"/>
      <c r="I399" s="5"/>
      <c r="J399" s="5"/>
      <c r="K399" s="5"/>
      <c r="O399" s="5"/>
    </row>
    <row r="400" spans="1:15" ht="21" customHeight="1" x14ac:dyDescent="0.2">
      <c r="A400" s="5"/>
      <c r="B400" s="5"/>
      <c r="C400" s="59"/>
      <c r="D400" s="59"/>
      <c r="E400" s="63"/>
      <c r="F400" s="59"/>
      <c r="I400" s="5"/>
      <c r="J400" s="5"/>
      <c r="K400" s="5"/>
      <c r="O400" s="5"/>
    </row>
    <row r="401" spans="1:15" ht="21" customHeight="1" x14ac:dyDescent="0.2">
      <c r="A401" s="5"/>
      <c r="B401" s="5"/>
      <c r="C401" s="59"/>
      <c r="D401" s="59"/>
      <c r="E401" s="63"/>
      <c r="F401" s="59"/>
      <c r="I401" s="5"/>
      <c r="J401" s="5"/>
      <c r="K401" s="5"/>
      <c r="O401" s="5"/>
    </row>
    <row r="402" spans="1:15" ht="21" customHeight="1" x14ac:dyDescent="0.2">
      <c r="A402" s="5"/>
      <c r="B402" s="5"/>
      <c r="C402" s="59"/>
      <c r="D402" s="59"/>
      <c r="E402" s="63"/>
      <c r="F402" s="59"/>
      <c r="I402" s="5"/>
      <c r="J402" s="5"/>
      <c r="K402" s="5"/>
      <c r="O402" s="5"/>
    </row>
    <row r="403" spans="1:15" ht="21" customHeight="1" x14ac:dyDescent="0.2">
      <c r="A403" s="5"/>
      <c r="B403" s="5"/>
      <c r="C403" s="59"/>
      <c r="D403" s="59"/>
      <c r="E403" s="63"/>
      <c r="F403" s="59"/>
      <c r="I403" s="5"/>
      <c r="J403" s="5"/>
      <c r="K403" s="5"/>
      <c r="O403" s="5"/>
    </row>
    <row r="404" spans="1:15" ht="21" customHeight="1" x14ac:dyDescent="0.2">
      <c r="A404" s="5"/>
      <c r="B404" s="5"/>
      <c r="C404" s="59"/>
      <c r="D404" s="59"/>
      <c r="E404" s="63"/>
      <c r="F404" s="59"/>
      <c r="I404" s="5"/>
      <c r="J404" s="5"/>
      <c r="K404" s="5"/>
      <c r="O404" s="5"/>
    </row>
    <row r="405" spans="1:15" ht="21" customHeight="1" x14ac:dyDescent="0.2">
      <c r="A405" s="5"/>
      <c r="B405" s="5"/>
      <c r="C405" s="59"/>
      <c r="D405" s="59"/>
      <c r="E405" s="63"/>
      <c r="F405" s="59"/>
      <c r="I405" s="5"/>
      <c r="J405" s="5"/>
      <c r="K405" s="5"/>
      <c r="O405" s="5"/>
    </row>
    <row r="406" spans="1:15" ht="21" customHeight="1" x14ac:dyDescent="0.2">
      <c r="A406" s="5"/>
      <c r="B406" s="5"/>
      <c r="C406" s="59"/>
      <c r="D406" s="59"/>
      <c r="E406" s="63"/>
      <c r="F406" s="59"/>
      <c r="I406" s="5"/>
      <c r="J406" s="5"/>
      <c r="K406" s="5"/>
      <c r="O406" s="5"/>
    </row>
    <row r="407" spans="1:15" ht="21" customHeight="1" x14ac:dyDescent="0.2">
      <c r="A407" s="5"/>
      <c r="B407" s="5"/>
      <c r="C407" s="59"/>
      <c r="D407" s="59"/>
      <c r="E407" s="63"/>
      <c r="F407" s="59"/>
      <c r="I407" s="5"/>
      <c r="J407" s="5"/>
      <c r="K407" s="5"/>
      <c r="O407" s="5"/>
    </row>
    <row r="408" spans="1:15" ht="21" customHeight="1" x14ac:dyDescent="0.2">
      <c r="A408" s="5"/>
      <c r="B408" s="5"/>
      <c r="C408" s="59"/>
      <c r="D408" s="59"/>
      <c r="E408" s="63"/>
      <c r="F408" s="59"/>
      <c r="I408" s="5"/>
      <c r="J408" s="5"/>
      <c r="K408" s="5"/>
      <c r="O408" s="5"/>
    </row>
    <row r="409" spans="1:15" ht="21" customHeight="1" x14ac:dyDescent="0.2">
      <c r="A409" s="5"/>
      <c r="B409" s="5"/>
      <c r="C409" s="59"/>
      <c r="D409" s="59"/>
      <c r="E409" s="63"/>
      <c r="F409" s="59"/>
      <c r="I409" s="5"/>
      <c r="J409" s="5"/>
      <c r="K409" s="5"/>
      <c r="O409" s="5"/>
    </row>
    <row r="410" spans="1:15" ht="21" customHeight="1" x14ac:dyDescent="0.2">
      <c r="A410" s="5"/>
      <c r="B410" s="5"/>
      <c r="C410" s="59"/>
      <c r="D410" s="59"/>
      <c r="E410" s="63"/>
      <c r="F410" s="59"/>
      <c r="I410" s="5"/>
      <c r="J410" s="5"/>
      <c r="K410" s="5"/>
      <c r="O410" s="5"/>
    </row>
    <row r="411" spans="1:15" ht="21" customHeight="1" x14ac:dyDescent="0.2">
      <c r="A411" s="5"/>
      <c r="B411" s="5"/>
      <c r="C411" s="59"/>
      <c r="D411" s="59"/>
      <c r="E411" s="63"/>
      <c r="F411" s="59"/>
      <c r="I411" s="5"/>
      <c r="J411" s="5"/>
      <c r="K411" s="5"/>
      <c r="O411" s="5"/>
    </row>
    <row r="412" spans="1:15" ht="21" customHeight="1" x14ac:dyDescent="0.2">
      <c r="A412" s="5"/>
      <c r="B412" s="5"/>
      <c r="C412" s="59"/>
      <c r="D412" s="59"/>
      <c r="E412" s="63"/>
      <c r="F412" s="59"/>
      <c r="I412" s="5"/>
      <c r="J412" s="5"/>
      <c r="K412" s="5"/>
      <c r="O412" s="5"/>
    </row>
    <row r="413" spans="1:15" ht="21" customHeight="1" x14ac:dyDescent="0.2">
      <c r="A413" s="5"/>
      <c r="B413" s="5"/>
      <c r="C413" s="59"/>
      <c r="D413" s="59"/>
      <c r="E413" s="63"/>
      <c r="F413" s="59"/>
      <c r="I413" s="5"/>
      <c r="J413" s="5"/>
      <c r="K413" s="5"/>
      <c r="O413" s="5"/>
    </row>
    <row r="414" spans="1:15" ht="21" customHeight="1" x14ac:dyDescent="0.2">
      <c r="A414" s="5"/>
      <c r="B414" s="5"/>
      <c r="C414" s="59"/>
      <c r="D414" s="59"/>
      <c r="E414" s="63"/>
      <c r="F414" s="59"/>
      <c r="I414" s="5"/>
      <c r="J414" s="5"/>
      <c r="K414" s="5"/>
      <c r="O414" s="5"/>
    </row>
    <row r="415" spans="1:15" ht="21" customHeight="1" x14ac:dyDescent="0.2">
      <c r="A415" s="5"/>
      <c r="B415" s="5"/>
      <c r="C415" s="59"/>
      <c r="D415" s="59"/>
      <c r="E415" s="63"/>
      <c r="F415" s="59"/>
      <c r="I415" s="5"/>
      <c r="J415" s="5"/>
      <c r="K415" s="5"/>
      <c r="O415" s="5"/>
    </row>
    <row r="416" spans="1:15" ht="21" customHeight="1" x14ac:dyDescent="0.2">
      <c r="A416" s="5"/>
      <c r="B416" s="5"/>
      <c r="C416" s="59"/>
      <c r="D416" s="59"/>
      <c r="E416" s="63"/>
      <c r="F416" s="59"/>
      <c r="I416" s="5"/>
      <c r="J416" s="5"/>
      <c r="K416" s="5"/>
      <c r="O416" s="5"/>
    </row>
    <row r="417" spans="1:15" ht="21" customHeight="1" x14ac:dyDescent="0.2">
      <c r="A417" s="5"/>
      <c r="B417" s="5"/>
      <c r="C417" s="59"/>
      <c r="D417" s="59"/>
      <c r="E417" s="63"/>
      <c r="F417" s="59"/>
      <c r="I417" s="5"/>
      <c r="J417" s="5"/>
      <c r="K417" s="5"/>
      <c r="O417" s="5"/>
    </row>
    <row r="418" spans="1:15" ht="21" customHeight="1" x14ac:dyDescent="0.2">
      <c r="A418" s="5"/>
      <c r="B418" s="5"/>
      <c r="C418" s="59"/>
      <c r="D418" s="59"/>
      <c r="E418" s="63"/>
      <c r="F418" s="59"/>
      <c r="I418" s="5"/>
      <c r="J418" s="5"/>
      <c r="K418" s="5"/>
      <c r="O418" s="5"/>
    </row>
    <row r="419" spans="1:15" ht="21" customHeight="1" x14ac:dyDescent="0.2">
      <c r="A419" s="5"/>
      <c r="B419" s="5"/>
      <c r="C419" s="59"/>
      <c r="D419" s="59"/>
      <c r="E419" s="63"/>
      <c r="F419" s="59"/>
      <c r="I419" s="5"/>
      <c r="J419" s="5"/>
      <c r="K419" s="5"/>
      <c r="O419" s="5"/>
    </row>
    <row r="420" spans="1:15" ht="21" customHeight="1" x14ac:dyDescent="0.2">
      <c r="A420" s="5"/>
      <c r="B420" s="5"/>
      <c r="C420" s="59"/>
      <c r="D420" s="59"/>
      <c r="E420" s="63"/>
      <c r="F420" s="59"/>
      <c r="I420" s="5"/>
      <c r="J420" s="5"/>
      <c r="K420" s="5"/>
      <c r="O420" s="5"/>
    </row>
    <row r="421" spans="1:15" ht="21" customHeight="1" x14ac:dyDescent="0.2">
      <c r="A421" s="5"/>
      <c r="B421" s="5"/>
      <c r="C421" s="59"/>
      <c r="D421" s="59"/>
      <c r="E421" s="63"/>
      <c r="F421" s="59"/>
      <c r="I421" s="5"/>
      <c r="J421" s="5"/>
      <c r="K421" s="5"/>
      <c r="O421" s="5"/>
    </row>
    <row r="422" spans="1:15" ht="21" customHeight="1" x14ac:dyDescent="0.2">
      <c r="A422" s="5"/>
      <c r="B422" s="5"/>
      <c r="C422" s="59"/>
      <c r="D422" s="59"/>
      <c r="E422" s="63"/>
      <c r="F422" s="59"/>
      <c r="I422" s="5"/>
      <c r="J422" s="5"/>
      <c r="K422" s="5"/>
      <c r="O422" s="5"/>
    </row>
    <row r="423" spans="1:15" ht="21" customHeight="1" x14ac:dyDescent="0.2">
      <c r="A423" s="5"/>
      <c r="B423" s="5"/>
      <c r="C423" s="59"/>
      <c r="D423" s="59"/>
      <c r="E423" s="63"/>
      <c r="F423" s="59"/>
      <c r="I423" s="5"/>
      <c r="J423" s="5"/>
      <c r="K423" s="5"/>
      <c r="O423" s="5"/>
    </row>
    <row r="424" spans="1:15" ht="21" customHeight="1" x14ac:dyDescent="0.2">
      <c r="A424" s="5"/>
      <c r="B424" s="5"/>
      <c r="C424" s="59"/>
      <c r="D424" s="59"/>
      <c r="E424" s="63"/>
      <c r="F424" s="59"/>
      <c r="I424" s="5"/>
      <c r="J424" s="5"/>
      <c r="K424" s="5"/>
      <c r="O424" s="5"/>
    </row>
    <row r="425" spans="1:15" ht="21" customHeight="1" x14ac:dyDescent="0.2">
      <c r="A425" s="5"/>
      <c r="B425" s="5"/>
      <c r="C425" s="59"/>
      <c r="D425" s="59"/>
      <c r="E425" s="63"/>
      <c r="F425" s="59"/>
      <c r="I425" s="5"/>
      <c r="J425" s="5"/>
      <c r="K425" s="5"/>
      <c r="O425" s="5"/>
    </row>
    <row r="426" spans="1:15" ht="21" customHeight="1" x14ac:dyDescent="0.2">
      <c r="A426" s="5"/>
      <c r="B426" s="5"/>
      <c r="C426" s="59"/>
      <c r="D426" s="59"/>
      <c r="E426" s="63"/>
      <c r="F426" s="59"/>
      <c r="I426" s="5"/>
      <c r="J426" s="5"/>
      <c r="K426" s="5"/>
      <c r="O426" s="5"/>
    </row>
    <row r="427" spans="1:15" ht="21" customHeight="1" x14ac:dyDescent="0.2">
      <c r="A427" s="5"/>
      <c r="B427" s="5"/>
      <c r="C427" s="59"/>
      <c r="D427" s="59"/>
      <c r="E427" s="63"/>
      <c r="F427" s="59"/>
      <c r="I427" s="5"/>
      <c r="J427" s="5"/>
      <c r="K427" s="5"/>
      <c r="O427" s="5"/>
    </row>
    <row r="428" spans="1:15" ht="21" customHeight="1" x14ac:dyDescent="0.2">
      <c r="A428" s="5"/>
      <c r="B428" s="5"/>
      <c r="C428" s="59"/>
      <c r="D428" s="59"/>
      <c r="E428" s="63"/>
      <c r="F428" s="59"/>
      <c r="I428" s="5"/>
      <c r="J428" s="5"/>
      <c r="K428" s="5"/>
      <c r="O428" s="5"/>
    </row>
    <row r="429" spans="1:15" ht="21" customHeight="1" x14ac:dyDescent="0.2">
      <c r="A429" s="5"/>
      <c r="B429" s="5"/>
      <c r="C429" s="59"/>
      <c r="D429" s="59"/>
      <c r="E429" s="63"/>
      <c r="F429" s="59"/>
      <c r="I429" s="5"/>
      <c r="J429" s="5"/>
      <c r="K429" s="5"/>
      <c r="O429" s="5"/>
    </row>
    <row r="430" spans="1:15" ht="21" customHeight="1" x14ac:dyDescent="0.2">
      <c r="A430" s="5"/>
      <c r="B430" s="5"/>
      <c r="C430" s="59"/>
      <c r="D430" s="59"/>
      <c r="E430" s="63"/>
      <c r="F430" s="59"/>
      <c r="I430" s="5"/>
      <c r="J430" s="5"/>
      <c r="K430" s="5"/>
      <c r="O430" s="5"/>
    </row>
    <row r="431" spans="1:15" ht="21" customHeight="1" x14ac:dyDescent="0.2">
      <c r="A431" s="5"/>
      <c r="B431" s="5"/>
      <c r="C431" s="59"/>
      <c r="D431" s="59"/>
      <c r="E431" s="63"/>
      <c r="F431" s="59"/>
      <c r="I431" s="5"/>
      <c r="J431" s="5"/>
      <c r="K431" s="5"/>
      <c r="O431" s="5"/>
    </row>
    <row r="432" spans="1:15" ht="21" customHeight="1" x14ac:dyDescent="0.2">
      <c r="A432" s="5"/>
      <c r="B432" s="5"/>
      <c r="C432" s="59"/>
      <c r="D432" s="59"/>
      <c r="E432" s="63"/>
      <c r="F432" s="59"/>
      <c r="I432" s="5"/>
      <c r="J432" s="5"/>
      <c r="K432" s="5"/>
      <c r="O432" s="5"/>
    </row>
    <row r="433" spans="1:15" ht="21" customHeight="1" x14ac:dyDescent="0.2">
      <c r="A433" s="5"/>
      <c r="B433" s="5"/>
      <c r="C433" s="59"/>
      <c r="D433" s="59"/>
      <c r="E433" s="63"/>
      <c r="F433" s="59"/>
      <c r="I433" s="5"/>
      <c r="J433" s="5"/>
      <c r="K433" s="5"/>
      <c r="O433" s="5"/>
    </row>
    <row r="434" spans="1:15" ht="21" customHeight="1" x14ac:dyDescent="0.2">
      <c r="A434" s="5"/>
      <c r="B434" s="5"/>
      <c r="C434" s="59"/>
      <c r="D434" s="59"/>
      <c r="E434" s="63"/>
      <c r="F434" s="59"/>
      <c r="I434" s="5"/>
      <c r="J434" s="5"/>
      <c r="K434" s="5"/>
      <c r="O434" s="5"/>
    </row>
    <row r="435" spans="1:15" ht="21" customHeight="1" x14ac:dyDescent="0.2">
      <c r="A435" s="5"/>
      <c r="B435" s="5"/>
      <c r="C435" s="59"/>
      <c r="D435" s="59"/>
      <c r="E435" s="63"/>
      <c r="F435" s="59"/>
      <c r="I435" s="5"/>
      <c r="J435" s="5"/>
      <c r="K435" s="5"/>
      <c r="O435" s="5"/>
    </row>
    <row r="436" spans="1:15" ht="21" customHeight="1" x14ac:dyDescent="0.2">
      <c r="A436" s="5"/>
      <c r="B436" s="5"/>
      <c r="C436" s="59"/>
      <c r="D436" s="59"/>
      <c r="E436" s="63"/>
      <c r="F436" s="59"/>
      <c r="I436" s="5"/>
      <c r="J436" s="5"/>
      <c r="K436" s="5"/>
      <c r="O436" s="5"/>
    </row>
    <row r="437" spans="1:15" ht="21" customHeight="1" x14ac:dyDescent="0.2">
      <c r="A437" s="5"/>
      <c r="B437" s="5"/>
      <c r="C437" s="59"/>
      <c r="D437" s="59"/>
      <c r="E437" s="63"/>
      <c r="F437" s="59"/>
      <c r="I437" s="5"/>
      <c r="J437" s="5"/>
      <c r="K437" s="5"/>
      <c r="O437" s="5"/>
    </row>
    <row r="438" spans="1:15" ht="21" customHeight="1" x14ac:dyDescent="0.2">
      <c r="A438" s="5"/>
      <c r="B438" s="5"/>
      <c r="C438" s="59"/>
      <c r="D438" s="59"/>
      <c r="E438" s="63"/>
      <c r="F438" s="59"/>
      <c r="I438" s="5"/>
      <c r="J438" s="5"/>
      <c r="K438" s="5"/>
      <c r="O438" s="5"/>
    </row>
    <row r="439" spans="1:15" ht="21" customHeight="1" x14ac:dyDescent="0.2">
      <c r="A439" s="5"/>
      <c r="B439" s="5"/>
      <c r="C439" s="59"/>
      <c r="D439" s="59"/>
      <c r="E439" s="63"/>
      <c r="F439" s="59"/>
      <c r="I439" s="5"/>
      <c r="J439" s="5"/>
      <c r="K439" s="5"/>
      <c r="O439" s="5"/>
    </row>
    <row r="440" spans="1:15" ht="21" customHeight="1" x14ac:dyDescent="0.2">
      <c r="A440" s="5"/>
      <c r="B440" s="5"/>
      <c r="C440" s="59"/>
      <c r="D440" s="59"/>
      <c r="E440" s="63"/>
      <c r="F440" s="59"/>
      <c r="I440" s="5"/>
      <c r="J440" s="5"/>
      <c r="K440" s="5"/>
      <c r="O440" s="5"/>
    </row>
    <row r="441" spans="1:15" ht="21" customHeight="1" x14ac:dyDescent="0.2">
      <c r="A441" s="5"/>
      <c r="B441" s="5"/>
      <c r="C441" s="59"/>
      <c r="D441" s="59"/>
      <c r="E441" s="63"/>
      <c r="F441" s="59"/>
      <c r="I441" s="5"/>
      <c r="J441" s="5"/>
      <c r="K441" s="5"/>
      <c r="O441" s="5"/>
    </row>
    <row r="442" spans="1:15" ht="21" customHeight="1" x14ac:dyDescent="0.2">
      <c r="A442" s="5"/>
      <c r="B442" s="5"/>
      <c r="C442" s="59"/>
      <c r="D442" s="59"/>
      <c r="E442" s="63"/>
      <c r="F442" s="59"/>
      <c r="I442" s="5"/>
      <c r="J442" s="5"/>
      <c r="K442" s="5"/>
      <c r="O442" s="5"/>
    </row>
    <row r="443" spans="1:15" ht="21" customHeight="1" x14ac:dyDescent="0.2">
      <c r="A443" s="5"/>
      <c r="B443" s="5"/>
      <c r="C443" s="59"/>
      <c r="D443" s="59"/>
      <c r="E443" s="63"/>
      <c r="F443" s="59"/>
      <c r="I443" s="5"/>
      <c r="J443" s="5"/>
      <c r="K443" s="5"/>
      <c r="O443" s="5"/>
    </row>
    <row r="444" spans="1:15" ht="21" customHeight="1" x14ac:dyDescent="0.2">
      <c r="A444" s="5"/>
      <c r="B444" s="5"/>
      <c r="C444" s="59"/>
      <c r="D444" s="59"/>
      <c r="E444" s="63"/>
      <c r="F444" s="59"/>
      <c r="I444" s="5"/>
      <c r="J444" s="5"/>
      <c r="K444" s="5"/>
      <c r="O444" s="5"/>
    </row>
    <row r="445" spans="1:15" ht="21" customHeight="1" x14ac:dyDescent="0.2">
      <c r="A445" s="5"/>
      <c r="B445" s="5"/>
      <c r="C445" s="59"/>
      <c r="D445" s="59"/>
      <c r="E445" s="63"/>
      <c r="F445" s="59"/>
      <c r="I445" s="5"/>
      <c r="J445" s="5"/>
      <c r="K445" s="5"/>
      <c r="O445" s="5"/>
    </row>
    <row r="446" spans="1:15" ht="21" customHeight="1" x14ac:dyDescent="0.2">
      <c r="A446" s="5"/>
      <c r="B446" s="5"/>
      <c r="C446" s="59"/>
      <c r="D446" s="59"/>
      <c r="E446" s="63"/>
      <c r="F446" s="59"/>
      <c r="I446" s="5"/>
      <c r="J446" s="5"/>
      <c r="K446" s="5"/>
      <c r="O446" s="5"/>
    </row>
    <row r="447" spans="1:15" ht="21" customHeight="1" x14ac:dyDescent="0.2">
      <c r="A447" s="5"/>
      <c r="B447" s="5"/>
      <c r="C447" s="59"/>
      <c r="D447" s="59"/>
      <c r="E447" s="63"/>
      <c r="F447" s="59"/>
      <c r="I447" s="5"/>
      <c r="J447" s="5"/>
      <c r="K447" s="5"/>
      <c r="O447" s="5"/>
    </row>
    <row r="448" spans="1:15" ht="21" customHeight="1" x14ac:dyDescent="0.2">
      <c r="A448" s="5"/>
      <c r="B448" s="5"/>
      <c r="C448" s="59"/>
      <c r="D448" s="59"/>
      <c r="E448" s="63"/>
      <c r="F448" s="59"/>
      <c r="I448" s="5"/>
      <c r="J448" s="5"/>
      <c r="K448" s="5"/>
      <c r="O448" s="5"/>
    </row>
    <row r="449" spans="1:15" ht="21" customHeight="1" x14ac:dyDescent="0.2">
      <c r="A449" s="5"/>
      <c r="B449" s="5"/>
      <c r="C449" s="59"/>
      <c r="D449" s="59"/>
      <c r="E449" s="63"/>
      <c r="F449" s="59"/>
      <c r="I449" s="5"/>
      <c r="J449" s="5"/>
      <c r="K449" s="5"/>
      <c r="O449" s="5"/>
    </row>
    <row r="450" spans="1:15" ht="21" customHeight="1" x14ac:dyDescent="0.2">
      <c r="A450" s="5"/>
      <c r="B450" s="5"/>
      <c r="C450" s="59"/>
      <c r="D450" s="59"/>
      <c r="E450" s="63"/>
      <c r="F450" s="59"/>
      <c r="I450" s="5"/>
      <c r="J450" s="5"/>
      <c r="K450" s="5"/>
      <c r="O450" s="5"/>
    </row>
    <row r="451" spans="1:15" ht="21" customHeight="1" x14ac:dyDescent="0.2">
      <c r="A451" s="5"/>
      <c r="B451" s="5"/>
      <c r="C451" s="59"/>
      <c r="D451" s="59"/>
      <c r="E451" s="63"/>
      <c r="F451" s="59"/>
      <c r="I451" s="5"/>
      <c r="J451" s="5"/>
      <c r="K451" s="5"/>
      <c r="O451" s="5"/>
    </row>
    <row r="452" spans="1:15" ht="21" customHeight="1" x14ac:dyDescent="0.2">
      <c r="A452" s="5"/>
      <c r="B452" s="5"/>
      <c r="C452" s="59"/>
      <c r="D452" s="59"/>
      <c r="E452" s="63"/>
      <c r="F452" s="59"/>
      <c r="I452" s="5"/>
      <c r="J452" s="5"/>
      <c r="K452" s="5"/>
      <c r="O452" s="5"/>
    </row>
    <row r="453" spans="1:15" ht="21" customHeight="1" x14ac:dyDescent="0.2">
      <c r="A453" s="5"/>
      <c r="B453" s="5"/>
      <c r="C453" s="59"/>
      <c r="D453" s="59"/>
      <c r="E453" s="63"/>
      <c r="F453" s="59"/>
      <c r="I453" s="5"/>
      <c r="J453" s="5"/>
      <c r="K453" s="5"/>
      <c r="O453" s="5"/>
    </row>
    <row r="454" spans="1:15" ht="21" customHeight="1" x14ac:dyDescent="0.2">
      <c r="A454" s="5"/>
      <c r="B454" s="5"/>
      <c r="C454" s="59"/>
      <c r="D454" s="59"/>
      <c r="E454" s="63"/>
      <c r="F454" s="59"/>
      <c r="I454" s="5"/>
      <c r="J454" s="5"/>
      <c r="K454" s="5"/>
      <c r="O454" s="5"/>
    </row>
    <row r="455" spans="1:15" ht="21" customHeight="1" x14ac:dyDescent="0.2">
      <c r="A455" s="5"/>
      <c r="B455" s="5"/>
      <c r="C455" s="59"/>
      <c r="D455" s="59"/>
      <c r="E455" s="63"/>
      <c r="F455" s="59"/>
      <c r="I455" s="5"/>
      <c r="J455" s="5"/>
      <c r="K455" s="5"/>
      <c r="O455" s="5"/>
    </row>
    <row r="456" spans="1:15" ht="21" customHeight="1" x14ac:dyDescent="0.2">
      <c r="A456" s="5"/>
      <c r="B456" s="5"/>
      <c r="C456" s="59"/>
      <c r="D456" s="59"/>
      <c r="E456" s="63"/>
      <c r="F456" s="59"/>
      <c r="I456" s="5"/>
      <c r="J456" s="5"/>
      <c r="K456" s="5"/>
      <c r="O456" s="5"/>
    </row>
    <row r="457" spans="1:15" ht="21" customHeight="1" x14ac:dyDescent="0.2">
      <c r="A457" s="5"/>
      <c r="B457" s="5"/>
      <c r="C457" s="59"/>
      <c r="D457" s="59"/>
      <c r="E457" s="63"/>
      <c r="F457" s="59"/>
      <c r="I457" s="5"/>
      <c r="J457" s="5"/>
      <c r="K457" s="5"/>
      <c r="O457" s="5"/>
    </row>
    <row r="458" spans="1:15" ht="21" customHeight="1" x14ac:dyDescent="0.2">
      <c r="A458" s="5"/>
      <c r="B458" s="5"/>
      <c r="C458" s="59"/>
      <c r="D458" s="59"/>
      <c r="E458" s="63"/>
      <c r="F458" s="59"/>
      <c r="I458" s="5"/>
      <c r="J458" s="5"/>
      <c r="K458" s="5"/>
      <c r="O458" s="5"/>
    </row>
    <row r="459" spans="1:15" ht="21" customHeight="1" x14ac:dyDescent="0.2">
      <c r="A459" s="5"/>
      <c r="B459" s="5"/>
      <c r="C459" s="59"/>
      <c r="D459" s="59"/>
      <c r="E459" s="63"/>
      <c r="F459" s="59"/>
      <c r="I459" s="5"/>
      <c r="J459" s="5"/>
      <c r="K459" s="5"/>
      <c r="O459" s="5"/>
    </row>
    <row r="460" spans="1:15" ht="21" customHeight="1" x14ac:dyDescent="0.2">
      <c r="A460" s="5"/>
      <c r="B460" s="5"/>
      <c r="C460" s="59"/>
      <c r="D460" s="59"/>
      <c r="E460" s="63"/>
      <c r="F460" s="59"/>
      <c r="I460" s="5"/>
      <c r="J460" s="5"/>
      <c r="K460" s="5"/>
      <c r="O460" s="5"/>
    </row>
    <row r="461" spans="1:15" ht="21" customHeight="1" x14ac:dyDescent="0.2">
      <c r="A461" s="5"/>
      <c r="B461" s="5"/>
      <c r="C461" s="59"/>
      <c r="D461" s="59"/>
      <c r="E461" s="63"/>
      <c r="F461" s="59"/>
      <c r="I461" s="5"/>
      <c r="J461" s="5"/>
      <c r="K461" s="5"/>
      <c r="O461" s="5"/>
    </row>
    <row r="462" spans="1:15" ht="21" customHeight="1" x14ac:dyDescent="0.2">
      <c r="A462" s="5"/>
      <c r="B462" s="5"/>
      <c r="C462" s="59"/>
      <c r="D462" s="59"/>
      <c r="E462" s="63"/>
      <c r="F462" s="59"/>
      <c r="I462" s="5"/>
      <c r="J462" s="5"/>
      <c r="K462" s="5"/>
      <c r="O462" s="5"/>
    </row>
    <row r="463" spans="1:15" ht="21" customHeight="1" x14ac:dyDescent="0.2">
      <c r="A463" s="5"/>
      <c r="B463" s="5"/>
      <c r="C463" s="59"/>
      <c r="D463" s="59"/>
      <c r="E463" s="63"/>
      <c r="F463" s="59"/>
      <c r="I463" s="5"/>
      <c r="J463" s="5"/>
      <c r="K463" s="5"/>
      <c r="O463" s="5"/>
    </row>
    <row r="464" spans="1:15" ht="21" customHeight="1" x14ac:dyDescent="0.2">
      <c r="A464" s="5"/>
      <c r="B464" s="5"/>
      <c r="C464" s="59"/>
      <c r="D464" s="59"/>
      <c r="E464" s="63"/>
      <c r="F464" s="59"/>
      <c r="I464" s="5"/>
      <c r="J464" s="5"/>
      <c r="K464" s="5"/>
      <c r="O464" s="5"/>
    </row>
    <row r="465" spans="1:15" ht="21" customHeight="1" x14ac:dyDescent="0.2">
      <c r="A465" s="5"/>
      <c r="B465" s="5"/>
      <c r="C465" s="59"/>
      <c r="D465" s="59"/>
      <c r="E465" s="63"/>
      <c r="F465" s="59"/>
      <c r="I465" s="5"/>
      <c r="J465" s="5"/>
      <c r="K465" s="5"/>
      <c r="O465" s="5"/>
    </row>
    <row r="466" spans="1:15" ht="21" customHeight="1" x14ac:dyDescent="0.2">
      <c r="A466" s="5"/>
      <c r="B466" s="5"/>
      <c r="C466" s="59"/>
      <c r="D466" s="59"/>
      <c r="E466" s="63"/>
      <c r="F466" s="59"/>
      <c r="I466" s="5"/>
      <c r="J466" s="5"/>
      <c r="K466" s="5"/>
      <c r="O466" s="5"/>
    </row>
    <row r="467" spans="1:15" ht="21" customHeight="1" x14ac:dyDescent="0.2">
      <c r="A467" s="5"/>
      <c r="B467" s="5"/>
      <c r="C467" s="59"/>
      <c r="D467" s="59"/>
      <c r="E467" s="63"/>
      <c r="F467" s="59"/>
      <c r="I467" s="5"/>
      <c r="J467" s="5"/>
      <c r="K467" s="5"/>
      <c r="O467" s="5"/>
    </row>
    <row r="468" spans="1:15" ht="21" customHeight="1" x14ac:dyDescent="0.2">
      <c r="A468" s="5"/>
      <c r="B468" s="5"/>
      <c r="C468" s="59"/>
      <c r="D468" s="59"/>
      <c r="E468" s="63"/>
      <c r="F468" s="59"/>
      <c r="I468" s="5"/>
      <c r="J468" s="5"/>
      <c r="K468" s="5"/>
      <c r="O468" s="5"/>
    </row>
    <row r="469" spans="1:15" ht="21" customHeight="1" x14ac:dyDescent="0.2">
      <c r="A469" s="5"/>
      <c r="B469" s="5"/>
      <c r="C469" s="59"/>
      <c r="D469" s="59"/>
      <c r="E469" s="63"/>
      <c r="F469" s="59"/>
      <c r="I469" s="5"/>
      <c r="J469" s="5"/>
      <c r="K469" s="5"/>
      <c r="O469" s="5"/>
    </row>
    <row r="470" spans="1:15" ht="21" customHeight="1" x14ac:dyDescent="0.2">
      <c r="A470" s="5"/>
      <c r="B470" s="5"/>
      <c r="C470" s="59"/>
      <c r="D470" s="59"/>
      <c r="E470" s="63"/>
      <c r="F470" s="59"/>
      <c r="I470" s="5"/>
      <c r="J470" s="5"/>
      <c r="K470" s="5"/>
      <c r="O470" s="5"/>
    </row>
    <row r="471" spans="1:15" ht="21" customHeight="1" x14ac:dyDescent="0.2">
      <c r="A471" s="5"/>
      <c r="B471" s="5"/>
      <c r="C471" s="59"/>
      <c r="D471" s="59"/>
      <c r="E471" s="63"/>
      <c r="F471" s="59"/>
      <c r="I471" s="5"/>
      <c r="J471" s="5"/>
      <c r="K471" s="5"/>
      <c r="O471" s="5"/>
    </row>
    <row r="472" spans="1:15" ht="21" customHeight="1" x14ac:dyDescent="0.2">
      <c r="A472" s="5"/>
      <c r="B472" s="5"/>
      <c r="C472" s="59"/>
      <c r="D472" s="59"/>
      <c r="E472" s="63"/>
      <c r="F472" s="59"/>
      <c r="I472" s="5"/>
      <c r="J472" s="5"/>
      <c r="K472" s="5"/>
      <c r="O472" s="5"/>
    </row>
    <row r="473" spans="1:15" ht="21" customHeight="1" x14ac:dyDescent="0.2">
      <c r="A473" s="5"/>
      <c r="B473" s="5"/>
      <c r="C473" s="59"/>
      <c r="D473" s="59"/>
      <c r="E473" s="63"/>
      <c r="F473" s="59"/>
      <c r="I473" s="5"/>
      <c r="J473" s="5"/>
      <c r="K473" s="5"/>
      <c r="O473" s="5"/>
    </row>
    <row r="474" spans="1:15" ht="21" customHeight="1" x14ac:dyDescent="0.2">
      <c r="A474" s="5"/>
      <c r="B474" s="5"/>
      <c r="C474" s="59"/>
      <c r="D474" s="59"/>
      <c r="E474" s="63"/>
      <c r="F474" s="59"/>
      <c r="I474" s="5"/>
      <c r="J474" s="5"/>
      <c r="K474" s="5"/>
      <c r="O474" s="5"/>
    </row>
    <row r="475" spans="1:15" ht="21" customHeight="1" x14ac:dyDescent="0.2">
      <c r="A475" s="5"/>
      <c r="B475" s="5"/>
      <c r="C475" s="59"/>
      <c r="D475" s="59"/>
      <c r="E475" s="63"/>
      <c r="F475" s="59"/>
      <c r="I475" s="5"/>
      <c r="J475" s="5"/>
      <c r="K475" s="5"/>
      <c r="O475" s="5"/>
    </row>
    <row r="476" spans="1:15" ht="21" customHeight="1" x14ac:dyDescent="0.2">
      <c r="A476" s="5"/>
      <c r="B476" s="5"/>
      <c r="C476" s="59"/>
      <c r="D476" s="59"/>
      <c r="E476" s="63"/>
      <c r="F476" s="59"/>
      <c r="I476" s="5"/>
      <c r="J476" s="5"/>
      <c r="K476" s="5"/>
      <c r="O476" s="5"/>
    </row>
    <row r="477" spans="1:15" ht="21" customHeight="1" x14ac:dyDescent="0.2">
      <c r="A477" s="5"/>
      <c r="B477" s="5"/>
      <c r="C477" s="59"/>
      <c r="D477" s="59"/>
      <c r="E477" s="63"/>
      <c r="F477" s="59"/>
      <c r="I477" s="5"/>
      <c r="J477" s="5"/>
      <c r="K477" s="5"/>
      <c r="O477" s="5"/>
    </row>
    <row r="478" spans="1:15" ht="21" customHeight="1" x14ac:dyDescent="0.2">
      <c r="A478" s="5"/>
      <c r="B478" s="5"/>
      <c r="C478" s="59"/>
      <c r="D478" s="59"/>
      <c r="E478" s="63"/>
      <c r="F478" s="59"/>
      <c r="I478" s="5"/>
      <c r="J478" s="5"/>
      <c r="K478" s="5"/>
      <c r="O478" s="5"/>
    </row>
    <row r="479" spans="1:15" ht="21" customHeight="1" x14ac:dyDescent="0.2">
      <c r="A479" s="5"/>
      <c r="B479" s="5"/>
      <c r="C479" s="59"/>
      <c r="D479" s="59"/>
      <c r="E479" s="63"/>
      <c r="F479" s="59"/>
      <c r="I479" s="5"/>
      <c r="J479" s="5"/>
      <c r="K479" s="5"/>
      <c r="O479" s="5"/>
    </row>
    <row r="480" spans="1:15" ht="21" customHeight="1" x14ac:dyDescent="0.2">
      <c r="A480" s="5"/>
      <c r="B480" s="5"/>
      <c r="C480" s="59"/>
      <c r="D480" s="59"/>
      <c r="E480" s="63"/>
      <c r="F480" s="59"/>
      <c r="I480" s="5"/>
      <c r="J480" s="5"/>
      <c r="K480" s="5"/>
      <c r="O480" s="5"/>
    </row>
    <row r="481" spans="1:15" ht="21" customHeight="1" x14ac:dyDescent="0.2">
      <c r="A481" s="5"/>
      <c r="B481" s="5"/>
      <c r="C481" s="59"/>
      <c r="D481" s="59"/>
      <c r="E481" s="63"/>
      <c r="F481" s="59"/>
      <c r="I481" s="5"/>
      <c r="J481" s="5"/>
      <c r="K481" s="5"/>
      <c r="O481" s="5"/>
    </row>
    <row r="482" spans="1:15" ht="21" customHeight="1" x14ac:dyDescent="0.2">
      <c r="A482" s="5"/>
      <c r="B482" s="5"/>
      <c r="C482" s="59"/>
      <c r="D482" s="59"/>
      <c r="E482" s="63"/>
      <c r="F482" s="59"/>
      <c r="I482" s="5"/>
      <c r="J482" s="5"/>
      <c r="K482" s="5"/>
      <c r="O482" s="5"/>
    </row>
    <row r="483" spans="1:15" ht="21" customHeight="1" x14ac:dyDescent="0.2">
      <c r="A483" s="5"/>
      <c r="B483" s="5"/>
      <c r="C483" s="59"/>
      <c r="D483" s="59"/>
      <c r="E483" s="63"/>
      <c r="F483" s="59"/>
      <c r="I483" s="5"/>
      <c r="J483" s="5"/>
      <c r="K483" s="5"/>
      <c r="O483" s="5"/>
    </row>
    <row r="484" spans="1:15" ht="21" customHeight="1" x14ac:dyDescent="0.2">
      <c r="A484" s="5"/>
      <c r="B484" s="5"/>
      <c r="C484" s="59"/>
      <c r="D484" s="59"/>
      <c r="E484" s="63"/>
      <c r="F484" s="59"/>
      <c r="I484" s="5"/>
      <c r="J484" s="5"/>
      <c r="K484" s="5"/>
      <c r="O484" s="5"/>
    </row>
    <row r="485" spans="1:15" ht="21" customHeight="1" x14ac:dyDescent="0.2">
      <c r="A485" s="5"/>
      <c r="B485" s="5"/>
      <c r="C485" s="59"/>
      <c r="D485" s="59"/>
      <c r="E485" s="63"/>
      <c r="F485" s="59"/>
      <c r="I485" s="5"/>
      <c r="J485" s="5"/>
      <c r="K485" s="5"/>
      <c r="O485" s="5"/>
    </row>
    <row r="486" spans="1:15" ht="21" customHeight="1" x14ac:dyDescent="0.2">
      <c r="A486" s="5"/>
      <c r="B486" s="5"/>
      <c r="C486" s="59"/>
      <c r="D486" s="59"/>
      <c r="E486" s="63"/>
      <c r="F486" s="59"/>
      <c r="I486" s="5"/>
      <c r="J486" s="5"/>
      <c r="K486" s="5"/>
      <c r="O486" s="5"/>
    </row>
    <row r="487" spans="1:15" ht="21" customHeight="1" x14ac:dyDescent="0.2">
      <c r="A487" s="5"/>
      <c r="B487" s="5"/>
      <c r="C487" s="59"/>
      <c r="D487" s="59"/>
      <c r="E487" s="63"/>
      <c r="F487" s="59"/>
      <c r="I487" s="5"/>
      <c r="J487" s="5"/>
      <c r="K487" s="5"/>
      <c r="O487" s="5"/>
    </row>
    <row r="488" spans="1:15" ht="21" customHeight="1" x14ac:dyDescent="0.2">
      <c r="A488" s="5"/>
      <c r="B488" s="5"/>
      <c r="C488" s="59"/>
      <c r="D488" s="59"/>
      <c r="E488" s="63"/>
      <c r="F488" s="59"/>
      <c r="I488" s="5"/>
      <c r="J488" s="5"/>
      <c r="K488" s="5"/>
      <c r="O488" s="5"/>
    </row>
    <row r="489" spans="1:15" ht="21" customHeight="1" x14ac:dyDescent="0.2">
      <c r="A489" s="5"/>
      <c r="B489" s="5"/>
      <c r="C489" s="59"/>
      <c r="D489" s="59"/>
      <c r="E489" s="63"/>
      <c r="F489" s="59"/>
      <c r="I489" s="5"/>
      <c r="J489" s="5"/>
      <c r="K489" s="5"/>
      <c r="O489" s="5"/>
    </row>
    <row r="490" spans="1:15" ht="21" customHeight="1" x14ac:dyDescent="0.2">
      <c r="A490" s="5"/>
      <c r="B490" s="5"/>
      <c r="C490" s="59"/>
      <c r="D490" s="59"/>
      <c r="E490" s="63"/>
      <c r="F490" s="59"/>
      <c r="I490" s="5"/>
      <c r="J490" s="5"/>
      <c r="K490" s="5"/>
      <c r="O490" s="5"/>
    </row>
    <row r="491" spans="1:15" ht="21" customHeight="1" x14ac:dyDescent="0.2">
      <c r="A491" s="5"/>
      <c r="B491" s="5"/>
      <c r="C491" s="59"/>
      <c r="D491" s="59"/>
      <c r="E491" s="63"/>
      <c r="F491" s="59"/>
      <c r="I491" s="5"/>
      <c r="J491" s="5"/>
      <c r="K491" s="5"/>
      <c r="O491" s="5"/>
    </row>
    <row r="492" spans="1:15" ht="21" customHeight="1" x14ac:dyDescent="0.2">
      <c r="A492" s="5"/>
      <c r="B492" s="5"/>
      <c r="C492" s="59"/>
      <c r="D492" s="59"/>
      <c r="E492" s="63"/>
      <c r="F492" s="59"/>
      <c r="I492" s="5"/>
      <c r="J492" s="5"/>
      <c r="K492" s="5"/>
      <c r="O492" s="5"/>
    </row>
    <row r="493" spans="1:15" ht="21" customHeight="1" x14ac:dyDescent="0.2">
      <c r="A493" s="5"/>
      <c r="B493" s="5"/>
      <c r="C493" s="59"/>
      <c r="D493" s="59"/>
      <c r="E493" s="63"/>
      <c r="F493" s="59"/>
      <c r="I493" s="5"/>
      <c r="J493" s="5"/>
      <c r="K493" s="5"/>
      <c r="O493" s="5"/>
    </row>
    <row r="494" spans="1:15" ht="21" customHeight="1" x14ac:dyDescent="0.2">
      <c r="A494" s="5"/>
      <c r="B494" s="5"/>
      <c r="C494" s="59"/>
      <c r="D494" s="59"/>
      <c r="E494" s="63"/>
      <c r="F494" s="59"/>
      <c r="I494" s="5"/>
      <c r="J494" s="5"/>
      <c r="K494" s="5"/>
      <c r="O494" s="5"/>
    </row>
    <row r="495" spans="1:15" ht="21" customHeight="1" x14ac:dyDescent="0.2">
      <c r="A495" s="5"/>
      <c r="B495" s="5"/>
      <c r="C495" s="59"/>
      <c r="D495" s="59"/>
      <c r="E495" s="63"/>
      <c r="F495" s="59"/>
      <c r="I495" s="5"/>
      <c r="J495" s="5"/>
      <c r="K495" s="5"/>
      <c r="O495" s="5"/>
    </row>
    <row r="496" spans="1:15" ht="21" customHeight="1" x14ac:dyDescent="0.2">
      <c r="A496" s="5"/>
      <c r="B496" s="5"/>
      <c r="C496" s="59"/>
      <c r="D496" s="59"/>
      <c r="E496" s="63"/>
      <c r="F496" s="59"/>
      <c r="I496" s="5"/>
      <c r="J496" s="5"/>
      <c r="K496" s="5"/>
      <c r="O496" s="5"/>
    </row>
    <row r="497" spans="1:15" ht="21" customHeight="1" x14ac:dyDescent="0.2">
      <c r="A497" s="5"/>
      <c r="B497" s="5"/>
      <c r="C497" s="59"/>
      <c r="D497" s="59"/>
      <c r="E497" s="63"/>
      <c r="F497" s="59"/>
      <c r="I497" s="5"/>
      <c r="J497" s="5"/>
      <c r="K497" s="5"/>
      <c r="O497" s="5"/>
    </row>
    <row r="498" spans="1:15" ht="21" customHeight="1" x14ac:dyDescent="0.2">
      <c r="A498" s="5"/>
      <c r="B498" s="5"/>
      <c r="C498" s="59"/>
      <c r="D498" s="59"/>
      <c r="E498" s="63"/>
      <c r="F498" s="59"/>
      <c r="I498" s="5"/>
      <c r="J498" s="5"/>
      <c r="K498" s="5"/>
      <c r="O498" s="5"/>
    </row>
    <row r="499" spans="1:15" ht="21" customHeight="1" x14ac:dyDescent="0.2">
      <c r="A499" s="5"/>
      <c r="B499" s="5"/>
      <c r="C499" s="59"/>
      <c r="D499" s="59"/>
      <c r="E499" s="63"/>
      <c r="F499" s="59"/>
      <c r="I499" s="5"/>
      <c r="J499" s="5"/>
      <c r="K499" s="5"/>
      <c r="O499" s="5"/>
    </row>
    <row r="500" spans="1:15" ht="21" customHeight="1" x14ac:dyDescent="0.2">
      <c r="A500" s="5"/>
      <c r="B500" s="5"/>
      <c r="C500" s="59"/>
      <c r="D500" s="59"/>
      <c r="E500" s="63"/>
      <c r="F500" s="59"/>
      <c r="I500" s="5"/>
      <c r="J500" s="5"/>
      <c r="K500" s="5"/>
      <c r="O500" s="5"/>
    </row>
    <row r="501" spans="1:15" ht="21" customHeight="1" x14ac:dyDescent="0.2">
      <c r="A501" s="5"/>
      <c r="B501" s="5"/>
      <c r="C501" s="59"/>
      <c r="D501" s="59"/>
      <c r="E501" s="63"/>
      <c r="F501" s="59"/>
      <c r="I501" s="5"/>
      <c r="J501" s="5"/>
      <c r="K501" s="5"/>
      <c r="O501" s="5"/>
    </row>
    <row r="502" spans="1:15" ht="21" customHeight="1" x14ac:dyDescent="0.2">
      <c r="A502" s="5"/>
      <c r="B502" s="5"/>
      <c r="C502" s="59"/>
      <c r="D502" s="59"/>
      <c r="E502" s="63"/>
      <c r="F502" s="59"/>
      <c r="I502" s="5"/>
      <c r="J502" s="5"/>
      <c r="K502" s="5"/>
      <c r="O502" s="5"/>
    </row>
    <row r="503" spans="1:15" ht="21" customHeight="1" x14ac:dyDescent="0.2">
      <c r="A503" s="5"/>
      <c r="B503" s="5"/>
      <c r="C503" s="59"/>
      <c r="D503" s="59"/>
      <c r="E503" s="63"/>
      <c r="F503" s="59"/>
      <c r="I503" s="5"/>
      <c r="J503" s="5"/>
      <c r="K503" s="5"/>
      <c r="O503" s="5"/>
    </row>
    <row r="504" spans="1:15" ht="21" customHeight="1" x14ac:dyDescent="0.2">
      <c r="A504" s="5"/>
      <c r="B504" s="5"/>
      <c r="C504" s="59"/>
      <c r="D504" s="59"/>
      <c r="E504" s="63"/>
      <c r="F504" s="59"/>
      <c r="I504" s="5"/>
      <c r="J504" s="5"/>
      <c r="K504" s="5"/>
      <c r="O504" s="5"/>
    </row>
    <row r="505" spans="1:15" ht="21" customHeight="1" x14ac:dyDescent="0.2">
      <c r="A505" s="5"/>
      <c r="B505" s="5"/>
      <c r="C505" s="59"/>
      <c r="D505" s="59"/>
      <c r="E505" s="63"/>
      <c r="F505" s="59"/>
      <c r="I505" s="5"/>
      <c r="J505" s="5"/>
      <c r="K505" s="5"/>
      <c r="O505" s="5"/>
    </row>
    <row r="506" spans="1:15" ht="21" customHeight="1" x14ac:dyDescent="0.2">
      <c r="A506" s="5"/>
      <c r="B506" s="5"/>
      <c r="C506" s="59"/>
      <c r="D506" s="59"/>
      <c r="E506" s="63"/>
      <c r="F506" s="59"/>
      <c r="I506" s="5"/>
      <c r="J506" s="5"/>
      <c r="K506" s="5"/>
      <c r="O506" s="5"/>
    </row>
    <row r="507" spans="1:15" ht="21" customHeight="1" x14ac:dyDescent="0.2">
      <c r="A507" s="5"/>
      <c r="B507" s="5"/>
      <c r="C507" s="59"/>
      <c r="D507" s="59"/>
      <c r="E507" s="63"/>
      <c r="F507" s="59"/>
      <c r="I507" s="5"/>
      <c r="J507" s="5"/>
      <c r="K507" s="5"/>
      <c r="O507" s="5"/>
    </row>
    <row r="508" spans="1:15" ht="21" customHeight="1" x14ac:dyDescent="0.2">
      <c r="A508" s="5"/>
      <c r="B508" s="5"/>
      <c r="C508" s="59"/>
      <c r="D508" s="59"/>
      <c r="E508" s="63"/>
      <c r="F508" s="59"/>
      <c r="I508" s="5"/>
      <c r="J508" s="5"/>
      <c r="K508" s="5"/>
      <c r="O508" s="5"/>
    </row>
    <row r="509" spans="1:15" ht="21" customHeight="1" x14ac:dyDescent="0.2">
      <c r="A509" s="5"/>
      <c r="B509" s="5"/>
      <c r="C509" s="59"/>
      <c r="D509" s="59"/>
      <c r="E509" s="63"/>
      <c r="F509" s="59"/>
      <c r="I509" s="5"/>
      <c r="J509" s="5"/>
      <c r="K509" s="5"/>
      <c r="O509" s="5"/>
    </row>
    <row r="510" spans="1:15" ht="21" customHeight="1" x14ac:dyDescent="0.2">
      <c r="A510" s="5"/>
      <c r="B510" s="5"/>
      <c r="C510" s="59"/>
      <c r="D510" s="59"/>
      <c r="E510" s="63"/>
      <c r="F510" s="59"/>
      <c r="I510" s="5"/>
      <c r="J510" s="5"/>
      <c r="K510" s="5"/>
      <c r="O510" s="5"/>
    </row>
    <row r="511" spans="1:15" ht="21" customHeight="1" x14ac:dyDescent="0.2">
      <c r="A511" s="5"/>
      <c r="B511" s="5"/>
      <c r="C511" s="59"/>
      <c r="D511" s="59"/>
      <c r="E511" s="63"/>
      <c r="F511" s="59"/>
      <c r="I511" s="5"/>
      <c r="J511" s="5"/>
      <c r="K511" s="5"/>
      <c r="O511" s="5"/>
    </row>
    <row r="512" spans="1:15" ht="21" customHeight="1" x14ac:dyDescent="0.2">
      <c r="A512" s="5"/>
      <c r="B512" s="5"/>
      <c r="C512" s="59"/>
      <c r="D512" s="59"/>
      <c r="E512" s="63"/>
      <c r="F512" s="59"/>
      <c r="I512" s="5"/>
      <c r="J512" s="5"/>
      <c r="K512" s="5"/>
      <c r="O512" s="5"/>
    </row>
    <row r="513" spans="1:15" ht="21" customHeight="1" x14ac:dyDescent="0.2">
      <c r="A513" s="5"/>
      <c r="B513" s="5"/>
      <c r="C513" s="59"/>
      <c r="D513" s="59"/>
      <c r="E513" s="63"/>
      <c r="F513" s="59"/>
      <c r="I513" s="5"/>
      <c r="J513" s="5"/>
      <c r="K513" s="5"/>
      <c r="O513" s="5"/>
    </row>
    <row r="514" spans="1:15" ht="21" customHeight="1" x14ac:dyDescent="0.2">
      <c r="A514" s="5"/>
      <c r="B514" s="5"/>
      <c r="C514" s="59"/>
      <c r="D514" s="59"/>
      <c r="E514" s="63"/>
      <c r="F514" s="59"/>
      <c r="I514" s="5"/>
      <c r="J514" s="5"/>
      <c r="K514" s="5"/>
      <c r="O514" s="5"/>
    </row>
    <row r="515" spans="1:15" ht="21" customHeight="1" x14ac:dyDescent="0.2">
      <c r="A515" s="5"/>
      <c r="B515" s="5"/>
      <c r="C515" s="59"/>
      <c r="D515" s="59"/>
      <c r="E515" s="63"/>
      <c r="F515" s="59"/>
      <c r="I515" s="5"/>
      <c r="J515" s="5"/>
      <c r="K515" s="5"/>
      <c r="O515" s="5"/>
    </row>
    <row r="516" spans="1:15" ht="21" customHeight="1" x14ac:dyDescent="0.2">
      <c r="A516" s="5"/>
      <c r="B516" s="5"/>
      <c r="C516" s="59"/>
      <c r="D516" s="59"/>
      <c r="E516" s="63"/>
      <c r="F516" s="59"/>
      <c r="I516" s="5"/>
      <c r="J516" s="5"/>
      <c r="K516" s="5"/>
      <c r="O516" s="5"/>
    </row>
    <row r="517" spans="1:15" ht="21" customHeight="1" x14ac:dyDescent="0.2">
      <c r="A517" s="5"/>
      <c r="B517" s="5"/>
      <c r="C517" s="59"/>
      <c r="D517" s="59"/>
      <c r="E517" s="63"/>
      <c r="F517" s="59"/>
      <c r="I517" s="5"/>
      <c r="J517" s="5"/>
      <c r="K517" s="5"/>
      <c r="O517" s="5"/>
    </row>
    <row r="518" spans="1:15" ht="21" customHeight="1" x14ac:dyDescent="0.2">
      <c r="A518" s="5"/>
      <c r="B518" s="5"/>
      <c r="C518" s="59"/>
      <c r="D518" s="59"/>
      <c r="E518" s="63"/>
      <c r="F518" s="59"/>
      <c r="I518" s="5"/>
      <c r="J518" s="5"/>
      <c r="K518" s="5"/>
      <c r="O518" s="5"/>
    </row>
    <row r="519" spans="1:15" ht="21" customHeight="1" x14ac:dyDescent="0.2">
      <c r="A519" s="5"/>
      <c r="B519" s="5"/>
      <c r="C519" s="59"/>
      <c r="D519" s="59"/>
      <c r="E519" s="63"/>
      <c r="F519" s="59"/>
      <c r="I519" s="5"/>
      <c r="J519" s="5"/>
      <c r="K519" s="5"/>
      <c r="O519" s="5"/>
    </row>
    <row r="520" spans="1:15" ht="21" customHeight="1" x14ac:dyDescent="0.2">
      <c r="A520" s="5"/>
      <c r="B520" s="5"/>
      <c r="C520" s="59"/>
      <c r="D520" s="59"/>
      <c r="E520" s="63"/>
      <c r="F520" s="59"/>
      <c r="I520" s="5"/>
      <c r="J520" s="5"/>
      <c r="K520" s="5"/>
      <c r="O520" s="5"/>
    </row>
    <row r="521" spans="1:15" ht="21" customHeight="1" x14ac:dyDescent="0.2">
      <c r="A521" s="5"/>
      <c r="B521" s="5"/>
      <c r="C521" s="59"/>
      <c r="D521" s="59"/>
      <c r="E521" s="63"/>
      <c r="F521" s="59"/>
      <c r="I521" s="5"/>
      <c r="J521" s="5"/>
      <c r="K521" s="5"/>
      <c r="O521" s="5"/>
    </row>
    <row r="522" spans="1:15" ht="21" customHeight="1" x14ac:dyDescent="0.2">
      <c r="A522" s="5"/>
      <c r="B522" s="5"/>
      <c r="C522" s="59"/>
      <c r="D522" s="59"/>
      <c r="E522" s="63"/>
      <c r="F522" s="59"/>
      <c r="I522" s="5"/>
      <c r="J522" s="5"/>
      <c r="K522" s="5"/>
      <c r="O522" s="5"/>
    </row>
    <row r="523" spans="1:15" ht="21" customHeight="1" x14ac:dyDescent="0.2">
      <c r="A523" s="5"/>
      <c r="B523" s="5"/>
      <c r="C523" s="59"/>
      <c r="D523" s="59"/>
      <c r="E523" s="63"/>
      <c r="F523" s="59"/>
      <c r="I523" s="5"/>
      <c r="J523" s="5"/>
      <c r="K523" s="5"/>
      <c r="O523" s="5"/>
    </row>
    <row r="524" spans="1:15" ht="21" customHeight="1" x14ac:dyDescent="0.2">
      <c r="A524" s="5"/>
      <c r="B524" s="5"/>
      <c r="C524" s="59"/>
      <c r="D524" s="59"/>
      <c r="E524" s="63"/>
      <c r="F524" s="59"/>
      <c r="I524" s="5"/>
      <c r="J524" s="5"/>
      <c r="K524" s="5"/>
      <c r="O524" s="5"/>
    </row>
    <row r="525" spans="1:15" ht="21" customHeight="1" x14ac:dyDescent="0.2">
      <c r="A525" s="5"/>
      <c r="B525" s="5"/>
      <c r="C525" s="59"/>
      <c r="D525" s="59"/>
      <c r="E525" s="63"/>
      <c r="F525" s="59"/>
      <c r="I525" s="5"/>
      <c r="J525" s="5"/>
      <c r="K525" s="5"/>
      <c r="O525" s="5"/>
    </row>
    <row r="526" spans="1:15" ht="21" customHeight="1" x14ac:dyDescent="0.2">
      <c r="A526" s="5"/>
      <c r="B526" s="5"/>
      <c r="C526" s="59"/>
      <c r="D526" s="59"/>
      <c r="E526" s="63"/>
      <c r="F526" s="59"/>
      <c r="I526" s="5"/>
      <c r="J526" s="5"/>
      <c r="K526" s="5"/>
      <c r="O526" s="5"/>
    </row>
    <row r="527" spans="1:15" ht="21" customHeight="1" x14ac:dyDescent="0.2">
      <c r="A527" s="5"/>
      <c r="B527" s="5"/>
      <c r="C527" s="59"/>
      <c r="D527" s="59"/>
      <c r="E527" s="63"/>
      <c r="F527" s="59"/>
      <c r="I527" s="5"/>
      <c r="J527" s="5"/>
      <c r="K527" s="5"/>
      <c r="O527" s="5"/>
    </row>
    <row r="528" spans="1:15" ht="21" customHeight="1" x14ac:dyDescent="0.2">
      <c r="A528" s="5"/>
      <c r="B528" s="5"/>
      <c r="C528" s="59"/>
      <c r="D528" s="59"/>
      <c r="E528" s="63"/>
      <c r="F528" s="59"/>
      <c r="I528" s="5"/>
      <c r="J528" s="5"/>
      <c r="K528" s="5"/>
      <c r="O528" s="5"/>
    </row>
    <row r="529" spans="1:15" ht="21" customHeight="1" x14ac:dyDescent="0.2">
      <c r="A529" s="5"/>
      <c r="B529" s="5"/>
      <c r="C529" s="59"/>
      <c r="D529" s="59"/>
      <c r="E529" s="63"/>
      <c r="F529" s="59"/>
      <c r="I529" s="5"/>
      <c r="J529" s="5"/>
      <c r="K529" s="5"/>
      <c r="O529" s="5"/>
    </row>
    <row r="530" spans="1:15" ht="21" customHeight="1" x14ac:dyDescent="0.2">
      <c r="A530" s="5"/>
      <c r="B530" s="5"/>
      <c r="C530" s="59"/>
      <c r="D530" s="59"/>
      <c r="E530" s="63"/>
      <c r="F530" s="59"/>
      <c r="I530" s="5"/>
      <c r="J530" s="5"/>
      <c r="K530" s="5"/>
      <c r="O530" s="5"/>
    </row>
    <row r="531" spans="1:15" ht="21" customHeight="1" x14ac:dyDescent="0.2">
      <c r="A531" s="5"/>
      <c r="B531" s="5"/>
      <c r="C531" s="59"/>
      <c r="D531" s="59"/>
      <c r="E531" s="63"/>
      <c r="F531" s="59"/>
      <c r="I531" s="5"/>
      <c r="J531" s="5"/>
      <c r="K531" s="5"/>
      <c r="O531" s="5"/>
    </row>
    <row r="532" spans="1:15" ht="21" customHeight="1" x14ac:dyDescent="0.2">
      <c r="A532" s="5"/>
      <c r="B532" s="5"/>
      <c r="C532" s="59"/>
      <c r="D532" s="59"/>
      <c r="E532" s="63"/>
      <c r="F532" s="59"/>
      <c r="I532" s="5"/>
      <c r="J532" s="5"/>
      <c r="K532" s="5"/>
      <c r="O532" s="5"/>
    </row>
    <row r="533" spans="1:15" ht="21" customHeight="1" x14ac:dyDescent="0.2">
      <c r="A533" s="5"/>
      <c r="B533" s="5"/>
      <c r="C533" s="59"/>
      <c r="D533" s="59"/>
      <c r="E533" s="63"/>
      <c r="F533" s="59"/>
      <c r="I533" s="5"/>
      <c r="J533" s="5"/>
      <c r="K533" s="5"/>
      <c r="O533" s="5"/>
    </row>
    <row r="534" spans="1:15" ht="21" customHeight="1" x14ac:dyDescent="0.2">
      <c r="A534" s="5"/>
      <c r="B534" s="5"/>
      <c r="C534" s="59"/>
      <c r="D534" s="59"/>
      <c r="E534" s="63"/>
      <c r="F534" s="59"/>
      <c r="I534" s="5"/>
      <c r="J534" s="5"/>
      <c r="K534" s="5"/>
      <c r="O534" s="5"/>
    </row>
    <row r="535" spans="1:15" ht="21" customHeight="1" x14ac:dyDescent="0.2">
      <c r="A535" s="5"/>
      <c r="B535" s="5"/>
      <c r="C535" s="59"/>
      <c r="D535" s="59"/>
      <c r="E535" s="63"/>
      <c r="F535" s="59"/>
      <c r="I535" s="5"/>
      <c r="J535" s="5"/>
      <c r="K535" s="5"/>
      <c r="O535" s="5"/>
    </row>
    <row r="536" spans="1:15" ht="21" customHeight="1" x14ac:dyDescent="0.2">
      <c r="A536" s="5"/>
      <c r="B536" s="5"/>
      <c r="C536" s="59"/>
      <c r="D536" s="59"/>
      <c r="E536" s="63"/>
      <c r="F536" s="59"/>
      <c r="I536" s="5"/>
      <c r="J536" s="5"/>
      <c r="K536" s="5"/>
      <c r="O536" s="5"/>
    </row>
    <row r="537" spans="1:15" ht="21" customHeight="1" x14ac:dyDescent="0.2">
      <c r="A537" s="5"/>
      <c r="B537" s="5"/>
      <c r="C537" s="59"/>
      <c r="D537" s="59"/>
      <c r="E537" s="63"/>
      <c r="F537" s="59"/>
      <c r="I537" s="5"/>
      <c r="J537" s="5"/>
      <c r="K537" s="5"/>
      <c r="O537" s="5"/>
    </row>
    <row r="538" spans="1:15" ht="21" customHeight="1" x14ac:dyDescent="0.2">
      <c r="A538" s="5"/>
      <c r="B538" s="5"/>
      <c r="C538" s="59"/>
      <c r="D538" s="59"/>
      <c r="E538" s="63"/>
      <c r="F538" s="59"/>
      <c r="I538" s="5"/>
      <c r="J538" s="5"/>
      <c r="K538" s="5"/>
      <c r="O538" s="5"/>
    </row>
    <row r="539" spans="1:15" ht="21" customHeight="1" x14ac:dyDescent="0.2">
      <c r="A539" s="5"/>
      <c r="B539" s="5"/>
      <c r="C539" s="59"/>
      <c r="D539" s="59"/>
      <c r="E539" s="63"/>
      <c r="F539" s="59"/>
      <c r="I539" s="5"/>
      <c r="J539" s="5"/>
      <c r="K539" s="5"/>
      <c r="O539" s="5"/>
    </row>
    <row r="540" spans="1:15" ht="21" customHeight="1" x14ac:dyDescent="0.2">
      <c r="A540" s="5"/>
      <c r="B540" s="5"/>
      <c r="C540" s="59"/>
      <c r="D540" s="59"/>
      <c r="E540" s="63"/>
      <c r="F540" s="59"/>
      <c r="I540" s="5"/>
      <c r="J540" s="5"/>
      <c r="K540" s="5"/>
      <c r="O540" s="5"/>
    </row>
    <row r="541" spans="1:15" ht="21" customHeight="1" x14ac:dyDescent="0.2">
      <c r="A541" s="5"/>
      <c r="B541" s="5"/>
      <c r="C541" s="59"/>
      <c r="D541" s="59"/>
      <c r="E541" s="63"/>
      <c r="F541" s="59"/>
      <c r="I541" s="5"/>
      <c r="J541" s="5"/>
      <c r="K541" s="5"/>
      <c r="O541" s="5"/>
    </row>
    <row r="542" spans="1:15" ht="21" customHeight="1" x14ac:dyDescent="0.2">
      <c r="A542" s="5"/>
      <c r="B542" s="5"/>
      <c r="C542" s="59"/>
      <c r="D542" s="59"/>
      <c r="E542" s="63"/>
      <c r="F542" s="59"/>
      <c r="I542" s="5"/>
      <c r="J542" s="5"/>
      <c r="K542" s="5"/>
      <c r="O542" s="5"/>
    </row>
    <row r="543" spans="1:15" ht="21" customHeight="1" x14ac:dyDescent="0.2">
      <c r="A543" s="5"/>
      <c r="B543" s="5"/>
      <c r="C543" s="59"/>
      <c r="D543" s="59"/>
      <c r="E543" s="63"/>
      <c r="F543" s="59"/>
      <c r="I543" s="5"/>
      <c r="J543" s="5"/>
      <c r="K543" s="5"/>
      <c r="O543" s="5"/>
    </row>
    <row r="544" spans="1:15" ht="21" customHeight="1" x14ac:dyDescent="0.2">
      <c r="A544" s="5"/>
      <c r="B544" s="5"/>
      <c r="C544" s="59"/>
      <c r="D544" s="59"/>
      <c r="E544" s="63"/>
      <c r="F544" s="59"/>
      <c r="I544" s="5"/>
      <c r="J544" s="5"/>
      <c r="K544" s="5"/>
      <c r="O544" s="5"/>
    </row>
    <row r="545" spans="1:15" ht="21" customHeight="1" x14ac:dyDescent="0.2">
      <c r="A545" s="5"/>
      <c r="B545" s="5"/>
      <c r="C545" s="59"/>
      <c r="D545" s="59"/>
      <c r="E545" s="63"/>
      <c r="F545" s="59"/>
      <c r="I545" s="5"/>
      <c r="J545" s="5"/>
      <c r="K545" s="5"/>
      <c r="O545" s="5"/>
    </row>
    <row r="546" spans="1:15" ht="21" customHeight="1" x14ac:dyDescent="0.2">
      <c r="A546" s="5"/>
      <c r="B546" s="5"/>
      <c r="C546" s="59"/>
      <c r="D546" s="59"/>
      <c r="E546" s="63"/>
      <c r="F546" s="59"/>
      <c r="I546" s="5"/>
      <c r="J546" s="5"/>
      <c r="K546" s="5"/>
      <c r="O546" s="5"/>
    </row>
    <row r="547" spans="1:15" ht="21" customHeight="1" x14ac:dyDescent="0.2">
      <c r="A547" s="5"/>
      <c r="B547" s="5"/>
      <c r="C547" s="59"/>
      <c r="D547" s="59"/>
      <c r="E547" s="63"/>
      <c r="F547" s="59"/>
      <c r="I547" s="5"/>
      <c r="J547" s="5"/>
      <c r="K547" s="5"/>
      <c r="O547" s="5"/>
    </row>
    <row r="548" spans="1:15" ht="21" customHeight="1" x14ac:dyDescent="0.2">
      <c r="A548" s="5"/>
      <c r="B548" s="5"/>
      <c r="C548" s="59"/>
      <c r="D548" s="59"/>
      <c r="E548" s="63"/>
      <c r="F548" s="59"/>
      <c r="I548" s="5"/>
      <c r="J548" s="5"/>
      <c r="K548" s="5"/>
      <c r="O548" s="5"/>
    </row>
    <row r="549" spans="1:15" ht="21" customHeight="1" x14ac:dyDescent="0.2">
      <c r="A549" s="5"/>
      <c r="B549" s="5"/>
      <c r="C549" s="59"/>
      <c r="D549" s="59"/>
      <c r="E549" s="63"/>
      <c r="F549" s="59"/>
      <c r="I549" s="5"/>
      <c r="J549" s="5"/>
      <c r="K549" s="5"/>
      <c r="O549" s="5"/>
    </row>
    <row r="550" spans="1:15" ht="21" customHeight="1" x14ac:dyDescent="0.2">
      <c r="A550" s="5"/>
      <c r="B550" s="5"/>
      <c r="C550" s="59"/>
      <c r="D550" s="59"/>
      <c r="E550" s="63"/>
      <c r="F550" s="59"/>
      <c r="I550" s="5"/>
      <c r="J550" s="5"/>
      <c r="K550" s="5"/>
      <c r="O550" s="5"/>
    </row>
    <row r="551" spans="1:15" ht="21" customHeight="1" x14ac:dyDescent="0.2">
      <c r="A551" s="5"/>
      <c r="B551" s="5"/>
      <c r="C551" s="59"/>
      <c r="D551" s="59"/>
      <c r="E551" s="63"/>
      <c r="F551" s="59"/>
      <c r="I551" s="5"/>
      <c r="J551" s="5"/>
      <c r="K551" s="5"/>
      <c r="O551" s="5"/>
    </row>
    <row r="552" spans="1:15" ht="21" customHeight="1" x14ac:dyDescent="0.2">
      <c r="A552" s="5"/>
      <c r="B552" s="5"/>
      <c r="C552" s="59"/>
      <c r="D552" s="59"/>
      <c r="E552" s="63"/>
      <c r="F552" s="59"/>
      <c r="I552" s="5"/>
      <c r="J552" s="5"/>
      <c r="K552" s="5"/>
      <c r="O552" s="5"/>
    </row>
    <row r="553" spans="1:15" ht="21" customHeight="1" x14ac:dyDescent="0.2">
      <c r="A553" s="5"/>
      <c r="B553" s="5"/>
      <c r="C553" s="59"/>
      <c r="D553" s="59"/>
      <c r="E553" s="63"/>
      <c r="F553" s="59"/>
      <c r="I553" s="5"/>
      <c r="J553" s="5"/>
      <c r="K553" s="5"/>
      <c r="O553" s="5"/>
    </row>
    <row r="554" spans="1:15" ht="21" customHeight="1" x14ac:dyDescent="0.2">
      <c r="A554" s="5"/>
      <c r="B554" s="5"/>
      <c r="C554" s="59"/>
      <c r="D554" s="59"/>
      <c r="E554" s="63"/>
      <c r="F554" s="59"/>
      <c r="I554" s="5"/>
      <c r="J554" s="5"/>
      <c r="K554" s="5"/>
      <c r="O554" s="5"/>
    </row>
    <row r="555" spans="1:15" ht="21" customHeight="1" x14ac:dyDescent="0.2">
      <c r="A555" s="5"/>
      <c r="B555" s="5"/>
      <c r="C555" s="59"/>
      <c r="D555" s="59"/>
      <c r="E555" s="63"/>
      <c r="F555" s="59"/>
      <c r="I555" s="5"/>
      <c r="J555" s="5"/>
      <c r="K555" s="5"/>
      <c r="O555" s="5"/>
    </row>
    <row r="556" spans="1:15" ht="21" customHeight="1" x14ac:dyDescent="0.2">
      <c r="A556" s="5"/>
      <c r="B556" s="5"/>
      <c r="C556" s="59"/>
      <c r="D556" s="59"/>
      <c r="E556" s="63"/>
      <c r="F556" s="59"/>
      <c r="I556" s="5"/>
      <c r="J556" s="5"/>
      <c r="K556" s="5"/>
      <c r="O556" s="5"/>
    </row>
    <row r="557" spans="1:15" ht="21" customHeight="1" x14ac:dyDescent="0.2">
      <c r="A557" s="5"/>
      <c r="B557" s="5"/>
      <c r="C557" s="59"/>
      <c r="D557" s="59"/>
      <c r="E557" s="63"/>
      <c r="F557" s="59"/>
      <c r="I557" s="5"/>
      <c r="J557" s="5"/>
      <c r="K557" s="5"/>
      <c r="O557" s="5"/>
    </row>
    <row r="558" spans="1:15" ht="21" customHeight="1" x14ac:dyDescent="0.2">
      <c r="A558" s="5"/>
      <c r="B558" s="5"/>
      <c r="C558" s="59"/>
      <c r="D558" s="59"/>
      <c r="E558" s="63"/>
      <c r="F558" s="59"/>
      <c r="I558" s="5"/>
      <c r="J558" s="5"/>
      <c r="K558" s="5"/>
      <c r="O558" s="5"/>
    </row>
    <row r="559" spans="1:15" ht="21" customHeight="1" x14ac:dyDescent="0.2">
      <c r="A559" s="5"/>
      <c r="B559" s="5"/>
      <c r="C559" s="59"/>
      <c r="D559" s="59"/>
      <c r="E559" s="63"/>
      <c r="F559" s="59"/>
      <c r="I559" s="5"/>
      <c r="J559" s="5"/>
      <c r="K559" s="5"/>
      <c r="O559" s="5"/>
    </row>
    <row r="560" spans="1:15" ht="21" customHeight="1" x14ac:dyDescent="0.2">
      <c r="A560" s="5"/>
      <c r="B560" s="5"/>
      <c r="C560" s="59"/>
      <c r="D560" s="59"/>
      <c r="E560" s="63"/>
      <c r="F560" s="59"/>
      <c r="I560" s="5"/>
      <c r="J560" s="5"/>
      <c r="K560" s="5"/>
      <c r="O560" s="5"/>
    </row>
    <row r="561" spans="1:15" ht="21" customHeight="1" x14ac:dyDescent="0.2">
      <c r="A561" s="5"/>
      <c r="B561" s="5"/>
      <c r="C561" s="59"/>
      <c r="D561" s="59"/>
      <c r="E561" s="63"/>
      <c r="F561" s="59"/>
      <c r="I561" s="5"/>
      <c r="J561" s="5"/>
      <c r="K561" s="5"/>
      <c r="O561" s="5"/>
    </row>
    <row r="562" spans="1:15" ht="21" customHeight="1" x14ac:dyDescent="0.2">
      <c r="A562" s="5"/>
      <c r="B562" s="5"/>
      <c r="C562" s="59"/>
      <c r="D562" s="59"/>
      <c r="E562" s="63"/>
      <c r="F562" s="59"/>
      <c r="I562" s="5"/>
      <c r="J562" s="5"/>
      <c r="K562" s="5"/>
      <c r="O562" s="5"/>
    </row>
    <row r="563" spans="1:15" ht="21" customHeight="1" x14ac:dyDescent="0.2">
      <c r="A563" s="5"/>
      <c r="B563" s="5"/>
      <c r="C563" s="59"/>
      <c r="D563" s="59"/>
      <c r="E563" s="63"/>
      <c r="F563" s="59"/>
      <c r="I563" s="5"/>
      <c r="J563" s="5"/>
      <c r="K563" s="5"/>
      <c r="O563" s="5"/>
    </row>
    <row r="564" spans="1:15" ht="21" customHeight="1" x14ac:dyDescent="0.2">
      <c r="A564" s="5"/>
      <c r="B564" s="5"/>
      <c r="C564" s="59"/>
      <c r="D564" s="59"/>
      <c r="E564" s="63"/>
      <c r="F564" s="59"/>
      <c r="I564" s="5"/>
      <c r="J564" s="5"/>
      <c r="K564" s="5"/>
      <c r="O564" s="5"/>
    </row>
    <row r="565" spans="1:15" ht="21" customHeight="1" x14ac:dyDescent="0.2">
      <c r="A565" s="5"/>
      <c r="B565" s="5"/>
      <c r="C565" s="59"/>
      <c r="D565" s="59"/>
      <c r="E565" s="63"/>
      <c r="F565" s="59"/>
      <c r="I565" s="5"/>
      <c r="J565" s="5"/>
      <c r="K565" s="5"/>
      <c r="O565" s="5"/>
    </row>
    <row r="566" spans="1:15" ht="21" customHeight="1" x14ac:dyDescent="0.2">
      <c r="A566" s="5"/>
      <c r="B566" s="5"/>
      <c r="C566" s="59"/>
      <c r="D566" s="59"/>
      <c r="E566" s="63"/>
      <c r="F566" s="59"/>
      <c r="I566" s="5"/>
      <c r="J566" s="5"/>
      <c r="K566" s="5"/>
      <c r="O566" s="5"/>
    </row>
    <row r="567" spans="1:15" ht="21" customHeight="1" x14ac:dyDescent="0.2">
      <c r="A567" s="5"/>
      <c r="B567" s="5"/>
      <c r="C567" s="59"/>
      <c r="D567" s="59"/>
      <c r="E567" s="63"/>
      <c r="F567" s="59"/>
      <c r="I567" s="5"/>
      <c r="J567" s="5"/>
      <c r="K567" s="5"/>
      <c r="O567" s="5"/>
    </row>
    <row r="568" spans="1:15" ht="21" customHeight="1" x14ac:dyDescent="0.2">
      <c r="A568" s="5"/>
      <c r="B568" s="5"/>
      <c r="C568" s="59"/>
      <c r="D568" s="59"/>
      <c r="E568" s="63"/>
      <c r="F568" s="59"/>
      <c r="I568" s="5"/>
      <c r="J568" s="5"/>
      <c r="K568" s="5"/>
      <c r="O568" s="5"/>
    </row>
    <row r="569" spans="1:15" ht="21" customHeight="1" x14ac:dyDescent="0.2">
      <c r="A569" s="5"/>
      <c r="B569" s="5"/>
      <c r="C569" s="59"/>
      <c r="D569" s="59"/>
      <c r="E569" s="63"/>
      <c r="F569" s="59"/>
      <c r="I569" s="5"/>
      <c r="J569" s="5"/>
      <c r="K569" s="5"/>
      <c r="O569" s="5"/>
    </row>
    <row r="570" spans="1:15" ht="21" customHeight="1" x14ac:dyDescent="0.2">
      <c r="A570" s="5"/>
      <c r="B570" s="5"/>
      <c r="C570" s="59"/>
      <c r="D570" s="59"/>
      <c r="E570" s="63"/>
      <c r="F570" s="59"/>
      <c r="I570" s="5"/>
      <c r="J570" s="5"/>
      <c r="K570" s="5"/>
      <c r="O570" s="5"/>
    </row>
    <row r="571" spans="1:15" ht="21" customHeight="1" x14ac:dyDescent="0.2">
      <c r="A571" s="5"/>
      <c r="B571" s="5"/>
      <c r="C571" s="59"/>
      <c r="D571" s="59"/>
      <c r="E571" s="63"/>
      <c r="F571" s="59"/>
      <c r="I571" s="5"/>
      <c r="J571" s="5"/>
      <c r="K571" s="5"/>
      <c r="O571" s="5"/>
    </row>
    <row r="572" spans="1:15" ht="21" customHeight="1" x14ac:dyDescent="0.2">
      <c r="A572" s="5"/>
      <c r="B572" s="5"/>
      <c r="C572" s="59"/>
      <c r="D572" s="59"/>
      <c r="E572" s="63"/>
      <c r="F572" s="59"/>
      <c r="I572" s="5"/>
      <c r="J572" s="5"/>
      <c r="K572" s="5"/>
      <c r="O572" s="5"/>
    </row>
    <row r="573" spans="1:15" ht="21" customHeight="1" x14ac:dyDescent="0.2">
      <c r="A573" s="5"/>
      <c r="B573" s="5"/>
      <c r="C573" s="59"/>
      <c r="D573" s="59"/>
      <c r="E573" s="63"/>
      <c r="F573" s="59"/>
      <c r="I573" s="5"/>
      <c r="J573" s="5"/>
      <c r="K573" s="5"/>
      <c r="O573" s="5"/>
    </row>
    <row r="574" spans="1:15" ht="21" customHeight="1" x14ac:dyDescent="0.2">
      <c r="A574" s="5"/>
      <c r="B574" s="5"/>
      <c r="C574" s="59"/>
      <c r="D574" s="59"/>
      <c r="E574" s="63"/>
      <c r="F574" s="59"/>
      <c r="I574" s="5"/>
      <c r="J574" s="5"/>
      <c r="K574" s="5"/>
      <c r="O574" s="5"/>
    </row>
    <row r="575" spans="1:15" ht="21" customHeight="1" x14ac:dyDescent="0.2">
      <c r="A575" s="5"/>
      <c r="B575" s="5"/>
      <c r="C575" s="59"/>
      <c r="D575" s="59"/>
      <c r="E575" s="63"/>
      <c r="F575" s="59"/>
      <c r="I575" s="5"/>
      <c r="J575" s="5"/>
      <c r="K575" s="5"/>
      <c r="O575" s="5"/>
    </row>
    <row r="576" spans="1:15" ht="21" customHeight="1" x14ac:dyDescent="0.2">
      <c r="A576" s="5"/>
      <c r="B576" s="5"/>
      <c r="C576" s="59"/>
      <c r="D576" s="59"/>
      <c r="E576" s="63"/>
      <c r="F576" s="59"/>
      <c r="I576" s="5"/>
      <c r="J576" s="5"/>
      <c r="K576" s="5"/>
      <c r="O576" s="5"/>
    </row>
    <row r="577" spans="1:15" ht="21" customHeight="1" x14ac:dyDescent="0.2">
      <c r="A577" s="5"/>
      <c r="B577" s="5"/>
      <c r="C577" s="59"/>
      <c r="D577" s="59"/>
      <c r="E577" s="63"/>
      <c r="F577" s="59"/>
      <c r="I577" s="5"/>
      <c r="J577" s="5"/>
      <c r="K577" s="5"/>
      <c r="O577" s="5"/>
    </row>
    <row r="578" spans="1:15" ht="21" customHeight="1" x14ac:dyDescent="0.2">
      <c r="A578" s="5"/>
      <c r="B578" s="5"/>
      <c r="C578" s="59"/>
      <c r="D578" s="59"/>
      <c r="E578" s="63"/>
      <c r="F578" s="59"/>
      <c r="I578" s="5"/>
      <c r="J578" s="5"/>
      <c r="K578" s="5"/>
      <c r="O578" s="5"/>
    </row>
    <row r="579" spans="1:15" ht="21" customHeight="1" x14ac:dyDescent="0.2">
      <c r="A579" s="5"/>
      <c r="B579" s="5"/>
      <c r="C579" s="59"/>
      <c r="D579" s="59"/>
      <c r="E579" s="63"/>
      <c r="F579" s="59"/>
      <c r="I579" s="5"/>
      <c r="J579" s="5"/>
      <c r="K579" s="5"/>
      <c r="O579" s="5"/>
    </row>
    <row r="580" spans="1:15" ht="21" customHeight="1" x14ac:dyDescent="0.2">
      <c r="A580" s="5"/>
      <c r="B580" s="5"/>
      <c r="C580" s="59"/>
      <c r="D580" s="59"/>
      <c r="E580" s="63"/>
      <c r="F580" s="59"/>
      <c r="I580" s="5"/>
      <c r="J580" s="5"/>
      <c r="K580" s="5"/>
      <c r="O580" s="5"/>
    </row>
    <row r="581" spans="1:15" ht="21" customHeight="1" x14ac:dyDescent="0.2">
      <c r="A581" s="5"/>
      <c r="B581" s="5"/>
      <c r="C581" s="59"/>
      <c r="D581" s="59"/>
      <c r="E581" s="63"/>
      <c r="F581" s="59"/>
      <c r="I581" s="5"/>
      <c r="J581" s="5"/>
      <c r="K581" s="5"/>
      <c r="O581" s="5"/>
    </row>
    <row r="582" spans="1:15" ht="21" customHeight="1" x14ac:dyDescent="0.2">
      <c r="A582" s="5"/>
      <c r="B582" s="5"/>
      <c r="C582" s="59"/>
      <c r="D582" s="59"/>
      <c r="E582" s="63"/>
      <c r="F582" s="59"/>
      <c r="I582" s="5"/>
      <c r="J582" s="5"/>
      <c r="K582" s="5"/>
      <c r="O582" s="5"/>
    </row>
    <row r="583" spans="1:15" ht="21" customHeight="1" x14ac:dyDescent="0.2">
      <c r="A583" s="5"/>
      <c r="B583" s="5"/>
      <c r="C583" s="59"/>
      <c r="D583" s="59"/>
      <c r="E583" s="63"/>
      <c r="F583" s="59"/>
      <c r="I583" s="5"/>
      <c r="J583" s="5"/>
      <c r="K583" s="5"/>
      <c r="O583" s="5"/>
    </row>
    <row r="584" spans="1:15" ht="21" customHeight="1" x14ac:dyDescent="0.2">
      <c r="A584" s="5"/>
      <c r="B584" s="5"/>
      <c r="C584" s="59"/>
      <c r="D584" s="59"/>
      <c r="E584" s="63"/>
      <c r="F584" s="59"/>
      <c r="I584" s="5"/>
      <c r="J584" s="5"/>
      <c r="K584" s="5"/>
      <c r="O584" s="5"/>
    </row>
    <row r="585" spans="1:15" ht="21" customHeight="1" x14ac:dyDescent="0.2">
      <c r="A585" s="5"/>
      <c r="B585" s="5"/>
      <c r="C585" s="59"/>
      <c r="D585" s="59"/>
      <c r="E585" s="63"/>
      <c r="F585" s="59"/>
      <c r="I585" s="5"/>
      <c r="J585" s="5"/>
      <c r="K585" s="5"/>
      <c r="O585" s="5"/>
    </row>
    <row r="586" spans="1:15" ht="21" customHeight="1" x14ac:dyDescent="0.2">
      <c r="A586" s="5"/>
      <c r="B586" s="5"/>
      <c r="C586" s="59"/>
      <c r="D586" s="59"/>
      <c r="E586" s="63"/>
      <c r="F586" s="59"/>
      <c r="I586" s="5"/>
      <c r="J586" s="5"/>
      <c r="K586" s="5"/>
      <c r="O586" s="5"/>
    </row>
    <row r="587" spans="1:15" ht="21" customHeight="1" x14ac:dyDescent="0.2">
      <c r="A587" s="5"/>
      <c r="B587" s="5"/>
      <c r="C587" s="59"/>
      <c r="D587" s="59"/>
      <c r="E587" s="63"/>
      <c r="F587" s="59"/>
      <c r="I587" s="5"/>
      <c r="J587" s="5"/>
      <c r="K587" s="5"/>
      <c r="O587" s="5"/>
    </row>
    <row r="588" spans="1:15" ht="21" customHeight="1" x14ac:dyDescent="0.2">
      <c r="A588" s="5"/>
      <c r="B588" s="5"/>
      <c r="C588" s="59"/>
      <c r="D588" s="59"/>
      <c r="E588" s="63"/>
      <c r="F588" s="59"/>
      <c r="I588" s="5"/>
      <c r="J588" s="5"/>
      <c r="K588" s="5"/>
      <c r="O588" s="5"/>
    </row>
    <row r="589" spans="1:15" ht="21" customHeight="1" x14ac:dyDescent="0.2">
      <c r="A589" s="5"/>
      <c r="B589" s="5"/>
      <c r="C589" s="59"/>
      <c r="D589" s="59"/>
      <c r="E589" s="63"/>
      <c r="F589" s="59"/>
      <c r="I589" s="5"/>
      <c r="J589" s="5"/>
      <c r="K589" s="5"/>
      <c r="O589" s="5"/>
    </row>
    <row r="590" spans="1:15" ht="21" customHeight="1" x14ac:dyDescent="0.2">
      <c r="A590" s="5"/>
      <c r="B590" s="5"/>
      <c r="C590" s="59"/>
      <c r="D590" s="59"/>
      <c r="E590" s="63"/>
      <c r="F590" s="59"/>
      <c r="I590" s="5"/>
      <c r="J590" s="5"/>
      <c r="K590" s="5"/>
      <c r="O590" s="5"/>
    </row>
    <row r="591" spans="1:15" ht="21" customHeight="1" x14ac:dyDescent="0.2">
      <c r="A591" s="5"/>
      <c r="B591" s="5"/>
      <c r="C591" s="59"/>
      <c r="D591" s="59"/>
      <c r="E591" s="63"/>
      <c r="F591" s="59"/>
      <c r="I591" s="5"/>
      <c r="J591" s="5"/>
      <c r="K591" s="5"/>
      <c r="O591" s="5"/>
    </row>
    <row r="592" spans="1:15" ht="21" customHeight="1" x14ac:dyDescent="0.2">
      <c r="A592" s="5"/>
      <c r="B592" s="5"/>
      <c r="C592" s="59"/>
      <c r="D592" s="59"/>
      <c r="E592" s="63"/>
      <c r="F592" s="59"/>
      <c r="I592" s="5"/>
      <c r="J592" s="5"/>
      <c r="K592" s="5"/>
      <c r="O592" s="5"/>
    </row>
    <row r="593" spans="1:15" ht="21" customHeight="1" x14ac:dyDescent="0.2">
      <c r="A593" s="5"/>
      <c r="B593" s="5"/>
      <c r="C593" s="59"/>
      <c r="D593" s="59"/>
      <c r="E593" s="63"/>
      <c r="F593" s="59"/>
      <c r="I593" s="5"/>
      <c r="J593" s="5"/>
      <c r="K593" s="5"/>
      <c r="O593" s="5"/>
    </row>
    <row r="594" spans="1:15" ht="21" customHeight="1" x14ac:dyDescent="0.2">
      <c r="A594" s="5"/>
      <c r="B594" s="5"/>
      <c r="C594" s="59"/>
      <c r="D594" s="59"/>
      <c r="E594" s="63"/>
      <c r="F594" s="59"/>
      <c r="I594" s="5"/>
      <c r="J594" s="5"/>
      <c r="K594" s="5"/>
      <c r="O594" s="5"/>
    </row>
    <row r="595" spans="1:15" ht="21" customHeight="1" x14ac:dyDescent="0.2">
      <c r="A595" s="5"/>
      <c r="B595" s="5"/>
      <c r="C595" s="59"/>
      <c r="D595" s="59"/>
      <c r="E595" s="63"/>
      <c r="F595" s="59"/>
      <c r="I595" s="5"/>
      <c r="J595" s="5"/>
      <c r="K595" s="5"/>
      <c r="O595" s="5"/>
    </row>
    <row r="596" spans="1:15" ht="21" customHeight="1" x14ac:dyDescent="0.2">
      <c r="A596" s="5"/>
      <c r="B596" s="5"/>
      <c r="C596" s="59"/>
      <c r="D596" s="59"/>
      <c r="E596" s="63"/>
      <c r="F596" s="59"/>
      <c r="I596" s="5"/>
      <c r="J596" s="5"/>
      <c r="K596" s="5"/>
      <c r="O596" s="5"/>
    </row>
    <row r="597" spans="1:15" ht="21" customHeight="1" x14ac:dyDescent="0.2">
      <c r="A597" s="5"/>
      <c r="B597" s="5"/>
      <c r="C597" s="59"/>
      <c r="D597" s="59"/>
      <c r="E597" s="63"/>
      <c r="F597" s="59"/>
      <c r="I597" s="5"/>
      <c r="J597" s="5"/>
      <c r="K597" s="5"/>
      <c r="O597" s="5"/>
    </row>
    <row r="598" spans="1:15" ht="21" customHeight="1" x14ac:dyDescent="0.2">
      <c r="A598" s="5"/>
      <c r="B598" s="5"/>
      <c r="C598" s="59"/>
      <c r="D598" s="59"/>
      <c r="E598" s="63"/>
      <c r="F598" s="59"/>
      <c r="I598" s="5"/>
      <c r="J598" s="5"/>
      <c r="K598" s="5"/>
      <c r="O598" s="5"/>
    </row>
    <row r="599" spans="1:15" ht="21" customHeight="1" x14ac:dyDescent="0.2">
      <c r="A599" s="5"/>
      <c r="B599" s="5"/>
      <c r="C599" s="59"/>
      <c r="D599" s="59"/>
      <c r="E599" s="63"/>
      <c r="F599" s="59"/>
      <c r="I599" s="5"/>
      <c r="J599" s="5"/>
      <c r="K599" s="5"/>
      <c r="O599" s="5"/>
    </row>
    <row r="600" spans="1:15" ht="21" customHeight="1" x14ac:dyDescent="0.2">
      <c r="A600" s="5"/>
      <c r="B600" s="5"/>
      <c r="C600" s="59"/>
      <c r="D600" s="59"/>
      <c r="E600" s="63"/>
      <c r="F600" s="59"/>
      <c r="I600" s="5"/>
      <c r="J600" s="5"/>
      <c r="K600" s="5"/>
      <c r="O600" s="5"/>
    </row>
    <row r="601" spans="1:15" ht="21" customHeight="1" x14ac:dyDescent="0.2">
      <c r="A601" s="5"/>
      <c r="B601" s="5"/>
      <c r="C601" s="59"/>
      <c r="D601" s="59"/>
      <c r="E601" s="63"/>
      <c r="F601" s="59"/>
      <c r="I601" s="5"/>
      <c r="J601" s="5"/>
      <c r="K601" s="5"/>
      <c r="O601" s="5"/>
    </row>
    <row r="602" spans="1:15" ht="21" customHeight="1" x14ac:dyDescent="0.2">
      <c r="A602" s="5"/>
      <c r="B602" s="5"/>
      <c r="C602" s="59"/>
      <c r="D602" s="59"/>
      <c r="E602" s="63"/>
      <c r="F602" s="59"/>
      <c r="I602" s="5"/>
      <c r="J602" s="5"/>
      <c r="K602" s="5"/>
      <c r="O602" s="5"/>
    </row>
    <row r="603" spans="1:15" ht="21" customHeight="1" x14ac:dyDescent="0.2">
      <c r="A603" s="5"/>
      <c r="B603" s="5"/>
      <c r="C603" s="59"/>
      <c r="D603" s="59"/>
      <c r="E603" s="63"/>
      <c r="F603" s="59"/>
      <c r="I603" s="5"/>
      <c r="J603" s="5"/>
      <c r="K603" s="5"/>
      <c r="O603" s="5"/>
    </row>
    <row r="604" spans="1:15" ht="21" customHeight="1" x14ac:dyDescent="0.2">
      <c r="A604" s="5"/>
      <c r="B604" s="5"/>
      <c r="C604" s="59"/>
      <c r="D604" s="59"/>
      <c r="E604" s="63"/>
      <c r="F604" s="59"/>
      <c r="I604" s="5"/>
      <c r="J604" s="5"/>
      <c r="K604" s="5"/>
      <c r="O604" s="5"/>
    </row>
    <row r="605" spans="1:15" ht="21" customHeight="1" x14ac:dyDescent="0.2">
      <c r="A605" s="5"/>
      <c r="B605" s="5"/>
      <c r="C605" s="59"/>
      <c r="D605" s="59"/>
      <c r="E605" s="63"/>
      <c r="F605" s="59"/>
      <c r="I605" s="5"/>
      <c r="J605" s="5"/>
      <c r="K605" s="5"/>
      <c r="O605" s="5"/>
    </row>
    <row r="606" spans="1:15" ht="21" customHeight="1" x14ac:dyDescent="0.2">
      <c r="A606" s="5"/>
      <c r="B606" s="5"/>
      <c r="C606" s="59"/>
      <c r="D606" s="59"/>
      <c r="E606" s="63"/>
      <c r="F606" s="59"/>
      <c r="I606" s="5"/>
      <c r="J606" s="5"/>
      <c r="K606" s="5"/>
      <c r="O606" s="5"/>
    </row>
    <row r="607" spans="1:15" ht="21" customHeight="1" x14ac:dyDescent="0.2">
      <c r="A607" s="5"/>
      <c r="B607" s="5"/>
      <c r="C607" s="59"/>
      <c r="D607" s="59"/>
      <c r="E607" s="63"/>
      <c r="F607" s="59"/>
      <c r="I607" s="5"/>
      <c r="J607" s="5"/>
      <c r="K607" s="5"/>
      <c r="O607" s="5"/>
    </row>
    <row r="608" spans="1:15" ht="21" customHeight="1" x14ac:dyDescent="0.2">
      <c r="A608" s="5"/>
      <c r="B608" s="5"/>
      <c r="C608" s="59"/>
      <c r="D608" s="59"/>
      <c r="E608" s="63"/>
      <c r="F608" s="59"/>
      <c r="I608" s="5"/>
      <c r="J608" s="5"/>
      <c r="K608" s="5"/>
      <c r="O608" s="5"/>
    </row>
    <row r="609" spans="1:15" ht="21" customHeight="1" x14ac:dyDescent="0.2">
      <c r="A609" s="5"/>
      <c r="B609" s="5"/>
      <c r="C609" s="59"/>
      <c r="D609" s="59"/>
      <c r="E609" s="63"/>
      <c r="F609" s="59"/>
      <c r="I609" s="5"/>
      <c r="J609" s="5"/>
      <c r="K609" s="5"/>
      <c r="O609" s="5"/>
    </row>
    <row r="610" spans="1:15" ht="21" customHeight="1" x14ac:dyDescent="0.2">
      <c r="A610" s="5"/>
      <c r="B610" s="5"/>
      <c r="C610" s="59"/>
      <c r="D610" s="59"/>
      <c r="E610" s="63"/>
      <c r="F610" s="59"/>
      <c r="I610" s="5"/>
      <c r="J610" s="5"/>
      <c r="K610" s="5"/>
      <c r="O610" s="5"/>
    </row>
    <row r="611" spans="1:15" ht="21" customHeight="1" x14ac:dyDescent="0.2">
      <c r="A611" s="5"/>
      <c r="B611" s="5"/>
      <c r="C611" s="59"/>
      <c r="D611" s="59"/>
      <c r="E611" s="63"/>
      <c r="F611" s="59"/>
      <c r="I611" s="5"/>
      <c r="J611" s="5"/>
      <c r="K611" s="5"/>
      <c r="O611" s="5"/>
    </row>
    <row r="612" spans="1:15" ht="21" customHeight="1" x14ac:dyDescent="0.2">
      <c r="A612" s="5"/>
      <c r="B612" s="5"/>
      <c r="C612" s="59"/>
      <c r="D612" s="59"/>
      <c r="E612" s="63"/>
      <c r="F612" s="59"/>
      <c r="I612" s="5"/>
      <c r="J612" s="5"/>
      <c r="K612" s="5"/>
      <c r="O612" s="5"/>
    </row>
    <row r="613" spans="1:15" ht="21" customHeight="1" x14ac:dyDescent="0.2">
      <c r="A613" s="5"/>
      <c r="B613" s="5"/>
      <c r="C613" s="59"/>
      <c r="D613" s="59"/>
      <c r="E613" s="63"/>
      <c r="F613" s="59"/>
      <c r="I613" s="5"/>
      <c r="J613" s="5"/>
      <c r="K613" s="5"/>
      <c r="O613" s="5"/>
    </row>
    <row r="614" spans="1:15" ht="21" customHeight="1" x14ac:dyDescent="0.2">
      <c r="A614" s="5"/>
      <c r="B614" s="5"/>
      <c r="C614" s="59"/>
      <c r="D614" s="59"/>
      <c r="E614" s="63"/>
      <c r="F614" s="59"/>
      <c r="I614" s="5"/>
      <c r="J614" s="5"/>
      <c r="K614" s="5"/>
      <c r="O614" s="5"/>
    </row>
    <row r="615" spans="1:15" ht="21" customHeight="1" x14ac:dyDescent="0.2">
      <c r="A615" s="5"/>
      <c r="B615" s="5"/>
      <c r="C615" s="59"/>
      <c r="D615" s="59"/>
      <c r="E615" s="63"/>
      <c r="F615" s="59"/>
      <c r="I615" s="5"/>
      <c r="J615" s="5"/>
      <c r="K615" s="5"/>
      <c r="O615" s="5"/>
    </row>
    <row r="616" spans="1:15" ht="21" customHeight="1" x14ac:dyDescent="0.2">
      <c r="A616" s="5"/>
      <c r="B616" s="5"/>
      <c r="C616" s="59"/>
      <c r="D616" s="59"/>
      <c r="E616" s="63"/>
      <c r="F616" s="59"/>
      <c r="I616" s="5"/>
      <c r="J616" s="5"/>
      <c r="K616" s="5"/>
      <c r="O616" s="5"/>
    </row>
    <row r="617" spans="1:15" ht="21" customHeight="1" x14ac:dyDescent="0.2">
      <c r="A617" s="5"/>
      <c r="B617" s="5"/>
      <c r="C617" s="59"/>
      <c r="D617" s="59"/>
      <c r="E617" s="63"/>
      <c r="F617" s="59"/>
      <c r="I617" s="5"/>
      <c r="J617" s="5"/>
      <c r="K617" s="5"/>
      <c r="O617" s="5"/>
    </row>
    <row r="618" spans="1:15" ht="21" customHeight="1" x14ac:dyDescent="0.2">
      <c r="A618" s="5"/>
      <c r="B618" s="5"/>
      <c r="C618" s="59"/>
      <c r="D618" s="59"/>
      <c r="E618" s="63"/>
      <c r="F618" s="59"/>
      <c r="I618" s="5"/>
      <c r="J618" s="5"/>
      <c r="K618" s="5"/>
      <c r="O618" s="5"/>
    </row>
    <row r="619" spans="1:15" ht="21" customHeight="1" x14ac:dyDescent="0.2">
      <c r="A619" s="5"/>
      <c r="B619" s="5"/>
      <c r="C619" s="59"/>
      <c r="D619" s="59"/>
      <c r="E619" s="63"/>
      <c r="F619" s="59"/>
      <c r="I619" s="5"/>
      <c r="J619" s="5"/>
      <c r="K619" s="5"/>
      <c r="O619" s="5"/>
    </row>
    <row r="620" spans="1:15" ht="21" customHeight="1" x14ac:dyDescent="0.2">
      <c r="A620" s="5"/>
      <c r="B620" s="5"/>
      <c r="C620" s="59"/>
      <c r="D620" s="59"/>
      <c r="E620" s="63"/>
      <c r="F620" s="59"/>
      <c r="I620" s="5"/>
      <c r="J620" s="5"/>
      <c r="K620" s="5"/>
      <c r="O620" s="5"/>
    </row>
    <row r="621" spans="1:15" ht="21" customHeight="1" x14ac:dyDescent="0.2">
      <c r="A621" s="5"/>
      <c r="B621" s="5"/>
      <c r="C621" s="59"/>
      <c r="D621" s="59"/>
      <c r="E621" s="63"/>
      <c r="F621" s="59"/>
      <c r="I621" s="5"/>
      <c r="J621" s="5"/>
      <c r="K621" s="5"/>
      <c r="O621" s="5"/>
    </row>
    <row r="622" spans="1:15" ht="21" customHeight="1" x14ac:dyDescent="0.2">
      <c r="A622" s="5"/>
      <c r="B622" s="5"/>
      <c r="C622" s="59"/>
      <c r="D622" s="59"/>
      <c r="E622" s="63"/>
      <c r="F622" s="59"/>
      <c r="I622" s="5"/>
      <c r="J622" s="5"/>
      <c r="K622" s="5"/>
      <c r="O622" s="5"/>
    </row>
    <row r="623" spans="1:15" ht="21" customHeight="1" x14ac:dyDescent="0.2">
      <c r="A623" s="5"/>
      <c r="B623" s="5"/>
      <c r="C623" s="59"/>
      <c r="D623" s="59"/>
      <c r="E623" s="63"/>
      <c r="F623" s="59"/>
      <c r="I623" s="5"/>
      <c r="J623" s="5"/>
      <c r="K623" s="5"/>
      <c r="O623" s="5"/>
    </row>
    <row r="624" spans="1:15" ht="21" customHeight="1" x14ac:dyDescent="0.2">
      <c r="A624" s="5"/>
      <c r="B624" s="5"/>
      <c r="C624" s="59"/>
      <c r="D624" s="59"/>
      <c r="E624" s="63"/>
      <c r="F624" s="59"/>
      <c r="I624" s="5"/>
      <c r="J624" s="5"/>
      <c r="K624" s="5"/>
      <c r="O624" s="5"/>
    </row>
    <row r="625" spans="1:15" ht="21" customHeight="1" x14ac:dyDescent="0.2">
      <c r="A625" s="5"/>
      <c r="B625" s="5"/>
      <c r="C625" s="59"/>
      <c r="D625" s="59"/>
      <c r="E625" s="63"/>
      <c r="F625" s="59"/>
      <c r="I625" s="5"/>
      <c r="J625" s="5"/>
      <c r="K625" s="5"/>
      <c r="O625" s="5"/>
    </row>
    <row r="626" spans="1:15" ht="21" customHeight="1" x14ac:dyDescent="0.2">
      <c r="A626" s="5"/>
      <c r="B626" s="5"/>
      <c r="C626" s="59"/>
      <c r="D626" s="59"/>
      <c r="E626" s="63"/>
      <c r="F626" s="59"/>
      <c r="I626" s="5"/>
      <c r="J626" s="5"/>
      <c r="K626" s="5"/>
      <c r="O626" s="5"/>
    </row>
    <row r="627" spans="1:15" ht="21" customHeight="1" x14ac:dyDescent="0.2">
      <c r="A627" s="5"/>
      <c r="B627" s="5"/>
      <c r="C627" s="59"/>
      <c r="D627" s="59"/>
      <c r="E627" s="63"/>
      <c r="F627" s="59"/>
      <c r="I627" s="5"/>
      <c r="J627" s="5"/>
      <c r="K627" s="5"/>
      <c r="O627" s="5"/>
    </row>
    <row r="628" spans="1:15" ht="21" customHeight="1" x14ac:dyDescent="0.2">
      <c r="A628" s="5"/>
      <c r="B628" s="5"/>
      <c r="C628" s="59"/>
      <c r="D628" s="59"/>
      <c r="E628" s="63"/>
      <c r="F628" s="59"/>
      <c r="I628" s="5"/>
      <c r="J628" s="5"/>
      <c r="K628" s="5"/>
      <c r="O628" s="5"/>
    </row>
    <row r="629" spans="1:15" ht="21" customHeight="1" x14ac:dyDescent="0.2">
      <c r="A629" s="5"/>
      <c r="B629" s="5"/>
      <c r="C629" s="59"/>
      <c r="D629" s="59"/>
      <c r="E629" s="63"/>
      <c r="F629" s="59"/>
      <c r="I629" s="5"/>
      <c r="J629" s="5"/>
      <c r="K629" s="5"/>
      <c r="O629" s="5"/>
    </row>
    <row r="630" spans="1:15" ht="21" customHeight="1" x14ac:dyDescent="0.2">
      <c r="A630" s="5"/>
      <c r="B630" s="5"/>
      <c r="C630" s="59"/>
      <c r="D630" s="59"/>
      <c r="E630" s="63"/>
      <c r="F630" s="59"/>
      <c r="I630" s="5"/>
      <c r="J630" s="5"/>
      <c r="K630" s="5"/>
      <c r="O630" s="5"/>
    </row>
    <row r="631" spans="1:15" ht="21" customHeight="1" x14ac:dyDescent="0.2">
      <c r="A631" s="5"/>
      <c r="B631" s="5"/>
      <c r="C631" s="59"/>
      <c r="D631" s="59"/>
      <c r="E631" s="63"/>
      <c r="F631" s="59"/>
      <c r="I631" s="5"/>
      <c r="J631" s="5"/>
      <c r="K631" s="5"/>
      <c r="O631" s="5"/>
    </row>
    <row r="632" spans="1:15" ht="21" customHeight="1" x14ac:dyDescent="0.2">
      <c r="A632" s="5"/>
      <c r="B632" s="5"/>
      <c r="C632" s="59"/>
      <c r="D632" s="59"/>
      <c r="E632" s="63"/>
      <c r="F632" s="59"/>
      <c r="I632" s="5"/>
      <c r="J632" s="5"/>
      <c r="K632" s="5"/>
      <c r="O632" s="5"/>
    </row>
    <row r="633" spans="1:15" ht="21" customHeight="1" x14ac:dyDescent="0.2">
      <c r="A633" s="5"/>
      <c r="B633" s="5"/>
      <c r="C633" s="59"/>
      <c r="D633" s="59"/>
      <c r="E633" s="63"/>
      <c r="F633" s="59"/>
      <c r="I633" s="5"/>
      <c r="J633" s="5"/>
      <c r="K633" s="5"/>
      <c r="O633" s="5"/>
    </row>
    <row r="634" spans="1:15" ht="21" customHeight="1" x14ac:dyDescent="0.2">
      <c r="A634" s="5"/>
      <c r="B634" s="5"/>
      <c r="C634" s="59"/>
      <c r="D634" s="59"/>
      <c r="E634" s="63"/>
      <c r="F634" s="59"/>
      <c r="I634" s="5"/>
      <c r="J634" s="5"/>
      <c r="K634" s="5"/>
      <c r="O634" s="5"/>
    </row>
    <row r="635" spans="1:15" ht="21" customHeight="1" x14ac:dyDescent="0.2">
      <c r="A635" s="5"/>
      <c r="B635" s="5"/>
      <c r="C635" s="59"/>
      <c r="D635" s="59"/>
      <c r="E635" s="63"/>
      <c r="F635" s="59"/>
      <c r="I635" s="5"/>
      <c r="J635" s="5"/>
      <c r="K635" s="5"/>
      <c r="O635" s="5"/>
    </row>
    <row r="636" spans="1:15" ht="21" customHeight="1" x14ac:dyDescent="0.2">
      <c r="A636" s="5"/>
      <c r="B636" s="5"/>
      <c r="C636" s="59"/>
      <c r="D636" s="59"/>
      <c r="E636" s="63"/>
      <c r="F636" s="59"/>
      <c r="I636" s="5"/>
      <c r="J636" s="5"/>
      <c r="K636" s="5"/>
      <c r="O636" s="5"/>
    </row>
    <row r="637" spans="1:15" ht="21" customHeight="1" x14ac:dyDescent="0.2">
      <c r="A637" s="5"/>
      <c r="B637" s="5"/>
      <c r="C637" s="59"/>
      <c r="D637" s="59"/>
      <c r="E637" s="63"/>
      <c r="F637" s="59"/>
      <c r="I637" s="5"/>
      <c r="J637" s="5"/>
      <c r="K637" s="5"/>
      <c r="O637" s="5"/>
    </row>
    <row r="638" spans="1:15" ht="21" customHeight="1" x14ac:dyDescent="0.2">
      <c r="A638" s="5"/>
      <c r="B638" s="5"/>
      <c r="C638" s="59"/>
      <c r="D638" s="59"/>
      <c r="E638" s="63"/>
      <c r="F638" s="59"/>
      <c r="I638" s="5"/>
      <c r="J638" s="5"/>
      <c r="K638" s="5"/>
      <c r="O638" s="5"/>
    </row>
    <row r="639" spans="1:15" ht="21" customHeight="1" x14ac:dyDescent="0.2">
      <c r="A639" s="5"/>
      <c r="B639" s="5"/>
      <c r="C639" s="59"/>
      <c r="D639" s="59"/>
      <c r="E639" s="63"/>
      <c r="F639" s="59"/>
      <c r="I639" s="5"/>
      <c r="J639" s="5"/>
      <c r="K639" s="5"/>
      <c r="O639" s="5"/>
    </row>
    <row r="640" spans="1:15" ht="21" customHeight="1" x14ac:dyDescent="0.2">
      <c r="A640" s="5"/>
      <c r="B640" s="5"/>
      <c r="C640" s="59"/>
      <c r="D640" s="59"/>
      <c r="E640" s="63"/>
      <c r="F640" s="59"/>
      <c r="I640" s="5"/>
      <c r="J640" s="5"/>
      <c r="K640" s="5"/>
      <c r="O640" s="5"/>
    </row>
    <row r="641" spans="1:15" ht="21" customHeight="1" x14ac:dyDescent="0.2">
      <c r="A641" s="5"/>
      <c r="B641" s="5"/>
      <c r="C641" s="59"/>
      <c r="D641" s="59"/>
      <c r="E641" s="63"/>
      <c r="F641" s="59"/>
      <c r="I641" s="5"/>
      <c r="J641" s="5"/>
      <c r="K641" s="5"/>
      <c r="O641" s="5"/>
    </row>
    <row r="642" spans="1:15" ht="21" customHeight="1" x14ac:dyDescent="0.2">
      <c r="A642" s="5"/>
      <c r="B642" s="5"/>
      <c r="C642" s="59"/>
      <c r="D642" s="59"/>
      <c r="E642" s="63"/>
      <c r="F642" s="59"/>
      <c r="I642" s="5"/>
      <c r="J642" s="5"/>
      <c r="K642" s="5"/>
      <c r="O642" s="5"/>
    </row>
    <row r="643" spans="1:15" ht="21" customHeight="1" x14ac:dyDescent="0.2">
      <c r="A643" s="5"/>
      <c r="B643" s="5"/>
      <c r="C643" s="59"/>
      <c r="D643" s="59"/>
      <c r="E643" s="63"/>
      <c r="F643" s="59"/>
      <c r="I643" s="5"/>
      <c r="J643" s="5"/>
      <c r="K643" s="5"/>
      <c r="O643" s="5"/>
    </row>
    <row r="644" spans="1:15" ht="21" customHeight="1" x14ac:dyDescent="0.2">
      <c r="A644" s="5"/>
      <c r="B644" s="5"/>
      <c r="C644" s="59"/>
      <c r="D644" s="59"/>
      <c r="E644" s="63"/>
      <c r="F644" s="59"/>
      <c r="I644" s="5"/>
      <c r="J644" s="5"/>
      <c r="K644" s="5"/>
      <c r="O644" s="5"/>
    </row>
    <row r="645" spans="1:15" ht="21" customHeight="1" x14ac:dyDescent="0.2">
      <c r="A645" s="5"/>
      <c r="B645" s="5"/>
      <c r="C645" s="59"/>
      <c r="D645" s="59"/>
      <c r="E645" s="63"/>
      <c r="F645" s="59"/>
      <c r="I645" s="5"/>
      <c r="J645" s="5"/>
      <c r="K645" s="5"/>
      <c r="O645" s="5"/>
    </row>
    <row r="646" spans="1:15" ht="21" customHeight="1" x14ac:dyDescent="0.2">
      <c r="A646" s="5"/>
      <c r="B646" s="5"/>
      <c r="C646" s="59"/>
      <c r="D646" s="59"/>
      <c r="E646" s="63"/>
      <c r="F646" s="59"/>
      <c r="I646" s="5"/>
      <c r="J646" s="5"/>
      <c r="K646" s="5"/>
      <c r="O646" s="5"/>
    </row>
    <row r="647" spans="1:15" ht="21" customHeight="1" x14ac:dyDescent="0.2">
      <c r="A647" s="5"/>
      <c r="B647" s="5"/>
      <c r="C647" s="59"/>
      <c r="D647" s="59"/>
      <c r="E647" s="63"/>
      <c r="F647" s="59"/>
      <c r="I647" s="5"/>
      <c r="J647" s="5"/>
      <c r="K647" s="5"/>
      <c r="O647" s="5"/>
    </row>
    <row r="648" spans="1:15" ht="21" customHeight="1" x14ac:dyDescent="0.2">
      <c r="A648" s="5"/>
      <c r="B648" s="5"/>
      <c r="C648" s="59"/>
      <c r="D648" s="59"/>
      <c r="E648" s="63"/>
      <c r="F648" s="59"/>
      <c r="I648" s="5"/>
      <c r="J648" s="5"/>
      <c r="K648" s="5"/>
      <c r="O648" s="5"/>
    </row>
    <row r="649" spans="1:15" ht="21" customHeight="1" x14ac:dyDescent="0.2">
      <c r="A649" s="5"/>
      <c r="B649" s="5"/>
      <c r="C649" s="59"/>
      <c r="D649" s="59"/>
      <c r="E649" s="63"/>
      <c r="F649" s="59"/>
      <c r="I649" s="5"/>
      <c r="J649" s="5"/>
      <c r="K649" s="5"/>
      <c r="O649" s="5"/>
    </row>
    <row r="650" spans="1:15" ht="21" customHeight="1" x14ac:dyDescent="0.2">
      <c r="A650" s="5"/>
      <c r="B650" s="5"/>
      <c r="C650" s="59"/>
      <c r="D650" s="59"/>
      <c r="E650" s="63"/>
      <c r="F650" s="59"/>
      <c r="I650" s="5"/>
      <c r="J650" s="5"/>
      <c r="K650" s="5"/>
      <c r="O650" s="5"/>
    </row>
    <row r="651" spans="1:15" ht="21" customHeight="1" x14ac:dyDescent="0.2">
      <c r="A651" s="5"/>
      <c r="B651" s="5"/>
      <c r="C651" s="59"/>
      <c r="D651" s="59"/>
      <c r="E651" s="63"/>
      <c r="F651" s="59"/>
      <c r="I651" s="5"/>
      <c r="J651" s="5"/>
      <c r="K651" s="5"/>
      <c r="O651" s="5"/>
    </row>
    <row r="652" spans="1:15" ht="21" customHeight="1" x14ac:dyDescent="0.2">
      <c r="A652" s="5"/>
      <c r="B652" s="5"/>
      <c r="C652" s="59"/>
      <c r="D652" s="59"/>
      <c r="E652" s="63"/>
      <c r="F652" s="59"/>
      <c r="I652" s="5"/>
      <c r="J652" s="5"/>
      <c r="K652" s="5"/>
      <c r="O652" s="5"/>
    </row>
    <row r="653" spans="1:15" ht="21" customHeight="1" x14ac:dyDescent="0.2">
      <c r="A653" s="5"/>
      <c r="B653" s="5"/>
      <c r="C653" s="59"/>
      <c r="D653" s="59"/>
      <c r="E653" s="63"/>
      <c r="F653" s="59"/>
      <c r="I653" s="5"/>
      <c r="J653" s="5"/>
      <c r="K653" s="5"/>
      <c r="O653" s="5"/>
    </row>
    <row r="654" spans="1:15" ht="21" customHeight="1" x14ac:dyDescent="0.2">
      <c r="A654" s="5"/>
      <c r="B654" s="5"/>
      <c r="C654" s="59"/>
      <c r="D654" s="59"/>
      <c r="E654" s="63"/>
      <c r="F654" s="59"/>
      <c r="I654" s="5"/>
      <c r="J654" s="5"/>
      <c r="K654" s="5"/>
      <c r="O654" s="5"/>
    </row>
    <row r="655" spans="1:15" ht="21" customHeight="1" x14ac:dyDescent="0.2">
      <c r="A655" s="5"/>
      <c r="B655" s="5"/>
      <c r="C655" s="59"/>
      <c r="D655" s="59"/>
      <c r="E655" s="63"/>
      <c r="F655" s="59"/>
      <c r="I655" s="5"/>
      <c r="J655" s="5"/>
      <c r="K655" s="5"/>
      <c r="O655" s="5"/>
    </row>
    <row r="656" spans="1:15" ht="21" customHeight="1" x14ac:dyDescent="0.2">
      <c r="A656" s="5"/>
      <c r="B656" s="5"/>
      <c r="C656" s="59"/>
      <c r="D656" s="59"/>
      <c r="E656" s="63"/>
      <c r="F656" s="59"/>
      <c r="I656" s="5"/>
      <c r="J656" s="5"/>
      <c r="K656" s="5"/>
      <c r="O656" s="5"/>
    </row>
    <row r="657" spans="1:15" ht="21" customHeight="1" x14ac:dyDescent="0.2">
      <c r="A657" s="5"/>
      <c r="B657" s="5"/>
      <c r="C657" s="59"/>
      <c r="D657" s="59"/>
      <c r="E657" s="63"/>
      <c r="F657" s="59"/>
      <c r="I657" s="5"/>
      <c r="J657" s="5"/>
      <c r="K657" s="5"/>
      <c r="O657" s="5"/>
    </row>
    <row r="658" spans="1:15" ht="21" customHeight="1" x14ac:dyDescent="0.2">
      <c r="A658" s="5"/>
      <c r="B658" s="5"/>
      <c r="C658" s="59"/>
      <c r="D658" s="59"/>
      <c r="E658" s="63"/>
      <c r="F658" s="59"/>
      <c r="I658" s="5"/>
      <c r="J658" s="5"/>
      <c r="K658" s="5"/>
      <c r="O658" s="5"/>
    </row>
    <row r="659" spans="1:15" ht="21" customHeight="1" x14ac:dyDescent="0.2">
      <c r="A659" s="5"/>
      <c r="B659" s="5"/>
      <c r="C659" s="59"/>
      <c r="D659" s="59"/>
      <c r="E659" s="63"/>
      <c r="F659" s="59"/>
      <c r="I659" s="5"/>
      <c r="J659" s="5"/>
      <c r="K659" s="5"/>
      <c r="O659" s="5"/>
    </row>
    <row r="660" spans="1:15" ht="21" customHeight="1" x14ac:dyDescent="0.2">
      <c r="A660" s="5"/>
      <c r="B660" s="5"/>
      <c r="C660" s="59"/>
      <c r="D660" s="59"/>
      <c r="E660" s="63"/>
      <c r="F660" s="59"/>
      <c r="I660" s="5"/>
      <c r="J660" s="5"/>
      <c r="K660" s="5"/>
      <c r="O660" s="5"/>
    </row>
    <row r="661" spans="1:15" ht="21" customHeight="1" x14ac:dyDescent="0.2">
      <c r="A661" s="5"/>
      <c r="B661" s="5"/>
      <c r="C661" s="59"/>
      <c r="D661" s="59"/>
      <c r="E661" s="63"/>
      <c r="F661" s="59"/>
      <c r="I661" s="5"/>
      <c r="J661" s="5"/>
      <c r="K661" s="5"/>
      <c r="O661" s="5"/>
    </row>
    <row r="662" spans="1:15" ht="21" customHeight="1" x14ac:dyDescent="0.2">
      <c r="A662" s="5"/>
      <c r="B662" s="5"/>
      <c r="C662" s="59"/>
      <c r="D662" s="59"/>
      <c r="E662" s="63"/>
      <c r="F662" s="59"/>
      <c r="I662" s="5"/>
      <c r="J662" s="5"/>
      <c r="K662" s="5"/>
      <c r="O662" s="5"/>
    </row>
    <row r="663" spans="1:15" ht="21" customHeight="1" x14ac:dyDescent="0.2">
      <c r="A663" s="5"/>
      <c r="B663" s="5"/>
      <c r="C663" s="59"/>
      <c r="D663" s="59"/>
      <c r="E663" s="63"/>
      <c r="F663" s="59"/>
      <c r="I663" s="5"/>
      <c r="J663" s="5"/>
      <c r="K663" s="5"/>
      <c r="O663" s="5"/>
    </row>
    <row r="664" spans="1:15" ht="21" customHeight="1" x14ac:dyDescent="0.2">
      <c r="A664" s="5"/>
      <c r="B664" s="5"/>
      <c r="C664" s="59"/>
      <c r="D664" s="59"/>
      <c r="E664" s="63"/>
      <c r="F664" s="59"/>
      <c r="I664" s="5"/>
      <c r="J664" s="5"/>
      <c r="K664" s="5"/>
      <c r="O664" s="5"/>
    </row>
    <row r="665" spans="1:15" ht="21" customHeight="1" x14ac:dyDescent="0.2">
      <c r="A665" s="5"/>
      <c r="B665" s="5"/>
      <c r="C665" s="59"/>
      <c r="D665" s="59"/>
      <c r="E665" s="63"/>
      <c r="F665" s="59"/>
      <c r="I665" s="5"/>
      <c r="J665" s="5"/>
      <c r="K665" s="5"/>
      <c r="O665" s="5"/>
    </row>
    <row r="666" spans="1:15" ht="21" customHeight="1" x14ac:dyDescent="0.2">
      <c r="A666" s="5"/>
      <c r="B666" s="5"/>
      <c r="C666" s="59"/>
      <c r="D666" s="59"/>
      <c r="E666" s="63"/>
      <c r="F666" s="59"/>
      <c r="I666" s="5"/>
      <c r="J666" s="5"/>
      <c r="K666" s="5"/>
      <c r="O666" s="5"/>
    </row>
    <row r="667" spans="1:15" ht="21" customHeight="1" x14ac:dyDescent="0.2">
      <c r="A667" s="5"/>
      <c r="B667" s="5"/>
      <c r="C667" s="59"/>
      <c r="D667" s="59"/>
      <c r="E667" s="63"/>
      <c r="F667" s="59"/>
      <c r="I667" s="5"/>
      <c r="J667" s="5"/>
      <c r="K667" s="5"/>
      <c r="O667" s="5"/>
    </row>
    <row r="668" spans="1:15" ht="21" customHeight="1" x14ac:dyDescent="0.2">
      <c r="A668" s="5"/>
      <c r="B668" s="5"/>
      <c r="C668" s="59"/>
      <c r="D668" s="59"/>
      <c r="E668" s="63"/>
      <c r="F668" s="59"/>
      <c r="I668" s="5"/>
      <c r="J668" s="5"/>
      <c r="K668" s="5"/>
      <c r="O668" s="5"/>
    </row>
    <row r="669" spans="1:15" ht="21" customHeight="1" x14ac:dyDescent="0.2">
      <c r="A669" s="5"/>
      <c r="B669" s="5"/>
      <c r="C669" s="59"/>
      <c r="D669" s="59"/>
      <c r="E669" s="63"/>
      <c r="F669" s="59"/>
      <c r="I669" s="5"/>
      <c r="J669" s="5"/>
      <c r="K669" s="5"/>
      <c r="O669" s="5"/>
    </row>
    <row r="670" spans="1:15" ht="21" customHeight="1" x14ac:dyDescent="0.2">
      <c r="A670" s="5"/>
      <c r="B670" s="5"/>
      <c r="C670" s="59"/>
      <c r="D670" s="59"/>
      <c r="E670" s="63"/>
      <c r="F670" s="59"/>
      <c r="I670" s="5"/>
      <c r="J670" s="5"/>
      <c r="K670" s="5"/>
      <c r="O670" s="5"/>
    </row>
    <row r="671" spans="1:15" ht="21" customHeight="1" x14ac:dyDescent="0.2">
      <c r="A671" s="5"/>
      <c r="B671" s="5"/>
      <c r="C671" s="59"/>
      <c r="D671" s="59"/>
      <c r="E671" s="63"/>
      <c r="F671" s="59"/>
      <c r="I671" s="5"/>
      <c r="J671" s="5"/>
      <c r="K671" s="5"/>
      <c r="O671" s="5"/>
    </row>
    <row r="672" spans="1:15" ht="21" customHeight="1" x14ac:dyDescent="0.2">
      <c r="A672" s="5"/>
      <c r="B672" s="5"/>
      <c r="C672" s="59"/>
      <c r="D672" s="59"/>
      <c r="E672" s="63"/>
      <c r="F672" s="59"/>
      <c r="I672" s="5"/>
      <c r="J672" s="5"/>
      <c r="K672" s="5"/>
      <c r="O672" s="5"/>
    </row>
    <row r="673" spans="1:15" ht="21" customHeight="1" x14ac:dyDescent="0.2">
      <c r="A673" s="5"/>
      <c r="B673" s="5"/>
      <c r="C673" s="59"/>
      <c r="D673" s="59"/>
      <c r="E673" s="63"/>
      <c r="F673" s="59"/>
      <c r="I673" s="5"/>
      <c r="J673" s="5"/>
      <c r="K673" s="5"/>
      <c r="O673" s="5"/>
    </row>
    <row r="674" spans="1:15" ht="21" customHeight="1" x14ac:dyDescent="0.2">
      <c r="A674" s="5"/>
      <c r="B674" s="5"/>
      <c r="C674" s="59"/>
      <c r="D674" s="59"/>
      <c r="E674" s="63"/>
      <c r="F674" s="59"/>
      <c r="I674" s="5"/>
      <c r="J674" s="5"/>
      <c r="K674" s="5"/>
      <c r="O674" s="5"/>
    </row>
    <row r="675" spans="1:15" ht="21" customHeight="1" x14ac:dyDescent="0.2">
      <c r="A675" s="5"/>
      <c r="B675" s="5"/>
      <c r="C675" s="59"/>
      <c r="D675" s="59"/>
      <c r="E675" s="63"/>
      <c r="F675" s="59"/>
      <c r="I675" s="5"/>
      <c r="J675" s="5"/>
      <c r="K675" s="5"/>
      <c r="O675" s="5"/>
    </row>
    <row r="676" spans="1:15" ht="21" customHeight="1" x14ac:dyDescent="0.2">
      <c r="A676" s="5"/>
      <c r="B676" s="5"/>
      <c r="C676" s="59"/>
      <c r="D676" s="59"/>
      <c r="E676" s="63"/>
      <c r="F676" s="59"/>
      <c r="I676" s="5"/>
      <c r="J676" s="5"/>
      <c r="K676" s="5"/>
      <c r="O676" s="5"/>
    </row>
    <row r="677" spans="1:15" ht="21" customHeight="1" x14ac:dyDescent="0.2">
      <c r="A677" s="5"/>
      <c r="B677" s="5"/>
      <c r="C677" s="59"/>
      <c r="D677" s="59"/>
      <c r="E677" s="63"/>
      <c r="F677" s="59"/>
      <c r="I677" s="5"/>
      <c r="J677" s="5"/>
      <c r="K677" s="5"/>
      <c r="O677" s="5"/>
    </row>
    <row r="678" spans="1:15" ht="21" customHeight="1" x14ac:dyDescent="0.2">
      <c r="A678" s="5"/>
      <c r="B678" s="5"/>
      <c r="C678" s="59"/>
      <c r="D678" s="59"/>
      <c r="E678" s="63"/>
      <c r="F678" s="59"/>
      <c r="I678" s="5"/>
      <c r="J678" s="5"/>
      <c r="K678" s="5"/>
      <c r="O678" s="5"/>
    </row>
    <row r="679" spans="1:15" ht="21" customHeight="1" x14ac:dyDescent="0.2">
      <c r="A679" s="5"/>
      <c r="B679" s="5"/>
      <c r="C679" s="59"/>
      <c r="D679" s="59"/>
      <c r="E679" s="63"/>
      <c r="F679" s="59"/>
      <c r="I679" s="5"/>
      <c r="J679" s="5"/>
      <c r="K679" s="5"/>
      <c r="O679" s="5"/>
    </row>
    <row r="680" spans="1:15" ht="21" customHeight="1" x14ac:dyDescent="0.2">
      <c r="A680" s="5"/>
      <c r="B680" s="5"/>
      <c r="C680" s="59"/>
      <c r="D680" s="59"/>
      <c r="E680" s="63"/>
      <c r="F680" s="59"/>
      <c r="I680" s="5"/>
      <c r="J680" s="5"/>
      <c r="K680" s="5"/>
      <c r="O680" s="5"/>
    </row>
    <row r="681" spans="1:15" ht="21" customHeight="1" x14ac:dyDescent="0.2">
      <c r="A681" s="5"/>
      <c r="B681" s="5"/>
      <c r="C681" s="59"/>
      <c r="D681" s="59"/>
      <c r="E681" s="63"/>
      <c r="F681" s="59"/>
      <c r="I681" s="5"/>
      <c r="J681" s="5"/>
      <c r="K681" s="5"/>
      <c r="O681" s="5"/>
    </row>
    <row r="682" spans="1:15" ht="21" customHeight="1" x14ac:dyDescent="0.2">
      <c r="A682" s="5"/>
      <c r="B682" s="5"/>
      <c r="C682" s="59"/>
      <c r="D682" s="59"/>
      <c r="E682" s="63"/>
      <c r="F682" s="59"/>
      <c r="I682" s="5"/>
      <c r="J682" s="5"/>
      <c r="K682" s="5"/>
      <c r="O682" s="5"/>
    </row>
    <row r="683" spans="1:15" ht="21" customHeight="1" x14ac:dyDescent="0.2">
      <c r="A683" s="5"/>
      <c r="B683" s="5"/>
      <c r="C683" s="59"/>
      <c r="D683" s="59"/>
      <c r="E683" s="63"/>
      <c r="F683" s="59"/>
      <c r="I683" s="5"/>
      <c r="J683" s="5"/>
      <c r="K683" s="5"/>
      <c r="O683" s="5"/>
    </row>
    <row r="684" spans="1:15" ht="21" customHeight="1" x14ac:dyDescent="0.2">
      <c r="A684" s="5"/>
      <c r="B684" s="5"/>
      <c r="C684" s="59"/>
      <c r="D684" s="59"/>
      <c r="E684" s="63"/>
      <c r="F684" s="59"/>
      <c r="I684" s="5"/>
      <c r="J684" s="5"/>
      <c r="K684" s="5"/>
      <c r="O684" s="5"/>
    </row>
    <row r="685" spans="1:15" ht="21" customHeight="1" x14ac:dyDescent="0.2">
      <c r="A685" s="5"/>
      <c r="B685" s="5"/>
      <c r="C685" s="59"/>
      <c r="D685" s="59"/>
      <c r="E685" s="63"/>
      <c r="F685" s="59"/>
      <c r="I685" s="5"/>
      <c r="J685" s="5"/>
      <c r="K685" s="5"/>
      <c r="O685" s="5"/>
    </row>
    <row r="686" spans="1:15" ht="21" customHeight="1" x14ac:dyDescent="0.2">
      <c r="A686" s="5"/>
      <c r="B686" s="5"/>
      <c r="C686" s="59"/>
      <c r="D686" s="59"/>
      <c r="E686" s="63"/>
      <c r="F686" s="59"/>
      <c r="I686" s="5"/>
      <c r="J686" s="5"/>
      <c r="K686" s="5"/>
      <c r="O686" s="5"/>
    </row>
    <row r="687" spans="1:15" ht="21" customHeight="1" x14ac:dyDescent="0.2">
      <c r="A687" s="5"/>
      <c r="B687" s="5"/>
      <c r="C687" s="59"/>
      <c r="D687" s="59"/>
      <c r="E687" s="63"/>
      <c r="F687" s="59"/>
      <c r="I687" s="5"/>
      <c r="J687" s="5"/>
      <c r="K687" s="5"/>
      <c r="O687" s="5"/>
    </row>
    <row r="688" spans="1:15" ht="21" customHeight="1" x14ac:dyDescent="0.2">
      <c r="A688" s="5"/>
      <c r="B688" s="5"/>
      <c r="C688" s="59"/>
      <c r="D688" s="59"/>
      <c r="E688" s="63"/>
      <c r="F688" s="59"/>
      <c r="I688" s="5"/>
      <c r="J688" s="5"/>
      <c r="K688" s="5"/>
      <c r="O688" s="5"/>
    </row>
    <row r="689" spans="1:15" ht="21" customHeight="1" x14ac:dyDescent="0.2">
      <c r="A689" s="5"/>
      <c r="B689" s="5"/>
      <c r="C689" s="59"/>
      <c r="D689" s="59"/>
      <c r="E689" s="63"/>
      <c r="F689" s="59"/>
      <c r="I689" s="5"/>
      <c r="J689" s="5"/>
      <c r="K689" s="5"/>
      <c r="O689" s="5"/>
    </row>
    <row r="690" spans="1:15" ht="21" customHeight="1" x14ac:dyDescent="0.2">
      <c r="A690" s="5"/>
      <c r="B690" s="5"/>
      <c r="C690" s="59"/>
      <c r="D690" s="59"/>
      <c r="E690" s="63"/>
      <c r="F690" s="59"/>
      <c r="I690" s="5"/>
      <c r="J690" s="5"/>
      <c r="K690" s="5"/>
      <c r="O690" s="5"/>
    </row>
    <row r="691" spans="1:15" ht="21" customHeight="1" x14ac:dyDescent="0.2">
      <c r="A691" s="5"/>
      <c r="B691" s="5"/>
      <c r="C691" s="59"/>
      <c r="D691" s="59"/>
      <c r="E691" s="63"/>
      <c r="F691" s="59"/>
      <c r="I691" s="5"/>
      <c r="J691" s="5"/>
      <c r="K691" s="5"/>
      <c r="O691" s="5"/>
    </row>
    <row r="692" spans="1:15" ht="21" customHeight="1" x14ac:dyDescent="0.2">
      <c r="A692" s="5"/>
      <c r="B692" s="5"/>
      <c r="C692" s="59"/>
      <c r="D692" s="59"/>
      <c r="E692" s="63"/>
      <c r="F692" s="59"/>
      <c r="I692" s="5"/>
      <c r="J692" s="5"/>
      <c r="K692" s="5"/>
      <c r="O692" s="5"/>
    </row>
    <row r="693" spans="1:15" ht="21" customHeight="1" x14ac:dyDescent="0.2">
      <c r="A693" s="5"/>
      <c r="B693" s="5"/>
      <c r="C693" s="59"/>
      <c r="D693" s="59"/>
      <c r="E693" s="63"/>
      <c r="F693" s="59"/>
      <c r="I693" s="5"/>
      <c r="J693" s="5"/>
      <c r="K693" s="5"/>
      <c r="O693" s="5"/>
    </row>
    <row r="694" spans="1:15" ht="21" customHeight="1" x14ac:dyDescent="0.2">
      <c r="A694" s="5"/>
      <c r="B694" s="5"/>
      <c r="C694" s="59"/>
      <c r="D694" s="59"/>
      <c r="E694" s="63"/>
      <c r="F694" s="59"/>
      <c r="I694" s="5"/>
      <c r="J694" s="5"/>
      <c r="K694" s="5"/>
      <c r="O694" s="5"/>
    </row>
    <row r="695" spans="1:15" ht="21" customHeight="1" x14ac:dyDescent="0.2">
      <c r="A695" s="5"/>
      <c r="B695" s="5"/>
      <c r="C695" s="59"/>
      <c r="D695" s="59"/>
      <c r="E695" s="63"/>
      <c r="F695" s="59"/>
      <c r="I695" s="5"/>
      <c r="J695" s="5"/>
      <c r="K695" s="5"/>
      <c r="O695" s="5"/>
    </row>
    <row r="696" spans="1:15" ht="21" customHeight="1" x14ac:dyDescent="0.2">
      <c r="A696" s="5"/>
      <c r="B696" s="5"/>
      <c r="C696" s="59"/>
      <c r="D696" s="59"/>
      <c r="E696" s="63"/>
      <c r="F696" s="59"/>
      <c r="I696" s="5"/>
      <c r="J696" s="5"/>
      <c r="K696" s="5"/>
      <c r="O696" s="5"/>
    </row>
    <row r="697" spans="1:15" ht="21" customHeight="1" x14ac:dyDescent="0.2">
      <c r="A697" s="5"/>
      <c r="B697" s="5"/>
      <c r="C697" s="59"/>
      <c r="D697" s="59"/>
      <c r="E697" s="63"/>
      <c r="F697" s="59"/>
      <c r="I697" s="5"/>
      <c r="J697" s="5"/>
      <c r="K697" s="5"/>
      <c r="O697" s="5"/>
    </row>
    <row r="698" spans="1:15" ht="21" customHeight="1" x14ac:dyDescent="0.2">
      <c r="A698" s="5"/>
      <c r="B698" s="5"/>
      <c r="C698" s="59"/>
      <c r="D698" s="59"/>
      <c r="E698" s="63"/>
      <c r="F698" s="59"/>
      <c r="I698" s="5"/>
      <c r="J698" s="5"/>
      <c r="K698" s="5"/>
      <c r="O698" s="5"/>
    </row>
    <row r="699" spans="1:15" ht="21" customHeight="1" x14ac:dyDescent="0.2">
      <c r="A699" s="5"/>
      <c r="B699" s="5"/>
      <c r="C699" s="59"/>
      <c r="D699" s="59"/>
      <c r="E699" s="63"/>
      <c r="F699" s="59"/>
      <c r="I699" s="5"/>
      <c r="J699" s="5"/>
      <c r="K699" s="5"/>
      <c r="O699" s="5"/>
    </row>
    <row r="700" spans="1:15" ht="21" customHeight="1" x14ac:dyDescent="0.2">
      <c r="A700" s="5"/>
      <c r="B700" s="5"/>
      <c r="C700" s="59"/>
      <c r="D700" s="59"/>
      <c r="E700" s="63"/>
      <c r="F700" s="59"/>
      <c r="I700" s="5"/>
      <c r="J700" s="5"/>
      <c r="K700" s="5"/>
      <c r="O700" s="5"/>
    </row>
    <row r="701" spans="1:15" ht="21" customHeight="1" x14ac:dyDescent="0.2">
      <c r="A701" s="5"/>
      <c r="B701" s="5"/>
      <c r="C701" s="59"/>
      <c r="D701" s="59"/>
      <c r="E701" s="63"/>
      <c r="F701" s="59"/>
      <c r="I701" s="5"/>
      <c r="J701" s="5"/>
      <c r="K701" s="5"/>
      <c r="O701" s="5"/>
    </row>
    <row r="702" spans="1:15" ht="21" customHeight="1" x14ac:dyDescent="0.2">
      <c r="A702" s="5"/>
      <c r="B702" s="5"/>
      <c r="C702" s="59"/>
      <c r="D702" s="59"/>
      <c r="E702" s="63"/>
      <c r="F702" s="59"/>
      <c r="I702" s="5"/>
      <c r="J702" s="5"/>
      <c r="K702" s="5"/>
      <c r="O702" s="5"/>
    </row>
    <row r="703" spans="1:15" ht="21" customHeight="1" x14ac:dyDescent="0.2">
      <c r="A703" s="5"/>
      <c r="B703" s="5"/>
      <c r="C703" s="59"/>
      <c r="D703" s="59"/>
      <c r="E703" s="63"/>
      <c r="F703" s="59"/>
      <c r="I703" s="5"/>
      <c r="J703" s="5"/>
      <c r="K703" s="5"/>
      <c r="O703" s="5"/>
    </row>
    <row r="704" spans="1:15" ht="21" customHeight="1" x14ac:dyDescent="0.2">
      <c r="A704" s="5"/>
      <c r="B704" s="5"/>
      <c r="C704" s="59"/>
      <c r="D704" s="59"/>
      <c r="E704" s="63"/>
      <c r="F704" s="59"/>
      <c r="I704" s="5"/>
      <c r="J704" s="5"/>
      <c r="K704" s="5"/>
      <c r="O704" s="5"/>
    </row>
    <row r="705" spans="1:15" ht="21" customHeight="1" x14ac:dyDescent="0.2">
      <c r="A705" s="5"/>
      <c r="B705" s="5"/>
      <c r="C705" s="59"/>
      <c r="D705" s="59"/>
      <c r="E705" s="63"/>
      <c r="F705" s="59"/>
      <c r="I705" s="5"/>
      <c r="J705" s="5"/>
      <c r="K705" s="5"/>
      <c r="O705" s="5"/>
    </row>
    <row r="706" spans="1:15" ht="21" customHeight="1" x14ac:dyDescent="0.2">
      <c r="A706" s="5"/>
      <c r="B706" s="5"/>
      <c r="C706" s="59"/>
      <c r="D706" s="59"/>
      <c r="E706" s="63"/>
      <c r="F706" s="59"/>
      <c r="I706" s="5"/>
      <c r="J706" s="5"/>
      <c r="K706" s="5"/>
      <c r="O706" s="5"/>
    </row>
    <row r="707" spans="1:15" ht="21" customHeight="1" x14ac:dyDescent="0.2">
      <c r="A707" s="5"/>
      <c r="B707" s="5"/>
      <c r="C707" s="59"/>
      <c r="D707" s="59"/>
      <c r="E707" s="63"/>
      <c r="F707" s="59"/>
      <c r="I707" s="5"/>
      <c r="J707" s="5"/>
      <c r="K707" s="5"/>
      <c r="O707" s="5"/>
    </row>
    <row r="708" spans="1:15" ht="21" customHeight="1" x14ac:dyDescent="0.2">
      <c r="A708" s="5"/>
      <c r="B708" s="5"/>
      <c r="C708" s="59"/>
      <c r="D708" s="59"/>
      <c r="E708" s="63"/>
      <c r="F708" s="59"/>
      <c r="I708" s="5"/>
      <c r="J708" s="5"/>
      <c r="K708" s="5"/>
      <c r="O708" s="5"/>
    </row>
    <row r="709" spans="1:15" ht="21" customHeight="1" x14ac:dyDescent="0.2">
      <c r="A709" s="5"/>
      <c r="B709" s="5"/>
      <c r="C709" s="59"/>
      <c r="D709" s="59"/>
      <c r="E709" s="63"/>
      <c r="F709" s="59"/>
      <c r="I709" s="5"/>
      <c r="J709" s="5"/>
      <c r="K709" s="5"/>
      <c r="O709" s="5"/>
    </row>
    <row r="710" spans="1:15" ht="21" customHeight="1" x14ac:dyDescent="0.2">
      <c r="A710" s="5"/>
      <c r="B710" s="5"/>
      <c r="C710" s="59"/>
      <c r="D710" s="59"/>
      <c r="E710" s="63"/>
      <c r="F710" s="59"/>
      <c r="I710" s="5"/>
      <c r="J710" s="5"/>
      <c r="K710" s="5"/>
      <c r="O710" s="5"/>
    </row>
    <row r="711" spans="1:15" ht="21" customHeight="1" x14ac:dyDescent="0.2">
      <c r="A711" s="5"/>
      <c r="B711" s="5"/>
      <c r="C711" s="59"/>
      <c r="D711" s="59"/>
      <c r="E711" s="63"/>
      <c r="F711" s="59"/>
      <c r="I711" s="5"/>
      <c r="J711" s="5"/>
      <c r="K711" s="5"/>
      <c r="O711" s="5"/>
    </row>
    <row r="712" spans="1:15" ht="21" customHeight="1" x14ac:dyDescent="0.2">
      <c r="A712" s="5"/>
      <c r="B712" s="5"/>
      <c r="C712" s="59"/>
      <c r="D712" s="59"/>
      <c r="E712" s="63"/>
      <c r="F712" s="59"/>
      <c r="I712" s="5"/>
      <c r="J712" s="5"/>
      <c r="K712" s="5"/>
      <c r="O712" s="5"/>
    </row>
    <row r="713" spans="1:15" ht="21" customHeight="1" x14ac:dyDescent="0.2">
      <c r="A713" s="5"/>
      <c r="B713" s="5"/>
      <c r="C713" s="59"/>
      <c r="D713" s="59"/>
      <c r="E713" s="63"/>
      <c r="F713" s="59"/>
      <c r="I713" s="5"/>
      <c r="J713" s="5"/>
      <c r="K713" s="5"/>
      <c r="O713" s="5"/>
    </row>
    <row r="714" spans="1:15" ht="21" customHeight="1" x14ac:dyDescent="0.2">
      <c r="A714" s="5"/>
      <c r="B714" s="5"/>
      <c r="C714" s="59"/>
      <c r="D714" s="59"/>
      <c r="E714" s="63"/>
      <c r="F714" s="59"/>
      <c r="I714" s="5"/>
      <c r="J714" s="5"/>
      <c r="K714" s="5"/>
      <c r="O714" s="5"/>
    </row>
    <row r="715" spans="1:15" ht="21" customHeight="1" x14ac:dyDescent="0.2">
      <c r="A715" s="5"/>
      <c r="B715" s="5"/>
      <c r="C715" s="59"/>
      <c r="D715" s="59"/>
      <c r="E715" s="63"/>
      <c r="F715" s="59"/>
      <c r="I715" s="5"/>
      <c r="J715" s="5"/>
      <c r="K715" s="5"/>
      <c r="O715" s="5"/>
    </row>
    <row r="716" spans="1:15" ht="21" customHeight="1" x14ac:dyDescent="0.2">
      <c r="A716" s="5"/>
      <c r="B716" s="5"/>
      <c r="C716" s="59"/>
      <c r="D716" s="59"/>
      <c r="E716" s="63"/>
      <c r="F716" s="59"/>
      <c r="I716" s="5"/>
      <c r="J716" s="5"/>
      <c r="K716" s="5"/>
      <c r="O716" s="5"/>
    </row>
    <row r="717" spans="1:15" ht="21" customHeight="1" x14ac:dyDescent="0.2">
      <c r="A717" s="5"/>
      <c r="B717" s="5"/>
      <c r="C717" s="59"/>
      <c r="D717" s="59"/>
      <c r="E717" s="63"/>
      <c r="F717" s="59"/>
      <c r="I717" s="5"/>
      <c r="J717" s="5"/>
      <c r="K717" s="5"/>
      <c r="O717" s="5"/>
    </row>
    <row r="718" spans="1:15" ht="21" customHeight="1" x14ac:dyDescent="0.2">
      <c r="A718" s="5"/>
      <c r="B718" s="5"/>
      <c r="C718" s="59"/>
      <c r="D718" s="59"/>
      <c r="E718" s="63"/>
      <c r="F718" s="59"/>
      <c r="I718" s="5"/>
      <c r="J718" s="5"/>
      <c r="K718" s="5"/>
      <c r="O718" s="5"/>
    </row>
    <row r="719" spans="1:15" ht="21" customHeight="1" x14ac:dyDescent="0.2">
      <c r="A719" s="5"/>
      <c r="B719" s="5"/>
      <c r="C719" s="59"/>
      <c r="D719" s="59"/>
      <c r="E719" s="63"/>
      <c r="F719" s="59"/>
      <c r="I719" s="5"/>
      <c r="J719" s="5"/>
      <c r="K719" s="5"/>
      <c r="O719" s="5"/>
    </row>
    <row r="720" spans="1:15" ht="21" customHeight="1" x14ac:dyDescent="0.2">
      <c r="A720" s="5"/>
      <c r="B720" s="5"/>
      <c r="C720" s="59"/>
      <c r="D720" s="59"/>
      <c r="E720" s="63"/>
      <c r="F720" s="59"/>
      <c r="I720" s="5"/>
      <c r="J720" s="5"/>
      <c r="K720" s="5"/>
      <c r="O720" s="5"/>
    </row>
    <row r="721" spans="1:15" ht="21" customHeight="1" x14ac:dyDescent="0.2">
      <c r="A721" s="5"/>
      <c r="B721" s="5"/>
      <c r="C721" s="59"/>
      <c r="D721" s="59"/>
      <c r="E721" s="63"/>
      <c r="F721" s="59"/>
      <c r="I721" s="5"/>
      <c r="J721" s="5"/>
      <c r="K721" s="5"/>
      <c r="O721" s="5"/>
    </row>
    <row r="722" spans="1:15" ht="21" customHeight="1" x14ac:dyDescent="0.2">
      <c r="A722" s="5"/>
      <c r="B722" s="5"/>
      <c r="C722" s="59"/>
      <c r="D722" s="59"/>
      <c r="E722" s="63"/>
      <c r="F722" s="59"/>
      <c r="I722" s="5"/>
      <c r="J722" s="5"/>
      <c r="K722" s="5"/>
      <c r="O722" s="5"/>
    </row>
    <row r="723" spans="1:15" ht="21" customHeight="1" x14ac:dyDescent="0.2">
      <c r="A723" s="5"/>
      <c r="B723" s="5"/>
      <c r="C723" s="59"/>
      <c r="D723" s="59"/>
      <c r="E723" s="63"/>
      <c r="F723" s="59"/>
      <c r="I723" s="5"/>
      <c r="J723" s="5"/>
      <c r="K723" s="5"/>
      <c r="O723" s="5"/>
    </row>
    <row r="724" spans="1:15" ht="21" customHeight="1" x14ac:dyDescent="0.2">
      <c r="A724" s="5"/>
      <c r="B724" s="5"/>
      <c r="C724" s="59"/>
      <c r="D724" s="59"/>
      <c r="E724" s="63"/>
      <c r="F724" s="59"/>
      <c r="I724" s="5"/>
      <c r="J724" s="5"/>
      <c r="K724" s="5"/>
      <c r="O724" s="5"/>
    </row>
    <row r="725" spans="1:15" ht="21" customHeight="1" x14ac:dyDescent="0.2">
      <c r="A725" s="5"/>
      <c r="B725" s="5"/>
      <c r="C725" s="59"/>
      <c r="D725" s="59"/>
      <c r="E725" s="63"/>
      <c r="F725" s="59"/>
      <c r="I725" s="5"/>
      <c r="J725" s="5"/>
      <c r="K725" s="5"/>
      <c r="O725" s="5"/>
    </row>
    <row r="726" spans="1:15" ht="21" customHeight="1" x14ac:dyDescent="0.2">
      <c r="A726" s="5"/>
      <c r="B726" s="5"/>
      <c r="C726" s="59"/>
      <c r="D726" s="59"/>
      <c r="E726" s="63"/>
      <c r="F726" s="59"/>
      <c r="I726" s="5"/>
      <c r="J726" s="5"/>
      <c r="K726" s="5"/>
      <c r="O726" s="5"/>
    </row>
    <row r="727" spans="1:15" ht="21" customHeight="1" x14ac:dyDescent="0.2">
      <c r="A727" s="5"/>
      <c r="B727" s="5"/>
      <c r="C727" s="59"/>
      <c r="D727" s="59"/>
      <c r="E727" s="63"/>
      <c r="F727" s="59"/>
      <c r="I727" s="5"/>
      <c r="J727" s="5"/>
      <c r="K727" s="5"/>
      <c r="O727" s="5"/>
    </row>
    <row r="728" spans="1:15" ht="21" customHeight="1" x14ac:dyDescent="0.2">
      <c r="A728" s="5"/>
      <c r="B728" s="5"/>
      <c r="C728" s="59"/>
      <c r="D728" s="59"/>
      <c r="E728" s="63"/>
      <c r="F728" s="59"/>
      <c r="I728" s="5"/>
      <c r="J728" s="5"/>
      <c r="K728" s="5"/>
      <c r="O728" s="5"/>
    </row>
    <row r="729" spans="1:15" ht="21" customHeight="1" x14ac:dyDescent="0.2">
      <c r="A729" s="5"/>
      <c r="B729" s="5"/>
      <c r="C729" s="59"/>
      <c r="D729" s="59"/>
      <c r="E729" s="63"/>
      <c r="F729" s="59"/>
      <c r="I729" s="5"/>
      <c r="J729" s="5"/>
      <c r="K729" s="5"/>
      <c r="O729" s="5"/>
    </row>
    <row r="730" spans="1:15" ht="21" customHeight="1" x14ac:dyDescent="0.2">
      <c r="A730" s="5"/>
      <c r="B730" s="5"/>
      <c r="C730" s="59"/>
      <c r="D730" s="59"/>
      <c r="E730" s="63"/>
      <c r="F730" s="59"/>
      <c r="I730" s="5"/>
      <c r="J730" s="5"/>
      <c r="K730" s="5"/>
      <c r="O730" s="5"/>
    </row>
    <row r="731" spans="1:15" ht="21" customHeight="1" x14ac:dyDescent="0.2">
      <c r="A731" s="5"/>
      <c r="B731" s="5"/>
      <c r="C731" s="59"/>
      <c r="D731" s="59"/>
      <c r="E731" s="63"/>
      <c r="F731" s="59"/>
      <c r="I731" s="5"/>
      <c r="J731" s="5"/>
      <c r="K731" s="5"/>
      <c r="O731" s="5"/>
    </row>
    <row r="732" spans="1:15" ht="21" customHeight="1" x14ac:dyDescent="0.2">
      <c r="A732" s="5"/>
      <c r="B732" s="5"/>
      <c r="C732" s="59"/>
      <c r="D732" s="59"/>
      <c r="E732" s="63"/>
      <c r="F732" s="59"/>
      <c r="I732" s="5"/>
      <c r="J732" s="5"/>
      <c r="K732" s="5"/>
      <c r="O732" s="5"/>
    </row>
    <row r="733" spans="1:15" ht="21" customHeight="1" x14ac:dyDescent="0.2">
      <c r="A733" s="5"/>
      <c r="B733" s="5"/>
      <c r="C733" s="59"/>
      <c r="D733" s="59"/>
      <c r="E733" s="63"/>
      <c r="F733" s="59"/>
      <c r="I733" s="5"/>
      <c r="J733" s="5"/>
      <c r="K733" s="5"/>
      <c r="O733" s="5"/>
    </row>
    <row r="734" spans="1:15" ht="21" customHeight="1" x14ac:dyDescent="0.2">
      <c r="A734" s="5"/>
      <c r="B734" s="5"/>
      <c r="C734" s="59"/>
      <c r="D734" s="59"/>
      <c r="E734" s="63"/>
      <c r="F734" s="59"/>
      <c r="I734" s="5"/>
      <c r="J734" s="5"/>
      <c r="K734" s="5"/>
      <c r="O734" s="5"/>
    </row>
    <row r="735" spans="1:15" ht="21" customHeight="1" x14ac:dyDescent="0.2">
      <c r="A735" s="5"/>
      <c r="B735" s="5"/>
      <c r="C735" s="59"/>
      <c r="D735" s="59"/>
      <c r="E735" s="63"/>
      <c r="F735" s="59"/>
      <c r="I735" s="5"/>
      <c r="J735" s="5"/>
      <c r="K735" s="5"/>
      <c r="O735" s="5"/>
    </row>
    <row r="736" spans="1:15" ht="21" customHeight="1" x14ac:dyDescent="0.2">
      <c r="A736" s="5"/>
      <c r="B736" s="5"/>
      <c r="C736" s="59"/>
      <c r="D736" s="59"/>
      <c r="E736" s="63"/>
      <c r="F736" s="59"/>
      <c r="I736" s="5"/>
      <c r="J736" s="5"/>
      <c r="K736" s="5"/>
      <c r="O736" s="5"/>
    </row>
    <row r="737" spans="1:15" ht="21" customHeight="1" x14ac:dyDescent="0.2">
      <c r="A737" s="5"/>
      <c r="B737" s="5"/>
      <c r="C737" s="59"/>
      <c r="D737" s="59"/>
      <c r="E737" s="63"/>
      <c r="F737" s="59"/>
      <c r="I737" s="5"/>
      <c r="J737" s="5"/>
      <c r="K737" s="5"/>
      <c r="O737" s="5"/>
    </row>
    <row r="738" spans="1:15" ht="21" customHeight="1" x14ac:dyDescent="0.2">
      <c r="A738" s="5"/>
      <c r="B738" s="5"/>
      <c r="C738" s="59"/>
      <c r="D738" s="59"/>
      <c r="E738" s="63"/>
      <c r="F738" s="59"/>
      <c r="I738" s="5"/>
      <c r="J738" s="5"/>
      <c r="K738" s="5"/>
      <c r="O738" s="5"/>
    </row>
    <row r="739" spans="1:15" ht="21" customHeight="1" x14ac:dyDescent="0.2">
      <c r="A739" s="5"/>
      <c r="B739" s="5"/>
      <c r="C739" s="59"/>
      <c r="D739" s="59"/>
      <c r="E739" s="63"/>
      <c r="F739" s="59"/>
      <c r="I739" s="5"/>
      <c r="J739" s="5"/>
      <c r="K739" s="5"/>
      <c r="O739" s="5"/>
    </row>
    <row r="740" spans="1:15" ht="21" customHeight="1" x14ac:dyDescent="0.2">
      <c r="A740" s="5"/>
      <c r="B740" s="5"/>
      <c r="C740" s="59"/>
      <c r="D740" s="59"/>
      <c r="E740" s="63"/>
      <c r="F740" s="59"/>
      <c r="I740" s="5"/>
      <c r="J740" s="5"/>
      <c r="K740" s="5"/>
      <c r="O740" s="5"/>
    </row>
    <row r="741" spans="1:15" ht="21" customHeight="1" x14ac:dyDescent="0.2">
      <c r="A741" s="5"/>
      <c r="B741" s="5"/>
      <c r="C741" s="59"/>
      <c r="D741" s="59"/>
      <c r="E741" s="63"/>
      <c r="F741" s="59"/>
      <c r="I741" s="5"/>
      <c r="J741" s="5"/>
      <c r="K741" s="5"/>
      <c r="O741" s="5"/>
    </row>
    <row r="742" spans="1:15" ht="21" customHeight="1" x14ac:dyDescent="0.2">
      <c r="A742" s="5"/>
      <c r="B742" s="5"/>
      <c r="C742" s="59"/>
      <c r="D742" s="59"/>
      <c r="E742" s="63"/>
      <c r="F742" s="59"/>
      <c r="I742" s="5"/>
      <c r="J742" s="5"/>
      <c r="K742" s="5"/>
      <c r="O742" s="5"/>
    </row>
    <row r="743" spans="1:15" ht="21" customHeight="1" x14ac:dyDescent="0.2">
      <c r="A743" s="5"/>
      <c r="B743" s="5"/>
      <c r="C743" s="59"/>
      <c r="D743" s="59"/>
      <c r="E743" s="63"/>
      <c r="F743" s="59"/>
      <c r="I743" s="5"/>
      <c r="J743" s="5"/>
      <c r="K743" s="5"/>
      <c r="O743" s="5"/>
    </row>
    <row r="744" spans="1:15" ht="21" customHeight="1" x14ac:dyDescent="0.2">
      <c r="A744" s="5"/>
      <c r="B744" s="5"/>
      <c r="C744" s="59"/>
      <c r="D744" s="59"/>
      <c r="E744" s="63"/>
      <c r="F744" s="59"/>
      <c r="I744" s="5"/>
      <c r="J744" s="5"/>
      <c r="K744" s="5"/>
      <c r="O744" s="5"/>
    </row>
    <row r="745" spans="1:15" ht="21" customHeight="1" x14ac:dyDescent="0.2">
      <c r="A745" s="5"/>
      <c r="B745" s="5"/>
      <c r="C745" s="59"/>
      <c r="D745" s="59"/>
      <c r="E745" s="63"/>
      <c r="F745" s="59"/>
      <c r="I745" s="5"/>
      <c r="J745" s="5"/>
      <c r="K745" s="5"/>
      <c r="O745" s="5"/>
    </row>
    <row r="746" spans="1:15" ht="21" customHeight="1" x14ac:dyDescent="0.2">
      <c r="A746" s="5"/>
      <c r="B746" s="5"/>
      <c r="C746" s="59"/>
      <c r="D746" s="59"/>
      <c r="E746" s="63"/>
      <c r="F746" s="59"/>
      <c r="I746" s="5"/>
      <c r="J746" s="5"/>
      <c r="K746" s="5"/>
      <c r="O746" s="5"/>
    </row>
    <row r="747" spans="1:15" ht="21" customHeight="1" x14ac:dyDescent="0.2">
      <c r="A747" s="5"/>
      <c r="B747" s="5"/>
      <c r="C747" s="59"/>
      <c r="D747" s="59"/>
      <c r="E747" s="63"/>
      <c r="F747" s="59"/>
      <c r="I747" s="5"/>
      <c r="J747" s="5"/>
      <c r="K747" s="5"/>
      <c r="O747" s="5"/>
    </row>
    <row r="748" spans="1:15" ht="21" customHeight="1" x14ac:dyDescent="0.2">
      <c r="A748" s="5"/>
      <c r="B748" s="5"/>
      <c r="C748" s="59"/>
      <c r="D748" s="59"/>
      <c r="E748" s="63"/>
      <c r="F748" s="59"/>
      <c r="I748" s="5"/>
      <c r="J748" s="5"/>
      <c r="K748" s="5"/>
      <c r="O748" s="5"/>
    </row>
    <row r="749" spans="1:15" ht="21" customHeight="1" x14ac:dyDescent="0.2">
      <c r="A749" s="5"/>
      <c r="B749" s="5"/>
      <c r="C749" s="59"/>
      <c r="D749" s="59"/>
      <c r="E749" s="63"/>
      <c r="F749" s="59"/>
      <c r="I749" s="5"/>
      <c r="J749" s="5"/>
      <c r="K749" s="5"/>
      <c r="O749" s="5"/>
    </row>
    <row r="750" spans="1:15" ht="21" customHeight="1" x14ac:dyDescent="0.2">
      <c r="A750" s="5"/>
      <c r="B750" s="5"/>
      <c r="C750" s="59"/>
      <c r="D750" s="59"/>
      <c r="E750" s="63"/>
      <c r="F750" s="59"/>
      <c r="I750" s="5"/>
      <c r="J750" s="5"/>
      <c r="K750" s="5"/>
      <c r="O750" s="5"/>
    </row>
    <row r="751" spans="1:15" ht="21" customHeight="1" x14ac:dyDescent="0.2">
      <c r="A751" s="5"/>
      <c r="B751" s="5"/>
      <c r="C751" s="59"/>
      <c r="D751" s="59"/>
      <c r="E751" s="63"/>
      <c r="F751" s="59"/>
      <c r="I751" s="5"/>
      <c r="J751" s="5"/>
      <c r="K751" s="5"/>
      <c r="O751" s="5"/>
    </row>
    <row r="752" spans="1:15" ht="21" customHeight="1" x14ac:dyDescent="0.2">
      <c r="A752" s="5"/>
      <c r="B752" s="5"/>
      <c r="C752" s="59"/>
      <c r="D752" s="59"/>
      <c r="E752" s="63"/>
      <c r="F752" s="59"/>
      <c r="I752" s="5"/>
      <c r="J752" s="5"/>
      <c r="K752" s="5"/>
      <c r="O752" s="5"/>
    </row>
    <row r="753" spans="1:15" ht="21" customHeight="1" x14ac:dyDescent="0.2">
      <c r="A753" s="5"/>
      <c r="B753" s="5"/>
      <c r="C753" s="59"/>
      <c r="D753" s="59"/>
      <c r="E753" s="63"/>
      <c r="F753" s="59"/>
      <c r="I753" s="5"/>
      <c r="J753" s="5"/>
      <c r="K753" s="5"/>
      <c r="O753" s="5"/>
    </row>
    <row r="754" spans="1:15" ht="21" customHeight="1" x14ac:dyDescent="0.2">
      <c r="A754" s="5"/>
      <c r="B754" s="5"/>
      <c r="C754" s="59"/>
      <c r="D754" s="59"/>
      <c r="E754" s="63"/>
      <c r="F754" s="59"/>
      <c r="I754" s="5"/>
      <c r="J754" s="5"/>
      <c r="K754" s="5"/>
      <c r="O754" s="5"/>
    </row>
    <row r="755" spans="1:15" ht="21" customHeight="1" x14ac:dyDescent="0.2">
      <c r="A755" s="5"/>
      <c r="B755" s="5"/>
      <c r="C755" s="59"/>
      <c r="D755" s="59"/>
      <c r="E755" s="63"/>
      <c r="F755" s="59"/>
      <c r="I755" s="5"/>
      <c r="J755" s="5"/>
      <c r="K755" s="5"/>
      <c r="O755" s="5"/>
    </row>
    <row r="756" spans="1:15" ht="21" customHeight="1" x14ac:dyDescent="0.2">
      <c r="A756" s="5"/>
      <c r="B756" s="5"/>
      <c r="C756" s="59"/>
      <c r="D756" s="59"/>
      <c r="E756" s="63"/>
      <c r="F756" s="59"/>
      <c r="I756" s="5"/>
      <c r="J756" s="5"/>
      <c r="K756" s="5"/>
      <c r="O756" s="5"/>
    </row>
    <row r="757" spans="1:15" ht="21" customHeight="1" x14ac:dyDescent="0.2">
      <c r="A757" s="5"/>
      <c r="B757" s="5"/>
      <c r="C757" s="59"/>
      <c r="D757" s="59"/>
      <c r="E757" s="63"/>
      <c r="F757" s="59"/>
      <c r="I757" s="5"/>
      <c r="J757" s="5"/>
      <c r="K757" s="5"/>
      <c r="O757" s="5"/>
    </row>
    <row r="758" spans="1:15" ht="21" customHeight="1" x14ac:dyDescent="0.2">
      <c r="A758" s="5"/>
      <c r="B758" s="5"/>
      <c r="C758" s="59"/>
      <c r="D758" s="59"/>
      <c r="E758" s="63"/>
      <c r="F758" s="59"/>
      <c r="I758" s="5"/>
      <c r="J758" s="5"/>
      <c r="K758" s="5"/>
      <c r="O758" s="5"/>
    </row>
    <row r="759" spans="1:15" ht="21" customHeight="1" x14ac:dyDescent="0.2">
      <c r="A759" s="5"/>
      <c r="B759" s="5"/>
      <c r="C759" s="59"/>
      <c r="D759" s="59"/>
      <c r="E759" s="63"/>
      <c r="F759" s="59"/>
      <c r="I759" s="5"/>
      <c r="J759" s="5"/>
      <c r="K759" s="5"/>
      <c r="O759" s="5"/>
    </row>
    <row r="760" spans="1:15" ht="21" customHeight="1" x14ac:dyDescent="0.2">
      <c r="A760" s="5"/>
      <c r="B760" s="5"/>
      <c r="C760" s="59"/>
      <c r="D760" s="59"/>
      <c r="E760" s="63"/>
      <c r="F760" s="59"/>
      <c r="I760" s="5"/>
      <c r="J760" s="5"/>
      <c r="K760" s="5"/>
      <c r="O760" s="5"/>
    </row>
    <row r="761" spans="1:15" ht="21" customHeight="1" x14ac:dyDescent="0.2">
      <c r="A761" s="5"/>
      <c r="B761" s="5"/>
      <c r="C761" s="59"/>
      <c r="D761" s="59"/>
      <c r="E761" s="63"/>
      <c r="F761" s="59"/>
      <c r="I761" s="5"/>
      <c r="J761" s="5"/>
      <c r="K761" s="5"/>
      <c r="O761" s="5"/>
    </row>
    <row r="762" spans="1:15" ht="21" customHeight="1" x14ac:dyDescent="0.2">
      <c r="A762" s="5"/>
      <c r="B762" s="5"/>
      <c r="C762" s="59"/>
      <c r="D762" s="59"/>
      <c r="E762" s="63"/>
      <c r="F762" s="59"/>
      <c r="I762" s="5"/>
      <c r="J762" s="5"/>
      <c r="K762" s="5"/>
      <c r="O762" s="5"/>
    </row>
    <row r="763" spans="1:15" ht="21" customHeight="1" x14ac:dyDescent="0.2">
      <c r="A763" s="5"/>
      <c r="B763" s="5"/>
      <c r="C763" s="59"/>
      <c r="D763" s="59"/>
      <c r="E763" s="63"/>
      <c r="F763" s="59"/>
      <c r="I763" s="5"/>
      <c r="J763" s="5"/>
      <c r="K763" s="5"/>
      <c r="O763" s="5"/>
    </row>
    <row r="764" spans="1:15" ht="21" customHeight="1" x14ac:dyDescent="0.2">
      <c r="A764" s="5"/>
      <c r="B764" s="5"/>
      <c r="C764" s="59"/>
      <c r="D764" s="59"/>
      <c r="E764" s="63"/>
      <c r="F764" s="59"/>
      <c r="I764" s="5"/>
      <c r="J764" s="5"/>
      <c r="K764" s="5"/>
      <c r="O764" s="5"/>
    </row>
    <row r="765" spans="1:15" ht="21" customHeight="1" x14ac:dyDescent="0.2">
      <c r="A765" s="5"/>
      <c r="B765" s="5"/>
      <c r="C765" s="59"/>
      <c r="D765" s="59"/>
      <c r="E765" s="63"/>
      <c r="F765" s="59"/>
      <c r="I765" s="5"/>
      <c r="J765" s="5"/>
      <c r="K765" s="5"/>
      <c r="O765" s="5"/>
    </row>
    <row r="766" spans="1:15" ht="21" customHeight="1" x14ac:dyDescent="0.2">
      <c r="A766" s="5"/>
      <c r="B766" s="5"/>
      <c r="C766" s="59"/>
      <c r="D766" s="59"/>
      <c r="E766" s="63"/>
      <c r="F766" s="59"/>
      <c r="I766" s="5"/>
      <c r="J766" s="5"/>
      <c r="K766" s="5"/>
      <c r="O766" s="5"/>
    </row>
    <row r="767" spans="1:15" ht="21" customHeight="1" x14ac:dyDescent="0.2">
      <c r="A767" s="5"/>
      <c r="B767" s="5"/>
      <c r="C767" s="59"/>
      <c r="D767" s="59"/>
      <c r="E767" s="63"/>
      <c r="F767" s="59"/>
      <c r="I767" s="5"/>
      <c r="J767" s="5"/>
      <c r="K767" s="5"/>
      <c r="O767" s="5"/>
    </row>
    <row r="768" spans="1:15" ht="21" customHeight="1" x14ac:dyDescent="0.2">
      <c r="A768" s="5"/>
      <c r="B768" s="5"/>
      <c r="C768" s="59"/>
      <c r="D768" s="59"/>
      <c r="E768" s="63"/>
      <c r="F768" s="59"/>
      <c r="I768" s="5"/>
      <c r="J768" s="5"/>
      <c r="K768" s="5"/>
      <c r="O768" s="5"/>
    </row>
    <row r="769" spans="1:15" ht="21" customHeight="1" x14ac:dyDescent="0.2">
      <c r="A769" s="5"/>
      <c r="B769" s="5"/>
      <c r="C769" s="59"/>
      <c r="D769" s="59"/>
      <c r="E769" s="63"/>
      <c r="F769" s="59"/>
      <c r="I769" s="5"/>
      <c r="J769" s="5"/>
      <c r="K769" s="5"/>
      <c r="O769" s="5"/>
    </row>
    <row r="770" spans="1:15" ht="21" customHeight="1" x14ac:dyDescent="0.2">
      <c r="A770" s="5"/>
      <c r="B770" s="5"/>
      <c r="C770" s="59"/>
      <c r="D770" s="59"/>
      <c r="E770" s="63"/>
      <c r="F770" s="59"/>
      <c r="I770" s="5"/>
      <c r="J770" s="5"/>
      <c r="K770" s="5"/>
      <c r="O770" s="5"/>
    </row>
    <row r="771" spans="1:15" ht="21" customHeight="1" x14ac:dyDescent="0.2">
      <c r="A771" s="5"/>
      <c r="B771" s="5"/>
      <c r="C771" s="59"/>
      <c r="D771" s="59"/>
      <c r="E771" s="63"/>
      <c r="F771" s="59"/>
      <c r="I771" s="5"/>
      <c r="J771" s="5"/>
      <c r="K771" s="5"/>
      <c r="O771" s="5"/>
    </row>
    <row r="772" spans="1:15" ht="21" customHeight="1" x14ac:dyDescent="0.2">
      <c r="A772" s="5"/>
      <c r="B772" s="5"/>
      <c r="C772" s="59"/>
      <c r="D772" s="59"/>
      <c r="E772" s="63"/>
      <c r="F772" s="59"/>
      <c r="I772" s="5"/>
      <c r="J772" s="5"/>
      <c r="K772" s="5"/>
      <c r="O772" s="5"/>
    </row>
    <row r="773" spans="1:15" ht="21" customHeight="1" x14ac:dyDescent="0.2">
      <c r="A773" s="5"/>
      <c r="B773" s="5"/>
      <c r="C773" s="59"/>
      <c r="D773" s="59"/>
      <c r="E773" s="63"/>
      <c r="F773" s="59"/>
      <c r="I773" s="5"/>
      <c r="J773" s="5"/>
      <c r="K773" s="5"/>
      <c r="O773" s="5"/>
    </row>
    <row r="774" spans="1:15" ht="21" customHeight="1" x14ac:dyDescent="0.2">
      <c r="A774" s="5"/>
      <c r="B774" s="5"/>
      <c r="C774" s="59"/>
      <c r="D774" s="59"/>
      <c r="E774" s="63"/>
      <c r="F774" s="59"/>
      <c r="I774" s="5"/>
      <c r="J774" s="5"/>
      <c r="K774" s="5"/>
      <c r="O774" s="5"/>
    </row>
    <row r="775" spans="1:15" ht="21" customHeight="1" x14ac:dyDescent="0.2">
      <c r="A775" s="5"/>
      <c r="B775" s="5"/>
      <c r="C775" s="59"/>
      <c r="D775" s="59"/>
      <c r="E775" s="63"/>
      <c r="F775" s="59"/>
      <c r="I775" s="5"/>
      <c r="J775" s="5"/>
      <c r="K775" s="5"/>
      <c r="O775" s="5"/>
    </row>
    <row r="776" spans="1:15" ht="21" customHeight="1" x14ac:dyDescent="0.2">
      <c r="A776" s="5"/>
      <c r="B776" s="5"/>
      <c r="C776" s="59"/>
      <c r="D776" s="59"/>
      <c r="E776" s="63"/>
      <c r="F776" s="59"/>
      <c r="I776" s="5"/>
      <c r="J776" s="5"/>
      <c r="K776" s="5"/>
      <c r="O776" s="5"/>
    </row>
    <row r="777" spans="1:15" ht="21" customHeight="1" x14ac:dyDescent="0.2">
      <c r="A777" s="5"/>
      <c r="B777" s="5"/>
      <c r="C777" s="59"/>
      <c r="D777" s="59"/>
      <c r="E777" s="63"/>
      <c r="F777" s="59"/>
      <c r="I777" s="5"/>
      <c r="J777" s="5"/>
      <c r="K777" s="5"/>
      <c r="O777" s="5"/>
    </row>
    <row r="778" spans="1:15" ht="21" customHeight="1" x14ac:dyDescent="0.2">
      <c r="A778" s="5"/>
      <c r="B778" s="5"/>
      <c r="C778" s="59"/>
      <c r="D778" s="59"/>
      <c r="E778" s="63"/>
      <c r="F778" s="59"/>
      <c r="I778" s="5"/>
      <c r="J778" s="5"/>
      <c r="K778" s="5"/>
      <c r="O778" s="5"/>
    </row>
    <row r="779" spans="1:15" ht="21" customHeight="1" x14ac:dyDescent="0.2">
      <c r="A779" s="5"/>
      <c r="B779" s="5"/>
      <c r="C779" s="59"/>
      <c r="D779" s="59"/>
      <c r="E779" s="63"/>
      <c r="F779" s="59"/>
      <c r="I779" s="5"/>
      <c r="J779" s="5"/>
      <c r="K779" s="5"/>
      <c r="O779" s="5"/>
    </row>
    <row r="780" spans="1:15" ht="21" customHeight="1" x14ac:dyDescent="0.2">
      <c r="A780" s="5"/>
      <c r="B780" s="5"/>
      <c r="C780" s="59"/>
      <c r="D780" s="59"/>
      <c r="E780" s="63"/>
      <c r="F780" s="59"/>
      <c r="I780" s="5"/>
      <c r="J780" s="5"/>
      <c r="K780" s="5"/>
      <c r="O780" s="5"/>
    </row>
    <row r="781" spans="1:15" ht="21" customHeight="1" x14ac:dyDescent="0.2">
      <c r="A781" s="5"/>
      <c r="B781" s="5"/>
      <c r="C781" s="59"/>
      <c r="D781" s="59"/>
      <c r="E781" s="63"/>
      <c r="F781" s="59"/>
      <c r="I781" s="5"/>
      <c r="J781" s="5"/>
      <c r="K781" s="5"/>
      <c r="O781" s="5"/>
    </row>
    <row r="782" spans="1:15" ht="21" customHeight="1" x14ac:dyDescent="0.2">
      <c r="A782" s="5"/>
      <c r="B782" s="5"/>
      <c r="C782" s="59"/>
      <c r="D782" s="59"/>
      <c r="E782" s="63"/>
      <c r="F782" s="59"/>
      <c r="I782" s="5"/>
      <c r="J782" s="5"/>
      <c r="K782" s="5"/>
      <c r="O782" s="5"/>
    </row>
    <row r="783" spans="1:15" ht="21" customHeight="1" x14ac:dyDescent="0.2">
      <c r="A783" s="5"/>
      <c r="B783" s="5"/>
      <c r="C783" s="59"/>
      <c r="D783" s="59"/>
      <c r="E783" s="63"/>
      <c r="F783" s="59"/>
      <c r="I783" s="5"/>
      <c r="J783" s="5"/>
      <c r="K783" s="5"/>
      <c r="O783" s="5"/>
    </row>
    <row r="784" spans="1:15" ht="21" customHeight="1" x14ac:dyDescent="0.2">
      <c r="A784" s="5"/>
      <c r="B784" s="5"/>
      <c r="C784" s="59"/>
      <c r="D784" s="59"/>
      <c r="E784" s="63"/>
      <c r="F784" s="59"/>
      <c r="I784" s="5"/>
      <c r="J784" s="5"/>
      <c r="K784" s="5"/>
      <c r="O784" s="5"/>
    </row>
    <row r="785" spans="1:15" ht="21" customHeight="1" x14ac:dyDescent="0.2">
      <c r="A785" s="5"/>
      <c r="B785" s="5"/>
      <c r="C785" s="59"/>
      <c r="D785" s="59"/>
      <c r="E785" s="63"/>
      <c r="F785" s="59"/>
      <c r="I785" s="5"/>
      <c r="J785" s="5"/>
      <c r="K785" s="5"/>
      <c r="O785" s="5"/>
    </row>
    <row r="786" spans="1:15" ht="21" customHeight="1" x14ac:dyDescent="0.2">
      <c r="A786" s="5"/>
      <c r="B786" s="5"/>
      <c r="C786" s="59"/>
      <c r="D786" s="59"/>
      <c r="E786" s="63"/>
      <c r="F786" s="59"/>
      <c r="I786" s="5"/>
      <c r="J786" s="5"/>
      <c r="K786" s="5"/>
      <c r="O786" s="5"/>
    </row>
    <row r="787" spans="1:15" ht="21" customHeight="1" x14ac:dyDescent="0.2">
      <c r="A787" s="5"/>
      <c r="B787" s="5"/>
      <c r="C787" s="59"/>
      <c r="D787" s="59"/>
      <c r="E787" s="63"/>
      <c r="F787" s="59"/>
      <c r="I787" s="5"/>
      <c r="J787" s="5"/>
      <c r="K787" s="5"/>
      <c r="O787" s="5"/>
    </row>
    <row r="788" spans="1:15" ht="21" customHeight="1" x14ac:dyDescent="0.2">
      <c r="A788" s="5"/>
      <c r="B788" s="5"/>
      <c r="C788" s="59"/>
      <c r="D788" s="59"/>
      <c r="E788" s="63"/>
      <c r="F788" s="59"/>
      <c r="I788" s="5"/>
      <c r="J788" s="5"/>
      <c r="K788" s="5"/>
      <c r="O788" s="5"/>
    </row>
    <row r="789" spans="1:15" ht="21" customHeight="1" x14ac:dyDescent="0.2">
      <c r="A789" s="5"/>
      <c r="B789" s="5"/>
      <c r="C789" s="59"/>
      <c r="D789" s="59"/>
      <c r="E789" s="63"/>
      <c r="F789" s="59"/>
      <c r="I789" s="5"/>
      <c r="J789" s="5"/>
      <c r="K789" s="5"/>
      <c r="O789" s="5"/>
    </row>
    <row r="790" spans="1:15" ht="21" customHeight="1" x14ac:dyDescent="0.2">
      <c r="A790" s="5"/>
      <c r="B790" s="5"/>
      <c r="C790" s="59"/>
      <c r="D790" s="59"/>
      <c r="E790" s="63"/>
      <c r="F790" s="59"/>
      <c r="I790" s="5"/>
      <c r="J790" s="5"/>
      <c r="K790" s="5"/>
      <c r="O790" s="5"/>
    </row>
    <row r="791" spans="1:15" ht="21" customHeight="1" x14ac:dyDescent="0.2">
      <c r="A791" s="5"/>
      <c r="B791" s="5"/>
      <c r="C791" s="59"/>
      <c r="D791" s="59"/>
      <c r="E791" s="63"/>
      <c r="F791" s="59"/>
      <c r="I791" s="5"/>
      <c r="J791" s="5"/>
      <c r="K791" s="5"/>
      <c r="O791" s="5"/>
    </row>
    <row r="792" spans="1:15" ht="21" customHeight="1" x14ac:dyDescent="0.2">
      <c r="A792" s="5"/>
      <c r="B792" s="5"/>
      <c r="C792" s="59"/>
      <c r="D792" s="59"/>
      <c r="E792" s="63"/>
      <c r="F792" s="59"/>
      <c r="I792" s="5"/>
      <c r="J792" s="5"/>
      <c r="K792" s="5"/>
      <c r="O792" s="5"/>
    </row>
    <row r="793" spans="1:15" ht="21" customHeight="1" x14ac:dyDescent="0.2">
      <c r="A793" s="5"/>
      <c r="B793" s="5"/>
      <c r="C793" s="59"/>
      <c r="D793" s="59"/>
      <c r="E793" s="63"/>
      <c r="F793" s="59"/>
      <c r="I793" s="5"/>
      <c r="J793" s="5"/>
      <c r="K793" s="5"/>
      <c r="O793" s="5"/>
    </row>
    <row r="794" spans="1:15" ht="21" customHeight="1" x14ac:dyDescent="0.2">
      <c r="A794" s="5"/>
      <c r="B794" s="5"/>
      <c r="C794" s="59"/>
      <c r="D794" s="59"/>
      <c r="E794" s="63"/>
      <c r="F794" s="59"/>
      <c r="I794" s="5"/>
      <c r="J794" s="5"/>
      <c r="K794" s="5"/>
      <c r="O794" s="5"/>
    </row>
    <row r="795" spans="1:15" ht="21" customHeight="1" x14ac:dyDescent="0.2">
      <c r="A795" s="5"/>
      <c r="B795" s="5"/>
      <c r="C795" s="59"/>
      <c r="D795" s="59"/>
      <c r="E795" s="63"/>
      <c r="F795" s="59"/>
      <c r="I795" s="5"/>
      <c r="J795" s="5"/>
      <c r="K795" s="5"/>
      <c r="O795" s="5"/>
    </row>
    <row r="796" spans="1:15" ht="21" customHeight="1" x14ac:dyDescent="0.2">
      <c r="A796" s="5"/>
      <c r="B796" s="5"/>
      <c r="C796" s="59"/>
      <c r="D796" s="59"/>
      <c r="E796" s="63"/>
      <c r="F796" s="59"/>
      <c r="I796" s="5"/>
      <c r="J796" s="5"/>
      <c r="K796" s="5"/>
      <c r="O796" s="5"/>
    </row>
    <row r="797" spans="1:15" ht="21" customHeight="1" x14ac:dyDescent="0.2">
      <c r="A797" s="5"/>
      <c r="B797" s="5"/>
      <c r="C797" s="59"/>
      <c r="D797" s="59"/>
      <c r="E797" s="63"/>
      <c r="F797" s="59"/>
      <c r="I797" s="5"/>
      <c r="J797" s="5"/>
      <c r="K797" s="5"/>
      <c r="O797" s="5"/>
    </row>
    <row r="798" spans="1:15" ht="21" customHeight="1" x14ac:dyDescent="0.2">
      <c r="A798" s="5"/>
      <c r="B798" s="5"/>
      <c r="C798" s="59"/>
      <c r="D798" s="59"/>
      <c r="E798" s="63"/>
      <c r="F798" s="59"/>
      <c r="I798" s="5"/>
      <c r="J798" s="5"/>
      <c r="K798" s="5"/>
      <c r="O798" s="5"/>
    </row>
    <row r="799" spans="1:15" ht="21" customHeight="1" x14ac:dyDescent="0.2">
      <c r="A799" s="5"/>
      <c r="B799" s="5"/>
      <c r="C799" s="59"/>
      <c r="D799" s="59"/>
      <c r="E799" s="63"/>
      <c r="F799" s="59"/>
      <c r="I799" s="5"/>
      <c r="J799" s="5"/>
      <c r="K799" s="5"/>
      <c r="O799" s="5"/>
    </row>
    <row r="800" spans="1:15" ht="21" customHeight="1" x14ac:dyDescent="0.2">
      <c r="A800" s="5"/>
      <c r="B800" s="5"/>
      <c r="C800" s="59"/>
      <c r="D800" s="59"/>
      <c r="E800" s="63"/>
      <c r="F800" s="59"/>
      <c r="I800" s="5"/>
      <c r="J800" s="5"/>
      <c r="K800" s="5"/>
      <c r="O800" s="5"/>
    </row>
    <row r="801" spans="1:15" ht="21" customHeight="1" x14ac:dyDescent="0.2">
      <c r="A801" s="5"/>
      <c r="B801" s="5"/>
      <c r="C801" s="59"/>
      <c r="D801" s="59"/>
      <c r="E801" s="63"/>
      <c r="F801" s="59"/>
      <c r="I801" s="5"/>
      <c r="J801" s="5"/>
      <c r="K801" s="5"/>
      <c r="O801" s="5"/>
    </row>
    <row r="802" spans="1:15" ht="21" customHeight="1" x14ac:dyDescent="0.2">
      <c r="A802" s="5"/>
      <c r="B802" s="5"/>
      <c r="C802" s="59"/>
      <c r="D802" s="59"/>
      <c r="E802" s="63"/>
      <c r="F802" s="59"/>
      <c r="I802" s="5"/>
      <c r="J802" s="5"/>
      <c r="K802" s="5"/>
      <c r="O802" s="5"/>
    </row>
    <row r="803" spans="1:15" ht="21" customHeight="1" x14ac:dyDescent="0.2">
      <c r="A803" s="5"/>
      <c r="B803" s="5"/>
      <c r="C803" s="59"/>
      <c r="D803" s="59"/>
      <c r="E803" s="63"/>
      <c r="F803" s="59"/>
      <c r="I803" s="5"/>
      <c r="J803" s="5"/>
      <c r="K803" s="5"/>
      <c r="O803" s="5"/>
    </row>
    <row r="804" spans="1:15" ht="21" customHeight="1" x14ac:dyDescent="0.2">
      <c r="A804" s="5"/>
      <c r="B804" s="5"/>
      <c r="C804" s="59"/>
      <c r="D804" s="59"/>
      <c r="E804" s="63"/>
      <c r="F804" s="59"/>
      <c r="I804" s="5"/>
      <c r="J804" s="5"/>
      <c r="K804" s="5"/>
      <c r="O804" s="5"/>
    </row>
    <row r="805" spans="1:15" ht="21" customHeight="1" x14ac:dyDescent="0.2">
      <c r="A805" s="5"/>
      <c r="B805" s="5"/>
      <c r="C805" s="59"/>
      <c r="D805" s="59"/>
      <c r="E805" s="63"/>
      <c r="F805" s="59"/>
      <c r="I805" s="5"/>
      <c r="J805" s="5"/>
      <c r="K805" s="5"/>
      <c r="O805" s="5"/>
    </row>
    <row r="806" spans="1:15" ht="21" customHeight="1" x14ac:dyDescent="0.2">
      <c r="A806" s="5"/>
      <c r="B806" s="5"/>
      <c r="C806" s="59"/>
      <c r="D806" s="59"/>
      <c r="E806" s="63"/>
      <c r="F806" s="59"/>
      <c r="I806" s="5"/>
      <c r="J806" s="5"/>
      <c r="K806" s="5"/>
      <c r="O806" s="5"/>
    </row>
    <row r="807" spans="1:15" ht="21" customHeight="1" x14ac:dyDescent="0.2">
      <c r="A807" s="5"/>
      <c r="B807" s="5"/>
      <c r="C807" s="59"/>
      <c r="D807" s="59"/>
      <c r="E807" s="63"/>
      <c r="F807" s="59"/>
      <c r="I807" s="5"/>
      <c r="J807" s="5"/>
      <c r="K807" s="5"/>
      <c r="O807" s="5"/>
    </row>
    <row r="808" spans="1:15" ht="21" customHeight="1" x14ac:dyDescent="0.2">
      <c r="A808" s="5"/>
      <c r="B808" s="5"/>
      <c r="C808" s="59"/>
      <c r="D808" s="59"/>
      <c r="E808" s="63"/>
      <c r="F808" s="59"/>
      <c r="I808" s="5"/>
      <c r="J808" s="5"/>
      <c r="K808" s="5"/>
      <c r="O808" s="5"/>
    </row>
    <row r="809" spans="1:15" ht="21" customHeight="1" x14ac:dyDescent="0.2">
      <c r="A809" s="5"/>
      <c r="B809" s="5"/>
      <c r="C809" s="59"/>
      <c r="D809" s="59"/>
      <c r="E809" s="63"/>
      <c r="F809" s="59"/>
      <c r="I809" s="5"/>
      <c r="J809" s="5"/>
      <c r="K809" s="5"/>
      <c r="O809" s="5"/>
    </row>
    <row r="810" spans="1:15" ht="21" customHeight="1" x14ac:dyDescent="0.2">
      <c r="A810" s="5"/>
      <c r="B810" s="5"/>
      <c r="C810" s="59"/>
      <c r="D810" s="59"/>
      <c r="E810" s="63"/>
      <c r="F810" s="59"/>
      <c r="I810" s="5"/>
      <c r="J810" s="5"/>
      <c r="K810" s="5"/>
      <c r="O810" s="5"/>
    </row>
    <row r="811" spans="1:15" ht="21" customHeight="1" x14ac:dyDescent="0.2">
      <c r="A811" s="5"/>
      <c r="B811" s="5"/>
      <c r="C811" s="59"/>
      <c r="D811" s="59"/>
      <c r="E811" s="63"/>
      <c r="F811" s="59"/>
      <c r="I811" s="5"/>
      <c r="J811" s="5"/>
      <c r="K811" s="5"/>
      <c r="O811" s="5"/>
    </row>
    <row r="812" spans="1:15" ht="21" customHeight="1" x14ac:dyDescent="0.2">
      <c r="A812" s="5"/>
      <c r="B812" s="5"/>
      <c r="C812" s="59"/>
      <c r="D812" s="59"/>
      <c r="E812" s="63"/>
      <c r="F812" s="59"/>
      <c r="I812" s="5"/>
      <c r="J812" s="5"/>
      <c r="K812" s="5"/>
      <c r="O812" s="5"/>
    </row>
    <row r="813" spans="1:15" ht="21" customHeight="1" x14ac:dyDescent="0.2">
      <c r="A813" s="5"/>
      <c r="B813" s="5"/>
      <c r="C813" s="59"/>
      <c r="D813" s="59"/>
      <c r="E813" s="63"/>
      <c r="F813" s="59"/>
      <c r="I813" s="5"/>
      <c r="J813" s="5"/>
      <c r="K813" s="5"/>
      <c r="O813" s="5"/>
    </row>
    <row r="814" spans="1:15" ht="21" customHeight="1" x14ac:dyDescent="0.2">
      <c r="A814" s="5"/>
      <c r="B814" s="5"/>
      <c r="C814" s="59"/>
      <c r="D814" s="59"/>
      <c r="E814" s="63"/>
      <c r="F814" s="59"/>
      <c r="I814" s="5"/>
      <c r="J814" s="5"/>
      <c r="K814" s="5"/>
      <c r="O814" s="5"/>
    </row>
    <row r="815" spans="1:15" ht="21" customHeight="1" x14ac:dyDescent="0.2">
      <c r="A815" s="5"/>
      <c r="B815" s="5"/>
      <c r="C815" s="59"/>
      <c r="D815" s="59"/>
      <c r="E815" s="63"/>
      <c r="F815" s="59"/>
      <c r="I815" s="5"/>
      <c r="J815" s="5"/>
      <c r="K815" s="5"/>
      <c r="O815" s="5"/>
    </row>
    <row r="816" spans="1:15" ht="21" customHeight="1" x14ac:dyDescent="0.2">
      <c r="A816" s="5"/>
      <c r="B816" s="5"/>
      <c r="C816" s="59"/>
      <c r="D816" s="59"/>
      <c r="E816" s="63"/>
      <c r="F816" s="59"/>
      <c r="I816" s="5"/>
      <c r="J816" s="5"/>
      <c r="K816" s="5"/>
      <c r="O816" s="5"/>
    </row>
    <row r="817" spans="1:15" ht="21" customHeight="1" x14ac:dyDescent="0.2">
      <c r="A817" s="5"/>
      <c r="B817" s="5"/>
      <c r="C817" s="59"/>
      <c r="D817" s="59"/>
      <c r="E817" s="63"/>
      <c r="F817" s="59"/>
      <c r="I817" s="5"/>
      <c r="J817" s="5"/>
      <c r="K817" s="5"/>
      <c r="O817" s="5"/>
    </row>
    <row r="818" spans="1:15" ht="21" customHeight="1" x14ac:dyDescent="0.2">
      <c r="A818" s="5"/>
      <c r="B818" s="5"/>
      <c r="C818" s="59"/>
      <c r="D818" s="59"/>
      <c r="E818" s="63"/>
      <c r="F818" s="59"/>
      <c r="I818" s="5"/>
      <c r="J818" s="5"/>
      <c r="K818" s="5"/>
      <c r="O818" s="5"/>
    </row>
    <row r="819" spans="1:15" ht="21" customHeight="1" x14ac:dyDescent="0.2">
      <c r="A819" s="5"/>
      <c r="B819" s="5"/>
      <c r="C819" s="59"/>
      <c r="D819" s="59"/>
      <c r="E819" s="63"/>
      <c r="F819" s="59"/>
      <c r="I819" s="5"/>
      <c r="J819" s="5"/>
      <c r="K819" s="5"/>
      <c r="O819" s="5"/>
    </row>
    <row r="820" spans="1:15" ht="21" customHeight="1" x14ac:dyDescent="0.2">
      <c r="A820" s="5"/>
      <c r="B820" s="5"/>
      <c r="C820" s="59"/>
      <c r="D820" s="59"/>
      <c r="E820" s="63"/>
      <c r="F820" s="59"/>
      <c r="I820" s="5"/>
      <c r="J820" s="5"/>
      <c r="K820" s="5"/>
      <c r="O820" s="5"/>
    </row>
    <row r="821" spans="1:15" ht="21" customHeight="1" x14ac:dyDescent="0.2">
      <c r="A821" s="5"/>
      <c r="B821" s="5"/>
      <c r="C821" s="59"/>
      <c r="D821" s="59"/>
      <c r="E821" s="63"/>
      <c r="F821" s="59"/>
      <c r="I821" s="5"/>
      <c r="J821" s="5"/>
      <c r="K821" s="5"/>
      <c r="O821" s="5"/>
    </row>
    <row r="822" spans="1:15" ht="21" customHeight="1" x14ac:dyDescent="0.2">
      <c r="A822" s="5"/>
      <c r="B822" s="5"/>
      <c r="C822" s="59"/>
      <c r="D822" s="59"/>
      <c r="E822" s="63"/>
      <c r="F822" s="59"/>
      <c r="I822" s="5"/>
      <c r="J822" s="5"/>
      <c r="K822" s="5"/>
      <c r="O822" s="5"/>
    </row>
    <row r="823" spans="1:15" ht="21" customHeight="1" x14ac:dyDescent="0.2">
      <c r="A823" s="5"/>
      <c r="B823" s="5"/>
      <c r="C823" s="59"/>
      <c r="D823" s="59"/>
      <c r="E823" s="63"/>
      <c r="F823" s="59"/>
      <c r="I823" s="5"/>
      <c r="J823" s="5"/>
      <c r="K823" s="5"/>
      <c r="O823" s="5"/>
    </row>
    <row r="824" spans="1:15" ht="21" customHeight="1" x14ac:dyDescent="0.2">
      <c r="A824" s="5"/>
      <c r="B824" s="5"/>
      <c r="C824" s="59"/>
      <c r="D824" s="59"/>
      <c r="E824" s="63"/>
      <c r="F824" s="59"/>
      <c r="I824" s="5"/>
      <c r="J824" s="5"/>
      <c r="K824" s="5"/>
      <c r="O824" s="5"/>
    </row>
    <row r="825" spans="1:15" ht="21" customHeight="1" x14ac:dyDescent="0.2">
      <c r="A825" s="5"/>
      <c r="B825" s="5"/>
      <c r="C825" s="59"/>
      <c r="D825" s="59"/>
      <c r="E825" s="63"/>
      <c r="F825" s="59"/>
      <c r="I825" s="5"/>
      <c r="J825" s="5"/>
      <c r="K825" s="5"/>
      <c r="O825" s="5"/>
    </row>
    <row r="826" spans="1:15" ht="21" customHeight="1" x14ac:dyDescent="0.2">
      <c r="A826" s="5"/>
      <c r="B826" s="5"/>
      <c r="C826" s="59"/>
      <c r="D826" s="59"/>
      <c r="E826" s="63"/>
      <c r="F826" s="59"/>
      <c r="I826" s="5"/>
      <c r="J826" s="5"/>
      <c r="K826" s="5"/>
      <c r="O826" s="5"/>
    </row>
    <row r="827" spans="1:15" ht="21" customHeight="1" x14ac:dyDescent="0.2">
      <c r="A827" s="5"/>
      <c r="B827" s="5"/>
      <c r="C827" s="59"/>
      <c r="D827" s="59"/>
      <c r="E827" s="63"/>
      <c r="F827" s="59"/>
      <c r="I827" s="5"/>
      <c r="J827" s="5"/>
      <c r="K827" s="5"/>
      <c r="O827" s="5"/>
    </row>
    <row r="828" spans="1:15" ht="21" customHeight="1" x14ac:dyDescent="0.2">
      <c r="A828" s="5"/>
      <c r="B828" s="5"/>
      <c r="C828" s="59"/>
      <c r="D828" s="59"/>
      <c r="E828" s="63"/>
      <c r="F828" s="59"/>
      <c r="I828" s="5"/>
      <c r="J828" s="5"/>
      <c r="K828" s="5"/>
      <c r="O828" s="5"/>
    </row>
    <row r="829" spans="1:15" ht="21" customHeight="1" x14ac:dyDescent="0.2">
      <c r="A829" s="5"/>
      <c r="B829" s="5"/>
      <c r="C829" s="59"/>
      <c r="D829" s="59"/>
      <c r="E829" s="63"/>
      <c r="F829" s="59"/>
      <c r="I829" s="5"/>
      <c r="J829" s="5"/>
      <c r="K829" s="5"/>
      <c r="O829" s="5"/>
    </row>
    <row r="830" spans="1:15" ht="21" customHeight="1" x14ac:dyDescent="0.2">
      <c r="A830" s="5"/>
      <c r="B830" s="5"/>
      <c r="C830" s="59"/>
      <c r="D830" s="59"/>
      <c r="E830" s="63"/>
      <c r="F830" s="59"/>
      <c r="I830" s="5"/>
      <c r="J830" s="5"/>
      <c r="K830" s="5"/>
      <c r="O830" s="5"/>
    </row>
    <row r="831" spans="1:15" ht="21" customHeight="1" x14ac:dyDescent="0.2">
      <c r="A831" s="5"/>
      <c r="B831" s="5"/>
      <c r="C831" s="59"/>
      <c r="D831" s="59"/>
      <c r="E831" s="63"/>
      <c r="F831" s="59"/>
      <c r="I831" s="5"/>
      <c r="J831" s="5"/>
      <c r="K831" s="5"/>
      <c r="O831" s="5"/>
    </row>
    <row r="832" spans="1:15" ht="21" customHeight="1" x14ac:dyDescent="0.2">
      <c r="A832" s="5"/>
      <c r="B832" s="5"/>
      <c r="C832" s="59"/>
      <c r="D832" s="59"/>
      <c r="E832" s="63"/>
      <c r="F832" s="59"/>
      <c r="I832" s="5"/>
      <c r="J832" s="5"/>
      <c r="K832" s="5"/>
      <c r="O832" s="5"/>
    </row>
    <row r="833" spans="1:15" ht="21" customHeight="1" x14ac:dyDescent="0.2">
      <c r="A833" s="5"/>
      <c r="B833" s="5"/>
      <c r="C833" s="59"/>
      <c r="D833" s="59"/>
      <c r="E833" s="63"/>
      <c r="F833" s="59"/>
      <c r="I833" s="5"/>
      <c r="J833" s="5"/>
      <c r="K833" s="5"/>
      <c r="O833" s="5"/>
    </row>
    <row r="834" spans="1:15" ht="21" customHeight="1" x14ac:dyDescent="0.2">
      <c r="A834" s="5"/>
      <c r="B834" s="5"/>
      <c r="C834" s="59"/>
      <c r="D834" s="59"/>
      <c r="E834" s="63"/>
      <c r="F834" s="59"/>
      <c r="I834" s="5"/>
      <c r="J834" s="5"/>
      <c r="K834" s="5"/>
      <c r="O834" s="5"/>
    </row>
    <row r="835" spans="1:15" ht="21" customHeight="1" x14ac:dyDescent="0.2">
      <c r="A835" s="5"/>
      <c r="B835" s="5"/>
      <c r="C835" s="59"/>
      <c r="D835" s="59"/>
      <c r="E835" s="63"/>
      <c r="F835" s="59"/>
      <c r="I835" s="5"/>
      <c r="J835" s="5"/>
      <c r="K835" s="5"/>
      <c r="O835" s="5"/>
    </row>
    <row r="836" spans="1:15" ht="21" customHeight="1" x14ac:dyDescent="0.2">
      <c r="A836" s="5"/>
      <c r="B836" s="5"/>
      <c r="C836" s="59"/>
      <c r="D836" s="59"/>
      <c r="E836" s="63"/>
      <c r="F836" s="59"/>
      <c r="I836" s="5"/>
      <c r="J836" s="5"/>
      <c r="K836" s="5"/>
      <c r="O836" s="5"/>
    </row>
    <row r="837" spans="1:15" ht="21" customHeight="1" x14ac:dyDescent="0.2">
      <c r="A837" s="5"/>
      <c r="B837" s="5"/>
      <c r="C837" s="59"/>
      <c r="D837" s="59"/>
      <c r="E837" s="63"/>
      <c r="F837" s="59"/>
      <c r="I837" s="5"/>
      <c r="J837" s="5"/>
      <c r="K837" s="5"/>
      <c r="O837" s="5"/>
    </row>
    <row r="838" spans="1:15" ht="21" customHeight="1" x14ac:dyDescent="0.2">
      <c r="A838" s="5"/>
      <c r="B838" s="5"/>
      <c r="C838" s="59"/>
      <c r="D838" s="59"/>
      <c r="E838" s="63"/>
      <c r="F838" s="59"/>
      <c r="I838" s="5"/>
      <c r="J838" s="5"/>
      <c r="K838" s="5"/>
      <c r="O838" s="5"/>
    </row>
    <row r="839" spans="1:15" ht="21" customHeight="1" x14ac:dyDescent="0.2">
      <c r="A839" s="5"/>
      <c r="B839" s="5"/>
      <c r="C839" s="59"/>
      <c r="D839" s="59"/>
      <c r="E839" s="63"/>
      <c r="F839" s="59"/>
      <c r="I839" s="5"/>
      <c r="J839" s="5"/>
      <c r="K839" s="5"/>
      <c r="O839" s="5"/>
    </row>
    <row r="840" spans="1:15" ht="21" customHeight="1" x14ac:dyDescent="0.2">
      <c r="A840" s="5"/>
      <c r="B840" s="5"/>
      <c r="C840" s="59"/>
      <c r="D840" s="59"/>
      <c r="E840" s="63"/>
      <c r="F840" s="59"/>
      <c r="I840" s="5"/>
      <c r="J840" s="5"/>
      <c r="K840" s="5"/>
      <c r="O840" s="5"/>
    </row>
    <row r="841" spans="1:15" ht="21" customHeight="1" x14ac:dyDescent="0.2">
      <c r="A841" s="5"/>
      <c r="B841" s="5"/>
      <c r="C841" s="59"/>
      <c r="D841" s="59"/>
      <c r="E841" s="63"/>
      <c r="F841" s="59"/>
      <c r="I841" s="5"/>
      <c r="J841" s="5"/>
      <c r="K841" s="5"/>
      <c r="O841" s="5"/>
    </row>
    <row r="842" spans="1:15" ht="21" customHeight="1" x14ac:dyDescent="0.2">
      <c r="A842" s="5"/>
      <c r="B842" s="5"/>
      <c r="C842" s="59"/>
      <c r="D842" s="59"/>
      <c r="E842" s="63"/>
      <c r="F842" s="59"/>
      <c r="I842" s="5"/>
      <c r="J842" s="5"/>
      <c r="K842" s="5"/>
      <c r="O842" s="5"/>
    </row>
    <row r="843" spans="1:15" ht="21" customHeight="1" x14ac:dyDescent="0.2">
      <c r="A843" s="5"/>
      <c r="B843" s="5"/>
      <c r="C843" s="59"/>
      <c r="D843" s="59"/>
      <c r="E843" s="63"/>
      <c r="F843" s="59"/>
      <c r="I843" s="5"/>
      <c r="J843" s="5"/>
      <c r="K843" s="5"/>
      <c r="O843" s="5"/>
    </row>
    <row r="844" spans="1:15" ht="21" customHeight="1" x14ac:dyDescent="0.2">
      <c r="A844" s="5"/>
      <c r="B844" s="5"/>
      <c r="C844" s="59"/>
      <c r="D844" s="59"/>
      <c r="E844" s="63"/>
      <c r="F844" s="59"/>
      <c r="I844" s="5"/>
      <c r="J844" s="5"/>
      <c r="K844" s="5"/>
      <c r="O844" s="5"/>
    </row>
    <row r="845" spans="1:15" ht="21" customHeight="1" x14ac:dyDescent="0.2">
      <c r="A845" s="5"/>
      <c r="B845" s="5"/>
      <c r="C845" s="59"/>
      <c r="D845" s="59"/>
      <c r="E845" s="63"/>
      <c r="F845" s="59"/>
      <c r="I845" s="5"/>
      <c r="J845" s="5"/>
      <c r="K845" s="5"/>
      <c r="O845" s="5"/>
    </row>
    <row r="846" spans="1:15" ht="21" customHeight="1" x14ac:dyDescent="0.2">
      <c r="A846" s="5"/>
      <c r="B846" s="5"/>
      <c r="C846" s="59"/>
      <c r="D846" s="59"/>
      <c r="E846" s="63"/>
      <c r="F846" s="59"/>
      <c r="I846" s="5"/>
      <c r="J846" s="5"/>
      <c r="K846" s="5"/>
      <c r="O846" s="5"/>
    </row>
    <row r="847" spans="1:15" ht="21" customHeight="1" x14ac:dyDescent="0.2">
      <c r="A847" s="5"/>
      <c r="B847" s="5"/>
      <c r="C847" s="59"/>
      <c r="D847" s="59"/>
      <c r="E847" s="63"/>
      <c r="F847" s="59"/>
      <c r="I847" s="5"/>
      <c r="J847" s="5"/>
      <c r="K847" s="5"/>
      <c r="O847" s="5"/>
    </row>
    <row r="848" spans="1:15" ht="21" customHeight="1" x14ac:dyDescent="0.2">
      <c r="A848" s="5"/>
      <c r="B848" s="5"/>
      <c r="C848" s="59"/>
      <c r="D848" s="59"/>
      <c r="E848" s="63"/>
      <c r="F848" s="59"/>
      <c r="I848" s="5"/>
      <c r="J848" s="5"/>
      <c r="K848" s="5"/>
      <c r="O848" s="5"/>
    </row>
    <row r="849" spans="1:15" ht="21" customHeight="1" x14ac:dyDescent="0.2">
      <c r="A849" s="5"/>
      <c r="B849" s="5"/>
      <c r="C849" s="59"/>
      <c r="D849" s="59"/>
      <c r="E849" s="63"/>
      <c r="F849" s="59"/>
      <c r="I849" s="5"/>
      <c r="J849" s="5"/>
      <c r="K849" s="5"/>
      <c r="O849" s="5"/>
    </row>
    <row r="850" spans="1:15" ht="21" customHeight="1" x14ac:dyDescent="0.2">
      <c r="A850" s="5"/>
      <c r="B850" s="5"/>
      <c r="C850" s="59"/>
      <c r="D850" s="59"/>
      <c r="E850" s="63"/>
      <c r="F850" s="59"/>
      <c r="I850" s="5"/>
      <c r="J850" s="5"/>
      <c r="K850" s="5"/>
      <c r="O850" s="5"/>
    </row>
    <row r="851" spans="1:15" ht="21" customHeight="1" x14ac:dyDescent="0.2">
      <c r="A851" s="5"/>
      <c r="B851" s="5"/>
      <c r="C851" s="59"/>
      <c r="D851" s="59"/>
      <c r="E851" s="63"/>
      <c r="F851" s="59"/>
      <c r="I851" s="5"/>
      <c r="J851" s="5"/>
      <c r="K851" s="5"/>
      <c r="O851" s="5"/>
    </row>
    <row r="852" spans="1:15" ht="21" customHeight="1" x14ac:dyDescent="0.2">
      <c r="A852" s="5"/>
      <c r="B852" s="5"/>
      <c r="C852" s="59"/>
      <c r="D852" s="59"/>
      <c r="E852" s="63"/>
      <c r="F852" s="59"/>
      <c r="I852" s="5"/>
      <c r="J852" s="5"/>
      <c r="K852" s="5"/>
      <c r="O852" s="5"/>
    </row>
    <row r="853" spans="1:15" ht="21" customHeight="1" x14ac:dyDescent="0.2">
      <c r="A853" s="5"/>
      <c r="B853" s="5"/>
      <c r="C853" s="59"/>
      <c r="D853" s="59"/>
      <c r="E853" s="63"/>
      <c r="F853" s="59"/>
      <c r="I853" s="5"/>
      <c r="J853" s="5"/>
      <c r="K853" s="5"/>
      <c r="O853" s="5"/>
    </row>
    <row r="854" spans="1:15" ht="21" customHeight="1" x14ac:dyDescent="0.2">
      <c r="A854" s="5"/>
      <c r="B854" s="5"/>
      <c r="C854" s="59"/>
      <c r="D854" s="59"/>
      <c r="E854" s="63"/>
      <c r="F854" s="59"/>
      <c r="I854" s="5"/>
      <c r="J854" s="5"/>
      <c r="K854" s="5"/>
      <c r="O854" s="5"/>
    </row>
    <row r="855" spans="1:15" ht="21" customHeight="1" x14ac:dyDescent="0.2">
      <c r="A855" s="5"/>
      <c r="B855" s="5"/>
      <c r="C855" s="59"/>
      <c r="D855" s="59"/>
      <c r="E855" s="63"/>
      <c r="F855" s="59"/>
      <c r="I855" s="5"/>
      <c r="J855" s="5"/>
      <c r="K855" s="5"/>
      <c r="O855" s="5"/>
    </row>
    <row r="856" spans="1:15" ht="21" customHeight="1" x14ac:dyDescent="0.2">
      <c r="A856" s="5"/>
      <c r="B856" s="5"/>
      <c r="C856" s="59"/>
      <c r="D856" s="59"/>
      <c r="E856" s="63"/>
      <c r="F856" s="59"/>
      <c r="I856" s="5"/>
      <c r="J856" s="5"/>
      <c r="K856" s="5"/>
      <c r="O856" s="5"/>
    </row>
    <row r="857" spans="1:15" ht="21" customHeight="1" x14ac:dyDescent="0.2">
      <c r="A857" s="5"/>
      <c r="B857" s="5"/>
      <c r="C857" s="59"/>
      <c r="D857" s="59"/>
      <c r="E857" s="63"/>
      <c r="F857" s="59"/>
      <c r="I857" s="5"/>
      <c r="J857" s="5"/>
      <c r="K857" s="5"/>
      <c r="O857" s="5"/>
    </row>
    <row r="858" spans="1:15" ht="21" customHeight="1" x14ac:dyDescent="0.2">
      <c r="A858" s="5"/>
      <c r="B858" s="5"/>
      <c r="C858" s="59"/>
      <c r="D858" s="59"/>
      <c r="E858" s="63"/>
      <c r="F858" s="59"/>
      <c r="I858" s="5"/>
      <c r="J858" s="5"/>
      <c r="K858" s="5"/>
      <c r="O858" s="5"/>
    </row>
    <row r="859" spans="1:15" ht="21" customHeight="1" x14ac:dyDescent="0.2">
      <c r="A859" s="5"/>
      <c r="B859" s="5"/>
      <c r="C859" s="59"/>
      <c r="D859" s="59"/>
      <c r="E859" s="63"/>
      <c r="F859" s="59"/>
      <c r="I859" s="5"/>
      <c r="J859" s="5"/>
      <c r="K859" s="5"/>
      <c r="O859" s="5"/>
    </row>
    <row r="860" spans="1:15" ht="21" customHeight="1" x14ac:dyDescent="0.2">
      <c r="A860" s="5"/>
      <c r="B860" s="5"/>
      <c r="C860" s="59"/>
      <c r="D860" s="59"/>
      <c r="E860" s="63"/>
      <c r="F860" s="59"/>
      <c r="I860" s="5"/>
      <c r="J860" s="5"/>
      <c r="K860" s="5"/>
      <c r="O860" s="5"/>
    </row>
    <row r="861" spans="1:15" ht="21" customHeight="1" x14ac:dyDescent="0.2">
      <c r="A861" s="5"/>
      <c r="B861" s="5"/>
      <c r="C861" s="59"/>
      <c r="D861" s="59"/>
      <c r="E861" s="63"/>
      <c r="F861" s="59"/>
      <c r="I861" s="5"/>
      <c r="J861" s="5"/>
      <c r="K861" s="5"/>
      <c r="O861" s="5"/>
    </row>
    <row r="862" spans="1:15" ht="21" customHeight="1" x14ac:dyDescent="0.2">
      <c r="A862" s="5"/>
      <c r="B862" s="5"/>
      <c r="C862" s="59"/>
      <c r="D862" s="59"/>
      <c r="E862" s="63"/>
      <c r="F862" s="59"/>
      <c r="I862" s="5"/>
      <c r="J862" s="5"/>
      <c r="K862" s="5"/>
      <c r="O862" s="5"/>
    </row>
    <row r="863" spans="1:15" ht="21" customHeight="1" x14ac:dyDescent="0.2">
      <c r="A863" s="5"/>
      <c r="B863" s="5"/>
      <c r="C863" s="59"/>
      <c r="D863" s="59"/>
      <c r="E863" s="63"/>
      <c r="F863" s="59"/>
      <c r="I863" s="5"/>
      <c r="J863" s="5"/>
      <c r="K863" s="5"/>
      <c r="O863" s="5"/>
    </row>
    <row r="864" spans="1:15" ht="21" customHeight="1" x14ac:dyDescent="0.2">
      <c r="A864" s="5"/>
      <c r="B864" s="5"/>
      <c r="C864" s="59"/>
      <c r="D864" s="59"/>
      <c r="E864" s="63"/>
      <c r="F864" s="59"/>
      <c r="I864" s="5"/>
      <c r="J864" s="5"/>
      <c r="K864" s="5"/>
      <c r="O864" s="5"/>
    </row>
    <row r="865" spans="1:15" ht="21" customHeight="1" x14ac:dyDescent="0.2">
      <c r="A865" s="5"/>
      <c r="B865" s="5"/>
      <c r="C865" s="59"/>
      <c r="D865" s="59"/>
      <c r="E865" s="63"/>
      <c r="F865" s="59"/>
      <c r="I865" s="5"/>
      <c r="J865" s="5"/>
      <c r="K865" s="5"/>
      <c r="O865" s="5"/>
    </row>
    <row r="866" spans="1:15" ht="21" customHeight="1" x14ac:dyDescent="0.2">
      <c r="A866" s="5"/>
      <c r="B866" s="5"/>
      <c r="C866" s="59"/>
      <c r="D866" s="59"/>
      <c r="E866" s="63"/>
      <c r="F866" s="59"/>
      <c r="I866" s="5"/>
      <c r="J866" s="5"/>
      <c r="K866" s="5"/>
      <c r="O866" s="5"/>
    </row>
    <row r="867" spans="1:15" ht="21" customHeight="1" x14ac:dyDescent="0.2">
      <c r="A867" s="5"/>
      <c r="B867" s="5"/>
      <c r="C867" s="59"/>
      <c r="D867" s="59"/>
      <c r="E867" s="63"/>
      <c r="F867" s="59"/>
      <c r="I867" s="5"/>
      <c r="J867" s="5"/>
      <c r="K867" s="5"/>
      <c r="O867" s="5"/>
    </row>
    <row r="868" spans="1:15" ht="21" customHeight="1" x14ac:dyDescent="0.2">
      <c r="A868" s="5"/>
      <c r="B868" s="5"/>
      <c r="C868" s="59"/>
      <c r="D868" s="59"/>
      <c r="E868" s="63"/>
      <c r="F868" s="59"/>
      <c r="I868" s="5"/>
      <c r="J868" s="5"/>
      <c r="K868" s="5"/>
      <c r="O868" s="5"/>
    </row>
    <row r="869" spans="1:15" ht="21" customHeight="1" x14ac:dyDescent="0.2">
      <c r="A869" s="5"/>
      <c r="B869" s="5"/>
      <c r="C869" s="59"/>
      <c r="D869" s="59"/>
      <c r="E869" s="63"/>
      <c r="F869" s="59"/>
      <c r="I869" s="5"/>
      <c r="J869" s="5"/>
      <c r="K869" s="5"/>
      <c r="O869" s="5"/>
    </row>
    <row r="870" spans="1:15" ht="21" customHeight="1" x14ac:dyDescent="0.2">
      <c r="A870" s="5"/>
      <c r="B870" s="5"/>
      <c r="C870" s="59"/>
      <c r="D870" s="59"/>
      <c r="E870" s="63"/>
      <c r="F870" s="59"/>
      <c r="I870" s="5"/>
      <c r="J870" s="5"/>
      <c r="K870" s="5"/>
      <c r="O870" s="5"/>
    </row>
    <row r="871" spans="1:15" ht="21" customHeight="1" x14ac:dyDescent="0.2">
      <c r="A871" s="5"/>
      <c r="B871" s="5"/>
      <c r="C871" s="59"/>
      <c r="D871" s="59"/>
      <c r="E871" s="63"/>
      <c r="F871" s="59"/>
      <c r="I871" s="5"/>
      <c r="J871" s="5"/>
      <c r="K871" s="5"/>
      <c r="O871" s="5"/>
    </row>
    <row r="872" spans="1:15" ht="21" customHeight="1" x14ac:dyDescent="0.2">
      <c r="A872" s="5"/>
      <c r="B872" s="5"/>
      <c r="C872" s="59"/>
      <c r="D872" s="59"/>
      <c r="E872" s="63"/>
      <c r="F872" s="59"/>
      <c r="I872" s="5"/>
      <c r="J872" s="5"/>
      <c r="K872" s="5"/>
      <c r="O872" s="5"/>
    </row>
    <row r="873" spans="1:15" ht="21" customHeight="1" x14ac:dyDescent="0.2">
      <c r="A873" s="5"/>
      <c r="B873" s="5"/>
      <c r="C873" s="59"/>
      <c r="D873" s="59"/>
      <c r="E873" s="63"/>
      <c r="F873" s="59"/>
      <c r="I873" s="5"/>
      <c r="J873" s="5"/>
      <c r="K873" s="5"/>
      <c r="O873" s="5"/>
    </row>
    <row r="874" spans="1:15" ht="21" customHeight="1" x14ac:dyDescent="0.2">
      <c r="A874" s="5"/>
      <c r="B874" s="5"/>
      <c r="C874" s="59"/>
      <c r="D874" s="59"/>
      <c r="E874" s="63"/>
      <c r="F874" s="59"/>
      <c r="I874" s="5"/>
      <c r="J874" s="5"/>
      <c r="K874" s="5"/>
      <c r="O874" s="5"/>
    </row>
    <row r="875" spans="1:15" ht="21" customHeight="1" x14ac:dyDescent="0.2">
      <c r="A875" s="5"/>
      <c r="B875" s="5"/>
      <c r="C875" s="59"/>
      <c r="D875" s="59"/>
      <c r="E875" s="63"/>
      <c r="F875" s="59"/>
      <c r="I875" s="5"/>
      <c r="J875" s="5"/>
      <c r="K875" s="5"/>
      <c r="O875" s="5"/>
    </row>
    <row r="876" spans="1:15" ht="21" customHeight="1" x14ac:dyDescent="0.2">
      <c r="A876" s="5"/>
      <c r="B876" s="5"/>
      <c r="C876" s="59"/>
      <c r="D876" s="59"/>
      <c r="E876" s="63"/>
      <c r="F876" s="59"/>
      <c r="I876" s="5"/>
      <c r="J876" s="5"/>
      <c r="K876" s="5"/>
      <c r="O876" s="5"/>
    </row>
    <row r="877" spans="1:15" ht="21" customHeight="1" x14ac:dyDescent="0.2">
      <c r="A877" s="5"/>
      <c r="B877" s="5"/>
      <c r="C877" s="59"/>
      <c r="D877" s="59"/>
      <c r="E877" s="63"/>
      <c r="F877" s="59"/>
      <c r="I877" s="5"/>
      <c r="J877" s="5"/>
      <c r="K877" s="5"/>
      <c r="O877" s="5"/>
    </row>
    <row r="878" spans="1:15" ht="21" customHeight="1" x14ac:dyDescent="0.2">
      <c r="A878" s="5"/>
      <c r="B878" s="5"/>
      <c r="C878" s="59"/>
      <c r="D878" s="59"/>
      <c r="E878" s="63"/>
      <c r="F878" s="59"/>
      <c r="I878" s="5"/>
      <c r="J878" s="5"/>
      <c r="K878" s="5"/>
      <c r="O878" s="5"/>
    </row>
    <row r="879" spans="1:15" ht="21" customHeight="1" x14ac:dyDescent="0.2">
      <c r="A879" s="5"/>
      <c r="B879" s="5"/>
      <c r="C879" s="59"/>
      <c r="D879" s="59"/>
      <c r="E879" s="63"/>
      <c r="F879" s="59"/>
      <c r="I879" s="5"/>
      <c r="J879" s="5"/>
      <c r="K879" s="5"/>
      <c r="O879" s="5"/>
    </row>
    <row r="880" spans="1:15" ht="21" customHeight="1" x14ac:dyDescent="0.2">
      <c r="A880" s="5"/>
      <c r="B880" s="5"/>
      <c r="C880" s="59"/>
      <c r="D880" s="59"/>
      <c r="E880" s="63"/>
      <c r="F880" s="59"/>
      <c r="I880" s="5"/>
      <c r="J880" s="5"/>
      <c r="K880" s="5"/>
      <c r="O880" s="5"/>
    </row>
    <row r="881" spans="1:15" ht="21" customHeight="1" x14ac:dyDescent="0.2">
      <c r="A881" s="5"/>
      <c r="B881" s="5"/>
      <c r="C881" s="59"/>
      <c r="D881" s="59"/>
      <c r="E881" s="63"/>
      <c r="F881" s="59"/>
      <c r="I881" s="5"/>
      <c r="J881" s="5"/>
      <c r="K881" s="5"/>
      <c r="O881" s="5"/>
    </row>
    <row r="882" spans="1:15" ht="21" customHeight="1" x14ac:dyDescent="0.2">
      <c r="A882" s="5"/>
      <c r="B882" s="5"/>
      <c r="C882" s="59"/>
      <c r="D882" s="59"/>
      <c r="E882" s="63"/>
      <c r="F882" s="59"/>
      <c r="I882" s="5"/>
      <c r="J882" s="5"/>
      <c r="K882" s="5"/>
      <c r="O882" s="5"/>
    </row>
    <row r="883" spans="1:15" ht="21" customHeight="1" x14ac:dyDescent="0.2">
      <c r="A883" s="5"/>
      <c r="B883" s="5"/>
      <c r="C883" s="59"/>
      <c r="D883" s="59"/>
      <c r="E883" s="63"/>
      <c r="F883" s="59"/>
      <c r="I883" s="5"/>
      <c r="J883" s="5"/>
      <c r="K883" s="5"/>
      <c r="O883" s="5"/>
    </row>
    <row r="884" spans="1:15" ht="21" customHeight="1" x14ac:dyDescent="0.2">
      <c r="A884" s="5"/>
      <c r="B884" s="5"/>
      <c r="C884" s="59"/>
      <c r="D884" s="59"/>
      <c r="E884" s="63"/>
      <c r="F884" s="59"/>
      <c r="I884" s="5"/>
      <c r="J884" s="5"/>
      <c r="K884" s="5"/>
      <c r="O884" s="5"/>
    </row>
    <row r="885" spans="1:15" ht="21" customHeight="1" x14ac:dyDescent="0.2">
      <c r="A885" s="5"/>
      <c r="B885" s="5"/>
      <c r="C885" s="59"/>
      <c r="D885" s="59"/>
      <c r="E885" s="63"/>
      <c r="F885" s="59"/>
      <c r="I885" s="5"/>
      <c r="J885" s="5"/>
      <c r="K885" s="5"/>
      <c r="O885" s="5"/>
    </row>
    <row r="886" spans="1:15" ht="21" customHeight="1" x14ac:dyDescent="0.2">
      <c r="A886" s="5"/>
      <c r="B886" s="5"/>
      <c r="C886" s="59"/>
      <c r="D886" s="59"/>
      <c r="E886" s="63"/>
      <c r="F886" s="59"/>
      <c r="I886" s="5"/>
      <c r="J886" s="5"/>
      <c r="K886" s="5"/>
      <c r="O886" s="5"/>
    </row>
    <row r="887" spans="1:15" ht="21" customHeight="1" x14ac:dyDescent="0.2">
      <c r="A887" s="5"/>
      <c r="B887" s="5"/>
      <c r="C887" s="59"/>
      <c r="D887" s="59"/>
      <c r="E887" s="63"/>
      <c r="F887" s="59"/>
      <c r="I887" s="5"/>
      <c r="J887" s="5"/>
      <c r="K887" s="5"/>
      <c r="O887" s="5"/>
    </row>
    <row r="888" spans="1:15" ht="21" customHeight="1" x14ac:dyDescent="0.2">
      <c r="A888" s="5"/>
      <c r="B888" s="5"/>
      <c r="C888" s="59"/>
      <c r="D888" s="59"/>
      <c r="E888" s="63"/>
      <c r="F888" s="59"/>
      <c r="I888" s="5"/>
      <c r="J888" s="5"/>
      <c r="K888" s="5"/>
      <c r="O888" s="5"/>
    </row>
    <row r="889" spans="1:15" ht="21" customHeight="1" x14ac:dyDescent="0.2">
      <c r="A889" s="5"/>
      <c r="B889" s="5"/>
      <c r="C889" s="59"/>
      <c r="D889" s="59"/>
      <c r="E889" s="63"/>
      <c r="F889" s="59"/>
      <c r="I889" s="5"/>
      <c r="J889" s="5"/>
      <c r="K889" s="5"/>
      <c r="O889" s="5"/>
    </row>
    <row r="890" spans="1:15" ht="21" customHeight="1" x14ac:dyDescent="0.2">
      <c r="A890" s="5"/>
      <c r="B890" s="5"/>
      <c r="C890" s="59"/>
      <c r="D890" s="59"/>
      <c r="E890" s="63"/>
      <c r="F890" s="59"/>
      <c r="I890" s="5"/>
      <c r="J890" s="5"/>
      <c r="K890" s="5"/>
      <c r="O890" s="5"/>
    </row>
    <row r="891" spans="1:15" ht="21" customHeight="1" x14ac:dyDescent="0.2">
      <c r="A891" s="5"/>
      <c r="B891" s="5"/>
      <c r="C891" s="59"/>
      <c r="D891" s="59"/>
      <c r="E891" s="63"/>
      <c r="F891" s="59"/>
      <c r="I891" s="5"/>
      <c r="J891" s="5"/>
      <c r="K891" s="5"/>
      <c r="O891" s="5"/>
    </row>
    <row r="892" spans="1:15" ht="21" customHeight="1" x14ac:dyDescent="0.2">
      <c r="A892" s="5"/>
      <c r="B892" s="5"/>
      <c r="C892" s="59"/>
      <c r="D892" s="59"/>
      <c r="E892" s="63"/>
      <c r="F892" s="59"/>
      <c r="I892" s="5"/>
      <c r="J892" s="5"/>
      <c r="K892" s="5"/>
      <c r="O892" s="5"/>
    </row>
    <row r="893" spans="1:15" ht="21" customHeight="1" x14ac:dyDescent="0.2">
      <c r="A893" s="5"/>
      <c r="B893" s="5"/>
      <c r="C893" s="59"/>
      <c r="D893" s="59"/>
      <c r="E893" s="63"/>
      <c r="F893" s="59"/>
      <c r="I893" s="5"/>
      <c r="J893" s="5"/>
      <c r="K893" s="5"/>
      <c r="O893" s="5"/>
    </row>
    <row r="894" spans="1:15" ht="21" customHeight="1" x14ac:dyDescent="0.2">
      <c r="A894" s="5"/>
      <c r="B894" s="5"/>
      <c r="C894" s="59"/>
      <c r="D894" s="59"/>
      <c r="E894" s="63"/>
      <c r="F894" s="59"/>
      <c r="I894" s="5"/>
      <c r="J894" s="5"/>
      <c r="K894" s="5"/>
      <c r="O894" s="5"/>
    </row>
    <row r="895" spans="1:15" ht="21" customHeight="1" x14ac:dyDescent="0.2">
      <c r="A895" s="5"/>
      <c r="B895" s="5"/>
      <c r="C895" s="59"/>
      <c r="D895" s="59"/>
      <c r="E895" s="63"/>
      <c r="F895" s="59"/>
      <c r="I895" s="5"/>
      <c r="J895" s="5"/>
      <c r="K895" s="5"/>
      <c r="O895" s="5"/>
    </row>
    <row r="896" spans="1:15" ht="21" customHeight="1" x14ac:dyDescent="0.2">
      <c r="A896" s="5"/>
      <c r="B896" s="5"/>
      <c r="C896" s="59"/>
      <c r="D896" s="59"/>
      <c r="E896" s="63"/>
      <c r="F896" s="59"/>
      <c r="I896" s="5"/>
      <c r="J896" s="5"/>
      <c r="K896" s="5"/>
      <c r="O896" s="5"/>
    </row>
    <row r="897" spans="1:15" ht="21" customHeight="1" x14ac:dyDescent="0.2">
      <c r="A897" s="5"/>
      <c r="B897" s="5"/>
      <c r="C897" s="59"/>
      <c r="D897" s="59"/>
      <c r="E897" s="63"/>
      <c r="F897" s="59"/>
      <c r="I897" s="5"/>
      <c r="J897" s="5"/>
      <c r="K897" s="5"/>
      <c r="O897" s="5"/>
    </row>
    <row r="898" spans="1:15" ht="21" customHeight="1" x14ac:dyDescent="0.2">
      <c r="A898" s="5"/>
      <c r="B898" s="5"/>
      <c r="C898" s="59"/>
      <c r="D898" s="59"/>
      <c r="E898" s="63"/>
      <c r="F898" s="59"/>
      <c r="I898" s="5"/>
      <c r="J898" s="5"/>
      <c r="K898" s="5"/>
      <c r="O898" s="5"/>
    </row>
    <row r="899" spans="1:15" ht="21" customHeight="1" x14ac:dyDescent="0.2">
      <c r="A899" s="5"/>
      <c r="B899" s="5"/>
      <c r="C899" s="59"/>
      <c r="D899" s="59"/>
      <c r="E899" s="63"/>
      <c r="F899" s="59"/>
      <c r="I899" s="5"/>
      <c r="J899" s="5"/>
      <c r="K899" s="5"/>
      <c r="O899" s="5"/>
    </row>
    <row r="900" spans="1:15" ht="21" customHeight="1" x14ac:dyDescent="0.2">
      <c r="A900" s="5"/>
      <c r="B900" s="5"/>
      <c r="C900" s="59"/>
      <c r="D900" s="59"/>
      <c r="E900" s="63"/>
      <c r="F900" s="59"/>
      <c r="I900" s="5"/>
      <c r="J900" s="5"/>
      <c r="K900" s="5"/>
      <c r="O900" s="5"/>
    </row>
    <row r="901" spans="1:15" ht="21" customHeight="1" x14ac:dyDescent="0.2">
      <c r="A901" s="5"/>
      <c r="B901" s="5"/>
      <c r="C901" s="59"/>
      <c r="D901" s="59"/>
      <c r="E901" s="63"/>
      <c r="F901" s="59"/>
      <c r="I901" s="5"/>
      <c r="J901" s="5"/>
      <c r="K901" s="5"/>
      <c r="O901" s="5"/>
    </row>
    <row r="902" spans="1:15" ht="21" customHeight="1" x14ac:dyDescent="0.2">
      <c r="A902" s="5"/>
      <c r="B902" s="5"/>
      <c r="C902" s="59"/>
      <c r="D902" s="59"/>
      <c r="E902" s="63"/>
      <c r="F902" s="59"/>
      <c r="I902" s="5"/>
      <c r="J902" s="5"/>
      <c r="K902" s="5"/>
      <c r="O902" s="5"/>
    </row>
    <row r="903" spans="1:15" ht="21" customHeight="1" x14ac:dyDescent="0.2">
      <c r="A903" s="5"/>
      <c r="B903" s="5"/>
      <c r="C903" s="59"/>
      <c r="D903" s="59"/>
      <c r="E903" s="63"/>
      <c r="F903" s="59"/>
      <c r="I903" s="5"/>
      <c r="J903" s="5"/>
      <c r="K903" s="5"/>
      <c r="O903" s="5"/>
    </row>
    <row r="904" spans="1:15" ht="21" customHeight="1" x14ac:dyDescent="0.2">
      <c r="A904" s="5"/>
      <c r="B904" s="5"/>
      <c r="C904" s="59"/>
      <c r="D904" s="59"/>
      <c r="E904" s="63"/>
      <c r="F904" s="59"/>
      <c r="I904" s="5"/>
      <c r="J904" s="5"/>
      <c r="K904" s="5"/>
      <c r="O904" s="5"/>
    </row>
    <row r="905" spans="1:15" ht="21" customHeight="1" x14ac:dyDescent="0.2">
      <c r="A905" s="5"/>
      <c r="B905" s="5"/>
      <c r="C905" s="59"/>
      <c r="D905" s="59"/>
      <c r="E905" s="63"/>
      <c r="F905" s="59"/>
      <c r="I905" s="5"/>
      <c r="J905" s="5"/>
      <c r="K905" s="5"/>
      <c r="O905" s="5"/>
    </row>
    <row r="906" spans="1:15" ht="21" customHeight="1" x14ac:dyDescent="0.2">
      <c r="A906" s="5"/>
      <c r="B906" s="5"/>
      <c r="C906" s="59"/>
      <c r="D906" s="59"/>
      <c r="E906" s="63"/>
      <c r="F906" s="59"/>
      <c r="I906" s="5"/>
      <c r="J906" s="5"/>
      <c r="K906" s="5"/>
      <c r="O906" s="5"/>
    </row>
    <row r="907" spans="1:15" ht="21" customHeight="1" x14ac:dyDescent="0.2">
      <c r="A907" s="5"/>
      <c r="B907" s="5"/>
      <c r="C907" s="59"/>
      <c r="D907" s="59"/>
      <c r="E907" s="63"/>
      <c r="F907" s="59"/>
      <c r="I907" s="5"/>
      <c r="J907" s="5"/>
      <c r="K907" s="5"/>
      <c r="O907" s="5"/>
    </row>
    <row r="908" spans="1:15" ht="21" customHeight="1" x14ac:dyDescent="0.2">
      <c r="A908" s="5"/>
      <c r="B908" s="5"/>
      <c r="C908" s="59"/>
      <c r="D908" s="59"/>
      <c r="E908" s="63"/>
      <c r="F908" s="59"/>
      <c r="I908" s="5"/>
      <c r="J908" s="5"/>
      <c r="K908" s="5"/>
      <c r="O908" s="5"/>
    </row>
    <row r="909" spans="1:15" ht="21" customHeight="1" x14ac:dyDescent="0.2">
      <c r="A909" s="5"/>
      <c r="B909" s="5"/>
      <c r="C909" s="59"/>
      <c r="D909" s="59"/>
      <c r="E909" s="63"/>
      <c r="F909" s="59"/>
      <c r="I909" s="5"/>
      <c r="J909" s="5"/>
      <c r="K909" s="5"/>
      <c r="O909" s="5"/>
    </row>
    <row r="910" spans="1:15" ht="21" customHeight="1" x14ac:dyDescent="0.2">
      <c r="A910" s="5"/>
      <c r="B910" s="5"/>
      <c r="C910" s="59"/>
      <c r="D910" s="59"/>
      <c r="E910" s="63"/>
      <c r="F910" s="59"/>
      <c r="I910" s="5"/>
      <c r="J910" s="5"/>
      <c r="K910" s="5"/>
      <c r="O910" s="5"/>
    </row>
    <row r="911" spans="1:15" ht="21" customHeight="1" x14ac:dyDescent="0.2">
      <c r="A911" s="5"/>
      <c r="B911" s="5"/>
      <c r="C911" s="59"/>
      <c r="D911" s="59"/>
      <c r="E911" s="63"/>
      <c r="F911" s="59"/>
      <c r="I911" s="5"/>
      <c r="J911" s="5"/>
      <c r="K911" s="5"/>
      <c r="O911" s="5"/>
    </row>
    <row r="912" spans="1:15" ht="21" customHeight="1" x14ac:dyDescent="0.2">
      <c r="A912" s="5"/>
      <c r="B912" s="5"/>
      <c r="C912" s="59"/>
      <c r="D912" s="59"/>
      <c r="E912" s="63"/>
      <c r="F912" s="59"/>
      <c r="I912" s="5"/>
      <c r="J912" s="5"/>
      <c r="K912" s="5"/>
      <c r="O912" s="5"/>
    </row>
    <row r="913" spans="1:15" ht="21" customHeight="1" x14ac:dyDescent="0.2">
      <c r="A913" s="5"/>
      <c r="B913" s="5"/>
      <c r="C913" s="59"/>
      <c r="D913" s="59"/>
      <c r="E913" s="63"/>
      <c r="F913" s="59"/>
      <c r="I913" s="5"/>
      <c r="J913" s="5"/>
      <c r="K913" s="5"/>
      <c r="O913" s="5"/>
    </row>
    <row r="914" spans="1:15" ht="21" customHeight="1" x14ac:dyDescent="0.2">
      <c r="A914" s="5"/>
      <c r="B914" s="5"/>
      <c r="C914" s="59"/>
      <c r="D914" s="59"/>
      <c r="E914" s="63"/>
      <c r="F914" s="59"/>
      <c r="I914" s="5"/>
      <c r="J914" s="5"/>
      <c r="K914" s="5"/>
      <c r="O914" s="5"/>
    </row>
    <row r="915" spans="1:15" ht="21" customHeight="1" x14ac:dyDescent="0.2">
      <c r="A915" s="5"/>
      <c r="B915" s="5"/>
      <c r="C915" s="59"/>
      <c r="D915" s="59"/>
      <c r="E915" s="63"/>
      <c r="F915" s="59"/>
      <c r="I915" s="5"/>
      <c r="J915" s="5"/>
      <c r="K915" s="5"/>
      <c r="O915" s="5"/>
    </row>
    <row r="916" spans="1:15" ht="21" customHeight="1" x14ac:dyDescent="0.2">
      <c r="A916" s="5"/>
      <c r="B916" s="5"/>
      <c r="C916" s="59"/>
      <c r="D916" s="59"/>
      <c r="E916" s="63"/>
      <c r="F916" s="59"/>
      <c r="I916" s="5"/>
      <c r="J916" s="5"/>
      <c r="K916" s="5"/>
      <c r="O916" s="5"/>
    </row>
    <row r="917" spans="1:15" ht="21" customHeight="1" x14ac:dyDescent="0.2">
      <c r="A917" s="5"/>
      <c r="B917" s="5"/>
      <c r="C917" s="59"/>
      <c r="D917" s="59"/>
      <c r="E917" s="63"/>
      <c r="F917" s="59"/>
      <c r="I917" s="5"/>
      <c r="J917" s="5"/>
      <c r="K917" s="5"/>
      <c r="O917" s="5"/>
    </row>
    <row r="918" spans="1:15" ht="21" customHeight="1" x14ac:dyDescent="0.2">
      <c r="A918" s="5"/>
      <c r="B918" s="5"/>
      <c r="C918" s="59"/>
      <c r="D918" s="59"/>
      <c r="E918" s="63"/>
      <c r="F918" s="59"/>
      <c r="I918" s="5"/>
      <c r="J918" s="5"/>
      <c r="K918" s="5"/>
      <c r="O918" s="5"/>
    </row>
    <row r="919" spans="1:15" ht="21" customHeight="1" x14ac:dyDescent="0.2">
      <c r="A919" s="5"/>
      <c r="B919" s="5"/>
      <c r="C919" s="59"/>
      <c r="D919" s="59"/>
      <c r="E919" s="63"/>
      <c r="F919" s="59"/>
      <c r="I919" s="5"/>
      <c r="J919" s="5"/>
      <c r="K919" s="5"/>
      <c r="O919" s="5"/>
    </row>
    <row r="920" spans="1:15" ht="21" customHeight="1" x14ac:dyDescent="0.2">
      <c r="A920" s="5"/>
      <c r="B920" s="5"/>
      <c r="C920" s="59"/>
      <c r="D920" s="59"/>
      <c r="E920" s="63"/>
      <c r="F920" s="59"/>
      <c r="I920" s="5"/>
      <c r="J920" s="5"/>
      <c r="K920" s="5"/>
      <c r="O920" s="5"/>
    </row>
    <row r="921" spans="1:15" ht="21" customHeight="1" x14ac:dyDescent="0.2">
      <c r="A921" s="5"/>
      <c r="B921" s="5"/>
      <c r="C921" s="59"/>
      <c r="D921" s="59"/>
      <c r="E921" s="63"/>
      <c r="F921" s="59"/>
      <c r="I921" s="5"/>
      <c r="J921" s="5"/>
      <c r="K921" s="5"/>
      <c r="O921" s="5"/>
    </row>
    <row r="922" spans="1:15" ht="21" customHeight="1" x14ac:dyDescent="0.2">
      <c r="A922" s="5"/>
      <c r="B922" s="5"/>
      <c r="C922" s="59"/>
      <c r="D922" s="59"/>
      <c r="E922" s="63"/>
      <c r="F922" s="59"/>
      <c r="I922" s="5"/>
      <c r="J922" s="5"/>
      <c r="K922" s="5"/>
      <c r="O922" s="5"/>
    </row>
    <row r="923" spans="1:15" ht="21" customHeight="1" x14ac:dyDescent="0.2">
      <c r="A923" s="5"/>
      <c r="B923" s="5"/>
      <c r="C923" s="59"/>
      <c r="D923" s="59"/>
      <c r="E923" s="63"/>
      <c r="F923" s="59"/>
      <c r="I923" s="5"/>
      <c r="J923" s="5"/>
      <c r="K923" s="5"/>
      <c r="O923" s="5"/>
    </row>
    <row r="924" spans="1:15" ht="21" customHeight="1" x14ac:dyDescent="0.2">
      <c r="A924" s="5"/>
      <c r="B924" s="5"/>
      <c r="C924" s="59"/>
      <c r="D924" s="59"/>
      <c r="E924" s="63"/>
      <c r="F924" s="59"/>
      <c r="I924" s="5"/>
      <c r="J924" s="5"/>
      <c r="K924" s="5"/>
      <c r="O924" s="5"/>
    </row>
    <row r="925" spans="1:15" ht="21" customHeight="1" x14ac:dyDescent="0.2">
      <c r="A925" s="5"/>
      <c r="B925" s="5"/>
      <c r="C925" s="59"/>
      <c r="D925" s="59"/>
      <c r="E925" s="63"/>
      <c r="F925" s="59"/>
      <c r="I925" s="5"/>
      <c r="J925" s="5"/>
      <c r="K925" s="5"/>
      <c r="O925" s="5"/>
    </row>
    <row r="926" spans="1:15" ht="21" customHeight="1" x14ac:dyDescent="0.2">
      <c r="A926" s="5"/>
      <c r="B926" s="5"/>
      <c r="C926" s="59"/>
      <c r="D926" s="59"/>
      <c r="E926" s="63"/>
      <c r="F926" s="59"/>
      <c r="I926" s="5"/>
      <c r="J926" s="5"/>
      <c r="K926" s="5"/>
      <c r="O926" s="5"/>
    </row>
    <row r="927" spans="1:15" ht="21" customHeight="1" x14ac:dyDescent="0.2">
      <c r="A927" s="5"/>
      <c r="B927" s="5"/>
      <c r="C927" s="59"/>
      <c r="D927" s="59"/>
      <c r="E927" s="63"/>
      <c r="F927" s="59"/>
      <c r="I927" s="5"/>
      <c r="J927" s="5"/>
      <c r="K927" s="5"/>
      <c r="O927" s="5"/>
    </row>
    <row r="928" spans="1:15" ht="21" customHeight="1" x14ac:dyDescent="0.2">
      <c r="A928" s="5"/>
      <c r="B928" s="5"/>
      <c r="C928" s="59"/>
      <c r="D928" s="59"/>
      <c r="E928" s="63"/>
      <c r="F928" s="59"/>
      <c r="I928" s="5"/>
      <c r="J928" s="5"/>
      <c r="K928" s="5"/>
      <c r="O928" s="5"/>
    </row>
    <row r="929" spans="1:15" ht="21" customHeight="1" x14ac:dyDescent="0.2">
      <c r="A929" s="5"/>
      <c r="B929" s="5"/>
      <c r="C929" s="59"/>
      <c r="D929" s="59"/>
      <c r="E929" s="63"/>
      <c r="F929" s="59"/>
      <c r="I929" s="5"/>
      <c r="J929" s="5"/>
      <c r="K929" s="5"/>
      <c r="O929" s="5"/>
    </row>
    <row r="930" spans="1:15" ht="21" customHeight="1" x14ac:dyDescent="0.2">
      <c r="A930" s="5"/>
      <c r="B930" s="5"/>
      <c r="C930" s="59"/>
      <c r="D930" s="59"/>
      <c r="E930" s="63"/>
      <c r="F930" s="59"/>
      <c r="I930" s="5"/>
      <c r="J930" s="5"/>
      <c r="K930" s="5"/>
      <c r="O930" s="5"/>
    </row>
    <row r="931" spans="1:15" ht="21" customHeight="1" x14ac:dyDescent="0.2">
      <c r="A931" s="5"/>
      <c r="B931" s="5"/>
      <c r="C931" s="59"/>
      <c r="D931" s="59"/>
      <c r="E931" s="63"/>
      <c r="F931" s="59"/>
      <c r="I931" s="5"/>
      <c r="J931" s="5"/>
      <c r="K931" s="5"/>
      <c r="O931" s="5"/>
    </row>
    <row r="932" spans="1:15" ht="21" customHeight="1" x14ac:dyDescent="0.2">
      <c r="A932" s="5"/>
      <c r="B932" s="5"/>
      <c r="C932" s="59"/>
      <c r="D932" s="59"/>
      <c r="E932" s="63"/>
      <c r="F932" s="59"/>
      <c r="I932" s="5"/>
      <c r="J932" s="5"/>
      <c r="K932" s="5"/>
      <c r="O932" s="5"/>
    </row>
    <row r="933" spans="1:15" ht="21" customHeight="1" x14ac:dyDescent="0.2">
      <c r="A933" s="5"/>
      <c r="B933" s="5"/>
      <c r="C933" s="59"/>
      <c r="D933" s="59"/>
      <c r="E933" s="63"/>
      <c r="F933" s="59"/>
      <c r="I933" s="5"/>
      <c r="J933" s="5"/>
      <c r="K933" s="5"/>
      <c r="O933" s="5"/>
    </row>
    <row r="934" spans="1:15" ht="21" customHeight="1" x14ac:dyDescent="0.2">
      <c r="A934" s="5"/>
      <c r="B934" s="5"/>
      <c r="C934" s="59"/>
      <c r="D934" s="59"/>
      <c r="E934" s="63"/>
      <c r="F934" s="59"/>
      <c r="I934" s="5"/>
      <c r="J934" s="5"/>
      <c r="K934" s="5"/>
      <c r="O934" s="5"/>
    </row>
    <row r="935" spans="1:15" ht="21" customHeight="1" x14ac:dyDescent="0.2">
      <c r="A935" s="5"/>
      <c r="B935" s="5"/>
      <c r="C935" s="59"/>
      <c r="D935" s="59"/>
      <c r="E935" s="63"/>
      <c r="F935" s="59"/>
      <c r="I935" s="5"/>
      <c r="J935" s="5"/>
      <c r="K935" s="5"/>
      <c r="O935" s="5"/>
    </row>
    <row r="936" spans="1:15" ht="21" customHeight="1" x14ac:dyDescent="0.2">
      <c r="A936" s="5"/>
      <c r="B936" s="5"/>
      <c r="C936" s="59"/>
      <c r="D936" s="59"/>
      <c r="E936" s="63"/>
      <c r="F936" s="59"/>
      <c r="I936" s="5"/>
      <c r="J936" s="5"/>
      <c r="K936" s="5"/>
      <c r="O936" s="5"/>
    </row>
    <row r="937" spans="1:15" ht="21" customHeight="1" x14ac:dyDescent="0.2">
      <c r="A937" s="5"/>
      <c r="B937" s="5"/>
      <c r="C937" s="59"/>
      <c r="D937" s="59"/>
      <c r="E937" s="63"/>
      <c r="F937" s="59"/>
      <c r="I937" s="5"/>
      <c r="J937" s="5"/>
      <c r="K937" s="5"/>
      <c r="O937" s="5"/>
    </row>
    <row r="938" spans="1:15" ht="21" customHeight="1" x14ac:dyDescent="0.2">
      <c r="A938" s="5"/>
      <c r="B938" s="5"/>
      <c r="C938" s="59"/>
      <c r="D938" s="59"/>
      <c r="E938" s="63"/>
      <c r="F938" s="59"/>
      <c r="I938" s="5"/>
      <c r="J938" s="5"/>
      <c r="K938" s="5"/>
      <c r="O938" s="5"/>
    </row>
    <row r="939" spans="1:15" ht="21" customHeight="1" x14ac:dyDescent="0.2">
      <c r="A939" s="5"/>
      <c r="B939" s="5"/>
      <c r="C939" s="59"/>
      <c r="D939" s="59"/>
      <c r="E939" s="63"/>
      <c r="F939" s="59"/>
      <c r="I939" s="5"/>
      <c r="J939" s="5"/>
      <c r="K939" s="5"/>
      <c r="O939" s="5"/>
    </row>
    <row r="940" spans="1:15" ht="21" customHeight="1" x14ac:dyDescent="0.2">
      <c r="A940" s="5"/>
      <c r="B940" s="5"/>
      <c r="C940" s="59"/>
      <c r="D940" s="59"/>
      <c r="E940" s="63"/>
      <c r="F940" s="59"/>
      <c r="I940" s="5"/>
      <c r="J940" s="5"/>
      <c r="K940" s="5"/>
      <c r="O940" s="5"/>
    </row>
    <row r="941" spans="1:15" ht="21" customHeight="1" x14ac:dyDescent="0.2">
      <c r="A941" s="5"/>
      <c r="B941" s="5"/>
      <c r="C941" s="59"/>
      <c r="D941" s="59"/>
      <c r="E941" s="63"/>
      <c r="F941" s="59"/>
      <c r="I941" s="5"/>
      <c r="J941" s="5"/>
      <c r="K941" s="5"/>
      <c r="O941" s="5"/>
    </row>
    <row r="942" spans="1:15" ht="21" customHeight="1" x14ac:dyDescent="0.2">
      <c r="A942" s="5"/>
      <c r="B942" s="5"/>
      <c r="C942" s="59"/>
      <c r="D942" s="59"/>
      <c r="E942" s="63"/>
      <c r="F942" s="59"/>
      <c r="I942" s="5"/>
      <c r="J942" s="5"/>
      <c r="K942" s="5"/>
      <c r="O942" s="5"/>
    </row>
    <row r="943" spans="1:15" ht="21" customHeight="1" x14ac:dyDescent="0.2">
      <c r="A943" s="5"/>
      <c r="B943" s="5"/>
      <c r="C943" s="59"/>
      <c r="D943" s="59"/>
      <c r="E943" s="63"/>
      <c r="F943" s="59"/>
      <c r="I943" s="5"/>
      <c r="J943" s="5"/>
      <c r="K943" s="5"/>
      <c r="O943" s="5"/>
    </row>
    <row r="944" spans="1:15" ht="21" customHeight="1" x14ac:dyDescent="0.2">
      <c r="A944" s="5"/>
      <c r="B944" s="5"/>
      <c r="C944" s="59"/>
      <c r="D944" s="59"/>
      <c r="E944" s="63"/>
      <c r="F944" s="59"/>
      <c r="I944" s="5"/>
      <c r="J944" s="5"/>
      <c r="K944" s="5"/>
      <c r="O944" s="5"/>
    </row>
    <row r="945" spans="1:15" ht="21" customHeight="1" x14ac:dyDescent="0.2">
      <c r="A945" s="5"/>
      <c r="B945" s="5"/>
      <c r="C945" s="59"/>
      <c r="D945" s="59"/>
      <c r="E945" s="63"/>
      <c r="F945" s="59"/>
      <c r="I945" s="5"/>
      <c r="J945" s="5"/>
      <c r="K945" s="5"/>
      <c r="O945" s="5"/>
    </row>
    <row r="946" spans="1:15" ht="21" customHeight="1" x14ac:dyDescent="0.2">
      <c r="A946" s="5"/>
      <c r="B946" s="5"/>
      <c r="C946" s="59"/>
      <c r="D946" s="59"/>
      <c r="E946" s="63"/>
      <c r="F946" s="59"/>
      <c r="I946" s="5"/>
      <c r="J946" s="5"/>
      <c r="K946" s="5"/>
      <c r="O946" s="5"/>
    </row>
    <row r="947" spans="1:15" ht="21" customHeight="1" x14ac:dyDescent="0.2">
      <c r="A947" s="5"/>
      <c r="B947" s="5"/>
      <c r="C947" s="59"/>
      <c r="D947" s="59"/>
      <c r="E947" s="63"/>
      <c r="F947" s="59"/>
      <c r="I947" s="5"/>
      <c r="J947" s="5"/>
      <c r="K947" s="5"/>
      <c r="O947" s="5"/>
    </row>
    <row r="948" spans="1:15" ht="21" customHeight="1" x14ac:dyDescent="0.2">
      <c r="A948" s="5"/>
      <c r="B948" s="5"/>
      <c r="C948" s="59"/>
      <c r="D948" s="59"/>
      <c r="E948" s="63"/>
      <c r="F948" s="59"/>
      <c r="I948" s="5"/>
      <c r="J948" s="5"/>
      <c r="K948" s="5"/>
      <c r="O948" s="5"/>
    </row>
    <row r="949" spans="1:15" ht="21" customHeight="1" x14ac:dyDescent="0.2">
      <c r="A949" s="5"/>
      <c r="B949" s="5"/>
      <c r="C949" s="59"/>
      <c r="D949" s="59"/>
      <c r="E949" s="63"/>
      <c r="F949" s="59"/>
      <c r="I949" s="5"/>
      <c r="J949" s="5"/>
      <c r="K949" s="5"/>
      <c r="O949" s="5"/>
    </row>
    <row r="950" spans="1:15" ht="21" customHeight="1" x14ac:dyDescent="0.2">
      <c r="A950" s="5"/>
      <c r="B950" s="5"/>
      <c r="C950" s="59"/>
      <c r="D950" s="59"/>
      <c r="E950" s="63"/>
      <c r="F950" s="59"/>
      <c r="I950" s="5"/>
      <c r="J950" s="5"/>
      <c r="K950" s="5"/>
      <c r="O950" s="5"/>
    </row>
    <row r="951" spans="1:15" ht="21" customHeight="1" x14ac:dyDescent="0.2">
      <c r="A951" s="5"/>
      <c r="B951" s="5"/>
      <c r="C951" s="59"/>
      <c r="D951" s="59"/>
      <c r="E951" s="63"/>
      <c r="F951" s="59"/>
      <c r="I951" s="5"/>
      <c r="J951" s="5"/>
      <c r="K951" s="5"/>
      <c r="O951" s="5"/>
    </row>
    <row r="952" spans="1:15" ht="21" customHeight="1" x14ac:dyDescent="0.2">
      <c r="A952" s="5"/>
      <c r="B952" s="5"/>
      <c r="C952" s="59"/>
      <c r="D952" s="59"/>
      <c r="E952" s="63"/>
      <c r="F952" s="59"/>
      <c r="I952" s="5"/>
      <c r="J952" s="5"/>
      <c r="K952" s="5"/>
      <c r="O952" s="5"/>
    </row>
    <row r="953" spans="1:15" ht="21" customHeight="1" x14ac:dyDescent="0.2">
      <c r="A953" s="5"/>
      <c r="B953" s="5"/>
      <c r="C953" s="59"/>
      <c r="D953" s="59"/>
      <c r="E953" s="63"/>
      <c r="F953" s="59"/>
      <c r="I953" s="5"/>
      <c r="J953" s="5"/>
      <c r="K953" s="5"/>
      <c r="O953" s="5"/>
    </row>
    <row r="954" spans="1:15" ht="21" customHeight="1" x14ac:dyDescent="0.2">
      <c r="A954" s="5"/>
      <c r="B954" s="5"/>
      <c r="C954" s="59"/>
      <c r="D954" s="59"/>
      <c r="E954" s="63"/>
      <c r="F954" s="59"/>
      <c r="I954" s="5"/>
      <c r="J954" s="5"/>
      <c r="K954" s="5"/>
      <c r="O954" s="5"/>
    </row>
    <row r="955" spans="1:15" ht="21" customHeight="1" x14ac:dyDescent="0.2">
      <c r="A955" s="5"/>
      <c r="B955" s="5"/>
      <c r="C955" s="59"/>
      <c r="D955" s="59"/>
      <c r="E955" s="63"/>
      <c r="F955" s="59"/>
      <c r="I955" s="5"/>
      <c r="J955" s="5"/>
      <c r="K955" s="5"/>
      <c r="O955" s="5"/>
    </row>
    <row r="956" spans="1:15" ht="21" customHeight="1" x14ac:dyDescent="0.2">
      <c r="A956" s="5"/>
      <c r="B956" s="5"/>
      <c r="C956" s="59"/>
      <c r="D956" s="59"/>
      <c r="E956" s="63"/>
      <c r="F956" s="59"/>
      <c r="I956" s="5"/>
      <c r="J956" s="5"/>
      <c r="K956" s="5"/>
      <c r="O956" s="5"/>
    </row>
    <row r="957" spans="1:15" ht="21" customHeight="1" x14ac:dyDescent="0.2">
      <c r="A957" s="5"/>
      <c r="B957" s="5"/>
      <c r="C957" s="59"/>
      <c r="D957" s="59"/>
      <c r="E957" s="63"/>
      <c r="F957" s="59"/>
      <c r="I957" s="5"/>
      <c r="J957" s="5"/>
      <c r="K957" s="5"/>
      <c r="O957" s="5"/>
    </row>
    <row r="958" spans="1:15" ht="21" customHeight="1" x14ac:dyDescent="0.2">
      <c r="A958" s="5"/>
      <c r="B958" s="5"/>
      <c r="C958" s="59"/>
      <c r="D958" s="59"/>
      <c r="E958" s="63"/>
      <c r="F958" s="59"/>
      <c r="I958" s="5"/>
      <c r="J958" s="5"/>
      <c r="K958" s="5"/>
      <c r="O958" s="5"/>
    </row>
    <row r="959" spans="1:15" ht="21" customHeight="1" x14ac:dyDescent="0.2">
      <c r="A959" s="5"/>
      <c r="B959" s="5"/>
      <c r="C959" s="59"/>
      <c r="D959" s="59"/>
      <c r="E959" s="63"/>
      <c r="F959" s="59"/>
      <c r="I959" s="5"/>
      <c r="J959" s="5"/>
      <c r="K959" s="5"/>
      <c r="O959" s="5"/>
    </row>
    <row r="960" spans="1:15" ht="21" customHeight="1" x14ac:dyDescent="0.2">
      <c r="A960" s="5"/>
      <c r="B960" s="5"/>
      <c r="C960" s="59"/>
      <c r="D960" s="59"/>
      <c r="E960" s="63"/>
      <c r="F960" s="59"/>
      <c r="I960" s="5"/>
      <c r="J960" s="5"/>
      <c r="K960" s="5"/>
      <c r="O960" s="5"/>
    </row>
    <row r="961" spans="1:15" ht="21" customHeight="1" x14ac:dyDescent="0.2">
      <c r="A961" s="5"/>
      <c r="B961" s="5"/>
      <c r="C961" s="59"/>
      <c r="D961" s="59"/>
      <c r="E961" s="63"/>
      <c r="F961" s="59"/>
      <c r="I961" s="5"/>
      <c r="J961" s="5"/>
      <c r="K961" s="5"/>
      <c r="O961" s="5"/>
    </row>
    <row r="962" spans="1:15" ht="21" customHeight="1" x14ac:dyDescent="0.2">
      <c r="A962" s="5"/>
      <c r="B962" s="5"/>
      <c r="C962" s="59"/>
      <c r="D962" s="59"/>
      <c r="E962" s="63"/>
      <c r="F962" s="59"/>
      <c r="I962" s="5"/>
      <c r="J962" s="5"/>
      <c r="K962" s="5"/>
      <c r="O962" s="5"/>
    </row>
    <row r="963" spans="1:15" ht="21" customHeight="1" x14ac:dyDescent="0.2">
      <c r="A963" s="5"/>
      <c r="B963" s="5"/>
      <c r="C963" s="59"/>
      <c r="D963" s="59"/>
      <c r="E963" s="63"/>
      <c r="F963" s="59"/>
      <c r="I963" s="5"/>
      <c r="J963" s="5"/>
      <c r="K963" s="5"/>
      <c r="O963" s="5"/>
    </row>
    <row r="964" spans="1:15" ht="21" customHeight="1" x14ac:dyDescent="0.2">
      <c r="A964" s="5"/>
      <c r="B964" s="5"/>
      <c r="C964" s="59"/>
      <c r="D964" s="59"/>
      <c r="E964" s="63"/>
      <c r="F964" s="59"/>
      <c r="I964" s="5"/>
      <c r="J964" s="5"/>
      <c r="K964" s="5"/>
      <c r="O964" s="5"/>
    </row>
    <row r="965" spans="1:15" ht="21" customHeight="1" x14ac:dyDescent="0.2">
      <c r="A965" s="5"/>
      <c r="B965" s="5"/>
      <c r="C965" s="59"/>
      <c r="D965" s="59"/>
      <c r="E965" s="63"/>
      <c r="F965" s="59"/>
      <c r="I965" s="5"/>
      <c r="J965" s="5"/>
      <c r="K965" s="5"/>
      <c r="O965" s="5"/>
    </row>
    <row r="966" spans="1:15" ht="21" customHeight="1" x14ac:dyDescent="0.2">
      <c r="A966" s="5"/>
      <c r="B966" s="5"/>
      <c r="C966" s="59"/>
      <c r="D966" s="59"/>
      <c r="E966" s="63"/>
      <c r="F966" s="59"/>
      <c r="I966" s="5"/>
      <c r="J966" s="5"/>
      <c r="K966" s="5"/>
      <c r="O966" s="5"/>
    </row>
    <row r="967" spans="1:15" ht="21" customHeight="1" x14ac:dyDescent="0.2">
      <c r="A967" s="5"/>
      <c r="B967" s="5"/>
      <c r="C967" s="59"/>
      <c r="D967" s="59"/>
      <c r="E967" s="63"/>
      <c r="F967" s="59"/>
      <c r="I967" s="5"/>
      <c r="J967" s="5"/>
      <c r="K967" s="5"/>
      <c r="O967" s="5"/>
    </row>
    <row r="968" spans="1:15" ht="21" customHeight="1" x14ac:dyDescent="0.2">
      <c r="A968" s="5"/>
      <c r="B968" s="5"/>
      <c r="C968" s="59"/>
      <c r="D968" s="59"/>
      <c r="E968" s="63"/>
      <c r="F968" s="59"/>
      <c r="I968" s="5"/>
      <c r="J968" s="5"/>
      <c r="K968" s="5"/>
      <c r="O968" s="5"/>
    </row>
    <row r="969" spans="1:15" ht="21" customHeight="1" x14ac:dyDescent="0.2">
      <c r="A969" s="5"/>
      <c r="B969" s="5"/>
      <c r="C969" s="59"/>
      <c r="D969" s="59"/>
      <c r="E969" s="63"/>
      <c r="F969" s="59"/>
      <c r="I969" s="5"/>
      <c r="J969" s="5"/>
      <c r="K969" s="5"/>
      <c r="O969" s="5"/>
    </row>
    <row r="970" spans="1:15" ht="21" customHeight="1" x14ac:dyDescent="0.2">
      <c r="A970" s="5"/>
      <c r="B970" s="5"/>
      <c r="C970" s="59"/>
      <c r="D970" s="59"/>
      <c r="E970" s="63"/>
      <c r="F970" s="59"/>
      <c r="I970" s="5"/>
      <c r="J970" s="5"/>
      <c r="K970" s="5"/>
      <c r="O970" s="5"/>
    </row>
    <row r="971" spans="1:15" ht="21" customHeight="1" x14ac:dyDescent="0.2">
      <c r="A971" s="5"/>
      <c r="B971" s="5"/>
      <c r="C971" s="59"/>
      <c r="D971" s="59"/>
      <c r="E971" s="63"/>
      <c r="F971" s="59"/>
      <c r="I971" s="5"/>
      <c r="J971" s="5"/>
      <c r="K971" s="5"/>
      <c r="O971" s="5"/>
    </row>
    <row r="972" spans="1:15" ht="21" customHeight="1" x14ac:dyDescent="0.2">
      <c r="A972" s="5"/>
      <c r="B972" s="5"/>
      <c r="C972" s="59"/>
      <c r="D972" s="59"/>
      <c r="E972" s="63"/>
      <c r="F972" s="59"/>
      <c r="I972" s="5"/>
      <c r="J972" s="5"/>
      <c r="K972" s="5"/>
      <c r="O972" s="5"/>
    </row>
    <row r="973" spans="1:15" ht="21" customHeight="1" x14ac:dyDescent="0.2">
      <c r="A973" s="5"/>
      <c r="B973" s="5"/>
      <c r="C973" s="59"/>
      <c r="D973" s="59"/>
      <c r="E973" s="63"/>
      <c r="F973" s="59"/>
      <c r="I973" s="5"/>
      <c r="J973" s="5"/>
      <c r="K973" s="5"/>
      <c r="O973" s="5"/>
    </row>
    <row r="974" spans="1:15" ht="21" customHeight="1" x14ac:dyDescent="0.2">
      <c r="A974" s="5"/>
      <c r="B974" s="5"/>
      <c r="C974" s="59"/>
      <c r="D974" s="59"/>
      <c r="E974" s="63"/>
      <c r="F974" s="59"/>
      <c r="I974" s="5"/>
      <c r="J974" s="5"/>
      <c r="K974" s="5"/>
      <c r="O974" s="5"/>
    </row>
    <row r="975" spans="1:15" ht="21" customHeight="1" x14ac:dyDescent="0.2">
      <c r="A975" s="5"/>
      <c r="B975" s="5"/>
      <c r="C975" s="59"/>
      <c r="D975" s="59"/>
      <c r="E975" s="63"/>
      <c r="F975" s="59"/>
      <c r="I975" s="5"/>
      <c r="J975" s="5"/>
      <c r="K975" s="5"/>
      <c r="O975" s="5"/>
    </row>
    <row r="976" spans="1:15" ht="21" customHeight="1" x14ac:dyDescent="0.2">
      <c r="A976" s="5"/>
      <c r="B976" s="5"/>
      <c r="C976" s="59"/>
      <c r="D976" s="59"/>
      <c r="E976" s="63"/>
      <c r="F976" s="59"/>
      <c r="I976" s="5"/>
      <c r="J976" s="5"/>
      <c r="K976" s="5"/>
      <c r="O976" s="5"/>
    </row>
    <row r="977" spans="1:15" ht="21" customHeight="1" x14ac:dyDescent="0.2">
      <c r="A977" s="5"/>
      <c r="B977" s="5"/>
      <c r="C977" s="59"/>
      <c r="D977" s="59"/>
      <c r="E977" s="63"/>
      <c r="F977" s="59"/>
      <c r="I977" s="5"/>
      <c r="J977" s="5"/>
      <c r="K977" s="5"/>
      <c r="O977" s="5"/>
    </row>
    <row r="978" spans="1:15" ht="21" customHeight="1" x14ac:dyDescent="0.2">
      <c r="A978" s="5"/>
      <c r="B978" s="5"/>
      <c r="C978" s="59"/>
      <c r="D978" s="59"/>
      <c r="E978" s="63"/>
      <c r="F978" s="59"/>
      <c r="I978" s="5"/>
      <c r="J978" s="5"/>
      <c r="K978" s="5"/>
      <c r="O978" s="5"/>
    </row>
    <row r="979" spans="1:15" ht="21" customHeight="1" x14ac:dyDescent="0.2">
      <c r="A979" s="5"/>
      <c r="B979" s="5"/>
      <c r="C979" s="59"/>
      <c r="D979" s="59"/>
      <c r="E979" s="63"/>
      <c r="F979" s="59"/>
      <c r="I979" s="5"/>
      <c r="J979" s="5"/>
      <c r="K979" s="5"/>
      <c r="O979" s="5"/>
    </row>
    <row r="980" spans="1:15" ht="21" customHeight="1" x14ac:dyDescent="0.2">
      <c r="A980" s="5"/>
      <c r="B980" s="5"/>
      <c r="C980" s="59"/>
      <c r="D980" s="59"/>
      <c r="E980" s="63"/>
      <c r="F980" s="59"/>
      <c r="I980" s="5"/>
      <c r="J980" s="5"/>
      <c r="K980" s="5"/>
      <c r="O980" s="5"/>
    </row>
    <row r="981" spans="1:15" ht="21" customHeight="1" x14ac:dyDescent="0.2">
      <c r="A981" s="5"/>
      <c r="B981" s="5"/>
      <c r="C981" s="59"/>
      <c r="D981" s="59"/>
      <c r="E981" s="63"/>
      <c r="F981" s="59"/>
      <c r="I981" s="5"/>
      <c r="J981" s="5"/>
      <c r="K981" s="5"/>
      <c r="O981" s="5"/>
    </row>
    <row r="982" spans="1:15" ht="21" customHeight="1" x14ac:dyDescent="0.2">
      <c r="A982" s="5"/>
      <c r="B982" s="5"/>
      <c r="C982" s="59"/>
      <c r="D982" s="59"/>
      <c r="E982" s="63"/>
      <c r="F982" s="59"/>
      <c r="I982" s="5"/>
      <c r="J982" s="5"/>
      <c r="K982" s="5"/>
      <c r="O982" s="5"/>
    </row>
    <row r="983" spans="1:15" ht="21" customHeight="1" x14ac:dyDescent="0.2">
      <c r="A983" s="5"/>
      <c r="B983" s="5"/>
      <c r="C983" s="59"/>
      <c r="D983" s="59"/>
      <c r="E983" s="63"/>
      <c r="F983" s="59"/>
      <c r="I983" s="5"/>
      <c r="J983" s="5"/>
      <c r="K983" s="5"/>
      <c r="O983" s="5"/>
    </row>
    <row r="984" spans="1:15" ht="21" customHeight="1" x14ac:dyDescent="0.2">
      <c r="A984" s="5"/>
      <c r="B984" s="5"/>
      <c r="C984" s="59"/>
      <c r="D984" s="59"/>
      <c r="E984" s="63"/>
      <c r="F984" s="59"/>
      <c r="I984" s="5"/>
      <c r="J984" s="5"/>
      <c r="K984" s="5"/>
      <c r="O984" s="5"/>
    </row>
    <row r="985" spans="1:15" ht="21" customHeight="1" x14ac:dyDescent="0.2">
      <c r="A985" s="5"/>
      <c r="B985" s="5"/>
      <c r="C985" s="59"/>
      <c r="D985" s="59"/>
      <c r="E985" s="63"/>
      <c r="F985" s="59"/>
      <c r="I985" s="5"/>
      <c r="J985" s="5"/>
      <c r="K985" s="5"/>
      <c r="O985" s="5"/>
    </row>
    <row r="986" spans="1:15" ht="21" customHeight="1" x14ac:dyDescent="0.2">
      <c r="A986" s="5"/>
      <c r="B986" s="5"/>
      <c r="C986" s="59"/>
      <c r="D986" s="59"/>
      <c r="E986" s="63"/>
      <c r="F986" s="59"/>
      <c r="I986" s="5"/>
      <c r="J986" s="5"/>
      <c r="K986" s="5"/>
      <c r="O986" s="5"/>
    </row>
    <row r="987" spans="1:15" ht="21" customHeight="1" x14ac:dyDescent="0.2">
      <c r="A987" s="5"/>
      <c r="B987" s="5"/>
      <c r="C987" s="59"/>
      <c r="D987" s="59"/>
      <c r="E987" s="63"/>
      <c r="F987" s="59"/>
      <c r="I987" s="5"/>
      <c r="J987" s="5"/>
      <c r="K987" s="5"/>
      <c r="O987" s="5"/>
    </row>
    <row r="988" spans="1:15" ht="21" customHeight="1" x14ac:dyDescent="0.2">
      <c r="A988" s="5"/>
      <c r="B988" s="5"/>
      <c r="C988" s="59"/>
      <c r="D988" s="59"/>
      <c r="E988" s="63"/>
      <c r="F988" s="59"/>
      <c r="I988" s="5"/>
      <c r="J988" s="5"/>
      <c r="K988" s="5"/>
      <c r="O988" s="5"/>
    </row>
    <row r="989" spans="1:15" ht="21" customHeight="1" x14ac:dyDescent="0.2">
      <c r="A989" s="5"/>
      <c r="B989" s="5"/>
      <c r="C989" s="59"/>
      <c r="D989" s="59"/>
      <c r="E989" s="63"/>
      <c r="F989" s="59"/>
      <c r="I989" s="5"/>
      <c r="J989" s="5"/>
      <c r="K989" s="5"/>
      <c r="O989" s="5"/>
    </row>
    <row r="990" spans="1:15" ht="21" customHeight="1" x14ac:dyDescent="0.2">
      <c r="A990" s="5"/>
      <c r="B990" s="5"/>
      <c r="C990" s="59"/>
      <c r="D990" s="59"/>
      <c r="E990" s="63"/>
      <c r="F990" s="59"/>
      <c r="I990" s="5"/>
      <c r="J990" s="5"/>
      <c r="K990" s="5"/>
      <c r="O990" s="5"/>
    </row>
    <row r="991" spans="1:15" ht="21" customHeight="1" x14ac:dyDescent="0.2">
      <c r="A991" s="5"/>
      <c r="B991" s="5"/>
      <c r="C991" s="59"/>
      <c r="D991" s="59"/>
      <c r="E991" s="63"/>
      <c r="F991" s="59"/>
      <c r="I991" s="5"/>
      <c r="J991" s="5"/>
      <c r="K991" s="5"/>
      <c r="O991" s="5"/>
    </row>
    <row r="992" spans="1:15" ht="21" customHeight="1" x14ac:dyDescent="0.2">
      <c r="A992" s="5"/>
      <c r="B992" s="5"/>
      <c r="C992" s="59"/>
      <c r="D992" s="59"/>
      <c r="E992" s="63"/>
      <c r="F992" s="59"/>
      <c r="I992" s="5"/>
      <c r="J992" s="5"/>
      <c r="K992" s="5"/>
      <c r="O992" s="5"/>
    </row>
    <row r="993" spans="1:15" ht="21" customHeight="1" x14ac:dyDescent="0.2">
      <c r="A993" s="5"/>
      <c r="B993" s="5"/>
      <c r="C993" s="59"/>
      <c r="D993" s="59"/>
      <c r="E993" s="63"/>
      <c r="F993" s="59"/>
      <c r="I993" s="5"/>
      <c r="J993" s="5"/>
      <c r="K993" s="5"/>
      <c r="O993" s="5"/>
    </row>
    <row r="994" spans="1:15" ht="21" customHeight="1" x14ac:dyDescent="0.2">
      <c r="A994" s="5"/>
      <c r="B994" s="5"/>
      <c r="C994" s="59"/>
      <c r="D994" s="59"/>
      <c r="E994" s="63"/>
      <c r="F994" s="59"/>
      <c r="I994" s="5"/>
      <c r="J994" s="5"/>
      <c r="K994" s="5"/>
      <c r="O994" s="5"/>
    </row>
    <row r="995" spans="1:15" ht="21" customHeight="1" x14ac:dyDescent="0.2">
      <c r="A995" s="5"/>
      <c r="B995" s="5"/>
      <c r="C995" s="59"/>
      <c r="D995" s="59"/>
      <c r="E995" s="63"/>
      <c r="F995" s="59"/>
      <c r="I995" s="5"/>
      <c r="J995" s="5"/>
      <c r="K995" s="5"/>
      <c r="O995" s="5"/>
    </row>
    <row r="996" spans="1:15" ht="21" customHeight="1" x14ac:dyDescent="0.2">
      <c r="A996" s="5"/>
      <c r="B996" s="5"/>
      <c r="C996" s="59"/>
      <c r="D996" s="59"/>
      <c r="E996" s="63"/>
      <c r="F996" s="59"/>
      <c r="I996" s="5"/>
      <c r="J996" s="5"/>
      <c r="K996" s="5"/>
      <c r="O996" s="5"/>
    </row>
    <row r="997" spans="1:15" ht="21" customHeight="1" x14ac:dyDescent="0.2">
      <c r="A997" s="5"/>
      <c r="B997" s="5"/>
      <c r="C997" s="59"/>
      <c r="D997" s="59"/>
      <c r="E997" s="63"/>
      <c r="F997" s="59"/>
      <c r="I997" s="5"/>
      <c r="J997" s="5"/>
      <c r="K997" s="5"/>
      <c r="O997" s="5"/>
    </row>
    <row r="998" spans="1:15" ht="21" customHeight="1" x14ac:dyDescent="0.2">
      <c r="A998" s="5"/>
      <c r="B998" s="5"/>
      <c r="C998" s="59"/>
      <c r="D998" s="59"/>
      <c r="E998" s="63"/>
      <c r="F998" s="59"/>
      <c r="I998" s="5"/>
      <c r="J998" s="5"/>
      <c r="K998" s="5"/>
      <c r="O998" s="5"/>
    </row>
    <row r="999" spans="1:15" ht="21" customHeight="1" x14ac:dyDescent="0.2">
      <c r="A999" s="5"/>
      <c r="B999" s="5"/>
      <c r="C999" s="59"/>
      <c r="D999" s="59"/>
      <c r="E999" s="63"/>
      <c r="F999" s="59"/>
      <c r="I999" s="5"/>
      <c r="J999" s="5"/>
      <c r="K999" s="5"/>
      <c r="O999" s="5"/>
    </row>
  </sheetData>
  <sortState xmlns:xlrd2="http://schemas.microsoft.com/office/spreadsheetml/2017/richdata2" ref="A2:X355">
    <sortCondition ref="B2:B355"/>
  </sortState>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88</vt:i4>
      </vt:variant>
    </vt:vector>
  </HeadingPairs>
  <TitlesOfParts>
    <vt:vector size="95" baseType="lpstr">
      <vt:lpstr>DESCRIPTION</vt:lpstr>
      <vt:lpstr>FCID linkages</vt:lpstr>
      <vt:lpstr>literature entries</vt:lpstr>
      <vt:lpstr>Pivot Table_GHG</vt:lpstr>
      <vt:lpstr>Pivot Table_CED</vt:lpstr>
      <vt:lpstr>PROXY def'ns</vt:lpstr>
      <vt:lpstr>MassConv</vt:lpstr>
      <vt:lpstr>all_brassica</vt:lpstr>
      <vt:lpstr>all_fish</vt:lpstr>
      <vt:lpstr>almond</vt:lpstr>
      <vt:lpstr>apple</vt:lpstr>
      <vt:lpstr>apricot</vt:lpstr>
      <vt:lpstr>artichoke_globe</vt:lpstr>
      <vt:lpstr>asparagus</vt:lpstr>
      <vt:lpstr>banana</vt:lpstr>
      <vt:lpstr>bean_dry</vt:lpstr>
      <vt:lpstr>bean_snap_succulent</vt:lpstr>
      <vt:lpstr>beer</vt:lpstr>
      <vt:lpstr>berry</vt:lpstr>
      <vt:lpstr>brass_grns_E</vt:lpstr>
      <vt:lpstr>brass_grns_GHG</vt:lpstr>
      <vt:lpstr>brassica</vt:lpstr>
      <vt:lpstr>brassica_greens</vt:lpstr>
      <vt:lpstr>brassica_roots</vt:lpstr>
      <vt:lpstr>broccoli</vt:lpstr>
      <vt:lpstr>carrot</vt:lpstr>
      <vt:lpstr>cassava</vt:lpstr>
      <vt:lpstr>celery</vt:lpstr>
      <vt:lpstr>cherry</vt:lpstr>
      <vt:lpstr>Chicken</vt:lpstr>
      <vt:lpstr>choc_coffee_tea</vt:lpstr>
      <vt:lpstr>citrus</vt:lpstr>
      <vt:lpstr>clover_seed</vt:lpstr>
      <vt:lpstr>coconut_meat</vt:lpstr>
      <vt:lpstr>coconut_oil</vt:lpstr>
      <vt:lpstr>corn_flour</vt:lpstr>
      <vt:lpstr>corn_starch</vt:lpstr>
      <vt:lpstr>cucumber</vt:lpstr>
      <vt:lpstr>cucurbits</vt:lpstr>
      <vt:lpstr>dried_herbs</vt:lpstr>
      <vt:lpstr>endive</vt:lpstr>
      <vt:lpstr>Escarole</vt:lpstr>
      <vt:lpstr>flours</vt:lpstr>
      <vt:lpstr>Fluid_milk_cow</vt:lpstr>
      <vt:lpstr>fresh_herbs</vt:lpstr>
      <vt:lpstr>ginger</vt:lpstr>
      <vt:lpstr>grains</vt:lpstr>
      <vt:lpstr>grape</vt:lpstr>
      <vt:lpstr>grape_raisin</vt:lpstr>
      <vt:lpstr>greens</vt:lpstr>
      <vt:lpstr>honey</vt:lpstr>
      <vt:lpstr>legume_seed</vt:lpstr>
      <vt:lpstr>lentil_seed</vt:lpstr>
      <vt:lpstr>Maple_syrup</vt:lpstr>
      <vt:lpstr>melon</vt:lpstr>
      <vt:lpstr>nightshades</vt:lpstr>
      <vt:lpstr>nonruminant_meat</vt:lpstr>
      <vt:lpstr>nut</vt:lpstr>
      <vt:lpstr>oat_flour</vt:lpstr>
      <vt:lpstr>oils</vt:lpstr>
      <vt:lpstr>oilseed_oil</vt:lpstr>
      <vt:lpstr>onion_bulb</vt:lpstr>
      <vt:lpstr>orange</vt:lpstr>
      <vt:lpstr>papaya</vt:lpstr>
      <vt:lpstr>Pea_pigeon_seed</vt:lpstr>
      <vt:lpstr>peach</vt:lpstr>
      <vt:lpstr>pear</vt:lpstr>
      <vt:lpstr>pepper_bell</vt:lpstr>
      <vt:lpstr>pineapple</vt:lpstr>
      <vt:lpstr>plum</vt:lpstr>
      <vt:lpstr>potato</vt:lpstr>
      <vt:lpstr>processed_tomato</vt:lpstr>
      <vt:lpstr>rice</vt:lpstr>
      <vt:lpstr>rice_bran</vt:lpstr>
      <vt:lpstr>roots</vt:lpstr>
      <vt:lpstr>ruminant_meat</vt:lpstr>
      <vt:lpstr>saltwater_finfish</vt:lpstr>
      <vt:lpstr>saltwater_fish</vt:lpstr>
      <vt:lpstr>Sheep</vt:lpstr>
      <vt:lpstr>soybean_meal</vt:lpstr>
      <vt:lpstr>spices</vt:lpstr>
      <vt:lpstr>spinach</vt:lpstr>
      <vt:lpstr>squash</vt:lpstr>
      <vt:lpstr>strawberry</vt:lpstr>
      <vt:lpstr>sugarcane_molasses</vt:lpstr>
      <vt:lpstr>sweeteners</vt:lpstr>
      <vt:lpstr>tea</vt:lpstr>
      <vt:lpstr>tomato</vt:lpstr>
      <vt:lpstr>tree_fruit</vt:lpstr>
      <vt:lpstr>tropical_citrus</vt:lpstr>
      <vt:lpstr>tropical_citus</vt:lpstr>
      <vt:lpstr>tropical_fruit</vt:lpstr>
      <vt:lpstr>vegetables</vt:lpstr>
      <vt:lpstr>wheat_flour</vt:lpstr>
      <vt:lpstr>zucchini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 Meyer</dc:creator>
  <cp:lastModifiedBy>Nicole Tichenor Blackstone</cp:lastModifiedBy>
  <cp:lastPrinted>2016-03-17T20:08:23Z</cp:lastPrinted>
  <dcterms:created xsi:type="dcterms:W3CDTF">2016-02-08T18:23:00Z</dcterms:created>
  <dcterms:modified xsi:type="dcterms:W3CDTF">2021-07-20T16:30:39Z</dcterms:modified>
</cp:coreProperties>
</file>